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3D3F63D-91F5-4DE4-9676-86C75A2BB787}" xr6:coauthVersionLast="47" xr6:coauthVersionMax="47" xr10:uidLastSave="{00000000-0000-0000-0000-000000000000}"/>
  <bookViews>
    <workbookView xWindow="25490" yWindow="-110" windowWidth="29020" windowHeight="157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48" l="1" a="1"/>
  <c r="E16" i="48" l="1"/>
  <c r="E15" i="48" a="1"/>
  <c r="E15" i="48" l="1"/>
  <c r="E14" i="48" a="1"/>
  <c r="E14" i="48" l="1"/>
  <c r="E13" i="48" a="1"/>
  <c r="E13" i="48" l="1"/>
  <c r="E12" i="48" a="1"/>
  <c r="E12" i="48" l="1"/>
  <c r="E11" i="48" a="1"/>
  <c r="E11" i="48" l="1"/>
  <c r="E10" i="48" a="1"/>
  <c r="E10" i="48" l="1"/>
  <c r="E9" i="48" a="1"/>
  <c r="E9" i="48" l="1"/>
  <c r="E8" i="48" a="1"/>
  <c r="E8" i="48" l="1"/>
  <c r="E7" i="48" a="1"/>
  <c r="E7" i="48" l="1"/>
  <c r="E6" i="48" a="1"/>
  <c r="E6" i="48" l="1"/>
  <c r="E5" i="48" a="1"/>
  <c r="E5" i="48" l="1"/>
  <c r="E4" i="48" a="1"/>
  <c r="O15" i="1" a="1"/>
  <c r="E4" i="48" l="1"/>
  <c r="O15" i="1"/>
  <c r="O14" i="1" a="1"/>
  <c r="O14" i="1" l="1"/>
  <c r="O13" i="1" a="1"/>
  <c r="O13" i="1" l="1"/>
  <c r="O12" i="1" a="1"/>
  <c r="O12" i="1" l="1"/>
  <c r="O11" i="1" a="1"/>
  <c r="O11" i="1" l="1"/>
  <c r="O10" i="1" a="1"/>
  <c r="O10" i="1" l="1"/>
  <c r="O9" i="1" a="1"/>
  <c r="O9" i="1" l="1"/>
  <c r="O8" i="1" a="1"/>
  <c r="O8" i="1" l="1"/>
  <c r="O7" i="1" a="1"/>
  <c r="O7" i="1" l="1"/>
  <c r="O6" i="1" a="1"/>
  <c r="O6" i="1" l="1"/>
  <c r="O5" i="1" a="1"/>
  <c r="O5" i="1" l="1"/>
  <c r="O4" i="1" a="1"/>
  <c r="O4" i="1" l="1"/>
  <c r="O3" i="1" a="1"/>
  <c r="O3" i="1" l="1"/>
  <c r="D23" i="1" a="1"/>
  <c r="G17" i="57" a="1"/>
  <c r="D14" i="57" a="1"/>
  <c r="G14" i="57" a="1"/>
  <c r="D13" i="57" a="1"/>
  <c r="G13" i="57" a="1"/>
  <c r="D12" i="57" a="1"/>
  <c r="G12" i="57" a="1"/>
  <c r="G11" i="57" a="1"/>
  <c r="D10" i="57" a="1"/>
  <c r="G10" i="57" a="1"/>
  <c r="D9" i="57" a="1"/>
  <c r="G9" i="57" a="1"/>
  <c r="D8" i="57" a="1"/>
  <c r="D17" i="57" a="1"/>
  <c r="D11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23" i="1" l="1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7" i="57"/>
  <c r="G8" i="57"/>
  <c r="D11" i="57"/>
  <c r="D17" i="57"/>
  <c r="D8" i="57"/>
  <c r="G9" i="57"/>
  <c r="D9" i="57"/>
  <c r="G10" i="57"/>
  <c r="D10" i="57"/>
  <c r="G11" i="57"/>
  <c r="G12" i="57"/>
  <c r="D12" i="57"/>
  <c r="G13" i="57"/>
  <c r="D13" i="57"/>
  <c r="G14" i="57"/>
  <c r="D14" i="57"/>
  <c r="G17" i="57"/>
  <c r="H2" i="48" l="1"/>
  <c r="H1" i="48"/>
  <c r="L3" i="48" a="1"/>
  <c r="L18" i="48" a="1"/>
  <c r="H3" i="48" a="1"/>
  <c r="H18" i="48" a="1"/>
  <c r="K3" i="48" a="1"/>
  <c r="K18" i="48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U11" i="56" a="1"/>
  <c r="U7" i="56" a="1"/>
  <c r="I16" i="56" a="1"/>
  <c r="I12" i="56" a="1"/>
  <c r="I8" i="56" a="1"/>
  <c r="C25" i="56" a="1"/>
  <c r="C16" i="13" a="1"/>
  <c r="P23" i="12" a="1"/>
  <c r="R21" i="12" a="1"/>
  <c r="K20" i="12" a="1"/>
  <c r="M18" i="12" a="1"/>
  <c r="K2" i="38" a="1"/>
  <c r="AI4" i="9" a="1"/>
  <c r="S4" i="9" a="1"/>
  <c r="C4" i="9" a="1"/>
  <c r="H7" i="52" a="1"/>
  <c r="T11" i="56" a="1"/>
  <c r="T7" i="56" a="1"/>
  <c r="H16" i="56" a="1"/>
  <c r="H12" i="56" a="1"/>
  <c r="H8" i="56" a="1"/>
  <c r="C24" i="56" a="1"/>
  <c r="C15" i="13" a="1"/>
  <c r="O23" i="12" a="1"/>
  <c r="Q21" i="12" a="1"/>
  <c r="S19" i="12" a="1"/>
  <c r="L18" i="12" a="1"/>
  <c r="N14" i="12" a="1"/>
  <c r="R10" i="12" a="1"/>
  <c r="M7" i="12" a="1"/>
  <c r="Q3" i="12" a="1"/>
  <c r="G20" i="12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5" i="52" a="1"/>
  <c r="H3" i="52" a="1"/>
  <c r="T15" i="56" a="1"/>
  <c r="P12" i="12" a="1"/>
  <c r="K9" i="12" a="1"/>
  <c r="O5" i="12" a="1"/>
  <c r="J2" i="38" a="1"/>
  <c r="AH4" i="9" a="1"/>
  <c r="R4" i="9" a="1"/>
  <c r="B4" i="9" a="1"/>
  <c r="H10" i="43" a="1"/>
  <c r="C11" i="43" a="1"/>
  <c r="C15" i="42" a="1"/>
  <c r="C13" i="42" a="1"/>
  <c r="C11" i="42" a="1"/>
  <c r="C9" i="42" a="1"/>
  <c r="C7" i="42" a="1"/>
  <c r="I2" i="38" a="1"/>
  <c r="AG4" i="9" a="1"/>
  <c r="Q4" i="9" a="1"/>
  <c r="J7" i="56" a="1"/>
  <c r="M23" i="12" a="1"/>
  <c r="Q19" i="12" a="1"/>
  <c r="S15" i="12" a="1"/>
  <c r="L14" i="12" a="1"/>
  <c r="N12" i="12" a="1"/>
  <c r="P10" i="12" a="1"/>
  <c r="R8" i="12" a="1"/>
  <c r="K7" i="12" a="1"/>
  <c r="M5" i="12" a="1"/>
  <c r="O3" i="12" a="1"/>
  <c r="E20" i="12" a="1"/>
  <c r="B13" i="12" a="1"/>
  <c r="H6" i="39" a="1"/>
  <c r="F3" i="39" a="1"/>
  <c r="L15" i="28" a="1"/>
  <c r="K10" i="28" a="1"/>
  <c r="M4" i="28" a="1"/>
  <c r="H10" i="28" a="1"/>
  <c r="E18" i="28" a="1"/>
  <c r="E8" i="28" a="1"/>
  <c r="L19" i="1" a="1"/>
  <c r="J14" i="1" a="1"/>
  <c r="H12" i="1" a="1"/>
  <c r="F10" i="1" a="1"/>
  <c r="G10" i="43" a="1"/>
  <c r="C10" i="43" a="1"/>
  <c r="J14" i="42" a="1"/>
  <c r="J12" i="42" a="1"/>
  <c r="J10" i="42" a="1"/>
  <c r="J8" i="42" a="1"/>
  <c r="J6" i="42" a="1"/>
  <c r="J4" i="42" a="1"/>
  <c r="N2" i="18" a="1"/>
  <c r="L2" i="15" a="1"/>
  <c r="J2" i="5" a="1"/>
  <c r="H2" i="7" a="1"/>
  <c r="F2" i="47" a="1"/>
  <c r="D2" i="46" a="1"/>
  <c r="F11" i="52" a="1"/>
  <c r="F9" i="52" a="1"/>
  <c r="F7" i="52" a="1"/>
  <c r="F5" i="52" a="1"/>
  <c r="F3" i="52" a="1"/>
  <c r="V14" i="56" a="1"/>
  <c r="V10" i="56" a="1"/>
  <c r="V6" i="56" a="1"/>
  <c r="J15" i="56" a="1"/>
  <c r="J11" i="56" a="1"/>
  <c r="B17" i="56" a="1"/>
  <c r="C13" i="13" a="1"/>
  <c r="O21" i="12" a="1"/>
  <c r="G12" i="12" a="1"/>
  <c r="F7" i="12" a="1"/>
  <c r="J9" i="39" a="1"/>
  <c r="H2" i="38" a="1"/>
  <c r="AF4" i="9" a="1"/>
  <c r="P4" i="9" a="1"/>
  <c r="U6" i="56" a="1"/>
  <c r="N21" i="12" a="1"/>
  <c r="P19" i="12" a="1"/>
  <c r="R15" i="12" a="1"/>
  <c r="O10" i="12" a="1"/>
  <c r="S6" i="12" a="1"/>
  <c r="L5" i="12" a="1"/>
  <c r="G19" i="12" a="1"/>
  <c r="E7" i="12" a="1"/>
  <c r="J8" i="39" a="1"/>
  <c r="F2" i="39" a="1"/>
  <c r="K15" i="28" a="1"/>
  <c r="M9" i="28" a="1"/>
  <c r="L4" i="28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C2" i="46" a="1"/>
  <c r="E11" i="52" a="1"/>
  <c r="E9" i="52" a="1"/>
  <c r="E7" i="52" a="1"/>
  <c r="E5" i="52" a="1"/>
  <c r="E3" i="52" a="1"/>
  <c r="U14" i="56" a="1"/>
  <c r="U10" i="56" a="1"/>
  <c r="I15" i="56" a="1"/>
  <c r="I11" i="56" a="1"/>
  <c r="I7" i="56" a="1"/>
  <c r="B16" i="56" a="1"/>
  <c r="C12" i="13" a="1"/>
  <c r="L23" i="12" a="1"/>
  <c r="K14" i="12" a="1"/>
  <c r="M12" i="12" a="1"/>
  <c r="Q8" i="12" a="1"/>
  <c r="N3" i="12" a="1"/>
  <c r="F12" i="12" a="1"/>
  <c r="B12" i="12" a="1"/>
  <c r="H5" i="39" a="1"/>
  <c r="G2" i="38" a="1"/>
  <c r="AE4" i="9" a="1"/>
  <c r="O4" i="9" a="1"/>
  <c r="D9" i="52" a="1"/>
  <c r="D7" i="52" a="1"/>
  <c r="D5" i="52" a="1"/>
  <c r="H15" i="56" a="1"/>
  <c r="H11" i="56" a="1"/>
  <c r="H7" i="56" a="1"/>
  <c r="B15" i="56" a="1"/>
  <c r="C11" i="13" a="1"/>
  <c r="K23" i="12" a="1"/>
  <c r="M21" i="12" a="1"/>
  <c r="O19" i="12" a="1"/>
  <c r="Q15" i="12" a="1"/>
  <c r="G6" i="12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D11" i="52" a="1"/>
  <c r="D3" i="52" a="1"/>
  <c r="T14" i="56" a="1"/>
  <c r="T10" i="56" a="1"/>
  <c r="T6" i="56" a="1"/>
  <c r="S13" i="12" a="1"/>
  <c r="L12" i="12" a="1"/>
  <c r="N10" i="12" a="1"/>
  <c r="P8" i="12" a="1"/>
  <c r="R6" i="12" a="1"/>
  <c r="K5" i="12" a="1"/>
  <c r="M3" i="12" a="1"/>
  <c r="F19" i="12" a="1"/>
  <c r="E12" i="12" a="1"/>
  <c r="B11" i="12" a="1"/>
  <c r="J7" i="39" a="1"/>
  <c r="F2" i="38" a="1"/>
  <c r="AD4" i="9" a="1"/>
  <c r="N4" i="9" a="1"/>
  <c r="G6" i="42" a="1"/>
  <c r="G4" i="42" a="1"/>
  <c r="K2" i="18" a="1"/>
  <c r="I2" i="15" a="1"/>
  <c r="G2" i="5" a="1"/>
  <c r="E2" i="7" a="1"/>
  <c r="C2" i="47" a="1"/>
  <c r="A2" i="46" a="1"/>
  <c r="C11" i="52" a="1"/>
  <c r="C9" i="52" a="1"/>
  <c r="C7" i="52" a="1"/>
  <c r="C5" i="52" a="1"/>
  <c r="C3" i="52" a="1"/>
  <c r="S14" i="56" a="1"/>
  <c r="S10" i="56" a="1"/>
  <c r="S6" i="56" a="1"/>
  <c r="G15" i="56" a="1"/>
  <c r="G11" i="56" a="1"/>
  <c r="G7" i="56" a="1"/>
  <c r="H8" i="43" a="1"/>
  <c r="C7" i="43" a="1"/>
  <c r="G14" i="42" a="1"/>
  <c r="G12" i="42" a="1"/>
  <c r="G10" i="42" a="1"/>
  <c r="G8" i="42" a="1"/>
  <c r="E2" i="38" a="1"/>
  <c r="AC4" i="9" a="1"/>
  <c r="M4" i="9" a="1"/>
  <c r="P6" i="12" a="1"/>
  <c r="K3" i="12" a="1"/>
  <c r="G18" i="12" a="1"/>
  <c r="F11" i="12" a="1"/>
  <c r="E6" i="12" a="1"/>
  <c r="B9" i="12" a="1"/>
  <c r="J5" i="39" a="1"/>
  <c r="H2" i="39" a="1"/>
  <c r="C12" i="39" a="1"/>
  <c r="K14" i="28" a="1"/>
  <c r="M8" i="28" a="1"/>
  <c r="L3" i="28" a="1"/>
  <c r="H8" i="28" a="1"/>
  <c r="E14" i="28" a="1"/>
  <c r="E6" i="28" a="1"/>
  <c r="A4" i="9" a="1"/>
  <c r="G8" i="43" a="1"/>
  <c r="C6" i="43" a="1"/>
  <c r="F14" i="42" a="1"/>
  <c r="F12" i="42" a="1"/>
  <c r="F10" i="42" a="1"/>
  <c r="F8" i="42" a="1"/>
  <c r="F6" i="42" a="1"/>
  <c r="F4" i="42" a="1"/>
  <c r="J2" i="18" a="1"/>
  <c r="H2" i="15" a="1"/>
  <c r="F2" i="5" a="1"/>
  <c r="D2" i="7" a="1"/>
  <c r="B2" i="47" a="1"/>
  <c r="J12" i="52" a="1"/>
  <c r="J10" i="52" a="1"/>
  <c r="J8" i="52" a="1"/>
  <c r="J6" i="52" a="1"/>
  <c r="J4" i="52" a="1"/>
  <c r="V17" i="56" a="1"/>
  <c r="V13" i="56" a="1"/>
  <c r="V9" i="56" a="1"/>
  <c r="V5" i="56" a="1"/>
  <c r="J14" i="56" a="1"/>
  <c r="J10" i="56" a="1"/>
  <c r="J6" i="56" a="1"/>
  <c r="B13" i="56" a="1"/>
  <c r="C9" i="13" a="1"/>
  <c r="R22" i="12" a="1"/>
  <c r="K21" i="12" a="1"/>
  <c r="M19" i="12" a="1"/>
  <c r="O15" i="12" a="1"/>
  <c r="Q13" i="12" a="1"/>
  <c r="S11" i="12" a="1"/>
  <c r="L10" i="12" a="1"/>
  <c r="N8" i="12" a="1"/>
  <c r="R4" i="12" a="1"/>
  <c r="H14" i="43" a="1"/>
  <c r="H6" i="43" a="1"/>
  <c r="C3" i="43" a="1"/>
  <c r="C14" i="42" a="1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AA4" i="9" a="1"/>
  <c r="J15" i="42" a="1"/>
  <c r="J3" i="42" a="1"/>
  <c r="E2" i="15" a="1"/>
  <c r="B2" i="7" a="1"/>
  <c r="I12" i="52" a="1"/>
  <c r="G9" i="52" a="1"/>
  <c r="J5" i="52" a="1"/>
  <c r="P21" i="12" a="1"/>
  <c r="Q10" i="12" a="1"/>
  <c r="F10" i="12" a="1"/>
  <c r="F7" i="39" a="1"/>
  <c r="M13" i="28" a="1"/>
  <c r="E13" i="28" a="1"/>
  <c r="E3" i="28" a="1"/>
  <c r="G20" i="1" a="1"/>
  <c r="G11" i="1" a="1"/>
  <c r="J5" i="1" a="1"/>
  <c r="E11" i="60" a="1"/>
  <c r="H5" i="60" a="1"/>
  <c r="H14" i="39" a="1"/>
  <c r="M6" i="28" a="1"/>
  <c r="G11" i="28" a="1"/>
  <c r="L13" i="1" a="1"/>
  <c r="H8" i="1" a="1"/>
  <c r="I5" i="1" a="1"/>
  <c r="C13" i="1" a="1"/>
  <c r="D8" i="49" a="1"/>
  <c r="C17" i="40" a="1"/>
  <c r="G10" i="60" a="1"/>
  <c r="F20" i="12" a="1"/>
  <c r="F8" i="1" a="1"/>
  <c r="H17" i="56" a="1"/>
  <c r="G5" i="28" a="1"/>
  <c r="E2" i="18" a="1"/>
  <c r="Q14" i="12" a="1"/>
  <c r="F14" i="12" a="1"/>
  <c r="J6" i="1" a="1"/>
  <c r="I11" i="42" a="1"/>
  <c r="I7" i="42" a="1"/>
  <c r="T8" i="56" a="1"/>
  <c r="I13" i="56" a="1"/>
  <c r="J5" i="56" a="1"/>
  <c r="C7" i="13" a="1"/>
  <c r="L21" i="12" a="1"/>
  <c r="M13" i="12" a="1"/>
  <c r="M10" i="12" a="1"/>
  <c r="Q7" i="12" a="1"/>
  <c r="P4" i="12" a="1"/>
  <c r="F21" i="12" a="1"/>
  <c r="E3" i="12" a="1"/>
  <c r="G5" i="60" a="1"/>
  <c r="F10" i="60" a="1"/>
  <c r="J12" i="1" a="1"/>
  <c r="C4" i="1" a="1"/>
  <c r="H5" i="42" a="1"/>
  <c r="Z4" i="9" a="1"/>
  <c r="G14" i="43" a="1"/>
  <c r="I15" i="42" a="1"/>
  <c r="I3" i="42" a="1"/>
  <c r="D2" i="15" a="1"/>
  <c r="A2" i="7" a="1"/>
  <c r="H12" i="52" a="1"/>
  <c r="I8" i="52" a="1"/>
  <c r="G5" i="52" a="1"/>
  <c r="V15" i="56" a="1"/>
  <c r="N18" i="12" a="1"/>
  <c r="E10" i="12" a="1"/>
  <c r="B15" i="12" a="1"/>
  <c r="F6" i="39" a="1"/>
  <c r="L13" i="28" a="1"/>
  <c r="G10" i="28" a="1"/>
  <c r="D13" i="28" a="1"/>
  <c r="D3" i="28" a="1"/>
  <c r="F20" i="1" a="1"/>
  <c r="F11" i="1" a="1"/>
  <c r="H5" i="1" a="1"/>
  <c r="H10" i="60" a="1"/>
  <c r="L13" i="12" a="1"/>
  <c r="K10" i="12" a="1"/>
  <c r="P7" i="12" a="1"/>
  <c r="O4" i="12" a="1"/>
  <c r="E21" i="12" a="1"/>
  <c r="B14" i="12" a="1"/>
  <c r="F5" i="39" a="1"/>
  <c r="K19" i="1" a="1"/>
  <c r="G5" i="1" a="1"/>
  <c r="D7" i="49" a="1"/>
  <c r="F5" i="60" a="1"/>
  <c r="K13" i="28" a="1"/>
  <c r="E12" i="28" a="1"/>
  <c r="J19" i="1" a="1"/>
  <c r="Y4" i="9" a="1"/>
  <c r="H11" i="42" a="1"/>
  <c r="H7" i="42" a="1"/>
  <c r="H13" i="56" a="1"/>
  <c r="I5" i="56" a="1"/>
  <c r="C6" i="13" a="1"/>
  <c r="S20" i="12" a="1"/>
  <c r="H13" i="39" a="1"/>
  <c r="L6" i="28" a="1"/>
  <c r="H9" i="28" a="1"/>
  <c r="K13" i="1" a="1"/>
  <c r="G8" i="1" a="1"/>
  <c r="C12" i="1" a="1"/>
  <c r="C16" i="40" a="1"/>
  <c r="K18" i="12" a="1"/>
  <c r="G9" i="12" a="1"/>
  <c r="B10" i="12" a="1"/>
  <c r="G9" i="28" a="1"/>
  <c r="L10" i="1" a="1"/>
  <c r="F5" i="1" a="1"/>
  <c r="I15" i="1" a="1"/>
  <c r="C14" i="55" a="1"/>
  <c r="H13" i="43" a="1"/>
  <c r="H15" i="42" a="1"/>
  <c r="H3" i="42" a="1"/>
  <c r="C2" i="15" a="1"/>
  <c r="N2" i="47" a="1"/>
  <c r="G12" i="52" a="1"/>
  <c r="H8" i="52" a="1"/>
  <c r="I4" i="52" a="1"/>
  <c r="S15" i="56" a="1"/>
  <c r="V7" i="56" a="1"/>
  <c r="X4" i="9" a="1"/>
  <c r="H5" i="56" a="1"/>
  <c r="C5" i="13" a="1"/>
  <c r="R20" i="12" a="1"/>
  <c r="P15" i="12" a="1"/>
  <c r="K13" i="12" a="1"/>
  <c r="S9" i="12" a="1"/>
  <c r="O7" i="12" a="1"/>
  <c r="N4" i="12" a="1"/>
  <c r="E19" i="12" a="1"/>
  <c r="H12" i="39" a="1"/>
  <c r="F4" i="39" a="1"/>
  <c r="K6" i="28" a="1"/>
  <c r="I19" i="1" a="1"/>
  <c r="J13" i="1" a="1"/>
  <c r="L4" i="1" a="1"/>
  <c r="C11" i="1" a="1"/>
  <c r="D6" i="49" a="1"/>
  <c r="C15" i="40" a="1"/>
  <c r="E10" i="60" a="1"/>
  <c r="E5" i="60" a="1"/>
  <c r="H3" i="39" a="1"/>
  <c r="H15" i="28" a="1"/>
  <c r="I9" i="42" a="1"/>
  <c r="F2" i="18" a="1"/>
  <c r="G7" i="52" a="1"/>
  <c r="D9" i="28" a="1"/>
  <c r="M2" i="46" a="1"/>
  <c r="P22" i="12" a="1"/>
  <c r="E7" i="28" a="1"/>
  <c r="G13" i="43" a="1"/>
  <c r="F11" i="42" a="1"/>
  <c r="F7" i="42" a="1"/>
  <c r="B2" i="15" a="1"/>
  <c r="M2" i="47" a="1"/>
  <c r="F12" i="52" a="1"/>
  <c r="G8" i="52" a="1"/>
  <c r="H4" i="52" a="1"/>
  <c r="U13" i="56" a="1"/>
  <c r="S7" i="56" a="1"/>
  <c r="J12" i="56" a="1"/>
  <c r="F9" i="12" a="1"/>
  <c r="B8" i="12" a="1"/>
  <c r="C14" i="39" a="1"/>
  <c r="M12" i="28" a="1"/>
  <c r="G8" i="28" a="1"/>
  <c r="D12" i="28" a="1"/>
  <c r="H19" i="1" a="1"/>
  <c r="K10" i="1" a="1"/>
  <c r="L7" i="1" a="1"/>
  <c r="C14" i="40" a="1"/>
  <c r="H9" i="60" a="1"/>
  <c r="K9" i="1" a="1"/>
  <c r="L6" i="1" a="1"/>
  <c r="C18" i="55" a="1"/>
  <c r="L20" i="12" a="1"/>
  <c r="B3" i="12" a="1"/>
  <c r="K11" i="28" a="1"/>
  <c r="I13" i="42" a="1"/>
  <c r="K12" i="1" a="1"/>
  <c r="F8" i="60" a="1"/>
  <c r="N19" i="12" a="1"/>
  <c r="G23" i="12" a="1"/>
  <c r="W4" i="9" a="1"/>
  <c r="F15" i="42" a="1"/>
  <c r="F3" i="42" a="1"/>
  <c r="C4" i="13" a="1"/>
  <c r="Q20" i="12" a="1"/>
  <c r="N15" i="12" a="1"/>
  <c r="S12" i="12" a="1"/>
  <c r="R9" i="12" a="1"/>
  <c r="N7" i="12" a="1"/>
  <c r="M4" i="12" a="1"/>
  <c r="F18" i="12" a="1"/>
  <c r="H11" i="39" a="1"/>
  <c r="C13" i="39" a="1"/>
  <c r="M5" i="28" a="1"/>
  <c r="I13" i="1" a="1"/>
  <c r="K7" i="1" a="1"/>
  <c r="K4" i="1" a="1"/>
  <c r="C10" i="1" a="1"/>
  <c r="D5" i="49" a="1"/>
  <c r="G9" i="60" a="1"/>
  <c r="H4" i="60" a="1"/>
  <c r="H7" i="1" a="1"/>
  <c r="C11" i="40" a="1"/>
  <c r="G8" i="60" a="1"/>
  <c r="T12" i="56" a="1"/>
  <c r="J9" i="56" a="1"/>
  <c r="P3" i="12" a="1"/>
  <c r="J9" i="1" a="1"/>
  <c r="C17" i="55" a="1"/>
  <c r="G6" i="43" a="1"/>
  <c r="M9" i="12" a="1"/>
  <c r="L3" i="12" a="1"/>
  <c r="C7" i="39" a="1"/>
  <c r="K6" i="1" a="1"/>
  <c r="C5" i="1" a="1"/>
  <c r="C6" i="40" a="1"/>
  <c r="G3" i="60" a="1"/>
  <c r="B2" i="5" a="1"/>
  <c r="B9" i="56" a="1"/>
  <c r="L2" i="47" a="1"/>
  <c r="E12" i="52" a="1"/>
  <c r="F8" i="52" a="1"/>
  <c r="G4" i="52" a="1"/>
  <c r="T13" i="56" a="1"/>
  <c r="U5" i="56" a="1"/>
  <c r="G12" i="56" a="1"/>
  <c r="C26" i="56" a="1"/>
  <c r="L7" i="12" a="1"/>
  <c r="E9" i="12" a="1"/>
  <c r="B7" i="12" a="1"/>
  <c r="L12" i="28" a="1"/>
  <c r="L5" i="28" a="1"/>
  <c r="H7" i="28" a="1"/>
  <c r="E11" i="28" a="1"/>
  <c r="G19" i="1" a="1"/>
  <c r="J10" i="1" a="1"/>
  <c r="J7" i="1" a="1"/>
  <c r="C13" i="40" a="1"/>
  <c r="F19" i="1" a="1"/>
  <c r="I9" i="56" a="1"/>
  <c r="F14" i="39" a="1"/>
  <c r="D8" i="28" a="1"/>
  <c r="V4" i="9" a="1"/>
  <c r="G12" i="43" a="1"/>
  <c r="E10" i="42" a="1"/>
  <c r="E6" i="42" a="1"/>
  <c r="C3" i="42" a="1"/>
  <c r="N2" i="5" a="1"/>
  <c r="S23" i="12" a="1"/>
  <c r="P20" i="12" a="1"/>
  <c r="M15" i="12" a="1"/>
  <c r="R12" i="12" a="1"/>
  <c r="Q9" i="12" a="1"/>
  <c r="Q6" i="12" a="1"/>
  <c r="L4" i="12" a="1"/>
  <c r="E18" i="12" a="1"/>
  <c r="H10" i="39" a="1"/>
  <c r="C11" i="39" a="1"/>
  <c r="H13" i="1" a="1"/>
  <c r="I7" i="1" a="1"/>
  <c r="J4" i="1" a="1"/>
  <c r="C9" i="1" a="1"/>
  <c r="D4" i="49" a="1"/>
  <c r="C12" i="40" a="1"/>
  <c r="F9" i="60" a="1"/>
  <c r="G4" i="60" a="1"/>
  <c r="K5" i="28" a="1"/>
  <c r="G7" i="28" a="1"/>
  <c r="D11" i="28" a="1"/>
  <c r="I10" i="1" a="1"/>
  <c r="I17" i="56" a="1"/>
  <c r="H5" i="28" a="1"/>
  <c r="J15" i="1" a="1"/>
  <c r="C2" i="38" a="1"/>
  <c r="I5" i="42" a="1"/>
  <c r="C2" i="5" a="1"/>
  <c r="B10" i="56" a="1"/>
  <c r="M10" i="28" a="1"/>
  <c r="C16" i="55" a="1"/>
  <c r="G15" i="28" a="1"/>
  <c r="C15" i="55" a="1"/>
  <c r="I6" i="52" a="1"/>
  <c r="P11" i="12" a="1"/>
  <c r="U4" i="9" a="1"/>
  <c r="E14" i="42" a="1"/>
  <c r="D12" i="52" a="1"/>
  <c r="E8" i="52" a="1"/>
  <c r="F4" i="52" a="1"/>
  <c r="S13" i="56" a="1"/>
  <c r="T5" i="56" a="1"/>
  <c r="I10" i="56" a="1"/>
  <c r="C23" i="56" a="1"/>
  <c r="G8" i="12" a="1"/>
  <c r="B6" i="12" a="1"/>
  <c r="K12" i="28" a="1"/>
  <c r="N2" i="46" a="1"/>
  <c r="J3" i="52" a="1"/>
  <c r="Q22" i="12" a="1"/>
  <c r="Q11" i="12" a="1"/>
  <c r="G14" i="12" a="1"/>
  <c r="I9" i="1" a="1"/>
  <c r="R19" i="12" a="1"/>
  <c r="H13" i="42" a="1"/>
  <c r="G3" i="52" a="1"/>
  <c r="L9" i="12" a="1"/>
  <c r="C6" i="39" a="1"/>
  <c r="N2" i="38" a="1"/>
  <c r="D10" i="42" a="1"/>
  <c r="D6" i="42" a="1"/>
  <c r="I2" i="18" a="1"/>
  <c r="K2" i="5" a="1"/>
  <c r="J2" i="47" a="1"/>
  <c r="B14" i="56" a="1"/>
  <c r="O20" i="12" a="1"/>
  <c r="L15" i="12" a="1"/>
  <c r="Q12" i="12" a="1"/>
  <c r="P9" i="12" a="1"/>
  <c r="O6" i="12" a="1"/>
  <c r="K4" i="12" a="1"/>
  <c r="G15" i="12" a="1"/>
  <c r="H9" i="39" a="1"/>
  <c r="C10" i="39" a="1"/>
  <c r="K4" i="28" a="1"/>
  <c r="G13" i="1" a="1"/>
  <c r="H10" i="1" a="1"/>
  <c r="G7" i="1" a="1"/>
  <c r="I4" i="1" a="1"/>
  <c r="C8" i="1" a="1"/>
  <c r="C21" i="55" a="1"/>
  <c r="C10" i="40" a="1"/>
  <c r="E9" i="60" a="1"/>
  <c r="F4" i="60" a="1"/>
  <c r="S5" i="56" a="1"/>
  <c r="B5" i="12" a="1"/>
  <c r="M3" i="28" a="1"/>
  <c r="H6" i="28" a="1"/>
  <c r="C9" i="40" a="1"/>
  <c r="J7" i="52" a="1"/>
  <c r="S22" i="12" a="1"/>
  <c r="S14" i="12" a="1"/>
  <c r="R11" i="12" a="1"/>
  <c r="N9" i="12" a="1"/>
  <c r="R3" i="12" a="1"/>
  <c r="E15" i="12" a="1"/>
  <c r="F6" i="12" a="1"/>
  <c r="H4" i="39" a="1"/>
  <c r="C8" i="39" a="1"/>
  <c r="E9" i="28" a="1"/>
  <c r="G4" i="1" a="1"/>
  <c r="C7" i="40" a="1"/>
  <c r="M2" i="38" a="1"/>
  <c r="T4" i="9" a="1"/>
  <c r="H7" i="43" a="1"/>
  <c r="D14" i="42" a="1"/>
  <c r="D8" i="52" a="1"/>
  <c r="E4" i="52" a="1"/>
  <c r="V12" i="56" a="1"/>
  <c r="H10" i="56" a="1"/>
  <c r="Q23" i="12" a="1"/>
  <c r="O12" i="12" a="1"/>
  <c r="F8" i="12" a="1"/>
  <c r="H8" i="39" a="1"/>
  <c r="M11" i="28" a="1"/>
  <c r="E10" i="28" a="1"/>
  <c r="L15" i="1" a="1"/>
  <c r="C20" i="55" a="1"/>
  <c r="B11" i="56" a="1"/>
  <c r="I4" i="9" a="1"/>
  <c r="H5" i="43" a="1"/>
  <c r="L4" i="9" a="1"/>
  <c r="C10" i="42" a="1"/>
  <c r="C6" i="42" a="1"/>
  <c r="H2" i="18" a="1"/>
  <c r="E2" i="5" a="1"/>
  <c r="G2" i="47" a="1"/>
  <c r="J11" i="52" a="1"/>
  <c r="B12" i="56" a="1"/>
  <c r="N20" i="12" a="1"/>
  <c r="K15" i="12" a="1"/>
  <c r="K12" i="12" a="1"/>
  <c r="O9" i="12" a="1"/>
  <c r="N6" i="12" a="1"/>
  <c r="S3" i="12" a="1"/>
  <c r="F15" i="12" a="1"/>
  <c r="E8" i="12" a="1"/>
  <c r="C9" i="39" a="1"/>
  <c r="F13" i="1" a="1"/>
  <c r="G10" i="1" a="1"/>
  <c r="F7" i="1" a="1"/>
  <c r="H4" i="1" a="1"/>
  <c r="C7" i="1" a="1"/>
  <c r="C8" i="40" a="1"/>
  <c r="H8" i="60" a="1"/>
  <c r="E4" i="60" a="1"/>
  <c r="G5" i="12" a="1"/>
  <c r="F4" i="1" a="1"/>
  <c r="L2" i="38" a="1"/>
  <c r="G7" i="43" a="1"/>
  <c r="D4" i="52" a="1"/>
  <c r="U12" i="56" a="1"/>
  <c r="J17" i="56" a="1"/>
  <c r="G10" i="56" a="1"/>
  <c r="N23" i="12" a="1"/>
  <c r="G7" i="12" a="1"/>
  <c r="B4" i="12" a="1"/>
  <c r="H7" i="39" a="1"/>
  <c r="L11" i="28" a="1"/>
  <c r="K3" i="28" a="1"/>
  <c r="G6" i="28" a="1"/>
  <c r="D10" i="28" a="1"/>
  <c r="K15" i="1" a="1"/>
  <c r="L9" i="1" a="1"/>
  <c r="C19" i="55" a="1"/>
  <c r="D2" i="38" a="1"/>
  <c r="K4" i="9" a="1"/>
  <c r="J13" i="42" a="1"/>
  <c r="J9" i="42" a="1"/>
  <c r="J5" i="42" a="1"/>
  <c r="G2" i="18" a="1"/>
  <c r="D2" i="5" a="1"/>
  <c r="A2" i="47" a="1"/>
  <c r="G11" i="52" a="1"/>
  <c r="M6" i="12" a="1"/>
  <c r="L12" i="1" a="1"/>
  <c r="C6" i="1" a="1"/>
  <c r="H3" i="60" a="1"/>
  <c r="J4" i="9" a="1"/>
  <c r="R14" i="12" a="1"/>
  <c r="B2" i="38" a="1"/>
  <c r="H10" i="52" a="1"/>
  <c r="V11" i="56" a="1"/>
  <c r="I10" i="52" a="1"/>
  <c r="L6" i="12" a="1"/>
  <c r="J14" i="39" a="1"/>
  <c r="H9" i="42" a="1"/>
  <c r="K6" i="12" a="1"/>
  <c r="F5" i="12" a="1"/>
  <c r="L10" i="28" a="1"/>
  <c r="A2" i="38" a="1"/>
  <c r="H4" i="9" a="1"/>
  <c r="H9" i="56" a="1"/>
  <c r="S8" i="12" a="1"/>
  <c r="J13" i="39" a="1"/>
  <c r="F13" i="39" a="1"/>
  <c r="L9" i="28" a="1"/>
  <c r="H14" i="28" a="1"/>
  <c r="H4" i="28" a="1"/>
  <c r="D7" i="28" a="1"/>
  <c r="H15" i="1" a="1"/>
  <c r="I12" i="1" a="1"/>
  <c r="C3" i="1" a="1"/>
  <c r="E3" i="60" a="1"/>
  <c r="G5" i="43" a="1"/>
  <c r="D2" i="18" a="1"/>
  <c r="A2" i="5" a="1"/>
  <c r="L2" i="46" a="1"/>
  <c r="G10" i="52" a="1"/>
  <c r="H6" i="52" a="1"/>
  <c r="U17" i="56" a="1"/>
  <c r="S11" i="56" a="1"/>
  <c r="J16" i="56" a="1"/>
  <c r="B8" i="56" a="1"/>
  <c r="O22" i="12" a="1"/>
  <c r="AN4" i="9" a="1"/>
  <c r="G4" i="9" a="1"/>
  <c r="F13" i="42" a="1"/>
  <c r="F9" i="42" a="1"/>
  <c r="F5" i="42" a="1"/>
  <c r="J12" i="39" a="1"/>
  <c r="F12" i="39" a="1"/>
  <c r="G14" i="28" a="1"/>
  <c r="G4" i="28" a="1"/>
  <c r="D6" i="28" a="1"/>
  <c r="G15" i="1" a="1"/>
  <c r="F12" i="1" a="1"/>
  <c r="D15" i="49" a="1"/>
  <c r="N2" i="7" a="1"/>
  <c r="K2" i="46" a="1"/>
  <c r="F10" i="52" a="1"/>
  <c r="G6" i="52" a="1"/>
  <c r="T17" i="56" a="1"/>
  <c r="U9" i="56" a="1"/>
  <c r="G16" i="56" a="1"/>
  <c r="J8" i="56" a="1"/>
  <c r="B7" i="56" a="1"/>
  <c r="N22" i="12" a="1"/>
  <c r="K19" i="12" a="1"/>
  <c r="O14" i="12" a="1"/>
  <c r="N11" i="12" a="1"/>
  <c r="M8" i="12" a="1"/>
  <c r="R5" i="12" a="1"/>
  <c r="E23" i="12" a="1"/>
  <c r="G13" i="12" a="1"/>
  <c r="G4" i="12" a="1"/>
  <c r="J11" i="39" a="1"/>
  <c r="C4" i="39" a="1"/>
  <c r="L8" i="28" a="1"/>
  <c r="H3" i="28" a="1"/>
  <c r="L20" i="1" a="1"/>
  <c r="L11" i="1" a="1"/>
  <c r="F9" i="1" a="1"/>
  <c r="H6" i="1" a="1"/>
  <c r="J3" i="1" a="1"/>
  <c r="D14" i="49" a="1"/>
  <c r="C12" i="55" a="1"/>
  <c r="F12" i="60" a="1"/>
  <c r="G7" i="60" a="1"/>
  <c r="AM4" i="9" a="1"/>
  <c r="F4" i="9" a="1"/>
  <c r="G4" i="43" a="1"/>
  <c r="C5" i="42" a="1"/>
  <c r="B2" i="18" a="1"/>
  <c r="AJ4" i="9" a="1"/>
  <c r="H15" i="43" a="1"/>
  <c r="C4" i="43" a="1"/>
  <c r="C12" i="42" a="1"/>
  <c r="C8" i="42" a="1"/>
  <c r="D6" i="52" a="1"/>
  <c r="U16" i="56" a="1"/>
  <c r="V8" i="56" a="1"/>
  <c r="G14" i="56" a="1"/>
  <c r="H6" i="56" a="1"/>
  <c r="C10" i="13" a="1"/>
  <c r="Q18" i="12" a="1"/>
  <c r="O13" i="12" a="1"/>
  <c r="K11" i="12" a="1"/>
  <c r="S7" i="12" a="1"/>
  <c r="S4" i="12" a="1"/>
  <c r="E22" i="12" a="1"/>
  <c r="G3" i="12" a="1"/>
  <c r="J3" i="39" a="1"/>
  <c r="M14" i="28" a="1"/>
  <c r="L7" i="28" a="1"/>
  <c r="I20" i="1" a="1"/>
  <c r="H14" i="1" a="1"/>
  <c r="J8" i="1" a="1"/>
  <c r="L5" i="1" a="1"/>
  <c r="D10" i="49" a="1"/>
  <c r="C9" i="55" a="1"/>
  <c r="G11" i="60" a="1"/>
  <c r="G6" i="60" a="1"/>
  <c r="AB4" i="9" a="1"/>
  <c r="C4" i="42" a="1"/>
  <c r="F2" i="15" a="1"/>
  <c r="C2" i="7" a="1"/>
  <c r="E2" i="46" a="1"/>
  <c r="J9" i="52" a="1"/>
  <c r="S21" i="12" a="1"/>
  <c r="G10" i="12" a="1"/>
  <c r="F8" i="39" a="1"/>
  <c r="L14" i="28" a="1"/>
  <c r="G12" i="28" a="1"/>
  <c r="D14" i="28" a="1"/>
  <c r="D4" i="28" a="1"/>
  <c r="G14" i="1" a="1"/>
  <c r="H11" i="1" a="1"/>
  <c r="K5" i="1" a="1"/>
  <c r="C15" i="1" a="1"/>
  <c r="U8" i="56" a="1"/>
  <c r="P13" i="12" a="1"/>
  <c r="F13" i="12" a="1"/>
  <c r="M15" i="28" a="1"/>
  <c r="K20" i="1" a="1"/>
  <c r="F6" i="1" a="1"/>
  <c r="F11" i="60" a="1"/>
  <c r="D15" i="28" a="1"/>
  <c r="Q4" i="12" a="1"/>
  <c r="C18" i="40" a="1"/>
  <c r="V16" i="56" a="1"/>
  <c r="AL4" i="9" a="1"/>
  <c r="G2" i="15" a="1"/>
  <c r="I14" i="56" a="1"/>
  <c r="E13" i="12" a="1"/>
  <c r="AK4" i="9" a="1"/>
  <c r="N13" i="12" a="1"/>
  <c r="G11" i="12" a="1"/>
  <c r="K9" i="28" a="1"/>
  <c r="J20" i="1" a="1"/>
  <c r="E8" i="60" a="1"/>
  <c r="H13" i="28" a="1"/>
  <c r="D9" i="49" a="1"/>
  <c r="L22" i="12" a="1"/>
  <c r="L8" i="1" a="1"/>
  <c r="E14" i="12" a="1"/>
  <c r="H14" i="56" a="1"/>
  <c r="O11" i="12" a="1"/>
  <c r="L3" i="1" a="1"/>
  <c r="H7" i="60" a="1"/>
  <c r="H20" i="1" a="1"/>
  <c r="C14" i="1" a="1"/>
  <c r="F3" i="60" a="1"/>
  <c r="R7" i="12" a="1"/>
  <c r="L19" i="12" a="1"/>
  <c r="H11" i="60" a="1"/>
  <c r="L2" i="7" a="1"/>
  <c r="E11" i="12" a="1"/>
  <c r="K8" i="28" a="1"/>
  <c r="K3" i="1" a="1"/>
  <c r="P5" i="12" a="1"/>
  <c r="E4" i="9" a="1"/>
  <c r="J13" i="56" a="1"/>
  <c r="M11" i="12" a="1"/>
  <c r="I3" i="1" a="1"/>
  <c r="F7" i="60" a="1"/>
  <c r="L14" i="1" a="1"/>
  <c r="C13" i="55" a="1"/>
  <c r="K8" i="1" a="1"/>
  <c r="C2" i="39" a="1"/>
  <c r="I2" i="7" a="1"/>
  <c r="G8" i="56" a="1"/>
  <c r="E5" i="12" a="1"/>
  <c r="M7" i="28" a="1"/>
  <c r="F15" i="1" a="1"/>
  <c r="E7" i="60" a="1"/>
  <c r="H3" i="1" a="1"/>
  <c r="I14" i="1" a="1"/>
  <c r="J11" i="1" a="1"/>
  <c r="D18" i="28" a="1"/>
  <c r="F10" i="39" a="1"/>
  <c r="E4" i="42" a="1"/>
  <c r="D4" i="9" a="1"/>
  <c r="L11" i="12" a="1"/>
  <c r="E4" i="12" a="1"/>
  <c r="G3" i="28" a="1"/>
  <c r="J2" i="39" a="1"/>
  <c r="J7" i="42" a="1"/>
  <c r="E5" i="28" a="1"/>
  <c r="D5" i="28" a="1"/>
  <c r="J2" i="46" a="1"/>
  <c r="I6" i="56" a="1"/>
  <c r="F4" i="12" a="1"/>
  <c r="K7" i="28" a="1"/>
  <c r="G3" i="1" a="1"/>
  <c r="H6" i="60" a="1"/>
  <c r="S10" i="12" a="1"/>
  <c r="F3" i="1" a="1"/>
  <c r="F6" i="60" a="1"/>
  <c r="E6" i="60" a="1"/>
  <c r="G15" i="43" a="1"/>
  <c r="K14" i="1" a="1"/>
  <c r="O8" i="12" a="1"/>
  <c r="J4" i="39" a="1"/>
  <c r="S18" i="12" a="1"/>
  <c r="F23" i="12" a="1"/>
  <c r="F9" i="39" a="1"/>
  <c r="H12" i="60" a="1"/>
  <c r="G6" i="56" a="1"/>
  <c r="F6" i="52" a="1"/>
  <c r="F11" i="39" a="1"/>
  <c r="G9" i="1" a="1"/>
  <c r="H2" i="46" a="1"/>
  <c r="F14" i="1" a="1"/>
  <c r="D16" i="49" a="1"/>
  <c r="C5" i="43" a="1"/>
  <c r="B5" i="56" a="1"/>
  <c r="L8" i="12" a="1"/>
  <c r="F3" i="12" a="1"/>
  <c r="G13" i="28" a="1"/>
  <c r="D13" i="49" a="1"/>
  <c r="H12" i="28" a="1"/>
  <c r="D10" i="52" a="1"/>
  <c r="E10" i="52" a="1"/>
  <c r="G12" i="1" a="1"/>
  <c r="D12" i="49" a="1"/>
  <c r="H11" i="28" a="1"/>
  <c r="D11" i="49" a="1"/>
  <c r="S17" i="56" a="1"/>
  <c r="R18" i="12" a="1"/>
  <c r="G22" i="12" a="1"/>
  <c r="C14" i="13" a="1"/>
  <c r="K8" i="12" a="1"/>
  <c r="J10" i="39" a="1"/>
  <c r="K11" i="1" a="1"/>
  <c r="E12" i="42" a="1"/>
  <c r="C8" i="13" a="1"/>
  <c r="J6" i="39" a="1"/>
  <c r="M22" i="12" a="1"/>
  <c r="I11" i="1" a="1"/>
  <c r="N5" i="12" a="1"/>
  <c r="G12" i="60" a="1"/>
  <c r="M2" i="15" a="1"/>
  <c r="D12" i="42" a="1"/>
  <c r="S5" i="12" a="1"/>
  <c r="J11" i="42" a="1"/>
  <c r="Q5" i="12" a="1"/>
  <c r="E8" i="42" a="1"/>
  <c r="E6" i="52" a="1"/>
  <c r="E15" i="28" a="1"/>
  <c r="H9" i="1" a="1"/>
  <c r="C11" i="55" a="1"/>
  <c r="C10" i="55" a="1"/>
  <c r="D8" i="42" a="1"/>
  <c r="G6" i="1" a="1"/>
  <c r="T16" i="56" a="1"/>
  <c r="P18" i="12" a="1"/>
  <c r="C5" i="39" a="1"/>
  <c r="I8" i="1" a="1"/>
  <c r="D4" i="42" a="1"/>
  <c r="T9" i="56" a="1"/>
  <c r="P14" i="12" a="1"/>
  <c r="F22" i="12" a="1"/>
  <c r="E4" i="28" a="1"/>
  <c r="I6" i="1" a="1"/>
  <c r="E12" i="60" a="1"/>
  <c r="M14" i="12" a="1"/>
  <c r="C3" i="39" a="1"/>
  <c r="S9" i="56" a="1"/>
  <c r="R13" i="12" a="1"/>
  <c r="G21" i="12" a="1"/>
  <c r="K18" i="48" l="1"/>
  <c r="K3" i="48"/>
  <c r="H18" i="48"/>
  <c r="H3" i="48"/>
  <c r="L18" i="48"/>
  <c r="L3" i="48"/>
  <c r="G21" i="12"/>
  <c r="R13" i="12"/>
  <c r="S9" i="56"/>
  <c r="C3" i="39"/>
  <c r="M14" i="12"/>
  <c r="E12" i="60"/>
  <c r="I6" i="1"/>
  <c r="E4" i="28"/>
  <c r="F22" i="12"/>
  <c r="P14" i="12"/>
  <c r="T9" i="56"/>
  <c r="D4" i="42"/>
  <c r="I8" i="1"/>
  <c r="C5" i="39"/>
  <c r="P18" i="12"/>
  <c r="T16" i="56"/>
  <c r="G6" i="1"/>
  <c r="D8" i="42"/>
  <c r="C10" i="55"/>
  <c r="C11" i="55"/>
  <c r="H9" i="1"/>
  <c r="E15" i="28"/>
  <c r="E6" i="52"/>
  <c r="E8" i="42"/>
  <c r="Q5" i="12"/>
  <c r="J11" i="42"/>
  <c r="S5" i="12"/>
  <c r="D12" i="42"/>
  <c r="M2" i="15"/>
  <c r="G12" i="60"/>
  <c r="N5" i="12"/>
  <c r="I11" i="1"/>
  <c r="M22" i="12"/>
  <c r="J6" i="39"/>
  <c r="C8" i="13"/>
  <c r="E12" i="42"/>
  <c r="K11" i="1"/>
  <c r="J10" i="39"/>
  <c r="K8" i="12"/>
  <c r="C14" i="13"/>
  <c r="G22" i="12"/>
  <c r="R18" i="12"/>
  <c r="S17" i="56"/>
  <c r="D11" i="49"/>
  <c r="H11" i="28"/>
  <c r="D12" i="49"/>
  <c r="G12" i="1"/>
  <c r="E10" i="52"/>
  <c r="D10" i="52"/>
  <c r="H12" i="28"/>
  <c r="D13" i="49"/>
  <c r="G13" i="28"/>
  <c r="F3" i="12"/>
  <c r="L8" i="12"/>
  <c r="B5" i="56"/>
  <c r="C5" i="43"/>
  <c r="D16" i="49"/>
  <c r="F14" i="1"/>
  <c r="H2" i="46"/>
  <c r="G9" i="1"/>
  <c r="F11" i="39"/>
  <c r="F6" i="52"/>
  <c r="G6" i="56"/>
  <c r="H12" i="60"/>
  <c r="F9" i="39"/>
  <c r="F23" i="12"/>
  <c r="S18" i="12"/>
  <c r="J4" i="39"/>
  <c r="O8" i="12"/>
  <c r="K14" i="1"/>
  <c r="G15" i="43"/>
  <c r="E6" i="60"/>
  <c r="F6" i="60"/>
  <c r="F3" i="1"/>
  <c r="S10" i="12"/>
  <c r="H6" i="60"/>
  <c r="G3" i="1"/>
  <c r="K7" i="28"/>
  <c r="F4" i="12"/>
  <c r="I6" i="56"/>
  <c r="J2" i="46"/>
  <c r="D5" i="28"/>
  <c r="E5" i="28"/>
  <c r="J7" i="42"/>
  <c r="J2" i="39"/>
  <c r="G3" i="28"/>
  <c r="E4" i="12"/>
  <c r="L11" i="12"/>
  <c r="D4" i="9"/>
  <c r="E4" i="42"/>
  <c r="F10" i="39"/>
  <c r="D18" i="28"/>
  <c r="J11" i="1"/>
  <c r="I14" i="1"/>
  <c r="H3" i="1"/>
  <c r="E7" i="60"/>
  <c r="F15" i="1"/>
  <c r="M7" i="28"/>
  <c r="E5" i="12"/>
  <c r="G8" i="56"/>
  <c r="I2" i="7"/>
  <c r="C2" i="39"/>
  <c r="K8" i="1"/>
  <c r="C13" i="55"/>
  <c r="L14" i="1"/>
  <c r="F7" i="60"/>
  <c r="I3" i="1"/>
  <c r="M11" i="12"/>
  <c r="J13" i="56"/>
  <c r="E4" i="9"/>
  <c r="P5" i="12"/>
  <c r="K3" i="1"/>
  <c r="K8" i="28"/>
  <c r="E11" i="12"/>
  <c r="L2" i="7"/>
  <c r="H11" i="60"/>
  <c r="L19" i="12"/>
  <c r="R7" i="12"/>
  <c r="F3" i="60"/>
  <c r="C14" i="1"/>
  <c r="H20" i="1"/>
  <c r="H7" i="60"/>
  <c r="L3" i="1"/>
  <c r="O11" i="12"/>
  <c r="H14" i="56"/>
  <c r="E14" i="12"/>
  <c r="L8" i="1"/>
  <c r="L22" i="12"/>
  <c r="D9" i="49"/>
  <c r="H13" i="28"/>
  <c r="E8" i="60"/>
  <c r="J20" i="1"/>
  <c r="K9" i="28"/>
  <c r="G11" i="12"/>
  <c r="N13" i="12"/>
  <c r="AK4" i="9"/>
  <c r="E13" i="12"/>
  <c r="I14" i="56"/>
  <c r="G2" i="15"/>
  <c r="AL4" i="9"/>
  <c r="V16" i="56"/>
  <c r="C18" i="40"/>
  <c r="Q4" i="12"/>
  <c r="D15" i="28"/>
  <c r="F11" i="60"/>
  <c r="F6" i="1"/>
  <c r="K20" i="1"/>
  <c r="M15" i="28"/>
  <c r="F13" i="12"/>
  <c r="P13" i="12"/>
  <c r="U8" i="56"/>
  <c r="C15" i="1"/>
  <c r="K5" i="1"/>
  <c r="H11" i="1"/>
  <c r="G14" i="1"/>
  <c r="D4" i="28"/>
  <c r="D14" i="28"/>
  <c r="G12" i="28"/>
  <c r="L14" i="28"/>
  <c r="F8" i="39"/>
  <c r="G10" i="12"/>
  <c r="S21" i="12"/>
  <c r="J9" i="52"/>
  <c r="E2" i="46"/>
  <c r="C2" i="7"/>
  <c r="F2" i="15"/>
  <c r="C4" i="42"/>
  <c r="AB4" i="9"/>
  <c r="G6" i="60"/>
  <c r="G11" i="60"/>
  <c r="C9" i="55"/>
  <c r="D10" i="49"/>
  <c r="L5" i="1"/>
  <c r="J8" i="1"/>
  <c r="H14" i="1"/>
  <c r="I20" i="1"/>
  <c r="L7" i="28"/>
  <c r="M14" i="28"/>
  <c r="J3" i="39"/>
  <c r="G3" i="12"/>
  <c r="E22" i="12"/>
  <c r="S4" i="12"/>
  <c r="S7" i="12"/>
  <c r="K11" i="12"/>
  <c r="O13" i="12"/>
  <c r="Q18" i="12"/>
  <c r="C10" i="13"/>
  <c r="H6" i="56"/>
  <c r="G14" i="56"/>
  <c r="V8" i="56"/>
  <c r="U16" i="56"/>
  <c r="D6" i="52"/>
  <c r="C8" i="42"/>
  <c r="C12" i="42"/>
  <c r="C4" i="43"/>
  <c r="H15" i="43"/>
  <c r="AJ4" i="9"/>
  <c r="B2" i="18"/>
  <c r="C5" i="42"/>
  <c r="G4" i="43"/>
  <c r="F4" i="9"/>
  <c r="AM4" i="9"/>
  <c r="G7" i="60"/>
  <c r="F12" i="60"/>
  <c r="C12" i="55"/>
  <c r="D14" i="49"/>
  <c r="J3" i="1"/>
  <c r="H6" i="1"/>
  <c r="F9" i="1"/>
  <c r="L11" i="1"/>
  <c r="L20" i="1"/>
  <c r="H3" i="28"/>
  <c r="L8" i="28"/>
  <c r="C4" i="39"/>
  <c r="J11" i="39"/>
  <c r="G4" i="12"/>
  <c r="G13" i="12"/>
  <c r="E23" i="12"/>
  <c r="R5" i="12"/>
  <c r="M8" i="12"/>
  <c r="N11" i="12"/>
  <c r="O14" i="12"/>
  <c r="K19" i="12"/>
  <c r="N22" i="12"/>
  <c r="B7" i="56"/>
  <c r="J8" i="56"/>
  <c r="G16" i="56"/>
  <c r="U9" i="56"/>
  <c r="T17" i="56"/>
  <c r="G6" i="52"/>
  <c r="F10" i="52"/>
  <c r="K2" i="46"/>
  <c r="N2" i="7"/>
  <c r="D15" i="49"/>
  <c r="F12" i="1"/>
  <c r="G15" i="1"/>
  <c r="D6" i="28"/>
  <c r="G4" i="28"/>
  <c r="G14" i="28"/>
  <c r="F12" i="39"/>
  <c r="J12" i="39"/>
  <c r="F5" i="42"/>
  <c r="F9" i="42"/>
  <c r="F13" i="42"/>
  <c r="G4" i="9"/>
  <c r="AN4" i="9"/>
  <c r="O22" i="12"/>
  <c r="B8" i="56"/>
  <c r="J16" i="56"/>
  <c r="S11" i="56"/>
  <c r="U17" i="56"/>
  <c r="H6" i="52"/>
  <c r="G10" i="52"/>
  <c r="L2" i="46"/>
  <c r="A2" i="5"/>
  <c r="D2" i="18"/>
  <c r="G5" i="43"/>
  <c r="E3" i="60"/>
  <c r="C3" i="1"/>
  <c r="I12" i="1"/>
  <c r="H15" i="1"/>
  <c r="D7" i="28"/>
  <c r="H4" i="28"/>
  <c r="H14" i="28"/>
  <c r="L9" i="28"/>
  <c r="F13" i="39"/>
  <c r="J13" i="39"/>
  <c r="S8" i="12"/>
  <c r="H9" i="56"/>
  <c r="H4" i="9"/>
  <c r="A2" i="38"/>
  <c r="L10" i="28"/>
  <c r="F5" i="12"/>
  <c r="K6" i="12"/>
  <c r="H9" i="42"/>
  <c r="J14" i="39"/>
  <c r="L6" i="12"/>
  <c r="I10" i="52"/>
  <c r="V11" i="56"/>
  <c r="H10" i="52"/>
  <c r="B2" i="38"/>
  <c r="R14" i="12"/>
  <c r="J4" i="9"/>
  <c r="H3" i="60"/>
  <c r="C6" i="1"/>
  <c r="L12" i="1"/>
  <c r="M6" i="12"/>
  <c r="G11" i="52"/>
  <c r="A2" i="47"/>
  <c r="D2" i="5"/>
  <c r="G2" i="18"/>
  <c r="J5" i="42"/>
  <c r="J9" i="42"/>
  <c r="J13" i="42"/>
  <c r="K4" i="9"/>
  <c r="D2" i="38"/>
  <c r="C19" i="55"/>
  <c r="L9" i="1"/>
  <c r="K15" i="1"/>
  <c r="D10" i="28"/>
  <c r="G6" i="28"/>
  <c r="K3" i="28"/>
  <c r="L11" i="28"/>
  <c r="H7" i="39"/>
  <c r="B4" i="12"/>
  <c r="G7" i="12"/>
  <c r="N23" i="12"/>
  <c r="G10" i="56"/>
  <c r="J17" i="56"/>
  <c r="U12" i="56"/>
  <c r="D4" i="52"/>
  <c r="G7" i="43"/>
  <c r="L2" i="38"/>
  <c r="F4" i="1"/>
  <c r="G5" i="12"/>
  <c r="E4" i="60"/>
  <c r="H8" i="60"/>
  <c r="C8" i="40"/>
  <c r="C7" i="1"/>
  <c r="H4" i="1"/>
  <c r="F7" i="1"/>
  <c r="G10" i="1"/>
  <c r="F13" i="1"/>
  <c r="C9" i="39"/>
  <c r="E8" i="12"/>
  <c r="F15" i="12"/>
  <c r="S3" i="12"/>
  <c r="N6" i="12"/>
  <c r="O9" i="12"/>
  <c r="K12" i="12"/>
  <c r="K15" i="12"/>
  <c r="N20" i="12"/>
  <c r="B12" i="56"/>
  <c r="J11" i="52"/>
  <c r="G2" i="47"/>
  <c r="E2" i="5"/>
  <c r="H2" i="18"/>
  <c r="C6" i="42"/>
  <c r="C10" i="42"/>
  <c r="L4" i="9"/>
  <c r="H5" i="43"/>
  <c r="I4" i="9"/>
  <c r="B11" i="56"/>
  <c r="C20" i="55"/>
  <c r="L15" i="1"/>
  <c r="E10" i="28"/>
  <c r="M11" i="28"/>
  <c r="H8" i="39"/>
  <c r="F8" i="12"/>
  <c r="O12" i="12"/>
  <c r="Q23" i="12"/>
  <c r="H10" i="56"/>
  <c r="V12" i="56"/>
  <c r="E4" i="52"/>
  <c r="D8" i="52"/>
  <c r="D14" i="42"/>
  <c r="H7" i="43"/>
  <c r="T4" i="9"/>
  <c r="M2" i="38"/>
  <c r="C7" i="40"/>
  <c r="G4" i="1"/>
  <c r="E9" i="28"/>
  <c r="C8" i="39"/>
  <c r="H4" i="39"/>
  <c r="F6" i="12"/>
  <c r="E15" i="12"/>
  <c r="R3" i="12"/>
  <c r="N9" i="12"/>
  <c r="R11" i="12"/>
  <c r="S14" i="12"/>
  <c r="S22" i="12"/>
  <c r="J7" i="52"/>
  <c r="C9" i="40"/>
  <c r="H6" i="28"/>
  <c r="M3" i="28"/>
  <c r="B5" i="12"/>
  <c r="S5" i="56"/>
  <c r="F4" i="60"/>
  <c r="E9" i="60"/>
  <c r="C10" i="40"/>
  <c r="C21" i="55"/>
  <c r="C8" i="1"/>
  <c r="I4" i="1"/>
  <c r="G7" i="1"/>
  <c r="H10" i="1"/>
  <c r="G13" i="1"/>
  <c r="K4" i="28"/>
  <c r="C10" i="39"/>
  <c r="H9" i="39"/>
  <c r="G15" i="12"/>
  <c r="K4" i="12"/>
  <c r="O6" i="12"/>
  <c r="P9" i="12"/>
  <c r="Q12" i="12"/>
  <c r="L15" i="12"/>
  <c r="O20" i="12"/>
  <c r="B14" i="56"/>
  <c r="J2" i="47"/>
  <c r="K2" i="5"/>
  <c r="I2" i="18"/>
  <c r="D6" i="42"/>
  <c r="D10" i="42"/>
  <c r="N2" i="38"/>
  <c r="C6" i="39"/>
  <c r="L9" i="12"/>
  <c r="G3" i="52"/>
  <c r="H13" i="42"/>
  <c r="R19" i="12"/>
  <c r="I9" i="1"/>
  <c r="G14" i="12"/>
  <c r="Q11" i="12"/>
  <c r="Q22" i="12"/>
  <c r="J3" i="52"/>
  <c r="N2" i="46"/>
  <c r="K12" i="28"/>
  <c r="B6" i="12"/>
  <c r="G8" i="12"/>
  <c r="C23" i="56"/>
  <c r="I10" i="56"/>
  <c r="T5" i="56"/>
  <c r="S13" i="56"/>
  <c r="F4" i="52"/>
  <c r="E8" i="52"/>
  <c r="D12" i="52"/>
  <c r="E14" i="42"/>
  <c r="U4" i="9"/>
  <c r="P11" i="12"/>
  <c r="I6" i="52"/>
  <c r="C15" i="55"/>
  <c r="G15" i="28"/>
  <c r="C16" i="55"/>
  <c r="M10" i="28"/>
  <c r="B10" i="56"/>
  <c r="C2" i="5"/>
  <c r="I5" i="42"/>
  <c r="C2" i="38"/>
  <c r="J15" i="1"/>
  <c r="H5" i="28"/>
  <c r="I17" i="56"/>
  <c r="I10" i="1"/>
  <c r="D11" i="28"/>
  <c r="G7" i="28"/>
  <c r="K5" i="28"/>
  <c r="G4" i="60"/>
  <c r="F9" i="60"/>
  <c r="C12" i="40"/>
  <c r="D4" i="49"/>
  <c r="C9" i="1"/>
  <c r="J4" i="1"/>
  <c r="I7" i="1"/>
  <c r="H13" i="1"/>
  <c r="C11" i="39"/>
  <c r="H10" i="39"/>
  <c r="E18" i="12"/>
  <c r="L4" i="12"/>
  <c r="Q6" i="12"/>
  <c r="Q9" i="12"/>
  <c r="R12" i="12"/>
  <c r="M15" i="12"/>
  <c r="P20" i="12"/>
  <c r="S23" i="12"/>
  <c r="N2" i="5"/>
  <c r="C3" i="42"/>
  <c r="E6" i="42"/>
  <c r="E10" i="42"/>
  <c r="G12" i="43"/>
  <c r="V4" i="9"/>
  <c r="D8" i="28"/>
  <c r="F14" i="39"/>
  <c r="I9" i="56"/>
  <c r="F19" i="1"/>
  <c r="C13" i="40"/>
  <c r="J7" i="1"/>
  <c r="J10" i="1"/>
  <c r="G19" i="1"/>
  <c r="E11" i="28"/>
  <c r="H7" i="28"/>
  <c r="L5" i="28"/>
  <c r="L12" i="28"/>
  <c r="B7" i="12"/>
  <c r="E9" i="12"/>
  <c r="L7" i="12"/>
  <c r="C26" i="56"/>
  <c r="G12" i="56"/>
  <c r="U5" i="56"/>
  <c r="T13" i="56"/>
  <c r="G4" i="52"/>
  <c r="F8" i="52"/>
  <c r="E12" i="52"/>
  <c r="L2" i="47"/>
  <c r="B9" i="56"/>
  <c r="B2" i="5"/>
  <c r="G3" i="60"/>
  <c r="C6" i="40"/>
  <c r="C5" i="1"/>
  <c r="K6" i="1"/>
  <c r="C7" i="39"/>
  <c r="L3" i="12"/>
  <c r="M9" i="12"/>
  <c r="G6" i="43"/>
  <c r="C17" i="55"/>
  <c r="J9" i="1"/>
  <c r="P3" i="12"/>
  <c r="J9" i="56"/>
  <c r="T12" i="56"/>
  <c r="G8" i="60"/>
  <c r="C11" i="40"/>
  <c r="H7" i="1"/>
  <c r="H4" i="60"/>
  <c r="G9" i="60"/>
  <c r="D5" i="49"/>
  <c r="C10" i="1"/>
  <c r="K4" i="1"/>
  <c r="K7" i="1"/>
  <c r="I13" i="1"/>
  <c r="M5" i="28"/>
  <c r="C13" i="39"/>
  <c r="H11" i="39"/>
  <c r="F18" i="12"/>
  <c r="M4" i="12"/>
  <c r="N7" i="12"/>
  <c r="R9" i="12"/>
  <c r="S12" i="12"/>
  <c r="N15" i="12"/>
  <c r="Q20" i="12"/>
  <c r="C4" i="13"/>
  <c r="F3" i="42"/>
  <c r="F15" i="42"/>
  <c r="W4" i="9"/>
  <c r="G23" i="12"/>
  <c r="N19" i="12"/>
  <c r="F8" i="60"/>
  <c r="K12" i="1"/>
  <c r="I13" i="42"/>
  <c r="K11" i="28"/>
  <c r="B3" i="12"/>
  <c r="L20" i="12"/>
  <c r="C18" i="55"/>
  <c r="L6" i="1"/>
  <c r="K9" i="1"/>
  <c r="H9" i="60"/>
  <c r="C14" i="40"/>
  <c r="L7" i="1"/>
  <c r="K10" i="1"/>
  <c r="H19" i="1"/>
  <c r="D12" i="28"/>
  <c r="G8" i="28"/>
  <c r="M12" i="28"/>
  <c r="C14" i="39"/>
  <c r="B8" i="12"/>
  <c r="F9" i="12"/>
  <c r="J12" i="56"/>
  <c r="S7" i="56"/>
  <c r="U13" i="56"/>
  <c r="H4" i="52"/>
  <c r="G8" i="52"/>
  <c r="F12" i="52"/>
  <c r="M2" i="47"/>
  <c r="B2" i="15"/>
  <c r="F7" i="42"/>
  <c r="F11" i="42"/>
  <c r="G13" i="43"/>
  <c r="E7" i="28"/>
  <c r="P22" i="12"/>
  <c r="M2" i="46"/>
  <c r="D9" i="28"/>
  <c r="G7" i="52"/>
  <c r="F2" i="18"/>
  <c r="I9" i="42"/>
  <c r="H15" i="28"/>
  <c r="H3" i="39"/>
  <c r="E5" i="60"/>
  <c r="E10" i="60"/>
  <c r="C15" i="40"/>
  <c r="D6" i="49"/>
  <c r="C11" i="1"/>
  <c r="L4" i="1"/>
  <c r="J13" i="1"/>
  <c r="I19" i="1"/>
  <c r="K6" i="28"/>
  <c r="F4" i="39"/>
  <c r="H12" i="39"/>
  <c r="E19" i="12"/>
  <c r="N4" i="12"/>
  <c r="O7" i="12"/>
  <c r="S9" i="12"/>
  <c r="K13" i="12"/>
  <c r="P15" i="12"/>
  <c r="R20" i="12"/>
  <c r="C5" i="13"/>
  <c r="H5" i="56"/>
  <c r="X4" i="9"/>
  <c r="V7" i="56"/>
  <c r="S15" i="56"/>
  <c r="I4" i="52"/>
  <c r="H8" i="52"/>
  <c r="G12" i="52"/>
  <c r="N2" i="47"/>
  <c r="C2" i="15"/>
  <c r="H3" i="42"/>
  <c r="H15" i="42"/>
  <c r="H13" i="43"/>
  <c r="C14" i="55"/>
  <c r="I15" i="1"/>
  <c r="F5" i="1"/>
  <c r="L10" i="1"/>
  <c r="G9" i="28"/>
  <c r="B10" i="12"/>
  <c r="G9" i="12"/>
  <c r="K18" i="12"/>
  <c r="C16" i="40"/>
  <c r="C12" i="1"/>
  <c r="G8" i="1"/>
  <c r="K13" i="1"/>
  <c r="H9" i="28"/>
  <c r="L6" i="28"/>
  <c r="H13" i="39"/>
  <c r="S20" i="12"/>
  <c r="C6" i="13"/>
  <c r="I5" i="56"/>
  <c r="H13" i="56"/>
  <c r="H7" i="42"/>
  <c r="H11" i="42"/>
  <c r="Y4" i="9"/>
  <c r="J19" i="1"/>
  <c r="E12" i="28"/>
  <c r="K13" i="28"/>
  <c r="F5" i="60"/>
  <c r="D7" i="49"/>
  <c r="G5" i="1"/>
  <c r="K19" i="1"/>
  <c r="F5" i="39"/>
  <c r="B14" i="12"/>
  <c r="E21" i="12"/>
  <c r="O4" i="12"/>
  <c r="P7" i="12"/>
  <c r="K10" i="12"/>
  <c r="L13" i="12"/>
  <c r="H10" i="60"/>
  <c r="H5" i="1"/>
  <c r="F11" i="1"/>
  <c r="F20" i="1"/>
  <c r="D3" i="28"/>
  <c r="D13" i="28"/>
  <c r="G10" i="28"/>
  <c r="L13" i="28"/>
  <c r="F6" i="39"/>
  <c r="B15" i="12"/>
  <c r="E10" i="12"/>
  <c r="N18" i="12"/>
  <c r="V15" i="56"/>
  <c r="G5" i="52"/>
  <c r="I8" i="52"/>
  <c r="H12" i="52"/>
  <c r="A2" i="7"/>
  <c r="D2" i="15"/>
  <c r="I3" i="42"/>
  <c r="I15" i="42"/>
  <c r="G14" i="43"/>
  <c r="Z4" i="9"/>
  <c r="H5" i="42"/>
  <c r="C4" i="1"/>
  <c r="J12" i="1"/>
  <c r="F10" i="60"/>
  <c r="G5" i="60"/>
  <c r="E3" i="12"/>
  <c r="F21" i="12"/>
  <c r="P4" i="12"/>
  <c r="Q7" i="12"/>
  <c r="M10" i="12"/>
  <c r="M13" i="12"/>
  <c r="L21" i="12"/>
  <c r="C7" i="13"/>
  <c r="J5" i="56"/>
  <c r="I13" i="56"/>
  <c r="T8" i="56"/>
  <c r="I7" i="42"/>
  <c r="I11" i="42"/>
  <c r="J6" i="1"/>
  <c r="F14" i="12"/>
  <c r="Q14" i="12"/>
  <c r="E2" i="18"/>
  <c r="G5" i="28"/>
  <c r="H17" i="56"/>
  <c r="F8" i="1"/>
  <c r="F20" i="12"/>
  <c r="G10" i="60"/>
  <c r="C17" i="40"/>
  <c r="D8" i="49"/>
  <c r="C13" i="1"/>
  <c r="I5" i="1"/>
  <c r="H8" i="1"/>
  <c r="L13" i="1"/>
  <c r="G11" i="28"/>
  <c r="M6" i="28"/>
  <c r="H14" i="39"/>
  <c r="H5" i="60"/>
  <c r="E11" i="60"/>
  <c r="J5" i="1"/>
  <c r="G11" i="1"/>
  <c r="G20" i="1"/>
  <c r="E3" i="28"/>
  <c r="E13" i="28"/>
  <c r="M13" i="28"/>
  <c r="F7" i="39"/>
  <c r="F10" i="12"/>
  <c r="Q10" i="12"/>
  <c r="P21" i="12"/>
  <c r="J5" i="52"/>
  <c r="G9" i="52"/>
  <c r="I12" i="52"/>
  <c r="B2" i="7"/>
  <c r="E2" i="15"/>
  <c r="J3" i="42"/>
  <c r="J15" i="42"/>
  <c r="AA4" i="9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C14" i="42"/>
  <c r="C3" i="43"/>
  <c r="H6" i="43"/>
  <c r="H14" i="43"/>
  <c r="R4" i="12"/>
  <c r="N8" i="12"/>
  <c r="L10" i="12"/>
  <c r="S11" i="12"/>
  <c r="Q13" i="12"/>
  <c r="O15" i="12"/>
  <c r="M19" i="12"/>
  <c r="K21" i="12"/>
  <c r="R22" i="12"/>
  <c r="C9" i="13"/>
  <c r="B13" i="56"/>
  <c r="J6" i="56"/>
  <c r="J10" i="56"/>
  <c r="J14" i="56"/>
  <c r="V5" i="56"/>
  <c r="V9" i="56"/>
  <c r="V13" i="56"/>
  <c r="V17" i="56"/>
  <c r="J4" i="52"/>
  <c r="J6" i="52"/>
  <c r="J8" i="52"/>
  <c r="J10" i="52"/>
  <c r="J12" i="52"/>
  <c r="B2" i="47"/>
  <c r="D2" i="7"/>
  <c r="F2" i="5"/>
  <c r="H2" i="15"/>
  <c r="J2" i="18"/>
  <c r="F4" i="42"/>
  <c r="F6" i="42"/>
  <c r="F8" i="42"/>
  <c r="F10" i="42"/>
  <c r="F12" i="42"/>
  <c r="F14" i="42"/>
  <c r="C6" i="43"/>
  <c r="G8" i="43"/>
  <c r="A13" i="9"/>
  <c r="A12" i="9"/>
  <c r="A11" i="9"/>
  <c r="A10" i="9"/>
  <c r="A9" i="9"/>
  <c r="A8" i="9"/>
  <c r="A7" i="9"/>
  <c r="A6" i="9"/>
  <c r="A5" i="9"/>
  <c r="A4" i="9"/>
  <c r="E6" i="28"/>
  <c r="E14" i="28"/>
  <c r="H8" i="28"/>
  <c r="L3" i="28"/>
  <c r="M8" i="28"/>
  <c r="K14" i="28"/>
  <c r="C12" i="39"/>
  <c r="H2" i="39"/>
  <c r="J5" i="39"/>
  <c r="B9" i="12"/>
  <c r="E6" i="12"/>
  <c r="F11" i="12"/>
  <c r="G18" i="12"/>
  <c r="K3" i="12"/>
  <c r="P6" i="12"/>
  <c r="M4" i="9"/>
  <c r="AC4" i="9"/>
  <c r="E2" i="38"/>
  <c r="G8" i="42"/>
  <c r="G10" i="42"/>
  <c r="G12" i="42"/>
  <c r="G14" i="42"/>
  <c r="C7" i="43"/>
  <c r="H8" i="43"/>
  <c r="G7" i="56"/>
  <c r="G11" i="56"/>
  <c r="G15" i="56"/>
  <c r="S6" i="56"/>
  <c r="S10" i="56"/>
  <c r="S14" i="56"/>
  <c r="C3" i="52"/>
  <c r="C5" i="52"/>
  <c r="C7" i="52"/>
  <c r="C9" i="52"/>
  <c r="C11" i="52"/>
  <c r="A2" i="46"/>
  <c r="C2" i="47"/>
  <c r="E2" i="7"/>
  <c r="G2" i="5"/>
  <c r="I2" i="15"/>
  <c r="K2" i="18"/>
  <c r="G4" i="42"/>
  <c r="G6" i="42"/>
  <c r="N4" i="9"/>
  <c r="AD4" i="9"/>
  <c r="F2" i="38"/>
  <c r="J7" i="39"/>
  <c r="B11" i="12"/>
  <c r="E12" i="12"/>
  <c r="F19" i="12"/>
  <c r="M3" i="12"/>
  <c r="K5" i="12"/>
  <c r="R6" i="12"/>
  <c r="P8" i="12"/>
  <c r="N10" i="12"/>
  <c r="L12" i="12"/>
  <c r="S13" i="12"/>
  <c r="T6" i="56"/>
  <c r="T10" i="56"/>
  <c r="T14" i="56"/>
  <c r="D3" i="52"/>
  <c r="D11" i="52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G6" i="12"/>
  <c r="Q15" i="12"/>
  <c r="O19" i="12"/>
  <c r="M21" i="12"/>
  <c r="K23" i="12"/>
  <c r="C11" i="13"/>
  <c r="B15" i="56"/>
  <c r="H7" i="56"/>
  <c r="H11" i="56"/>
  <c r="H15" i="56"/>
  <c r="D5" i="52"/>
  <c r="D7" i="52"/>
  <c r="D9" i="52"/>
  <c r="O4" i="9"/>
  <c r="AE4" i="9"/>
  <c r="G2" i="38"/>
  <c r="H5" i="39"/>
  <c r="B12" i="12"/>
  <c r="F12" i="12"/>
  <c r="N3" i="12"/>
  <c r="Q8" i="12"/>
  <c r="M12" i="12"/>
  <c r="K14" i="12"/>
  <c r="L23" i="12"/>
  <c r="C12" i="13"/>
  <c r="B16" i="56"/>
  <c r="I7" i="56"/>
  <c r="I11" i="56"/>
  <c r="I15" i="56"/>
  <c r="U10" i="56"/>
  <c r="U14" i="56"/>
  <c r="E3" i="52"/>
  <c r="E5" i="52"/>
  <c r="E7" i="52"/>
  <c r="E9" i="52"/>
  <c r="E11" i="52"/>
  <c r="C2" i="4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L4" i="28"/>
  <c r="M9" i="28"/>
  <c r="K15" i="28"/>
  <c r="F2" i="39"/>
  <c r="J8" i="39"/>
  <c r="E7" i="12"/>
  <c r="G19" i="12"/>
  <c r="L5" i="12"/>
  <c r="S6" i="12"/>
  <c r="O10" i="12"/>
  <c r="R15" i="12"/>
  <c r="P19" i="12"/>
  <c r="N21" i="12"/>
  <c r="U6" i="56"/>
  <c r="P4" i="9"/>
  <c r="AF4" i="9"/>
  <c r="H2" i="38"/>
  <c r="J9" i="39"/>
  <c r="F7" i="12"/>
  <c r="G12" i="12"/>
  <c r="O21" i="12"/>
  <c r="C13" i="13"/>
  <c r="B17" i="56"/>
  <c r="J11" i="56"/>
  <c r="J15" i="56"/>
  <c r="V6" i="56"/>
  <c r="V10" i="56"/>
  <c r="V14" i="56"/>
  <c r="F3" i="52"/>
  <c r="F5" i="52"/>
  <c r="F7" i="52"/>
  <c r="F9" i="52"/>
  <c r="F11" i="52"/>
  <c r="D2" i="46"/>
  <c r="F2" i="47"/>
  <c r="H2" i="7"/>
  <c r="J2" i="5"/>
  <c r="L2" i="15"/>
  <c r="N2" i="18"/>
  <c r="J4" i="42"/>
  <c r="J6" i="42"/>
  <c r="J8" i="42"/>
  <c r="J10" i="42"/>
  <c r="J12" i="42"/>
  <c r="J14" i="42"/>
  <c r="C10" i="43"/>
  <c r="G10" i="43"/>
  <c r="F10" i="1"/>
  <c r="H12" i="1"/>
  <c r="J14" i="1"/>
  <c r="L19" i="1"/>
  <c r="E8" i="28"/>
  <c r="E18" i="28"/>
  <c r="H10" i="28"/>
  <c r="M4" i="28"/>
  <c r="K10" i="28"/>
  <c r="L15" i="28"/>
  <c r="F3" i="39"/>
  <c r="H6" i="39"/>
  <c r="B13" i="12"/>
  <c r="E20" i="12"/>
  <c r="O3" i="12"/>
  <c r="M5" i="12"/>
  <c r="K7" i="12"/>
  <c r="R8" i="12"/>
  <c r="P10" i="12"/>
  <c r="N12" i="12"/>
  <c r="L14" i="12"/>
  <c r="S15" i="12"/>
  <c r="Q19" i="12"/>
  <c r="M23" i="12"/>
  <c r="J7" i="56"/>
  <c r="Q4" i="9"/>
  <c r="AG4" i="9"/>
  <c r="I2" i="38"/>
  <c r="C7" i="42"/>
  <c r="C9" i="42"/>
  <c r="C11" i="42"/>
  <c r="C13" i="42"/>
  <c r="C15" i="42"/>
  <c r="C11" i="43"/>
  <c r="H10" i="43"/>
  <c r="B4" i="9"/>
  <c r="R4" i="9"/>
  <c r="AH4" i="9"/>
  <c r="J2" i="38"/>
  <c r="O5" i="12"/>
  <c r="K9" i="12"/>
  <c r="P12" i="12"/>
  <c r="T15" i="56"/>
  <c r="H3" i="52"/>
  <c r="H5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G20" i="12"/>
  <c r="Q3" i="12"/>
  <c r="M7" i="12"/>
  <c r="R10" i="12"/>
  <c r="N14" i="12"/>
  <c r="L18" i="12"/>
  <c r="S19" i="12"/>
  <c r="Q21" i="12"/>
  <c r="O23" i="12"/>
  <c r="C15" i="13"/>
  <c r="C24" i="56"/>
  <c r="H8" i="56"/>
  <c r="H12" i="56"/>
  <c r="H16" i="56"/>
  <c r="T7" i="56"/>
  <c r="T11" i="56"/>
  <c r="H7" i="52"/>
  <c r="C4" i="9"/>
  <c r="S4" i="9"/>
  <c r="AI4" i="9"/>
  <c r="K2" i="38"/>
  <c r="M18" i="12"/>
  <c r="K20" i="12"/>
  <c r="R21" i="12"/>
  <c r="P23" i="12"/>
  <c r="C16" i="13"/>
  <c r="C25" i="56"/>
  <c r="I8" i="56"/>
  <c r="I12" i="56"/>
  <c r="I16" i="56"/>
  <c r="U7" i="56"/>
  <c r="U11" i="56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Y2" i="12"/>
  <c r="F24" i="8"/>
  <c r="E24" i="8"/>
  <c r="K19" i="48" a="1"/>
  <c r="K20" i="48" a="1"/>
  <c r="K4" i="48" a="1"/>
  <c r="K5" i="48" a="1"/>
  <c r="K6" i="48" a="1"/>
  <c r="K7" i="48" a="1"/>
  <c r="K8" i="48" a="1"/>
  <c r="K9" i="48" a="1"/>
  <c r="K10" i="48" a="1"/>
  <c r="K11" i="48" a="1"/>
  <c r="K12" i="48" a="1"/>
  <c r="K13" i="48" a="1"/>
  <c r="K14" i="48" a="1"/>
  <c r="K15" i="48" a="1"/>
  <c r="K16" i="48" a="1"/>
  <c r="H19" i="48" a="1"/>
  <c r="H20" i="48" a="1"/>
  <c r="H4" i="48" a="1"/>
  <c r="H5" i="48" a="1"/>
  <c r="H6" i="48" a="1"/>
  <c r="H7" i="48" a="1"/>
  <c r="H8" i="48" a="1"/>
  <c r="H9" i="48" a="1"/>
  <c r="H10" i="48" a="1"/>
  <c r="H11" i="48" a="1"/>
  <c r="H12" i="48" a="1"/>
  <c r="H13" i="48" a="1"/>
  <c r="H14" i="48" a="1"/>
  <c r="H15" i="48" a="1"/>
  <c r="H16" i="48" a="1"/>
  <c r="L19" i="48" a="1"/>
  <c r="L20" i="48" a="1"/>
  <c r="L4" i="48" a="1"/>
  <c r="L5" i="48" a="1"/>
  <c r="L6" i="48" a="1"/>
  <c r="L7" i="48" a="1"/>
  <c r="L8" i="48" a="1"/>
  <c r="L9" i="48" a="1"/>
  <c r="L10" i="48" a="1"/>
  <c r="L11" i="48" a="1"/>
  <c r="L12" i="48" a="1"/>
  <c r="L13" i="48" a="1"/>
  <c r="L14" i="48" a="1"/>
  <c r="L15" i="48" a="1"/>
  <c r="L16" i="48" a="1"/>
  <c r="L16" i="48" l="1"/>
  <c r="L15" i="48"/>
  <c r="L14" i="48"/>
  <c r="L13" i="48"/>
  <c r="L12" i="48"/>
  <c r="L11" i="48"/>
  <c r="L10" i="48"/>
  <c r="L9" i="48"/>
  <c r="L8" i="48"/>
  <c r="L7" i="48"/>
  <c r="L6" i="48"/>
  <c r="L5" i="48"/>
  <c r="L4" i="48"/>
  <c r="L20" i="48"/>
  <c r="L19" i="48"/>
  <c r="H16" i="48"/>
  <c r="H15" i="48"/>
  <c r="H14" i="48"/>
  <c r="H13" i="48"/>
  <c r="H12" i="48"/>
  <c r="H11" i="48"/>
  <c r="H10" i="48"/>
  <c r="H9" i="48"/>
  <c r="H8" i="48"/>
  <c r="H7" i="48"/>
  <c r="H6" i="48"/>
  <c r="H5" i="48"/>
  <c r="H4" i="48"/>
  <c r="H20" i="48"/>
  <c r="H19" i="48"/>
  <c r="K16" i="48"/>
  <c r="K15" i="48"/>
  <c r="K14" i="48"/>
  <c r="K13" i="48"/>
  <c r="K12" i="48"/>
  <c r="K11" i="48"/>
  <c r="K10" i="48"/>
  <c r="K9" i="48"/>
  <c r="K8" i="48"/>
  <c r="K7" i="48"/>
  <c r="K6" i="48"/>
  <c r="K5" i="48"/>
  <c r="K4" i="48"/>
  <c r="K20" i="48"/>
  <c r="K19" i="48"/>
  <c r="Y15" i="12" a="1"/>
  <c r="Y15" i="12" s="1"/>
  <c r="Y12" i="12" a="1"/>
  <c r="Y12" i="12" s="1"/>
  <c r="Y10" i="12" a="1"/>
  <c r="Y10" i="12" s="1"/>
  <c r="Y13" i="12" a="1"/>
  <c r="Y13" i="12" s="1"/>
  <c r="Y11" i="12" a="1"/>
  <c r="Y11" i="12" s="1"/>
  <c r="AG2" i="12"/>
  <c r="AF2" i="12"/>
  <c r="AE2" i="12"/>
  <c r="Y4" i="12" l="1" a="1"/>
  <c r="Y4" i="12" s="1"/>
  <c r="Y7" i="12" a="1"/>
  <c r="Y7" i="12" s="1"/>
  <c r="Y9" i="12" a="1"/>
  <c r="Y9" i="12" s="1"/>
  <c r="Y5" i="12" a="1"/>
  <c r="Y5" i="12" s="1"/>
  <c r="Y8" i="12" a="1"/>
  <c r="Y8" i="12" s="1"/>
  <c r="Y6" i="12" a="1"/>
  <c r="Y6" i="12" s="1"/>
  <c r="Y3" i="12" a="1"/>
  <c r="Y3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G2" i="48" l="1"/>
  <c r="G1" i="48"/>
  <c r="I3" i="48" a="1"/>
  <c r="I18" i="48" a="1"/>
  <c r="M3" i="48" a="1"/>
  <c r="M18" i="48" a="1"/>
  <c r="N3" i="48" a="1"/>
  <c r="N18" i="48" a="1"/>
  <c r="N18" i="48" l="1"/>
  <c r="N3" i="48"/>
  <c r="M18" i="48"/>
  <c r="M3" i="48"/>
  <c r="I18" i="48"/>
  <c r="I3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M19" i="48" a="1"/>
  <c r="M20" i="48" a="1"/>
  <c r="M4" i="48" a="1"/>
  <c r="M5" i="48" a="1"/>
  <c r="M6" i="48" a="1"/>
  <c r="M7" i="48" a="1"/>
  <c r="M8" i="48" a="1"/>
  <c r="M9" i="48" a="1"/>
  <c r="M10" i="48" a="1"/>
  <c r="M11" i="48" a="1"/>
  <c r="M12" i="48" a="1"/>
  <c r="M13" i="48" a="1"/>
  <c r="M14" i="48" a="1"/>
  <c r="M15" i="48" a="1"/>
  <c r="M16" i="48" a="1"/>
  <c r="I19" i="48" a="1"/>
  <c r="I20" i="48" a="1"/>
  <c r="I4" i="48" a="1"/>
  <c r="I5" i="48" a="1"/>
  <c r="I6" i="48" a="1"/>
  <c r="I7" i="48" a="1"/>
  <c r="I8" i="48" a="1"/>
  <c r="I9" i="48" a="1"/>
  <c r="I10" i="48" a="1"/>
  <c r="I11" i="48" a="1"/>
  <c r="I12" i="48" a="1"/>
  <c r="I13" i="48" a="1"/>
  <c r="I14" i="48" a="1"/>
  <c r="I15" i="48" a="1"/>
  <c r="I16" i="48" a="1"/>
  <c r="N19" i="48" a="1"/>
  <c r="N20" i="48" a="1"/>
  <c r="N20" i="48" l="1"/>
  <c r="N19" i="48"/>
  <c r="I16" i="48"/>
  <c r="I15" i="48"/>
  <c r="I14" i="48"/>
  <c r="I13" i="48"/>
  <c r="I12" i="48"/>
  <c r="I11" i="48"/>
  <c r="I10" i="48"/>
  <c r="I9" i="48"/>
  <c r="I8" i="48"/>
  <c r="I7" i="48"/>
  <c r="I6" i="48"/>
  <c r="I5" i="48"/>
  <c r="I4" i="48"/>
  <c r="I20" i="48"/>
  <c r="I19" i="48"/>
  <c r="J19" i="48" s="1"/>
  <c r="M16" i="48"/>
  <c r="M15" i="48"/>
  <c r="M14" i="48"/>
  <c r="M13" i="48"/>
  <c r="M12" i="48"/>
  <c r="M11" i="48"/>
  <c r="M10" i="48"/>
  <c r="M9" i="48"/>
  <c r="M8" i="48"/>
  <c r="M7" i="48"/>
  <c r="M6" i="48"/>
  <c r="M5" i="48"/>
  <c r="M4" i="48"/>
  <c r="M20" i="48"/>
  <c r="M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J20" i="48" l="1"/>
  <c r="O6" i="28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P14" i="56" s="1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J15" i="48" l="1"/>
  <c r="J13" i="48"/>
  <c r="J11" i="48"/>
  <c r="J9" i="48"/>
  <c r="J8" i="48"/>
  <c r="J7" i="48"/>
  <c r="J5" i="48"/>
  <c r="J4" i="48"/>
  <c r="J14" i="48"/>
  <c r="J12" i="48"/>
  <c r="J10" i="48"/>
  <c r="J6" i="48"/>
  <c r="O20" i="48"/>
  <c r="O19" i="48"/>
  <c r="O10" i="48" s="1"/>
  <c r="J16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O6" i="48" l="1"/>
  <c r="O8" i="48"/>
  <c r="O9" i="48"/>
  <c r="O15" i="48"/>
  <c r="O11" i="48"/>
  <c r="O7" i="48"/>
  <c r="O12" i="48"/>
  <c r="O13" i="48"/>
  <c r="O14" i="48"/>
  <c r="O16" i="48"/>
  <c r="O4" i="48"/>
  <c r="O5" i="48"/>
  <c r="L22" i="56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P5" i="48" l="1" a="1"/>
  <c r="P5" i="48" s="1"/>
  <c r="AF4" i="12" s="1"/>
  <c r="P8" i="48" a="1"/>
  <c r="P8" i="48" s="1"/>
  <c r="AF7" i="12" s="1"/>
  <c r="P13" i="48" a="1"/>
  <c r="P13" i="48" s="1"/>
  <c r="AF12" i="12" s="1"/>
  <c r="P16" i="48" a="1"/>
  <c r="P16" i="48" s="1"/>
  <c r="AF15" i="12" s="1"/>
  <c r="P12" i="48" a="1"/>
  <c r="P12" i="48" s="1"/>
  <c r="AF11" i="12" s="1"/>
  <c r="P7" i="48" a="1"/>
  <c r="P7" i="48" s="1"/>
  <c r="AF6" i="12" s="1"/>
  <c r="P15" i="48" a="1"/>
  <c r="P15" i="48" s="1"/>
  <c r="AF14" i="12" s="1"/>
  <c r="P6" i="48" a="1"/>
  <c r="P6" i="48" s="1"/>
  <c r="AF5" i="12" s="1"/>
  <c r="P11" i="48" a="1"/>
  <c r="P11" i="48" s="1"/>
  <c r="AF10" i="12" s="1"/>
  <c r="P14" i="48" a="1"/>
  <c r="P14" i="48" s="1"/>
  <c r="AF13" i="12" s="1"/>
  <c r="P9" i="48" a="1"/>
  <c r="P9" i="48" s="1"/>
  <c r="AF8" i="12" s="1"/>
  <c r="P4" i="48" a="1"/>
  <c r="P4" i="48" s="1"/>
  <c r="AF3" i="12" s="1"/>
  <c r="P10" i="48" a="1"/>
  <c r="P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3" i="1" l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Q5" i="48" a="1"/>
  <c r="Q5" i="48" s="1"/>
  <c r="AG4" i="12" s="1"/>
  <c r="Q7" i="48" a="1"/>
  <c r="Q7" i="48" s="1"/>
  <c r="AG6" i="12" s="1"/>
  <c r="Q9" i="48" a="1"/>
  <c r="Q9" i="48" s="1"/>
  <c r="AG8" i="12" s="1"/>
  <c r="Q11" i="48" a="1"/>
  <c r="Q11" i="48" s="1"/>
  <c r="AG10" i="12" s="1"/>
  <c r="Q13" i="48" a="1"/>
  <c r="Q13" i="48" s="1"/>
  <c r="AG12" i="12" s="1"/>
  <c r="Q8" i="48" a="1"/>
  <c r="Q8" i="48" s="1"/>
  <c r="AG7" i="12" s="1"/>
  <c r="Q10" i="48" a="1"/>
  <c r="Q10" i="48" s="1"/>
  <c r="AG9" i="12" s="1"/>
  <c r="Q14" i="48" a="1"/>
  <c r="Q14" i="48" s="1"/>
  <c r="AG13" i="12" s="1"/>
  <c r="Q16" i="48" a="1"/>
  <c r="Q16" i="48" s="1"/>
  <c r="AG15" i="12" s="1"/>
  <c r="Q6" i="48" a="1"/>
  <c r="Q6" i="48" s="1"/>
  <c r="AG5" i="12" s="1"/>
  <c r="Q12" i="48" a="1"/>
  <c r="Q12" i="48" s="1"/>
  <c r="AG11" i="12" s="1"/>
  <c r="Q15" i="48" a="1"/>
  <c r="Q15" i="48" s="1"/>
  <c r="AG14" i="12" s="1"/>
  <c r="Q4" i="48" a="1"/>
  <c r="Q4" i="48" s="1"/>
  <c r="AG3" i="12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R15" i="48" l="1"/>
  <c r="R16" i="48"/>
  <c r="R12" i="48"/>
  <c r="R11" i="48"/>
  <c r="R6" i="48"/>
  <c r="R5" i="48"/>
  <c r="R14" i="48"/>
  <c r="R9" i="48"/>
  <c r="R8" i="48"/>
  <c r="R13" i="48"/>
  <c r="R10" i="48"/>
  <c r="R7" i="48"/>
  <c r="R4" i="48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S6" i="48" l="1" a="1"/>
  <c r="S6" i="48" s="1"/>
  <c r="S4" i="48" a="1"/>
  <c r="S4" i="48" s="1"/>
  <c r="S9" i="48" a="1"/>
  <c r="S9" i="48" s="1"/>
  <c r="S5" i="48" a="1"/>
  <c r="S5" i="48" s="1"/>
  <c r="S12" i="48" a="1"/>
  <c r="S12" i="48" s="1"/>
  <c r="S11" i="48" a="1"/>
  <c r="S11" i="48" s="1"/>
  <c r="S14" i="48" a="1"/>
  <c r="S14" i="48" s="1"/>
  <c r="S10" i="48" a="1"/>
  <c r="S10" i="48" s="1"/>
  <c r="S15" i="48" a="1"/>
  <c r="S15" i="48" s="1"/>
  <c r="S7" i="48" a="1"/>
  <c r="S7" i="48" s="1"/>
  <c r="S8" i="48" a="1"/>
  <c r="S8" i="48" s="1"/>
  <c r="S13" i="48" a="1"/>
  <c r="S13" i="48" s="1"/>
  <c r="S16" i="48" a="1"/>
  <c r="S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AH2" i="12" l="1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F13" i="55" l="1"/>
  <c r="J13" i="55" s="1"/>
  <c r="F17" i="55"/>
  <c r="J17" i="55" s="1"/>
  <c r="M7" i="40"/>
  <c r="J14" i="49"/>
  <c r="J10" i="49"/>
  <c r="F11" i="55"/>
  <c r="J11" i="55" s="1"/>
  <c r="M16" i="40"/>
  <c r="J7" i="49"/>
  <c r="M15" i="40"/>
  <c r="F21" i="55"/>
  <c r="J21" i="55" s="1"/>
  <c r="J16" i="49"/>
  <c r="J13" i="49"/>
  <c r="M11" i="40"/>
  <c r="J9" i="49"/>
  <c r="F14" i="55"/>
  <c r="J14" i="55" s="1"/>
  <c r="J4" i="49"/>
  <c r="N10" i="40" l="1" a="1"/>
  <c r="N10" i="40" s="1"/>
  <c r="L8" i="49" s="1"/>
  <c r="N12" i="40" a="1"/>
  <c r="N12" i="40" s="1"/>
  <c r="L10" i="49" s="1"/>
  <c r="N6" i="40" a="1"/>
  <c r="N6" i="40" s="1"/>
  <c r="L4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9" i="55"/>
  <c r="R19" i="55" s="1"/>
  <c r="K13" i="55"/>
  <c r="R13" i="55" s="1"/>
  <c r="K17" i="55"/>
  <c r="R17" i="55" s="1"/>
  <c r="K21" i="55"/>
  <c r="R21" i="55" s="1"/>
  <c r="K12" i="55"/>
  <c r="R12" i="55" s="1"/>
  <c r="K15" i="55"/>
  <c r="R15" i="55" s="1"/>
  <c r="K11" i="55"/>
  <c r="R11" i="55" s="1"/>
  <c r="K18" i="55"/>
  <c r="R18" i="55" s="1"/>
  <c r="K9" i="55"/>
  <c r="R9" i="55" s="1"/>
  <c r="S18" i="55" l="1"/>
  <c r="S15" i="55"/>
  <c r="S12" i="55"/>
  <c r="S11" i="55"/>
  <c r="S17" i="55"/>
  <c r="S13" i="55"/>
  <c r="S16" i="55"/>
  <c r="S20" i="55"/>
  <c r="S10" i="55"/>
  <c r="S21" i="55"/>
  <c r="S19" i="55"/>
  <c r="S14" i="55"/>
  <c r="R3" i="55"/>
  <c r="S9" i="55"/>
  <c r="S3" i="55" l="1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920E6E88-FCA8-4DF7-906D-631680C3A3F7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Timestamp="1712316842"&gt;&lt;FQL&gt;&lt;Q&gt;FC0000ZA^FG_MCAP_IDX(0,,,USD)&lt;/Q&gt;&lt;R&gt;1&lt;/R&gt;&lt;C&gt;1&lt;/C&gt;&lt;D xsi:type="xsd:double"&gt;303383.9&lt;/D&gt;&lt;/FQL&gt;&lt;FQL&gt;&lt;Q&gt;EWI^FREF_MARKET_VALUE_COMPANY(0,,,USD,,0,,"LEGACY")&lt;/Q&gt;&lt;R&gt;1&lt;/R&gt;&lt;C&gt;1&lt;/C&gt;&lt;D xsi:type="xsd:double"&gt;419.7045&lt;/D&gt;&lt;/FQL&gt;&lt;FQL&gt;&lt;Q&gt;FC0000IT^FMA_MCAP(0,,,USD,"PORTAGG")&lt;/Q&gt;&lt;R&gt;1&lt;/R&gt;&lt;C&gt;1&lt;/C&gt;&lt;D xsi:type="xsd:double"&gt;894254.8&lt;/D&gt;&lt;/FQL&gt;&lt;FQL&gt;&lt;Q&gt;EWD^FREF_MARKET_VALUE_COMPANY(0,,,USD,,0,,"LEGACY")&lt;/Q&gt;&lt;R&gt;1&lt;/R&gt;&lt;C&gt;1&lt;/C&gt;&lt;D xsi:type="xsd:double"&gt;280.731&lt;/D&gt;&lt;/FQL&gt;&lt;FQL&gt;&lt;Q&gt;FC0000SE^FMA_MCAP(0,,,USD,"PORTAGG")&lt;/Q&gt;&lt;R&gt;1&lt;/R&gt;&lt;C&gt;1&lt;/C&gt;&lt;D xsi:type="xsd:double"&gt;1048298.5&lt;/D&gt;&lt;/FQL&gt;&lt;FQL&gt;&lt;Q&gt;EWN^FREF_MARKET_VALUE_COMPANY(0,,,USD,,0,,"LEGACY")&lt;/Q&gt;&lt;R&gt;1&lt;/R&gt;&lt;C&gt;1&lt;/C&gt;&lt;D xsi:type="xsd:double"&gt;277.98&lt;/D&gt;&lt;/FQL&gt;&lt;FQL&gt;&lt;Q&gt;FC0000NL^FMA_MCAP(0,,,USD,"PORTAGG")&lt;/Q&gt;&lt;R&gt;1&lt;/R&gt;&lt;C&gt;1&lt;/C&gt;&lt;D xsi:type="xsd:double"&gt;1152263.1&lt;/D&gt;&lt;/FQL&gt;&lt;FQL&gt;&lt;Q&gt;FC0000FR^FMA_MCAP(0,,,USD,"PORTAGG")&lt;/Q&gt;&lt;R&gt;1&lt;/R&gt;&lt;C&gt;1&lt;/C&gt;&lt;D xsi:type="xsd:double"&gt;3436206.5&lt;/D&gt;&lt;/FQL&gt;&lt;FQL&gt;&lt;Q&gt;SPY^FREF_MARKET_VALUE_COMPANY(0,,,USD,,0,,"LEGACY")&lt;/Q&gt;&lt;R&gt;1&lt;/R&gt;&lt;C&gt;1&lt;/C&gt;&lt;D xsi:type="xsd:double"&gt;524374.009547&lt;/D&gt;&lt;/FQL&gt;&lt;FQL&gt;&lt;Q&gt;FC0000US^FMA_MCAP(0,,,USD,"PORTAGG")&lt;/Q&gt;&lt;R&gt;1&lt;/R&gt;&lt;C&gt;1&lt;/C&gt;&lt;D xsi:type="xsd:double"&gt;53909212&lt;/D&gt;&lt;/FQL&gt;&lt;FQL&gt;&lt;Q&gt;QQQ^FREF_MARKET_VALUE_COMPANY(0,,,USD,,0,,"LEGACY")&lt;/Q&gt;&lt;R&gt;1&lt;/R&gt;&lt;C&gt;1&lt;/C&gt;&lt;D xsi:type="xsd:double"&gt;254434.463&lt;/D&gt;&lt;/FQL&gt;&lt;FQL&gt;&lt;Q&gt;EWU^FREF_MARKET_VALUE_COMPANY(0,,,USD,,0,,"LEGACY")&lt;/Q&gt;&lt;R&gt;1&lt;/R&gt;&lt;C&gt;1&lt;/C&gt;&lt;D xsi:type="xsd:double"&gt;2582.877&lt;/D&gt;&lt;/FQL&gt;&lt;FQL&gt;&lt;Q&gt;NQG00809^FMA_MCAP(0,,,USD,"PORTAGG")&lt;/Q&gt;&lt;R&gt;0&lt;/R&gt;&lt;C&gt;0&lt;/C&gt;&lt;/FQL&gt;&lt;FQL&gt;&lt;Q&gt;EWQ^FREF_MARKET_VALUE_COMPANY(0,,,USD,,0,,"LEGACY")&lt;/Q&gt;&lt;R&gt;1&lt;/R&gt;&lt;C&gt;1&lt;/C&gt;&lt;D xsi:type="xsd:double"&gt;668.464&lt;/D&gt;&lt;/FQL&gt;&lt;FQL&gt;&lt;Q&gt;FC0000GB^FMA_MCAP(0,,,USD,"PORTAGG")&lt;/Q&gt;&lt;R&gt;1&lt;/R&gt;&lt;C&gt;1&lt;/C&gt;&lt;D xsi:type="xsd:double"&gt;3158312.5&lt;/D&gt;&lt;/FQL&gt;&lt;FQL&gt;&lt;Q&gt;EWL^FREF_MARKET_VALUE_COMPANY(0,,,USD,,0,,"LEGACY")&lt;/Q&gt;&lt;R&gt;1&lt;/R&gt;&lt;C&gt;1&lt;/C&gt;&lt;D xsi:type="xsd:double"&gt;1083.86875&lt;/D&gt;&lt;/FQL&gt;&lt;FQL&gt;&lt;Q&gt;FC0000CH^FMA_MCAP(0,,,USD,"PORTAGG")&lt;/Q&gt;&lt;R&gt;1&lt;/R&gt;&lt;C&gt;1&lt;/C&gt;&lt;D xsi:type="xsd:double"&gt;2110690&lt;/D&gt;&lt;/FQL&gt;&lt;FQL&gt;&lt;Q&gt;EWJ^FREF_MARKET_VALUE_COMPANY(0,,,USD,,0,,"LEGACY")&lt;/Q&gt;&lt;R&gt;1&lt;/R&gt;&lt;C&gt;1&lt;/C&gt;&lt;D xsi:type="xsd:double"&gt;17044.7655&lt;/D&gt;&lt;/FQL&gt;&lt;FQL&gt;&lt;Q&gt;FC0000JP^FMA_MCAP(0,,,USD,"PORTAGG")&lt;/Q&gt;&lt;R&gt;1&lt;/R&gt;&lt;C&gt;1&lt;/C&gt;&lt;D xsi:type="xsd:double"&gt;6647382&lt;/D&gt;&lt;/FQL&gt;&lt;FQL&gt;&lt;Q&gt;EWG^FREF_MARKET_VALUE_COMPANY(0,,,USD,,0,,"LEGACY")&lt;/Q&gt;&lt;R&gt;1&lt;/R&gt;&lt;C&gt;1&lt;/C&gt;&lt;D xsi:type="xsd:double"&gt;997.566&lt;/D&gt;&lt;/FQL&gt;&lt;FQL&gt;&lt;Q&gt;FC0000DE^FMA_MCAP(0,,,USD,"PORTAGG")&lt;/Q&gt;&lt;R&gt;1&lt;/R&gt;&lt;C&gt;1&lt;/C&gt;&lt;D xsi:type="xsd:double"&gt;2351418.3&lt;/D&gt;&lt;/FQL&gt;&lt;FQL&gt;&lt;Q&gt;EWC^FREF_MARKET_VALUE_COMPANY(0,,,USD,,0,,"LEGACY")&lt;/Q&gt;&lt;R&gt;1&lt;/R&gt;&lt;C&gt;1&lt;/C&gt;&lt;D xsi:type="xsd:double"&gt;2829.432&lt;/D&gt;&lt;/FQL&gt;&lt;FQL&gt;&lt;Q&gt;FC0000CA^FMA_MCAP(0,,,USD,"PORTAGG")&lt;/Q&gt;&lt;R&gt;1&lt;/R&gt;&lt;C&gt;1&lt;/C&gt;&lt;D xsi:type="xsd:double"&gt;2745289&lt;/D&gt;&lt;/FQL&gt;&lt;FQL&gt;&lt;Q&gt;EWA^FREF_MARKET_VALUE_COMPANY(0,,,USD,,0,,"LEGACY")&lt;/Q&gt;&lt;R&gt;1&lt;/R&gt;&lt;C&gt;1&lt;/C&gt;&lt;D xsi:type="xsd:double"&gt;1851.794&lt;/D&gt;&lt;/FQL&gt;&lt;FQL&gt;&lt;Q&gt;FC0000AU^FMA_MCAP(0,,,USD,"PORTAGG")&lt;/Q&gt;&lt;R&gt;1&lt;/R&gt;&lt;C&gt;1&lt;/C&gt;&lt;D xsi:type="xsd:double"&gt;1697173.9&lt;/D&gt;&lt;/FQL&gt;&lt;FQL&gt;&lt;Q&gt;ENZL^FREF_MARKET_VALUE_COMPANY(0,,,USD,,0,,"LEGACY")&lt;/Q&gt;&lt;R&gt;1&lt;/R&gt;&lt;C&gt;1&lt;/C&gt;&lt;D xsi:type="xsd:double"&gt;88.32018&lt;/D&gt;&lt;/FQL&gt;&lt;FQL&gt;&lt;Q&gt;FC0000NZ^FMA_MCAP(0,,,USD,"PORTAGG")&lt;/Q&gt;&lt;R&gt;1&lt;/R&gt;&lt;C&gt;1&lt;/C&gt;&lt;D xsi:type="xsd:double"&gt;92688.42&lt;/D&gt;&lt;/FQL&gt;&lt;FQL&gt;&lt;Q&gt;NQG00809^FG_COMPANY_NAME&lt;/Q&gt;&lt;R&gt;1&lt;/R&gt;&lt;C&gt;1&lt;/C&gt;&lt;D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Africa&lt;/D&gt;&lt;/FQL&gt;&lt;FQL&gt;&lt;Q&gt;CAGDPY@US^EE_ACTUAL_ANNUAL(MED,+1)&lt;/Q&gt;&lt;R&gt;1&lt;/R&gt;&lt;C&gt;1&lt;/C&gt;&lt;D xsi:type="xsd:double"&gt;-3&lt;/D&gt;&lt;/FQL&gt;&lt;FQL&gt;&lt;Q&gt;CAGDPY@NZ^EE_ACTUAL_ANNUAL(MED,+1)&lt;/Q&gt;&lt;R&gt;1&lt;/R&gt;&lt;C&gt;1&lt;/C&gt;&lt;D xsi:type="xsd:double"&gt;-6.25&lt;/D&gt;&lt;/FQL&gt;&lt;FQL&gt;&lt;Q&gt;USDITL^FG_PRICE_CHANGE(0,-1AY)&lt;/Q&gt;&lt;R&gt;1&lt;/R&gt;&lt;C&gt;1&lt;/C&gt;&lt;D xsi:type="xsd:double"&gt;0.93393326&lt;/D&gt;&lt;/FQL&gt;&lt;FQL&gt;&lt;Q&gt;USDANG^FG_PRICE_CHANGE(0,-1AY)&lt;/Q&gt;&lt;R&gt;1&lt;/R&gt;&lt;C&gt;1&lt;/C&gt;&lt;D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xsi:type="xsd:double"&gt;-1.2037694&lt;/D&gt;&lt;/FQL&gt;&lt;FQL&gt;&lt;Q&gt;USDJPY^FG_PRICE_CHANGE(0,-1AY)&lt;/Q&gt;&lt;R&gt;1&lt;/R&gt;&lt;C&gt;1&lt;/C&gt;&lt;D xsi:type="xsd:double"&gt;15.058983&lt;/D&gt;&lt;/FQL&gt;&lt;FQL&gt;&lt;Q&gt;USDCAD^FG_PRICE_CHANGE(0,-1AY)&lt;/Q&gt;&lt;R&gt;1&lt;/R&gt;&lt;C&gt;1&lt;/C&gt;&lt;D xsi:type="xsd:double"&gt;0.3870368&lt;/D&gt;&lt;/FQL&gt;&lt;FQL&gt;&lt;Q&gt;USDNZD^FG_PRICE_CHANGE(0,-1AY)&lt;/Q&gt;&lt;R&gt;1&lt;/R&gt;&lt;C&gt;1&lt;/C&gt;&lt;D xsi:type="xsd:double"&gt;4.461181&lt;/D&gt;&lt;/FQL&gt;&lt;FQL&gt;&lt;Q&gt;EWA^JULIAN(FMA_EPS(NTMA,-20AY,0,CY,,"PORTAGG","MEANR").DATES)&lt;/Q&gt;&lt;R&gt;20&lt;/R&gt;&lt;C&gt;1&lt;/C&gt;&lt;D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xsi:type="xsd:double"&gt;-0.027632713&lt;/D&gt;&lt;D xsi:type="xsd:double"&gt;1.6026616&lt;/D&gt;&lt;D xsi:type="xsd:double"&gt;0.7614851&lt;/D&gt;&lt;D xsi:type="xsd:double"&gt;-1.7177105&lt;/D&gt;&lt;D xsi:type="xsd:double"&gt;-3.9830506&lt;/D&gt;&lt;D xsi:type="xsd:double"&gt;-0.5001545&lt;/D&gt;&lt;D xsi:type="xsd:double"&gt;-4.790062&lt;/D&gt;&lt;D xsi:type="xsd:double"&gt;1.3354063&lt;/D&gt;&lt;D xsi:type="xsd:double"&gt;1.7468572&lt;/D&gt;&lt;D xsi:type="xsd:double"&gt;-4.5451283&lt;/D&gt;&lt;D xsi:type="xsd:double"&gt;3.0832887&lt;/D&gt;&lt;D xsi:type="xsd:double"&gt;5.7971&lt;/D&gt;&lt;D xsi:type="xsd:double"&gt;-1.6321838&lt;/D&gt;&lt;D xsi:type="xsd:double"&gt;1.2148142&lt;/D&gt;&lt;D xsi:type="xsd:double"&gt;1.0831356&lt;/D&gt;&lt;D xsi:type="xsd:double"&gt;-4.99568&lt;/D&gt;&lt;D xsi:type="xsd:double"&gt;-0.12622476&lt;/D&gt;&lt;D xsi:type="xsd:double"&gt;-6.5402803&lt;/D&gt;&lt;D xsi:type="xsd:double"&gt;-0.5409062&lt;/D&gt;&lt;D xsi:type="xsd:double"&gt;3.5350084&lt;/D&gt;&lt;D xsi:type="xsd:double"&gt;0.16415119&lt;/D&gt;&lt;D xsi:type="xsd:double"&gt;-6.2426624&lt;/D&gt;&lt;D xsi:type="xsd:double"&gt;-4.3736877&lt;/D&gt;&lt;D xsi:type="xsd:double"&gt;4.2078257&lt;/D&gt;&lt;D xsi:type="xsd:double"&gt;3.3707857&lt;/D&gt;&lt;D xsi:type="xsd:double"&gt;-0.7472873&lt;/D&gt;&lt;D xsi:type="xsd:double"&gt;2.053392&lt;/D&gt;&lt;D xsi:type="xsd:double"&gt;-4.233551&lt;/D&gt;&lt;D xsi:type="xsd:double"&gt;1.0921001&lt;/D&gt;&lt;D xsi:type="xsd:double"&gt;4.213178&lt;/D&gt;&lt;D xsi:type="xsd:double"&gt;0.6565213&lt;/D&gt;&lt;D xsi:type="xsd:double"&gt;-7.6553345&lt;/D&gt;&lt;D xsi:type="xsd:double"&gt;2.0074368&lt;/D&gt;&lt;D xsi:type="xsd:double"&gt;6.0311913&lt;/D&gt;&lt;D xsi:type="xsd:double"&gt;6.2908173&lt;/D&gt;&lt;D xsi:type="xsd:double"&gt;-0.64683557&lt;/D&gt;&lt;D xsi:type="xsd:double"&gt;1.204431&lt;/D&gt;&lt;D xsi:type="xsd:double"&gt;8.427143&lt;/D&gt;&lt;D xsi:type="xsd:double"&gt;2.8181553&lt;/D&gt;&lt;D xsi:type="xsd:double"&gt;0.2646923&lt;/D&gt;&lt;D xsi:type="xsd:double"&gt;1.3537407&lt;/D&gt;&lt;D xsi:type="xsd:double"&gt;1.074338&lt;/D&gt;&lt;D xsi:type="xsd:double"&gt;4.050565&lt;/D&gt;&lt;D xsi:type="xsd:double"&gt;-1.8498123&lt;/D&gt;&lt;D xsi:type="xsd:double"&gt;-4.022503&lt;/D&gt;&lt;D xsi:type="xsd:double"&gt;3.0730963&lt;/D&gt;&lt;D xsi:type="xsd:double"&gt;1.8093109&lt;/D&gt;&lt;D xsi:type="xsd:double"&gt;-6.234127&lt;/D&gt;&lt;D xsi:type="xsd:double"&gt;-1.8953085&lt;/D&gt;&lt;D xsi:type="xsd:double"&gt;0.85862875&lt;/D&gt;&lt;D xsi:type="xsd:double"&gt;-0.030398369&lt;/D&gt;&lt;D xsi:type="xsd:double"&gt;-2.4067163&lt;/D&gt;&lt;D xsi:type="xsd:double"&gt;4.0769696&lt;/D&gt;&lt;D xsi:type="xsd:double"&gt;-0.28204322&lt;/D&gt;&lt;D xsi:type="xsd:double"&gt;0.7228136&lt;/D&gt;&lt;D xsi:type="xsd:double"&gt;-6.583458&lt;/D&gt;&lt;D xsi:type="xsd:double"&gt;-3.2398164&lt;/D&gt;&lt;D xsi:type="xsd:double"&gt;-1.5981436&lt;/D&gt;&lt;D xsi:type="xsd:double"&gt;5.4405093&lt;/D&gt;&lt;D xsi:type="xsd:double"&gt;0.3994584&lt;/D&gt;&lt;D xsi:type="xsd:double"&gt;4.409814&lt;/D&gt;&lt;D xsi:type="xsd:double"&gt;1.6830802&lt;/D&gt;&lt;D xsi:type="xsd:double"&gt;-7.05809&lt;/D&gt;&lt;D xsi:type="xsd:double"&gt;8.819378&lt;/D&gt;&lt;D xsi:type="xsd:double"&gt;-8.381134&lt;/D&gt;&lt;D xsi:type="xsd:double"&gt;-0.5913019&lt;/D&gt;&lt;D xsi:type="xsd:double"&gt;0.17493963&lt;/D&gt;&lt;D xsi:type="xsd:double"&gt;12.713945&lt;/D&gt;&lt;D xsi:type="xsd:double"&gt;-0.8676827&lt;/D&gt;&lt;D xsi:type="xsd:double"&gt;4.1971087&lt;/D&gt;&lt;D xsi:type="xsd:double"&gt;0.0911355&lt;/D&gt;&lt;D xsi:type="xsd:double"&gt;-3.7632823&lt;/D&gt;&lt;D xsi:type="xsd:double"&gt;-24.8502&lt;/D&gt;&lt;D xsi:type="xsd:double"&gt;11.665976&lt;/D&gt;&lt;D xsi:type="xsd:double"&gt;21.04472&lt;/D&gt;&lt;D xsi:type="xsd:double"&gt;-1.7410755&lt;/D&gt;&lt;D xsi:type="xsd:double"&gt;10.206032&lt;/D&gt;&lt;D xsi:type="xsd:double"&gt;2.2720814&lt;/D&gt;&lt;D xsi:type="xsd:double"&gt;-0.59055686&lt;/D&gt;&lt;D xsi:type="xsd:double"&gt;0.93352795&lt;/D&gt;&lt;D xsi:type="xsd:double"&gt;11.715245&lt;/D&gt;&lt;D xsi:type="xsd:double"&gt;1.8605232&lt;/D&gt;&lt;D xsi:type="xsd:double"&gt;3.9206028&lt;/D&gt;&lt;D xsi:type="xsd:double"&gt;1.9102216&lt;/D&gt;&lt;D xsi:type="xsd:double"&gt;6.0215592&lt;/D&gt;&lt;D xsi:type="xsd:double"&gt;1.7237544&lt;/D&gt;&lt;D xsi:type="xsd:double"&gt;7.147515&lt;/D&gt;&lt;D xsi:type="xsd:double"&gt;-2.4225712&lt;/D&gt;&lt;D xsi:type="xsd:double"&gt;3.9549232&lt;/D&gt;&lt;D xsi:type="xsd:double"&gt;-0.4295349&lt;/D&gt;&lt;D xsi:type="xsd:double"&gt;-7.867712&lt;/D&gt;&lt;D xsi:type="xsd:double"&gt;8.69565&lt;/D&gt;&lt;D xsi:type="xsd:double"&gt;-8.882057&lt;/D&gt;&lt;D xsi:type="xsd:double"&gt;9.111727&lt;/D&gt;&lt;D xsi:type="xsd:double"&gt;-9.980851&lt;/D&gt;&lt;D xsi:type="xsd:double"&gt;-18.723398&lt;/D&gt;&lt;D xsi:type="xsd:double"&gt;16.02676&lt;/D&gt;&lt;D xsi:type="xsd:double"&gt;-8.59865&lt;/D&gt;&lt;D xsi:type="xsd:double"&gt;1.1245251&lt;/D&gt;&lt;D xsi:type="xsd:double"&gt;-14.77083&lt;/D&gt;&lt;D xsi:type="xsd:double"&gt;10.412574&lt;/D&gt;&lt;D xsi:type="xsd:double"&gt;-13.4638195&lt;/D&gt;&lt;D xsi:type="xsd:double"&gt;0.65113306&lt;/D&gt;&lt;D xsi:type="xsd:double"&gt;3.7112594&lt;/D&gt;&lt;D xsi:type="xsd:double"&gt;12.5738735&lt;/D&gt;&lt;D xsi:type="xsd:double"&gt;-2.3319483&lt;/D&gt;&lt;D xsi:type="xsd:double"&gt;8.198202&lt;/D&gt;&lt;D xsi:type="xsd:double"&gt;0.055515766&lt;/D&gt;&lt;D xsi:type="xsd:double"&gt;-0.69348216&lt;/D&gt;&lt;D xsi:type="xsd:double"&gt;2.1787763&lt;/D&gt;&lt;D xsi:type="xsd:double"&gt;-3.6085367&lt;/D&gt;&lt;D xsi:type="xsd:double"&gt;-0.14179945&lt;/D&gt;&lt;D xsi:type="xsd:double"&gt;-1.4200509&lt;/D&gt;&lt;D xsi:type="xsd:double"&gt;-4.494375&lt;/D&gt;&lt;D xsi:type="xsd:double"&gt;-3.016591&lt;/D&gt;&lt;D xsi:type="xsd:double"&gt;2.8926969&lt;/D&gt;&lt;D xsi:type="xsd:double"&gt;10.429251&lt;/D&gt;&lt;D xsi:type="xsd:double"&gt;6.6209435&lt;/D&gt;&lt;D xsi:type="xsd:double"&gt;-1.3680518&lt;/D&gt;&lt;D xsi:type="xsd:double"&gt;5.414772&lt;/D&gt;&lt;D xsi:type="xsd:double"&gt;0.75911283&lt;/D&gt;&lt;/FQL&gt;&lt;FQL&gt;&lt;Q&gt;EWQ^FMA_DIV_YLD(NTMA,-10AY,0,AM,"PORTAGG","MEANR")&lt;/Q&gt;&lt;R&gt;121&lt;/R&gt;&lt;C&gt;1&lt;/C&gt;&lt;D xsi:type="xsd:double"&gt;3.44523871759868&lt;/D&gt;&lt;D xsi:type="xsd:double"&gt;3.4638687105566&lt;/D&gt;&lt;D xsi:type="xsd:double"&gt;3.40314677817427&lt;/D&gt;&lt;D xsi:type="xsd:double"&gt;3.39466547962953&lt;/D&gt;&lt;D xsi:type="xsd:double"&gt;3.62938922033426&lt;/D&gt;&lt;D xsi:type="xsd:double"&gt;3.46051569248756&lt;/D&gt;&lt;D xsi:type="xsd:double"&gt;3.66366166176064&lt;/D&gt;&lt;D xsi:type="xsd:double"&gt;3.78295064988747&lt;/D&gt;&lt;D xsi:type="xsd:double"&gt;3.60053125737797&lt;/D&gt;&lt;D xsi:type="xsd:double"&gt;3.64916230848045&lt;/D&gt;&lt;D xsi:type="xsd:double"&gt;3.29870696276236&lt;/D&gt;&lt;D xsi:type="xsd:double"&gt;3.20322667199082&lt;/D&gt;&lt;D xsi:type="xsd:double"&gt;3.16908348705545&lt;/D&gt;&lt;D xsi:type="xsd:double"&gt;3.23008449182558&lt;/D&gt;&lt;D xsi:type="xsd:double"&gt;3.30427343335816&lt;/D&gt;&lt;D xsi:type="xsd:double"&gt;3.42910900812975&lt;/D&gt;&lt;D xsi:type="xsd:double"&gt;3.28066172513954&lt;/D&gt;&lt;D xsi:type="xsd:double"&gt;3.72022612204557&lt;/D&gt;&lt;D xsi:type="xsd:double"&gt;3.75713712725147&lt;/D&gt;&lt;D xsi:type="xsd:double"&gt;3.40571434891679&lt;/D&gt;&lt;D xsi:type="xsd:double"&gt;3.53260877580856&lt;/D&gt;&lt;D xsi:type="xsd:double"&gt;3.695135933997&lt;/D&gt;&lt;D xsi:type="xsd:double"&gt;3.91501369983541&lt;/D&gt;&lt;D xsi:type="xsd:double"&gt;3.73328352804335&lt;/D&gt;&lt;D xsi:type="xsd:double"&gt;3.80209442053117&lt;/D&gt;&lt;D xsi:type="xsd:double"&gt;3.80500408259515&lt;/D&gt;&lt;D xsi:type="xsd:double"&gt;3.74099399348952&lt;/D&gt;&lt;D xsi:type="xsd:double"&gt;3.87498928857858&lt;/D&gt;&lt;D xsi:type="xsd:double"&gt;3.80651779413734&lt;/D&gt;&lt;D xsi:type="xsd:double"&gt;3.65727704865518&lt;/D&gt;&lt;D xsi:type="xsd:double"&gt;3.69666651328337&lt;/D&gt;&lt;D xsi:type="xsd:double"&gt;3.84206700365282&lt;/D&gt;&lt;D xsi:type="xsd:double"&gt;3.69359323027504&lt;/D&gt;&lt;D xsi:type="xsd:double"&gt;3.4457616683946&lt;/D&gt;&lt;D xsi:type="xsd:double"&gt;3.48467204640201&lt;/D&gt;&lt;D xsi:type="xsd:double"&gt;3.43312872630518&lt;/D&gt;&lt;D xsi:type="xsd:double"&gt;3.36541305820753&lt;/D&gt;&lt;D xsi:type="xsd:double"&gt;3.20302724166321&lt;/D&gt;&lt;D xsi:type="xsd:double"&gt;3.22577455836148&lt;/D&gt;&lt;D xsi:type="xsd:double"&gt;3.35209483649732&lt;/D&gt;&lt;D xsi:type="xsd:double"&gt;3.34982234157062&lt;/D&gt;&lt;D xsi:type="xsd:double"&gt;3.40480123197067&lt;/D&gt;&lt;D xsi:type="xsd:double"&gt;3.2826454472718&lt;/D&gt;&lt;D xsi:type="xsd:double"&gt;3.22881272844645&lt;/D&gt;&lt;D xsi:type="xsd:double"&gt;3.27094020708733&lt;/D&gt;&lt;D xsi:type="xsd:double"&gt;3.26492160740921&lt;/D&gt;&lt;D xsi:type="xsd:double"&gt;3.28798644955116&lt;/D&gt;&lt;D xsi:type="xsd:double"&gt;3.4729556178549&lt;/D&gt;&lt;D xsi:type="xsd:double"&gt;3.48883838829736&lt;/D&gt;&lt;D xsi:type="xsd:double"&gt;3.30371098310647&lt;/D&gt;&lt;D xsi:type="xsd:double"&gt;3.35234841432552&lt;/D&gt;&lt;D xsi:type="xsd:double"&gt;3.4665935651196&lt;/D&gt;&lt;D xsi:type="xsd:double"&gt;3.39473735393995&lt;/D&gt;&lt;D xsi:type="xsd:double"&gt;3.4962465948667&lt;/D&gt;&lt;D xsi:type="xsd:double"&gt;3.49159248697106&lt;/D&gt;&lt;D xsi:type="xsd:double"&gt;3.70183322733909&lt;/D&gt;&lt;D xsi:type="xsd:double"&gt;3.77375068983075&lt;/D&gt;&lt;D xsi:type="xsd:double"&gt;4.0029931113699&lt;/D&gt;&lt;D xsi:type="xsd:double"&gt;3.79359593674381&lt;/D&gt;&lt;D xsi:type="xsd:double"&gt;3.61018153264353&lt;/D&gt;&lt;D xsi:type="xsd:double"&gt;3.53257535132803&lt;/D&gt;&lt;D xsi:type="xsd:double"&gt;3.48983441390456&lt;/D&gt;&lt;D xsi:type="xsd:double"&gt;3.68941293508324&lt;/D&gt;&lt;D xsi:type="xsd:double"&gt;3.48307835259069&lt;/D&gt;&lt;D xsi:type="xsd:double"&gt;3.65992110966625&lt;/D&gt;&lt;D xsi:type="xsd:double"&gt;3.57157631343115&lt;/D&gt;&lt;D xsi:type="xsd:double"&gt;3.6019278658264&lt;/D&gt;&lt;D xsi:type="xsd:double"&gt;3.40103173809881&lt;/D&gt;&lt;D xsi:type="xsd:double"&gt;3.43638194586445&lt;/D&gt;&lt;D xsi:type="xsd:double"&gt;3.32107569158241&lt;/D&gt;&lt;D xsi:type="xsd:double"&gt;3.36530096202138&lt;/D&gt;&lt;D xsi:type="xsd:double"&gt;3.60785633554719&lt;/D&gt;&lt;D xsi:type="xsd:double"&gt;4.48843951621097&lt;/D&gt;&lt;D xsi:type="xsd:double"&gt;3.66501471514003&lt;/D&gt;&lt;D xsi:type="xsd:double"&gt;3.09838449423207&lt;/D&gt;&lt;D xsi:type="xsd:double"&gt;3.08260103593159&lt;/D&gt;&lt;D xsi:type="xsd:double"&gt;3.17507082393533&lt;/D&gt;&lt;D xsi:type="xsd:double"&gt;3.15097130844665&lt;/D&gt;&lt;D xsi:type="xsd:double"&gt;3.27596497829395&lt;/D&gt;&lt;D xsi:type="xsd:double"&gt;3.2244523965181&lt;/D&gt;&lt;D xsi:type="xsd:double"&gt;2.85955696011446&lt;/D&gt;&lt;D xsi:type="xsd:double"&gt;2.92036512592814&lt;/D&gt;&lt;D xsi:type="xsd:double"&gt;2.94182165844156&lt;/D&gt;&lt;D xsi:type="xsd:double"&gt;2.82146261537722&lt;/D&gt;&lt;D xsi:type="xsd:double"&gt;2.74008581413874&lt;/D&gt;&lt;D xsi:type="xsd:double"&gt;2.72473170548528&lt;/D&gt;&lt;D xsi:type="xsd:double"&gt;2.67103769954866&lt;/D&gt;&lt;D xsi:type="xsd:double"&gt;2.69312704513675&lt;/D&gt;&lt;D xsi:type="xsd:double"&gt;2.69385335906085&lt;/D&gt;&lt;D xsi:type="xsd:double"&gt;2.75626790692651&lt;/D&gt;&lt;D xsi:type="xsd:double"&gt;2.88467128593931&lt;/D&gt;&lt;D xsi:type="xsd:double"&gt;2.74709248570166&lt;/D&gt;&lt;D xsi:type="xsd:double"&gt;2.87630629249385&lt;/D&gt;&lt;D xsi:type="xsd:double"&gt;2.68754976008992&lt;/D&gt;&lt;D xsi:type="xsd:double"&gt;2.89182130643&lt;/D&gt;&lt;D xsi:type="xsd:double"&gt;3.4006010860626&lt;/D&gt;&lt;D xsi:type="xsd:double"&gt;3.06607656380585&lt;/D&gt;&lt;D xsi:type="xsd:double"&gt;3.22448161137737&lt;/D&gt;&lt;D xsi:type="xsd:double"&gt;3.20792621430169&lt;/D&gt;&lt;D xsi:type="xsd:double"&gt;3.53730111911812&lt;/D&gt;&lt;D xsi:type="xsd:double"&gt;3.25712985559851&lt;/D&gt;&lt;D xsi:type="xsd:double"&gt;3.49737002534738&lt;/D&gt;&lt;D xsi:type="xsd:double"&gt;3.59280587025269&lt;/D&gt;&lt;D xsi:type="xsd:double"&gt;3.42276453766615&lt;/D&gt;&lt;D xsi:type="xsd:double"&gt;3.26032581086652&lt;/D&gt;&lt;D xsi:type="xsd:double"&gt;3.24680528095213&lt;/D&gt;&lt;D xsi:type="xsd:double"&gt;3.05813258530929&lt;/D&gt;&lt;D xsi:type="xsd:double"&gt;3.13616809728225&lt;/D&gt;&lt;D xsi:type="xsd:double"&gt;3.16752059112588&lt;/D&gt;&lt;D xsi:type="xsd:double"&gt;3.1979636577311&lt;/D&gt;&lt;D xsi:type="xsd:double"&gt;3.26041297028459&lt;/D&gt;&lt;D xsi:type="xsd:double"&gt;3.24099782952408&lt;/D&gt;&lt;D xsi:type="xsd:double"&gt;3.30760324696775&lt;/D&gt;&lt;D xsi:type="xsd:double"&gt;3.32461220107856&lt;/D&gt;&lt;D xsi:type="xsd:double"&gt;3.49152384700578&lt;/D&gt;&lt;D xsi:type="xsd:double"&gt;3.4541575001755&lt;/D&gt;&lt;D xsi:type="xsd:double"&gt;3.32674504056966&lt;/D&gt;&lt;D xsi:type="xsd:double"&gt;3.268216738011&lt;/D&gt;&lt;D xsi:type="xsd:double"&gt;3.20794258474006&lt;/D&gt;&lt;D xsi:type="xsd:double"&gt;3.12810804060986&lt;/D&gt;&lt;D xsi:type="xsd:double"&gt;3.07243354250263&lt;/D&gt;&lt;/FQL&gt;&lt;FQL&gt;&lt;Q&gt;QQQ^FMA_PE(NTMA,-10AY,0,AM,"PORTAGG","MEANR")&lt;/Q&gt;&lt;R&gt;121&lt;/R&gt;&lt;C&gt;1&lt;/C&gt;&lt;D xsi:type="xsd:double"&gt;16.876151636883&lt;/D&gt;&lt;D xsi:type="xsd:double"&gt;16.6762648670382&lt;/D&gt;&lt;D xsi:type="xsd:double"&gt;17.183610319885&lt;/D&gt;&lt;D xsi:type="xsd:double"&gt;17.7656502883482&lt;/D&gt;&lt;D xsi:type="xsd:double"&gt;17.2573475159038&lt;/D&gt;&lt;D xsi:type="xsd:double"&gt;17.7737630113152&lt;/D&gt;&lt;D xsi:type="xsd:double"&gt;17.3233638844064&lt;/D&gt;&lt;D xsi:type="xsd:double"&gt;17.7175569758787&lt;/D&gt;&lt;D xsi:type="xsd:double"&gt;18.1410390740665&lt;/D&gt;&lt;D xsi:type="xsd:double"&gt;17.4085719896589&lt;/D&gt;&lt;D xsi:type="xsd:double"&gt;17.2297081172198&lt;/D&gt;&lt;D xsi:type="xsd:double"&gt;18.086785969898&lt;/D&gt;&lt;D xsi:type="xsd:double"&gt;17.5930702998624&lt;/D&gt;&lt;D xsi:type="xsd:double"&gt;18.015092180585&lt;/D&gt;&lt;D xsi:type="xsd:double"&gt;17.9005573941926&lt;/D&gt;&lt;D xsi:type="xsd:double"&gt;17.6216170239777&lt;/D&gt;&lt;D xsi:type="xsd:double"&gt;18.5221636330891&lt;/D&gt;&lt;D xsi:type="xsd:double"&gt;16.8907951485815&lt;/D&gt;&lt;D xsi:type="xsd:double"&gt;17.1770994663732&lt;/D&gt;&lt;D xsi:type="xsd:double"&gt;18.8384360337357&lt;/D&gt;&lt;D xsi:type="xsd:double"&gt;18.8344373393543&lt;/D&gt;&lt;D xsi:type="xsd:double"&gt;18.0523968620675&lt;/D&gt;&lt;D xsi:type="xsd:double"&gt;16.8456697793383&lt;/D&gt;&lt;D xsi:type="xsd:double"&gt;17.3457942482943&lt;/D&gt;&lt;D xsi:type="xsd:double"&gt;17.9809991003185&lt;/D&gt;&lt;D xsi:type="xsd:double"&gt;17.3258997769089&lt;/D&gt;&lt;D xsi:type="xsd:double"&gt;17.9437090657512&lt;/D&gt;&lt;D xsi:type="xsd:double"&gt;17.7093238287946&lt;/D&gt;&lt;D xsi:type="xsd:double"&gt;18.6756362685822&lt;/D&gt;&lt;D xsi:type="xsd:double"&gt;18.5893421645408&lt;/D&gt;&lt;D xsi:type="xsd:double"&gt;18.5760402500502&lt;/D&gt;&lt;D xsi:type="xsd:double"&gt;17.6296222986152&lt;/D&gt;&lt;D xsi:type="xsd:double"&gt;17.7586649712242&lt;/D&gt;&lt;D xsi:type="xsd:double"&gt;18.3092568721436&lt;/D&gt;&lt;D xsi:type="xsd:double"&gt;19.3094351018213&lt;/D&gt;&lt;D xsi:type="xsd:double"&gt;20.1405453119786&lt;/D&gt;&lt;D xsi:type="xsd:double"&gt;20.1382279659144&lt;/D&gt;&lt;D xsi:type="xsd:double"&gt;20.5772292550812&lt;/D&gt;&lt;D xsi:type="xsd:double"&gt;21.2027524572007&lt;/D&gt;&lt;D xsi:type="xsd:double"&gt;19.8547435220406&lt;/D&gt;&lt;D xsi:type="xsd:double"&gt;20.6417750448389&lt;/D&gt;&lt;D xsi:type="xsd:double"&gt;20.6993067237689&lt;/D&gt;&lt;D xsi:type="xsd:double"&gt;20.396638311608&lt;/D&gt;&lt;D xsi:type="xsd:double"&gt;20.9012350377746&lt;/D&gt;&lt;D xsi:type="xsd:double"&gt;20.5367225394248&lt;/D&gt;&lt;D xsi:type="xsd:double"&gt;21.3495471488768&lt;/D&gt;&lt;D xsi:type="xsd:double"&gt;20.8845307369388&lt;/D&gt;&lt;D xsi:type="xsd:double"&gt;20.6426104833192&lt;/D&gt;&lt;D xsi:type="xsd:double"&gt;19.6810844452275&lt;/D&gt;&lt;D xsi:type="xsd:double"&gt;19.7470859391111&lt;/D&gt;&lt;D xsi:type="xsd:double"&gt;20.5432776215878&lt;/D&gt;&lt;D xsi:type="xsd:double"&gt;19.9944536382941&lt;/D&gt;&lt;D xsi:type="xsd:double"&gt;20.5652717594885&lt;/D&gt;&lt;D xsi:type="xsd:double"&gt;21.0069498863393&lt;/D&gt;&lt;D xsi:type="xsd:double"&gt;20.4826805342542&lt;/D&gt;&lt;D xsi:type="xsd:double"&gt;18.8850673113004&lt;/D&gt;&lt;D xsi:type="xsd:double"&gt;18.379241900894&lt;/D&gt;&lt;D xsi:type="xsd:double"&gt;17.6695794783275&lt;/D&gt;&lt;D xsi:type="xsd:double"&gt;19.197365666601&lt;/D&gt;&lt;D xsi:type="xsd:double"&gt;19.7954741924912&lt;/D&gt;&lt;D xsi:type="xsd:double"&gt;20.7621331575988&lt;/D&gt;&lt;D xsi:type="xsd:double"&gt;21.4494060379668&lt;/D&gt;&lt;D xsi:type="xsd:double"&gt;19.4400249564428&lt;/D&gt;&lt;D xsi:type="xsd:double"&gt;21.2817650292575&lt;/D&gt;&lt;D xsi:type="xsd:double"&gt;20.6348273258007&lt;/D&gt;&lt;D xsi:type="xsd:double"&gt;20.497400113556&lt;/D&gt;&lt;D xsi:type="xsd:double"&gt;20.411648772202&lt;/D&gt;&lt;D xsi:type="xsd:double"&gt;21.4283553041877&lt;/D&gt;&lt;D xsi:type="xsd:double"&gt;21.6870648416359&lt;/D&gt;&lt;D xsi:type="xsd:double"&gt;22.8635334414515&lt;/D&gt;&lt;D xsi:type="xsd:double"&gt;23.6253257870767&lt;/D&gt;&lt;D xsi:type="xsd:double"&gt;22.588088914905&lt;/D&gt;&lt;D xsi:type="xsd:double"&gt;20.1149122658874&lt;/D&gt;&lt;D xsi:type="xsd:double"&gt;25.0830874315563&lt;/D&gt;&lt;D xsi:type="xsd:double"&gt;27.4394430557438&lt;/D&gt;&lt;D xsi:type="xsd:double"&gt;28.8230082344702&lt;/D&gt;&lt;D xsi:type="xsd:double"&gt;29.3028979283188&lt;/D&gt;&lt;D xsi:type="xsd:double"&gt;30.1632566756378&lt;/D&gt;&lt;D xsi:type="xsd:double"&gt;28.7721260874328&lt;/D&gt;&lt;D xsi:type="xsd:double"&gt;29.0528728199217&lt;/D&gt;&lt;D xsi:type="xsd:double"&gt;30.139721885605&lt;/D&gt;&lt;D xsi:type="xsd:double"&gt;29.6007895308391&lt;/D&gt;&lt;D xsi:type="xsd:double"&gt;29.9640015785162&lt;/D&gt;&lt;D xsi:type="xsd:double"&gt;26.8152063811817&lt;/D&gt;&lt;D xsi:type="xsd:double"&gt;28.4157878524009&lt;/D&gt;&lt;D xsi:type="xsd:double"&gt;27.1017183650153&lt;/D&gt;&lt;D xsi:type="xsd:double"&gt;27.025989998426&lt;/D&gt;&lt;D xsi:type="xsd:double"&gt;28.6177148872982&lt;/D&gt;&lt;D xsi:type="xsd:double"&gt;28.1215922684984&lt;/D&gt;&lt;D xsi:type="xsd:double"&gt;28.7401387137877&lt;/D&gt;&lt;D xsi:type="xsd:double"&gt;26.4484614429869&lt;/D&gt;&lt;D xsi:type="xsd:double"&gt;29.6635875816994&lt;/D&gt;&lt;D xsi:type="xsd:double"&gt;28.1983207404912&lt;/D&gt;&lt;D xsi:type="xsd:double"&gt;29.0442260635482&lt;/D&gt;&lt;D xsi:type="xsd:double"&gt;25.8669137255324&lt;/D&gt;&lt;D xsi:type="xsd:double"&gt;24.0416846836349&lt;/D&gt;&lt;D xsi:type="xsd:double"&gt;26.1164305367799&lt;/D&gt;&lt;D xsi:type="xsd:double"&gt;23.5828132353289&lt;/D&gt;&lt;D xsi:type="xsd:double"&gt;21.6483583250418&lt;/D&gt;&lt;D xsi:type="xsd:double"&gt;20.0874049897724&lt;/D&gt;&lt;D xsi:type="xsd:double"&gt;23.620647305356&lt;/D&gt;&lt;D xsi:type="xsd:double"&gt;21.4813741815194&lt;/D&gt;&lt;D xsi:type="xsd:double"&gt;20.5998240557849&lt;/D&gt;&lt;D xsi:type="xsd:double"&gt;20.2643594163648&lt;/D&gt;&lt;D xsi:type="xsd:double"&gt;22.2772241849681&lt;/D&gt;&lt;D xsi:type="xsd:double"&gt;20.8280878673638&lt;/D&gt;&lt;D xsi:type="xsd:double"&gt;24.3287716323719&lt;/D&gt;&lt;D xsi:type="xsd:double"&gt;23.5610648811803&lt;/D&gt;&lt;D xsi:type="xsd:double"&gt;24.8680643059799&lt;/D&gt;&lt;D xsi:type="xsd:double"&gt;24.0753016320153&lt;/D&gt;&lt;D xsi:type="xsd:double"&gt;26.1282397868873&lt;/D&gt;&lt;D xsi:type="xsd:double"&gt;26.8033139769528&lt;/D&gt;&lt;D xsi:type="xsd:double"&gt;24.9016127454521&lt;/D&gt;&lt;D xsi:type="xsd:double"&gt;24.6501124044541&lt;/D&gt;&lt;D xsi:type="xsd:double"&gt;23.2248771481049&lt;/D&gt;&lt;D xsi:type="xsd:double"&gt;23.3833942875669&lt;/D&gt;&lt;D xsi:type="xsd:double"&gt;24.0269989205126&lt;/D&gt;&lt;D xsi:type="xsd:double"&gt;24.2247135307773&lt;/D&gt;&lt;D xsi:type="xsd:double"&gt;25.9842350195182&lt;/D&gt;&lt;D xsi:type="xsd:double"&gt;26.4201253452611&lt;/D&gt;&lt;D xsi:type="xsd:double"&gt;25.5641652190276&lt;/D&gt;&lt;/FQL&gt;&lt;FQL&gt;&lt;Q&gt;EWL^FMA_PE(LTMA,-10AY,0,AM,"PORTAGG","MEANR")&lt;/Q&gt;&lt;R&gt;121&lt;/R&gt;&lt;C&gt;1&lt;/C&gt;&lt;D xsi:type="xsd:double"&gt;17.1060562051019&lt;/D&gt;&lt;D xsi:type="xsd:double"&gt;17.1250613126208&lt;/D&gt;&lt;D xsi:type="xsd:double"&gt;17.2102811360228&lt;/D&gt;&lt;D xsi:type="xsd:double"&gt;17.2597702996767&lt;/D&gt;&lt;D xsi:type="xsd:double"&gt;16.9866198354842&lt;/D&gt;&lt;D xsi:type="xsd:double"&gt;17.5034729356427&lt;/D&gt;&lt;D xsi:type="xsd:double"&gt;17.0624895336422&lt;/D&gt;&lt;D xsi:type="xsd:double"&gt;17.1543581667354&lt;/D&gt;&lt;D xsi:type="xsd:double"&gt;17.6184008630134&lt;/D&gt;&lt;D xsi:type="xsd:double"&gt;17.1892387956023&lt;/D&gt;&lt;D xsi:type="xsd:double"&gt;17.0688150334987&lt;/D&gt;&lt;D xsi:type="xsd:double"&gt;17.9632836391579&lt;/D&gt;&lt;D xsi:type="xsd:double"&gt;18.028330397076&lt;/D&gt;&lt;D xsi:type="xsd:double"&gt;18.0932183027372&lt;/D&gt;&lt;D xsi:type="xsd:double"&gt;18.1015018506456&lt;/D&gt;&lt;D xsi:type="xsd:double"&gt;17.8155523923486&lt;/D&gt;&lt;D xsi:type="xsd:double"&gt;18.2680934792093&lt;/D&gt;&lt;D xsi:type="xsd:double"&gt;17.1691832618721&lt;/D&gt;&lt;D xsi:type="xsd:double"&gt;17.0105680671862&lt;/D&gt;&lt;D xsi:type="xsd:double"&gt;17.7759852895907&lt;/D&gt;&lt;D xsi:type="xsd:double"&gt;17.4902701636845&lt;/D&gt;&lt;D xsi:type="xsd:double"&gt;17.0028712522052&lt;/D&gt;&lt;D xsi:type="xsd:double"&gt;16.7287673022491&lt;/D&gt;&lt;D xsi:type="xsd:double"&gt;16.6344526418168&lt;/D&gt;&lt;D xsi:type="xsd:double"&gt;16.6263275456812&lt;/D&gt;&lt;D xsi:type="xsd:double"&gt;16.7108407562324&lt;/D&gt;&lt;D xsi:type="xsd:double"&gt;17.112112660667&lt;/D&gt;&lt;D xsi:type="xsd:double"&gt;17.2037167975357&lt;/D&gt;&lt;D xsi:type="xsd:double"&gt;17.5735509118325&lt;/D&gt;&lt;D xsi:type="xsd:double"&gt;17.9974801924623&lt;/D&gt;&lt;D xsi:type="xsd:double"&gt;18.1305386362343&lt;/D&gt;&lt;D xsi:type="xsd:double"&gt;17.2419120869675&lt;/D&gt;&lt;D xsi:type="xsd:double"&gt;17.3308447360363&lt;/D&gt;&lt;D xsi:type="xsd:double"&gt;18.4458412392836&lt;/D&gt;&lt;D xsi:type="xsd:double"&gt;18.6143092662367&lt;/D&gt;&lt;D xsi:type="xsd:double"&gt;19.6758440484471&lt;/D&gt;&lt;D xsi:type="xsd:double"&gt;19.4543456328416&lt;/D&gt;&lt;D xsi:type="xsd:double"&gt;19.5332165126259&lt;/D&gt;&lt;D xsi:type="xsd:double"&gt;19.6261880786779&lt;/D&gt;&lt;D xsi:type="xsd:double"&gt;19.4095821352218&lt;/D&gt;&lt;D xsi:type="xsd:double"&gt;19.46967483232&lt;/D&gt;&lt;D xsi:type="xsd:double"&gt;19.1444664384264&lt;/D&gt;&lt;D xsi:type="xsd:double"&gt;19.6280305073099&lt;/D&gt;&lt;D xsi:type="xsd:double"&gt;20.4025119141339&lt;/D&gt;&lt;D xsi:type="xsd:double"&gt;20.4227491025228&lt;/D&gt;&lt;D xsi:type="xsd:double"&gt;20.9618732232536&lt;/D&gt;&lt;D xsi:type="xsd:double"&gt;21.507578164467&lt;/D&gt;&lt;D xsi:type="xsd:double"&gt;21.1100631842414&lt;/D&gt;&lt;D xsi:type="xsd:double"&gt;20.5396245067421&lt;/D&gt;&lt;D xsi:type="xsd:double"&gt;20.2444108893736&lt;/D&gt;&lt;D xsi:type="xsd:double"&gt;19.6679368537386&lt;/D&gt;&lt;D xsi:type="xsd:double"&gt;19.2423074570726&lt;/D&gt;&lt;D xsi:type="xsd:double"&gt;19.2603756519011&lt;/D&gt;&lt;D xsi:type="xsd:double"&gt;18.7058393027404&lt;/D&gt;&lt;D xsi:type="xsd:double"&gt;18.4170696242638&lt;/D&gt;&lt;D xsi:type="xsd:double"&gt;17.9929825099386&lt;/D&gt;&lt;D xsi:type="xsd:double"&gt;17.7453518396777&lt;/D&gt;&lt;D xsi:type="xsd:double"&gt;16.4991314313888&lt;/D&gt;&lt;D xsi:type="xsd:double"&gt;17.5755340496179&lt;/D&gt;&lt;D xsi:type="xsd:double"&gt;18.3394318160253&lt;/D&gt;&lt;D xsi:type="xsd:double"&gt;18.2977965166738&lt;/D&gt;&lt;D xsi:type="xsd:double"&gt;18.2748242009205&lt;/D&gt;&lt;D xsi:type="xsd:double"&gt;18.1028308456078&lt;/D&gt;&lt;D xsi:type="xsd:double"&gt;18.4826916295533&lt;/D&gt;&lt;D xsi:type="xsd:double"&gt;18.2494739557424&lt;/D&gt;&lt;D xsi:type="xsd:double"&gt;18.3374444233711&lt;/D&gt;&lt;D xsi:type="xsd:double"&gt;18.1417193729842&lt;/D&gt;&lt;D xsi:type="xsd:double"&gt;18.8865083487033&lt;/D&gt;&lt;D xsi:type="xsd:double"&gt;18.8692926969172&lt;/D&gt;&lt;D xsi:type="xsd:double"&gt;19.7449365424873&lt;/D&gt;&lt;D xsi:type="xsd:double"&gt;19.9412311884975&lt;/D&gt;&lt;D xsi:type="xsd:double"&gt;18.1288503168864&lt;/D&gt;&lt;D xsi:type="xsd:double"&gt;17.7952159029229&lt;/D&gt;&lt;D xsi:type="xsd:double"&gt;18.4515902889478&lt;/D&gt;&lt;D xsi:type="xsd:double"&gt;19.3086971237001&lt;/D&gt;&lt;D xsi:type="xsd:double"&gt;19.7118619811028&lt;/D&gt;&lt;D xsi:type="xsd:double"&gt;20.1643391341336&lt;/D&gt;&lt;D xsi:type="xsd:double"&gt;20.4419869655866&lt;/D&gt;&lt;D xsi:type="xsd:double"&gt;20.8093810795093&lt;/D&gt;&lt;D xsi:type="xsd:double"&gt;20.795930523638&lt;/D&gt;&lt;D xsi:type="xsd:double"&gt;20.9651291227985&lt;/D&gt;&lt;D xsi:type="xsd:double"&gt;22.1028224233987&lt;/D&gt;&lt;D xsi:type="xsd:double"&gt;21.3736762243852&lt;/D&gt;&lt;D xsi:type="xsd:double"&gt;20.4688832394904&lt;/D&gt;&lt;D xsi:type="xsd:double"&gt;20.4554903396587&lt;/D&gt;&lt;D xsi:type="xsd:double"&gt;20.3823073559885&lt;/D&gt;&lt;D xsi:type="xsd:double"&gt;20.7389530193878&lt;/D&gt;&lt;D xsi:type="xsd:double"&gt;20.859253667377&lt;/D&gt;&lt;D xsi:type="xsd:double"&gt;21.020109685097&lt;/D&gt;&lt;D xsi:type="xsd:double"&gt;21.1174303938879&lt;/D&gt;&lt;D xsi:type="xsd:double"&gt;20.0143035944468&lt;/D&gt;&lt;D xsi:type="xsd:double"&gt;20.9752353615898&lt;/D&gt;&lt;D xsi:type="xsd:double"&gt;20.4227766572214&lt;/D&gt;&lt;D xsi:type="xsd:double"&gt;21.6751039689911&lt;/D&gt;&lt;D xsi:type="xsd:double"&gt;19.7278824743864&lt;/D&gt;&lt;D xsi:type="xsd:double"&gt;18.3281041309794&lt;/D&gt;&lt;D xsi:type="xsd:double"&gt;18.6536954456422&lt;/D&gt;&lt;D xsi:type="xsd:double"&gt;18.3624085092782&lt;/D&gt;&lt;D xsi:type="xsd:double"&gt;18.1448349367019&lt;/D&gt;&lt;D xsi:type="xsd:double"&gt;17.5724768220331&lt;/D&gt;&lt;D xsi:type="xsd:double"&gt;18.3547041239477&lt;/D&gt;&lt;D xsi:type="xsd:double"&gt;17.9012740995087&lt;/D&gt;&lt;D xsi:type="xsd:double"&gt;17.3430499620543&lt;/D&gt;&lt;D xsi:type="xsd:double"&gt;18.6915925547177&lt;/D&gt;&lt;D xsi:type="xsd:double"&gt;19.9699113012793&lt;/D&gt;&lt;D xsi:type="xsd:double"&gt;20.8824849260327&lt;/D&gt;&lt;D xsi:type="xsd:double"&gt;20.8183851502505&lt;/D&gt;&lt;D xsi:type="xsd:double"&gt;20.6873810531803&lt;/D&gt;&lt;D xsi:type="xsd:double"&gt;20.3792618153608&lt;/D&gt;&lt;D xsi:type="xsd:double"&gt;20.2669230560668&lt;/D&gt;&lt;D xsi:type="xsd:double"&gt;19.6827548274603&lt;/D&gt;&lt;D xsi:type="xsd:double"&gt;19.2139210653518&lt;/D&gt;&lt;D xsi:type="xsd:double"&gt;19.0267071074674&lt;/D&gt;&lt;D xsi:type="xsd:double"&gt;18.8886452923249&lt;/D&gt;&lt;D xsi:type="xsd:double"&gt;18.0744090296767&lt;/D&gt;&lt;D xsi:type="xsd:double"&gt;17.7779865908288&lt;/D&gt;&lt;D xsi:type="xsd:double"&gt;18.0338110737048&lt;/D&gt;&lt;D xsi:type="xsd:double"&gt;18.4701277401502&lt;/D&gt;&lt;D xsi:type="xsd:double"&gt;18.5948668218516&lt;/D&gt;&lt;D xsi:type="xsd:double"&gt;19.1770518894709&lt;/D&gt;&lt;D xsi:type="xsd:double"&gt;19.0803321246017&lt;/D&gt;&lt;/FQL&gt;&lt;FQL&gt;&lt;Q&gt;WL-FDS^FG_PRICE(0)/MAX(FG_PRICE(0,-1AY))&lt;/Q&gt;&lt;R&gt;1&lt;/R&gt;&lt;C&gt;1&lt;/C&gt;&lt;D xsi:type="xsd:double"&gt;0.852370971967514&lt;/D&gt;&lt;/FQL&gt;&lt;FQL&gt;&lt;Q&gt;NI-FDS^FG_PRICE(0)/MAX(FG_PRICE(0,-1AY))&lt;/Q&gt;&lt;R&gt;1&lt;/R&gt;&lt;C&gt;1&lt;/C&gt;&lt;D xsi:type="xsd:double"&gt;0.674628034455756&lt;/D&gt;&lt;/FQL&gt;&lt;FQL&gt;&lt;Q&gt;CPALM-FDS^FG_PRICE(0)/MAX(FG_PRICE(0,-1AY))&lt;/Q&gt;&lt;R&gt;1&lt;/R&gt;&lt;C&gt;1&lt;/C&gt;&lt;D xsi:type="xsd:double"&gt;0.999563223411225&lt;/D&gt;&lt;/FQL&gt;&lt;FQL&gt;&lt;Q&gt;BRENT-FDS^FG_PRICE(0)/MAX(FG_PRICE(0,-1AY))&lt;/Q&gt;&lt;R&gt;1&lt;/R&gt;&lt;C&gt;1&lt;/C&gt;&lt;D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xsi:type="xsd:double"&gt;0.692910654827969&lt;/D&gt;&lt;/FQL&gt;&lt;FQL&gt;&lt;Q&gt;FC0000US^FG_PRICE(0)&lt;/Q&gt;&lt;R&gt;1&lt;/R&gt;&lt;C&gt;1&lt;/C&gt;&lt;D xsi:type="xsd:double"&gt;387.33038&lt;/D&gt;&lt;/FQL&gt;&lt;FQL&gt;&lt;Q&gt;FC0000GB^FG_PRICE(0)&lt;/Q&gt;&lt;R&gt;1&lt;/R&gt;&lt;C&gt;1&lt;/C&gt;&lt;D xsi:type="xsd:double"&gt;123.53009&lt;/D&gt;&lt;/FQL&gt;&lt;FQL&gt;&lt;Q&gt;FC0000CA^FG_PRICE(0)&lt;/Q&gt;&lt;R&gt;1&lt;/R&gt;&lt;C&gt;1&lt;/C&gt;&lt;D xsi:type="xsd:double"&gt;293.12994&lt;/D&gt;&lt;/FQL&gt;&lt;FQL&gt;&lt;Q&gt;EWD^FG_PRICE_MAVG(0,,,,60)&lt;/Q&gt;&lt;R&gt;1&lt;/R&gt;&lt;C&gt;1&lt;/C&gt;&lt;D xsi:type="xsd:double"&gt;38.81283&lt;/D&gt;&lt;/FQL&gt;&lt;FQL&gt;&lt;Q&gt;QQQ^FG_PRICE_MAVG(0,,,,60)&lt;/Q&gt;&lt;R&gt;1&lt;/R&gt;&lt;C&gt;1&lt;/C&gt;&lt;D xsi:type="xsd:double"&gt;431.977&lt;/D&gt;&lt;/FQL&gt;&lt;FQL&gt;&lt;Q&gt;EWG^FG_PRICE_MAVG(0,,,,60)&lt;/Q&gt;&lt;R&gt;1&lt;/R&gt;&lt;C&gt;1&lt;/C&gt;&lt;D xsi:type="xsd:double"&gt;30.141167&lt;/D&gt;&lt;/FQL&gt;&lt;FQL&gt;&lt;Q&gt;DUMMY^ECON_EXPR_DATA('FDS_ECON[NTCPMIMFGSA@CA]',03/2024,,M)&lt;/Q&gt;&lt;R&gt;1&lt;/R&gt;&lt;C&gt;1&lt;/C&gt;&lt;D xsi:type="xsd:double"&gt;49.82964&lt;/D&gt;&lt;/FQL&gt;&lt;FQL&gt;&lt;Q&gt;DUMMY^ECON_EXPR_DATA('FDS_ECON[NTCPMIMFGSA@AU]',03/2024,,M)&lt;/Q&gt;&lt;R&gt;1&lt;/R&gt;&lt;C&gt;1&lt;/C&gt;&lt;D xsi:type="xsd:double"&gt;47.25435&lt;/D&gt;&lt;/FQL&gt;&lt;FQL&gt;&lt;Q&gt;FXI^FG_TOTAL_RETURNC(0,-6AM)&lt;/Q&gt;&lt;R&gt;1&lt;/R&gt;&lt;C&gt;1&lt;/C&gt;&lt;D xsi:type="xsd:double"&gt;-2.213776&lt;/D&gt;&lt;/FQL&gt;&lt;FQL&gt;&lt;Q&gt;EWJ^P_PRICE(0)/P_PRICE_LOW_PR(0,,,USD,,,"PRICE","INTRA","52W")-1&lt;/Q&gt;&lt;R&gt;1&lt;/R&gt;&lt;C&gt;1&lt;/C&gt;&lt;D xsi:type="xsd:double"&gt;0.21800697&lt;/D&gt;&lt;/FQL&gt;&lt;FQL&gt;&lt;Q&gt;URTH^FMA_PCT_ABOVE_MAVG(200,0,,,,"PORTAGG")&lt;/Q&gt;&lt;R&gt;1&lt;/R&gt;&lt;C&gt;1&lt;/C&gt;&lt;D xsi:type="xsd:double"&gt;73.0191256830601&lt;/D&gt;&lt;/FQL&gt;&lt;FQL&gt;&lt;Q&gt;VGK^PERCENT_CHANGE(FMA_EPS(+1,0,,,,"PORTAGG","MEAN"),FMA_EPS(+1,-3AM,,,,"PORTAGG","MEAN"))&lt;/Q&gt;&lt;R&gt;1&lt;/R&gt;&lt;C&gt;1&lt;/C&gt;&lt;D xsi:type="xsd:double"&gt;-3.93031389759597&lt;/D&gt;&lt;/FQL&gt;&lt;FQL&gt;&lt;Q&gt;EWQ^FMA_ROE(NTMA,-20AY,NOW,FY,"PORTAGG","MEANR")&lt;/Q&gt;&lt;R&gt;20&lt;/R&gt;&lt;C&gt;1&lt;/C&gt;&lt;D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xsi:type="xsd:double"&gt;8.94242101235722&lt;/D&gt;&lt;D xsi:type="xsd:double"&gt;12.2539581193409&lt;/D&gt;&lt;D xsi:type="xsd:double"&gt;13.1475852543623&lt;/D&gt;&lt;D xsi:type="xsd:double"&gt;13.2210595032912&lt;/D&gt;&lt;/FQL&gt;&lt;FQL&gt;&lt;Q&gt;TRYID10Y-FDS^FG_YIELD(-10AY,0,Y,,"YTM")&lt;/Q&gt;&lt;R&gt;10&lt;/R&gt;&lt;C&gt;1&lt;/C&gt;&lt;D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xsi:type="xsd:double"&gt;5.1912&lt;/D&gt;&lt;/FQL&gt;&lt;FQL&gt;&lt;Q&gt;CPALM-FDS^FG_PRICE_CHANGE(0,-1AY)&lt;/Q&gt;&lt;R&gt;1&lt;/R&gt;&lt;C&gt;1&lt;/C&gt;&lt;D xsi:type="xsd:double"&gt;7.89721829325789&lt;/D&gt;&lt;/FQL&gt;&lt;FQL&gt;&lt;Q&gt;EWD^FG_PRICE_MAVG(0,,,,30)&lt;/Q&gt;&lt;R&gt;1&lt;/R&gt;&lt;C&gt;1&lt;/C&gt;&lt;D xsi:type="xsd:double"&gt;40.204334&lt;/D&gt;&lt;/FQL&gt;&lt;FQL&gt;&lt;Q&gt;QQQ^FG_PRICE_MAVG(0,,,,30)&lt;/Q&gt;&lt;R&gt;1&lt;/R&gt;&lt;C&gt;1&lt;/C&gt;&lt;D xsi:type="xsd:double"&gt;440.63535&lt;/D&gt;&lt;/FQL&gt;&lt;FQL&gt;&lt;Q&gt;EWG^FG_PRICE_MAVG(0,,,,30)&lt;/Q&gt;&lt;R&gt;1&lt;/R&gt;&lt;C&gt;1&lt;/C&gt;&lt;D xsi:type="xsd:double"&gt;31.088&lt;/D&gt;&lt;/FQL&gt;&lt;FQL&gt;&lt;Q&gt;DUMMY^ECON_EXPR_DATA('FDS_ECON[NTCPMIMFGSA@DE]',03/2024,,M)&lt;/Q&gt;&lt;R&gt;1&lt;/R&gt;&lt;C&gt;1&lt;/C&gt;&lt;D xsi:type="xsd:double"&gt;41.885403&lt;/D&gt;&lt;/FQL&gt;&lt;FQL&gt;&lt;Q&gt;FXI^FG_TOTAL_RETURNC(0,-3AM)&lt;/Q&gt;&lt;R&gt;1&lt;/R&gt;&lt;C&gt;1&lt;/C&gt;&lt;D xsi:type="xsd:double"&gt;4.1095853&lt;/D&gt;&lt;/FQL&gt;&lt;FQL&gt;&lt;Q&gt;EWJ^P_PRICE(0)/P_PRICE_HIGH_PR(0,,,USD,,,"PRICE","INTRA","52W")&lt;/Q&gt;&lt;R&gt;1&lt;/R&gt;&lt;C&gt;1&lt;/C&gt;&lt;D xsi:type="xsd:double"&gt;0.96676606&lt;/D&gt;&lt;/FQL&gt;&lt;FQL&gt;&lt;Q&gt;VWO^FG_TOTAL_RETURNC(0,-12AM)&lt;/Q&gt;&lt;R&gt;1&lt;/R&gt;&lt;C&gt;1&lt;/C&gt;&lt;D xsi:type="xsd:double"&gt;7.172644&lt;/D&gt;&lt;/FQL&gt;&lt;FQL&gt;&lt;Q&gt;VGK^PERCENT_CHANGE(FMA_EPS(+1,0,,,,"PORTAGG","MEAN"),FMA_EPS(+1,-1AM,,,,"PORTAGG","MEAN"))&lt;/Q&gt;&lt;R&gt;1&lt;/R&gt;&lt;C&gt;1&lt;/C&gt;&lt;D xsi:type="xsd:double"&gt;0&lt;/D&gt;&lt;/FQL&gt;&lt;FQL&gt;&lt;Q&gt;EWD^FG_TOTAL_RETURNC(0,-1AM)&lt;/Q&gt;&lt;R&gt;1&lt;/R&gt;&lt;C&gt;1&lt;/C&gt;&lt;D xsi:type="xsd:double"&gt;0.75911283&lt;/D&gt;&lt;/FQL&gt;&lt;FQL&gt;&lt;Q&gt;QQQ^P_PRICE(0)/P_PRICE_LOW_PR(0,,,USD,,,"PRICE","INTRA","52W")-1&lt;/Q&gt;&lt;R&gt;1&lt;/R&gt;&lt;C&gt;1&lt;/C&gt;&lt;D xsi:type="xsd:double"&gt;0.40482104&lt;/D&gt;&lt;/FQL&gt;&lt;FQL&gt;&lt;Q&gt;EWJ^PERCENT_CHANGE(FMA_EPS(+1,0,,,,"PORTAGG","MEAN"),FMA_EPS(+1,-3AM,,,,"PORTAGG","MEAN"))&lt;/Q&gt;&lt;R&gt;1&lt;/R&gt;&lt;C&gt;1&lt;/C&gt;&lt;D xsi:type="xsd:double"&gt;-0.831345080175099&lt;/D&gt;&lt;/FQL&gt;&lt;FQL&gt;&lt;Q&gt;ENZL^P_PRICE(0)/P_PRICE_HIGH_PR(0,,,USD,,,"PRICE","INTRA","52W")&lt;/Q&gt;&lt;R&gt;1&lt;/R&gt;&lt;C&gt;1&lt;/C&gt;&lt;D xsi:type="xsd:double"&gt;0.8828928&lt;/D&gt;&lt;/FQL&gt;&lt;FQL&gt;&lt;Q&gt;URTH^SIZE(FG_CONSTITUENTS)&lt;/Q&gt;&lt;R&gt;1&lt;/R&gt;&lt;C&gt;1&lt;/C&gt;&lt;D xsi:type="xsd:long"&gt;1469&lt;/D&gt;&lt;/FQL&gt;&lt;FQL&gt;&lt;Q&gt;CAGDPY@US^EE_ACTUAL_ANNUAL(MED,0)&lt;/Q&gt;&lt;R&gt;1&lt;/R&gt;&lt;C&gt;1&lt;/C&gt;&lt;D xsi:type="xsd:double"&gt;-2.99561673751749&lt;/D&gt;&lt;/FQL&gt;&lt;FQL&gt;&lt;Q&gt;CAGDPY@NZ^EE_ACTUAL_ANNUAL(MED,0)&lt;/Q&gt;&lt;R&gt;1&lt;/R&gt;&lt;C&gt;1&lt;/C&gt;&lt;D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xsi:type="xsd:double"&gt;1781.625&lt;/D&gt;&lt;/FQL&gt;&lt;FQL&gt;&lt;Q&gt;USDANG^FG_PRICE(0)&lt;/Q&gt;&lt;R&gt;1&lt;/R&gt;&lt;C&gt;1&lt;/C&gt;&lt;D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xsi:type="xsd:double"&gt;0.78935945&lt;/D&gt;&lt;/FQL&gt;&lt;FQL&gt;&lt;Q&gt;USDJPY^FG_PRICE(0)&lt;/Q&gt;&lt;R</t>
        </r>
      </text>
    </comment>
    <comment ref="A2" authorId="0" shapeId="0" xr:uid="{BA4C1530-4BA2-4854-AF76-A29FDFAF0F30}">
      <text>
        <r>
          <rPr>
            <b/>
            <sz val="9"/>
            <color indexed="81"/>
            <rFont val="Tahoma"/>
            <charset val="1"/>
          </rPr>
          <t>&gt;1&lt;/R&gt;&lt;C&gt;1&lt;/C&gt;&lt;D xsi:type="xsd:double"&gt;151.665&lt;/D&gt;&lt;/FQL&gt;&lt;FQL&gt;&lt;Q&gt;USDCAD^FG_PRICE(0)&lt;/Q&gt;&lt;R&gt;1&lt;/R&gt;&lt;C&gt;1&lt;/C&gt;&lt;D xsi:type="xsd:double"&gt;1.34875&lt;/D&gt;&lt;/FQL&gt;&lt;FQL&gt;&lt;Q&gt;USDNZD^FG_PRICE(0)&lt;/Q&gt;&lt;R&gt;1&lt;/R&gt;&lt;C&gt;1&lt;/C&gt;&lt;D xsi:type="xsd:double"&gt;1.6553551&lt;/D&gt;&lt;/FQL&gt;&lt;FQL&gt;&lt;Q&gt;EWI^P_PRICE_RETURNS_PR('52W',2,-10AY,0,AM)&lt;/Q&gt;&lt;R&gt;121&lt;/R&gt;&lt;C&gt;1&lt;/C&gt;&lt;D xsi:type="xsd:double"&gt;55.81771&lt;/D&gt;&lt;D xsi:type="xsd:double"&gt;41.68253&lt;/D&gt;&lt;D xsi:type="xsd:double"&gt;34.76175&lt;/D&gt;&lt;D xsi:type="xsd:double"&gt;53.476418&lt;/D&gt;&lt;D xsi:type="xsd:double"&gt;26.17147&lt;/D&gt;&lt;D xsi:type="xsd:double"&gt;26.818525&lt;/D&gt;&lt;D xsi:type="xsd:double"&gt;5.481267&lt;/D&gt;&lt;D xsi:type="xsd:double"&gt;-6.1238647&lt;/D&gt;&lt;D xsi:type="xsd:double"&gt;0.1275301&lt;/D&gt;&lt;D xsi:type="xsd:double"&gt;-9.217387&lt;/D&gt;&lt;D xsi:type="xsd:double"&gt;-6.697893&lt;/D&gt;&lt;D xsi:type="xsd:double"&gt;-10.019177&lt;/D&gt;&lt;D xsi:type="xsd:double"&gt;-12.893075&lt;/D&gt;&lt;D xsi:type="xsd:double"&gt;-12.277985&lt;/D&gt;&lt;D xsi:type="xsd:double"&gt;-9.284555&lt;/D&gt;&lt;D xsi:type="xsd:double"&gt;-13.228625&lt;/D&gt;&lt;D xsi:type="xsd:double"&gt;-4.391372&lt;/D&gt;&lt;D xsi:type="xsd:double"&gt;-10.47247&lt;/D&gt;&lt;D xsi:type="xsd:double"&gt;-0.4489839&lt;/D&gt;&lt;D xsi:type="xsd:double"&gt;4.185164&lt;/D&gt;&lt;D xsi:type="xsd:double"&gt;2.4690032&lt;/D&gt;&lt;D xsi:type="xsd:double"&gt;1.395297&lt;/D&gt;&lt;D xsi:type="xsd:double"&gt;-14.200526&lt;/D&gt;&lt;D xsi:type="xsd:double"&gt;-16.57129&lt;/D&gt;&lt;D xsi:type="xsd:double"&gt;-19.696499&lt;/D&gt;&lt;D xsi:type="xsd:double"&gt;-18.966389&lt;/D&gt;&lt;D xsi:type="xsd:double"&gt;-22.936417&lt;/D&gt;&lt;D xsi:type="xsd:double"&gt;-26.031101&lt;/D&gt;&lt;D xsi:type="xsd:double"&gt;-27.525585&lt;/D&gt;&lt;D xsi:type="xsd:double"&gt;-19.122028&lt;/D&gt;&lt;D xsi:type="xsd:double"&gt;-23.70242&lt;/D&gt;&lt;D xsi:type="xsd:double"&gt;-23.391169&lt;/D&gt;&lt;D xsi:type="xsd:double"&gt;-19.61515&lt;/D&gt;&lt;D xsi:type="xsd:double"&gt;-5.4777265&lt;/D&gt;&lt;D xsi:type="xsd:double"&gt;8.532524&lt;/D&gt;&lt;D xsi:type="xsd:double"&gt;5.9138775&lt;/D&gt;&lt;D xsi:type="xsd:double"&gt;11.443257&lt;/D&gt;&lt;D xsi:type="xsd:double"&gt;16.126871&lt;/D&gt;&lt;D xsi:type="xsd:double"&gt;22.102844&lt;/D&gt;&lt;D xsi:type="xsd:double"&gt;33.198082&lt;/D&gt;&lt;D xsi:type="xsd:double"&gt;44.502686&lt;/D&gt;&lt;D xsi:type="xsd:double"&gt;37.509872&lt;/D&gt;&lt;D xsi:type="xsd:double"&gt;45.804977&lt;/D&gt;&lt;D xsi:type="xsd:double"&gt;46.491074&lt;/D&gt;&lt;D xsi:type="xsd:double"&gt;43.20407&lt;/D&gt;&lt;D xsi:type="xsd:double"&gt;30.90427&lt;/D&gt;&lt;D xsi:type="xsd:double"&gt;41.68725&lt;/D&gt;&lt;D xsi:type="xsd:double"&gt;34.418823&lt;/D&gt;&lt;D xsi:type="xsd:double"&gt;29.672956&lt;/D&gt;&lt;D xsi:type="xsd:double"&gt;26.959455&lt;/D&gt;&lt;D xsi:type="xsd:double"&gt;9.460079&lt;/D&gt;&lt;D xsi:type="xsd:double"&gt;6.759715&lt;/D&gt;&lt;D xsi:type="xsd:double"&gt;-1.3479054&lt;/D&gt;&lt;D xsi:type="xsd:double"&gt;-6.5837326&lt;/D&gt;&lt;D xsi:type="xsd:double"&gt;-8.246696&lt;/D&gt;&lt;D xsi:type="xsd:double"&gt;-15.278572&lt;/D&gt;&lt;D xsi:type="xsd:double"&gt;-15.735883&lt;/D&gt;&lt;D xsi:type="xsd:double"&gt;-17.777222&lt;/D&gt;&lt;D xsi:type="xsd:double"&gt;-18.024467&lt;/D&gt;&lt;D xsi:type="xsd:double"&gt;-10.422718&lt;/D&gt;&lt;D xsi:type="xsd:double"&gt;-9.192699&lt;/D&gt;&lt;D xsi:type="xsd:double"&gt;-13.267631&lt;/D&gt;&lt;D xsi:type="xsd:double"&gt;-7.769382&lt;/D&gt;&lt;D xsi:type="xsd:double"&gt;2.306068&lt;/D&gt;&lt;D xsi:type="xsd:double"&gt;-2.3326337&lt;/D&gt;&lt;D xsi:type="xsd:double"&gt;4.764104&lt;/D&gt;&lt;D xsi:type="xsd:double"&gt;3.3450484&lt;/D&gt;&lt;D xsi:type="xsd:double"&gt;20.05875&lt;/D&gt;&lt;D xsi:type="xsd:double"&gt;20.518387&lt;/D&gt;&lt;D xsi:type="xsd:double"&gt;27.929592&lt;/D&gt;&lt;D xsi:type="xsd:double"&gt;17.27525&lt;/D&gt;&lt;D xsi:type="xsd:double"&gt;6.275916&lt;/D&gt;&lt;D xsi:type="xsd:double"&gt;-27.81877&lt;/D&gt;&lt;D xsi:type="xsd:double"&gt;-23.867815&lt;/D&gt;&lt;D xsi:type="xsd:double"&gt;-4.415083&lt;/D&gt;&lt;D xsi:type="xsd:double"&gt;-9.31806&lt;/D&gt;&lt;D xsi:type="xsd:double"&gt;-3.1424582&lt;/D&gt;&lt;D xsi:type="xsd:double"&gt;-5.4678917&lt;/D&gt;&lt;D xsi:type="xsd:double"&gt;-6.538457&lt;/D&gt;&lt;D xsi:type="xsd:double"&gt;-15.317756&lt;/D&gt;&lt;D xsi:type="xsd:double"&gt;2.946353&lt;/D&gt;&lt;D xsi:type="xsd:double"&gt;2.5026321&lt;/D&gt;&lt;D xsi:type="xsd:double"&gt;3.6468983&lt;/D&gt;&lt;D xsi:type="xsd:double"&gt;10.134411&lt;/D&gt;&lt;D xsi:type="xsd:double"&gt;63.152813&lt;/D&gt;&lt;D xsi:type="xsd:double"&gt;56.04212&lt;/D&gt;&lt;D xsi:type="xsd:double"&gt;41.094337&lt;/D&gt;&lt;D xsi:type="xsd:double"&gt;35.063396&lt;/D&gt;&lt;D xsi:type="xsd:double"&gt;30.02659&lt;/D&gt;&lt;D xsi:type="xsd:double"&gt;33.085884&lt;/D&gt;&lt;D xsi:type="xsd:double"&gt;32.25064&lt;/D&gt;&lt;D xsi:type="xsd:double"&gt;41.57263&lt;/D&gt;&lt;D xsi:type="xsd:double"&gt;11.24661&lt;/D&gt;&lt;D xsi:type="xsd:double"&gt;15.947235&lt;/D&gt;&lt;D xsi:type="xsd:double"&gt;12.1616955&lt;/D&gt;&lt;D xsi:type="xsd:double"&gt;-8.70803&lt;/D&gt;&lt;D xsi:type="xsd:double"&gt;-3.8243115&lt;/D&gt;&lt;D xsi:type="xsd:double"&gt;-7.9673886&lt;/D&gt;&lt;D xsi:type="xsd:double"&gt;-13.688433&lt;/D&gt;&lt;D xsi:type="xsd:double"&gt;-22.247553&lt;/D&gt;&lt;D xsi:type="xsd:double"&gt;-20.681625&lt;/D&gt;&lt;D xsi:type="xsd:double"&gt;-28.350645&lt;/D&gt;&lt;D xsi:type="xsd:double"&gt;-23.583435&lt;/D&gt;&lt;D xsi:type="xsd:double"&gt;-23.29244&lt;/D&gt;&lt;D xsi:type="xsd:double"&gt;-7.941538&lt;/D&gt;&lt;D xsi:type="xsd:double"&gt;-12.614316&lt;/D&gt;&lt;D xsi:type="xsd:double"&gt;-4.617417&lt;/D&gt;&lt;D xsi:type="xsd:double"&gt;13.257933&lt;/D&gt;&lt;D xsi:type="xsd:double"&gt;7.532215&lt;/D&gt;&lt;D xsi:type="xsd:double"&gt;15.663063&lt;/D&gt;&lt;D xsi:type="xsd:double"&gt;11.502159&lt;/D&gt;&lt;D xsi:type="xsd:double"&gt;37.198627&lt;/D&gt;&lt;D xsi:type="xsd:double"&gt;35.33162&lt;/D&gt;&lt;D xsi:type="xsd:double"&gt;44.340862&lt;/D&gt;&lt;D xsi:type="xsd:double"&gt;32.213654&lt;/D&gt;&lt;D xsi:type="xsd:double"&gt;37.17097&lt;/D&gt;&lt;D xsi:type="xsd:double"&gt;22.851658&lt;/D&gt;&lt;D xsi:type="xsd:double"&gt;24.354696&lt;/D&gt;&lt;D xsi:type="xsd:double"&gt;13.907539&lt;/D&gt;&lt;D xsi:type="xsd:double"&gt;20.953156&lt;/D&gt;&lt;D xsi:type="xsd:double"&gt;25.484253&lt;/D&gt;&lt;/FQL&gt;&lt;FQL&gt;&lt;Q&gt;EWN^FG_TOTAL_RETURNC(-10AY,0,AM)&lt;/Q&gt;&lt;R&gt;121&lt;/R&gt;&lt;C&gt;1&lt;/C&gt;&lt;D xsi:type="xsd:double"&gt;1.3639927&lt;/D&gt;&lt;D xsi:type="xsd:double"&gt;-1.7301083&lt;/D&gt;&lt;D xsi:type="xsd:double"&gt;1.3302088&lt;/D&gt;&lt;D xsi:type="xsd:double"&gt;1.8771529&lt;/D&gt;&lt;D xsi:type="xsd:double"&gt;-7.873404&lt;/D&gt;&lt;D xsi:type="xsd:double"&gt;3.5609484&lt;/D&gt;&lt;D xsi:type="xsd:double"&gt;-4.7330084&lt;/D&gt;&lt;D xsi:type="xsd:double"&gt;0.0849247&lt;/D&gt;&lt;D xsi:type="xsd:double"&gt;5.2609205&lt;/D&gt;&lt;D xsi:type="xsd:double"&gt;-3.7427902&lt;/D&gt;&lt;D xsi:type="xsd:double"&gt;0.9243727&lt;/D&gt;&lt;D xsi:type="xsd:double"&gt;6.3280582&lt;/D&gt;&lt;D xsi:type="xsd:double"&gt;1.4487028&lt;/D&gt;&lt;D xsi:type="xsd:double"&gt;1.42802&lt;/D&gt;&lt;D xsi:type="xsd:double"&gt;1.255703&lt;/D&gt;&lt;D xsi:type="xsd:double"&gt;-2.2060692&lt;/D&gt;&lt;D xsi:type="xsd:double"&gt;3.4603477&lt;/D&gt;&lt;D xsi:type="xsd:double"&gt;-10.747844&lt;/D&gt;&lt;D xsi:type="xsd:double"&gt;-0.04210472&lt;/D&gt;&lt;D xsi:type="xsd:double"&gt;5.560231&lt;/D&gt;&lt;D xsi:type="xsd:double"&gt;-2.0351171&lt;/D&gt;&lt;D xsi:type="xsd:double"&gt;-3.8932085&lt;/D&gt;&lt;D xsi:type="xsd:double"&gt;-0.7675946&lt;/D&gt;&lt;D xsi:type="xsd:double"&gt;1.6330004&lt;/D&gt;&lt;D xsi:type="xsd:double"&gt;3.551793&lt;/D&gt;&lt;D xsi:type="xsd:double"&gt;-0.69416165&lt;/D&gt;&lt;D xsi:type="xsd:double"&gt;3.7006617&lt;/D&gt;&lt;D xsi:type="xsd:double"&gt;-7.0414543&lt;/D&gt;&lt;D xsi:type="xsd:double"&gt;3.1155348&lt;/D&gt;&lt;D xsi:type="xsd:double"&gt;6.420481&lt;/D&gt;&lt;D xsi:type="xsd:double"&gt;-0.94637275&lt;/D&gt;&lt;D xsi:type="xsd:double"&gt;-4.697454&lt;/D&gt;&lt;D xsi:type="xsd:double"&gt;-3.216374&lt;/D&gt;&lt;D xsi:type="xsd:double"&gt;6.3158274&lt;/D&gt;&lt;D xsi:type="xsd:double"&gt;3.3305883&lt;/D&gt;&lt;D xsi:type="xsd:double"&gt;3.5415888&lt;/D&gt;&lt;D xsi:type="xsd:double"&gt;2.9976845&lt;/D&gt;&lt;D xsi:type="xsd:double"&gt;7.873142&lt;/D&gt;&lt;D xsi:type="xsd:double"&gt;3.3206582&lt;/D&gt;&lt;D xsi:type="xsd:double"&gt;-2.1290183&lt;/D&gt;&lt;D xsi:type="xsd:double"&gt;7.20222&lt;/D&gt;&lt;D xsi:type="xsd:double"&gt;-0.90438724&lt;/D&gt;&lt;D xsi:type="xsd:double"&gt;2.4445891&lt;/D&gt;&lt;D xsi:type="xsd:double"&gt;0.63632727&lt;/D&gt;&lt;D xsi:type="xsd:double"&gt;-0.91685057&lt;/D&gt;&lt;D xsi:type="xsd:double"&gt;3.7106276&lt;/D&gt;&lt;D xsi:type="xsd:double"&gt;2.0730257&lt;/D&gt;&lt;D xsi:type="xsd:double"&gt;-4.1830897&lt;/D&gt;&lt;D xsi:type="xsd:double"&gt;0.79089403&lt;/D&gt;&lt;D xsi:type="xsd:double"&gt;0.31386614&lt;/D&gt;&lt;D xsi:type="xsd:double"&gt;-0.40675402&lt;/D&gt;&lt;D xsi:type="xsd:double"&gt;-3.035146&lt;/D&gt;&lt;D xsi:type="xsd:double"&gt;4.21468&lt;/D&gt;&lt;D xsi:type="xsd:double"&gt;-2.7804077&lt;/D&gt;&lt;D xsi:type="xsd:double"&gt;-3.8349032&lt;/D&gt;&lt;D xsi:type="xsd:double"&gt;-3.345722&lt;/D&gt;&lt;D xsi:type="xsd:double"&gt;-1.7482519&lt;/D&gt;&lt;D xsi:type="xsd:double"&gt;-5.311304&lt;/D&gt;&lt;D xsi:type="xsd:double"&gt;7.9682827&lt;/D&gt;&lt;D xsi:type="xsd:double"&gt;3.8824797&lt;/D&gt;&lt;D xsi:type="xsd:double"&gt;3.0976415&lt;/D&gt;&lt;D xsi:type="xsd:double"&gt;3.200519&lt;/D&gt;&lt;D xsi:type="xsd:double"&gt;-4.5253158&lt;/D&gt;&lt;D xsi:type="xsd:double"&gt;6.4683676&lt;/D&gt;&lt;D xsi:type="xsd:double"&gt;-2.8070211&lt;/D&gt;&lt;D xsi:type="xsd:double"&gt;1.6409636&lt;/D&gt;&lt;D xsi:type="xsd:double"&gt;0.16144514&lt;/D&gt;&lt;D xsi:type="xsd:double"&gt;4.287553&lt;/D&gt;&lt;D xsi:type="xsd:double"&gt;0.71098804&lt;/D&gt;&lt;D xsi:type="xsd:double"&gt;4.2016625&lt;/D&gt;&lt;D xsi:type="xsd:double"&gt;-0.50281286&lt;/D&gt;&lt;D xsi:type="xsd:double"&gt;-4.5481563&lt;/D&gt;&lt;D xsi:type="xsd:double"&gt;-22.734356&lt;/D&gt;&lt;D xsi:type="xsd:double"&gt;12.132204&lt;/D&gt;&lt;D xsi:type="xsd:double"&gt;17.361618&lt;/D&gt;&lt;D xsi:type="xsd:double"&gt;2.2644043&lt;/D&gt;&lt;D xsi:type="xsd:double"&gt;4.971385&lt;/D&gt;&lt;D xsi:type="xsd:double"&gt;0.08610487&lt;/D&gt;&lt;D xsi:type="xsd:double"&gt;1.4625788&lt;/D&gt;&lt;D xsi:type="xsd:double"&gt;1.4414907&lt;/D&gt;&lt;D xsi:type="xsd:double"&gt;12.705493&lt;/D&gt;&lt;D xsi:type="xsd:double"&gt;4.1217566&lt;/D&gt;&lt;D xsi:type="xsd:double"&gt;3.9542675&lt;/D&gt;&lt;D xsi:type="xsd:double"&gt;-1.5811145&lt;/D&gt;&lt;D xsi:type="xsd:double"&gt;10.291028&lt;/D&gt;&lt;D xsi:type="xsd:double"&gt;-0.12665987&lt;/D&gt;&lt;D xsi:type="xsd:double"&gt;5.6013465&lt;/D&gt;&lt;D xsi:type="xsd:double"&gt;-2.4406314&lt;/D&gt;&lt;D xsi:type="xsd:double"&gt;4.4196725&lt;/D&gt;&lt;D xsi:type="xsd:double"&gt;6.151104&lt;/D&gt;&lt;D xsi:type="xsd:double"&gt;-9.260291&lt;/D&gt;&lt;D xsi:type="xsd:double"&gt;9.178638&lt;/D&gt;&lt;D xsi:type="xsd:double"&gt;-9.2345295&lt;/D&gt;&lt;D xsi:type="xsd:double"&gt;4.4487476&lt;/D&gt;&lt;D xsi:type="xsd:double"&gt;-8.084429&lt;/D&gt;&lt;D xsi:type="xsd:double"&gt;-16.269493&lt;/D&gt;&lt;D xsi:type="xsd:double"&gt;11.642944&lt;/D&gt;&lt;D xsi:type="xsd:double"&gt;-8.458864&lt;/D&gt;&lt;D xsi:type="xsd:double"&gt;-1.3924003&lt;/D&gt;&lt;D xsi:type="xsd:double"&gt;-9.641087&lt;/D&gt;&lt;D xsi:type="xsd:double"&gt;10.103619&lt;/D&gt;&lt;D xsi:type="xsd:double"&gt;-13.411766&lt;/D&gt;&lt;D xsi:type="xsd:double"&gt;0.12077093&lt;/D&gt;&lt;D xsi:type="xsd:double"&gt;0.46743155&lt;/D&gt;&lt;D xsi:type="xsd:double"&gt;18.267155&lt;/D&gt;&lt;D xsi:type="xsd:double"&gt;-0.42783022&lt;/D&gt;&lt;D xsi:type="xsd:double"&gt;9.823025&lt;/D&gt;&lt;D xsi:type="xsd:double"&gt;-2.428776&lt;/D&gt;&lt;D xsi:type="xsd:double"&gt;1.5557766&lt;/D&gt;&lt;D xsi:type="xsd:double"&gt;-2.0504355&lt;/D&gt;&lt;D xsi:type="xsd:double"&gt;2.694893&lt;/D&gt;&lt;D xsi:type="xsd:double"&gt;2.7551532&lt;/D&gt;&lt;D xsi:type="xsd:double"&gt;-0.09222031&lt;/D&gt;&lt;D xsi:type="xsd:double"&gt;-5.123472&lt;/D&gt;&lt;D xsi:type="xsd:double"&gt;-8.708345&lt;/D&gt;&lt;D xsi:type="xsd:double"&gt;5.2491426&lt;/D&gt;&lt;D xsi:type="xsd:double"&gt;7.0886016&lt;/D&gt;&lt;D xsi:type="xsd:double"&gt;2.2312522&lt;/D&gt;&lt;D xsi:type="xsd:double"&gt;6.7567587&lt;/D&gt;&lt;D xsi:type="xsd:double"&gt;5.7180285&lt;/D&gt;&lt;D xsi:type="xsd:double"&gt;1.5689611&lt;/D&gt;&lt;/FQL&gt;&lt;FQL&gt;&lt;Q&gt;SPY^FMA_DIV_YLD(NTMA,-10AY,0,AM,"PORTAGG","MEANR")&lt;/Q&gt;&lt;R&gt;121&lt;/R&gt;&lt;C&gt;1&lt;/C&gt;&lt;D xsi:type="xsd:double"&gt;2.17111710463843&lt;/D&gt;&lt;D xsi:type="xsd:double"&gt;2.15691568432852&lt;/D&gt;&lt;D xsi:type="xsd:double"&gt;2.12122842767783&lt;/D&gt;&lt;D xsi:type="xsd:double"&gt;2.07287838127132&lt;/D&gt;&lt;D xsi:type="xsd:double"&gt;2.14124597507789&lt;/D&gt;&lt;D xsi:type="xsd:double"&gt;2.09213857096733&lt;/D&gt;&lt;D xsi:type="xsd:double"&gt;2.13837907315852&lt;/D&gt;&lt;D xsi:type="xsd:double"&gt;2.1157293271773&lt;/D&gt;&lt;D xsi:type="xsd:double"&gt;2.07346328990957&lt;/D&gt;&lt;D xsi:type="xsd:double"&gt;2.10229323424265&lt;/D&gt;&lt;D xsi:type="xsd:double"&gt;2.15496677264422&lt;/D&gt;&lt;D xsi:type="xsd:double"&gt;2.13522159200013&lt;/D&gt;&lt;D xsi:type="xsd:double"&gt;2.18037388974949&lt;/D&gt;&lt;D xsi:type="xsd:double"&gt;2.1441308405287&lt;/D&gt;&lt;D xsi:type="xsd:double"&gt;2.17384316086199&lt;/D&gt;&lt;D xsi:type="xsd:double"&gt;2.19149921343609&lt;/D&gt;&lt;D xsi:type="xsd:double"&gt;2.2034946792876&lt;/D&gt;&lt;D xsi:type="xsd:double"&gt;2.41531906080632&lt;/D&gt;&lt;D xsi:type="xsd:double"&gt;2.38199274009803&lt;/D&gt;&lt;D xsi:type="xsd:double"&gt;2.22650609517358&lt;/D&gt;&lt;D xsi:type="xsd:double"&gt;2.2641211874548&lt;/D&gt;&lt;D xsi:type="xsd:double"&gt;2.35278634248131&lt;/D&gt;&lt;D xsi:type="xsd:double"&gt;2.45182025901469&lt;/D&gt;&lt;D xsi:type="xsd:double"&gt;2.47519773454617&lt;/D&gt;&lt;D xsi:type="xsd:double"&gt;2.29179874134034&lt;/D&gt;&lt;D xsi:type="xsd:double"&gt;2.29270141173246&lt;/D&gt;&lt;D xsi:type="xsd:double"&gt;2.27208474723715&lt;/D&gt;&lt;D xsi:type="xsd:double"&gt;2.27675912156177&lt;/D&gt;&lt;D xsi:type="xsd:double"&gt;2.22069278453994&lt;/D&gt;&lt;D xsi:type="xsd:double"&gt;2.21341278146833&lt;/D&gt;&lt;D xsi:type="xsd:double"&gt;2.24008268571098&lt;/D&gt;&lt;D xsi:type="xsd:double"&gt;2.32384116037786&lt;/D&gt;&lt;D xsi:type="xsd:double"&gt;2.22327630646496&lt;/D&gt;&lt;D xsi:type="xsd:double"&gt;2.15928731863829&lt;/D&gt;&lt;D xsi:type="xsd:double"&gt;2.15382596381122&lt;/D&gt;&lt;D xsi:type="xsd:double"&gt;2.08878190762007&lt;/D&gt;&lt;D xsi:type="xsd:double"&gt;2.12061673233943&lt;/D&gt;&lt;D xsi:type="xsd:double"&gt;2.10670285008389&lt;/D&gt;&lt;D xsi:type="xsd:double"&gt;2.07494532252397&lt;/D&gt;&lt;D xsi:type="xsd:double"&gt;2.10129944099141&lt;/D&gt;&lt;D xsi:type="xsd:double"&gt;2.08220043472711&lt;/D&gt;&lt;D xsi:type="xsd:double"&gt;2.09267262525336&lt;/D&gt;&lt;D xsi:type="xsd:double"&gt;2.04738760963883&lt;/D&gt;&lt;D xsi:type="xsd:double"&gt;2.02482466402925&lt;/D&gt;&lt;D xsi:type="xsd:double"&gt;1.97766788669361&lt;/D&gt;&lt;D xsi:type="xsd:double"&gt;1.92854772449522&lt;/D&gt;&lt;D xsi:type="xsd:double"&gt;1.92807790157411&lt;/D&gt;&lt;D xsi:type="xsd:double"&gt;2.00588531378872&lt;/D&gt;&lt;D xsi:type="xsd:double"&gt;2.05719532124281&lt;/D&gt;&lt;D xsi:type="xsd:double"&gt;2.06639210659848&lt;/D&gt;&lt;D xsi:type="xsd:double"&gt;2.01453535126737&lt;/D&gt;&lt;D xsi:type="xsd:double"&gt;2.05879959204646&lt;/D&gt;&lt;D xsi:type="xsd:double"&gt;1.98851052453935&lt;/D&gt;&lt;D xsi:type="xsd:double"&gt;1.95979248615028&lt;/D&gt;&lt;D xsi:type="xsd:double"&gt;1.96901131289838&lt;/D&gt;&lt;D xsi:type="xsd:double"&gt;2.10136678168294&lt;/D&gt;&lt;D xsi:type="xsd:double"&gt;2.13463124877442&lt;/D&gt;&lt;D xsi:type="xsd:double"&gt;2.29908188709377&lt;/D&gt;&lt;D xsi:type="xsd:double"&gt;2.14757291179803&lt;/D&gt;&lt;D xsi:type="xsd:double"&gt;2.10346520893783&lt;/D&gt;&lt;D xsi:type="xsd:double"&gt;2.06007761212581&lt;/D&gt;&lt;D xsi:type="xsd:double"&gt;2.02383841914468&lt;/D&gt;&lt;D xsi:type="xsd:double"&gt;2.13909420065111&lt;/D&gt;&lt;D xsi:type="xsd:double"&gt;2.01162769265154&lt;/D&gt;&lt;D xsi:type="xsd:double"&gt;2.06527222288341&lt;/D&gt;&lt;D xsi:type="xsd:double"&gt;2.07376501398621&lt;/D&gt;&lt;D xsi:type="xsd:double"&gt;2.07326521084105&lt;/D&gt;&lt;D xsi:type="xsd:double"&gt;2.00438008006279&lt;/D&gt;&lt;D xsi:type="xsd:double"&gt;1.99520521291437&lt;/D&gt;&lt;D xsi:type="xsd:double"&gt;1.93158711879461&lt;/D&gt;&lt;D xsi:type="xsd:double"&gt;1.91156997266389&lt;/D&gt;&lt;D xsi:type="xsd:double"&gt;2.02642969420478&lt;/D&gt;&lt;D xsi:type="xsd:double"&gt;2.5172870158118&lt;/D&gt;&lt;D xsi:type="xsd:double"&gt;2.1420957446547&lt;/D&gt;&lt;D xsi:type="xsd:double"&gt;1.93859200614727&lt;/D&gt;&lt;D xsi:type="xsd:double"&gt;1.91400207879411&lt;/D&gt;&lt;D xsi:type="xsd:double"&gt;1.79958980968267&lt;/D&gt;&lt;D xsi:type="xsd:double"&gt;1.74162276488047&lt;/D&gt;&lt;D xsi:type="xsd:double"&gt;1.7814193154933&lt;/D&gt;&lt;D xsi:type="xsd:double"&gt;1.74105011905222&lt;/D&gt;&lt;D xsi:type="xsd:double"&gt;1.62198324650601&lt;/D&gt;&lt;D xsi:type="xsd:double"&gt;1.6011557422573&lt;/D&gt;&lt;D xsi:type="xsd:double"&gt;1.54775222547872&lt;/D&gt;&lt;D xsi:type="xsd:double"&gt;1.5988423930417&lt;/D&gt;&lt;D xsi:type="xsd:double"&gt;1.50635268806466&lt;/D&gt;&lt;D xsi:type="xsd:double"&gt;1.46685066090706&lt;/D&gt;&lt;D xsi:type="xsd:double"&gt;1.45308057260711&lt;/D&gt;&lt;D xsi:type="xsd:double"&gt;1.42582413384686&lt;/D&gt;&lt;D xsi:type="xsd:double"&gt;1.4285840787504&lt;/D&gt;&lt;D xsi:type="xsd:double"&gt;1.39698851916261&lt;/D&gt;&lt;D xsi:type="xsd:double"&gt;1.47912607331039&lt;/D&gt;&lt;D xsi:type="xsd:double"&gt;1.37361284435333&lt;/D&gt;&lt;D xsi:type="xsd:double"&gt;1.41987623212625&lt;/D&gt;&lt;D xsi:type="xsd:double"&gt;1.34867906739177&lt;/D&gt;&lt;D xsi:type="xsd:double"&gt;1.45560127112607&lt;/D&gt;&lt;D xsi:type="xsd:double"&gt;1.52731176315102&lt;/D&gt;&lt;D xsi:type="xsd:double"&gt;1.43895897013191&lt;/D&gt;&lt;D xsi:type="xsd:double"&gt;1.5382845418101&lt;/D&gt;&lt;D xsi:type="xsd:double"&gt;1.6176386173021&lt;/D&gt;&lt;D xsi:type="xsd:double"&gt;1.75478221231441&lt;/D&gt;&lt;D xsi:type="xsd:double"&gt;1.62454990973672&lt;/D&gt;&lt;D xsi:type="xsd:double"&gt;1.74058806235861&lt;/D&gt;&lt;D xsi:type="xsd:double"&gt;1.80854832659045&lt;/D&gt;&lt;D xsi:type="xsd:double"&gt;1.83310410661943&lt;/D&gt;&lt;D xsi:type="xsd:double"&gt;1.69903313735057&lt;/D&gt;&lt;D xsi:type="xsd:double"&gt;1.80488291166598&lt;/D&gt;&lt;D xsi:type="xsd:double"&gt;1.69134121654891&lt;/D&gt;&lt;D xsi:type="xsd:double"&gt;1.73619171284966&lt;/D&gt;&lt;D xsi:type="xsd:double"&gt;1.72017953460072&lt;/D&gt;&lt;D xsi:type="xsd:double"&gt;1.73814246983753&lt;/D&gt;&lt;D xsi:type="xsd:double"&gt;1.65590550653637&lt;/D&gt;&lt;D xsi:type="xsd:double"&gt;1.59489562719588&lt;/D&gt;&lt;D xsi:type="xsd:double"&gt;1.5988511427456&lt;/D&gt;&lt;D xsi:type="xsd:double"&gt;1.59229479435385&lt;/D&gt;&lt;D xsi:type="xsd:double"&gt;1.70015508701414&lt;/D&gt;&lt;D xsi:type="xsd:double"&gt;1.66734526753801&lt;/D&gt;&lt;D xsi:type="xsd:double"&gt;1.59432874967421&lt;/D&gt;&lt;D xsi:type="xsd:double"&gt;1.56963221089683&lt;/D&gt;&lt;D xsi:type="xsd:double"&gt;1.50087491263132&lt;/D&gt;&lt;D xsi:type="xsd:double"&gt;1.46237681530292&lt;/D&gt;&lt;D xsi:type="xsd:double"&gt;1.4406171092898&lt;/D&gt;&lt;/FQL&gt;&lt;FQL&gt;&lt;Q&gt;EWU^FMA_PE(NTMA,-10AY,0,AM,"PORTAGG","MEANR")&lt;/Q&gt;&lt;R&gt;121&lt;/R&gt;&lt;C&gt;1&lt;/C&gt;&lt;D xsi:type="xsd:double"&gt;13.2462677818169&lt;/D&gt;&lt;D xsi:type="xsd:double"&gt;13.6001519615146&lt;/D&gt;&lt;D xsi:type="xsd:double"&gt;13.6100937018736&lt;/D&gt;&lt;D xsi:type="xsd:double"&gt;13.8295425863518&lt;/D&gt;&lt;D xsi:type="xsd:double"&gt;13.4148105526652&lt;/D&gt;&lt;D xsi:type="xsd:double"&gt;13.6038106516154&lt;/D&gt;&lt;D xsi:type="xsd:double"&gt;12.8099544815321&lt;/D&gt;&lt;D xsi:type="xsd:double"&gt;12.9963935824226&lt;/D&gt;&lt;D xsi:type="xsd:double"&gt;13.6789152635189&lt;/D&gt;&lt;D xsi:type="xsd:double"&gt;13.7274018826704&lt;/D&gt;&lt;D xsi:type="xsd:double"&gt;15.3846640106728&lt;/D&gt;&lt;D xsi:type="xsd:double"&gt;15.6543691368025&lt;/D&gt;&lt;D xsi:type="xsd:double"&gt;15.4774161276279&lt;/D&gt;&lt;D xsi:type="xsd:double"&gt;15.9728384666756&lt;/D&gt;&lt;D xsi:type="xsd:double"&gt;15.7411798929428&lt;/D&gt;&lt;D xsi:type="xsd:double"&gt;15.1399987260779&lt;/D&gt;&lt;D xsi:type="xsd:double"&gt;15.3639445839631&lt;/D&gt;&lt;D xsi:type="xsd:double"&gt;13.8779037354283&lt;/D&gt;&lt;D xsi:type="xsd:double"&gt;14.4814131553931&lt;/D&gt;&lt;D xsi:type="xsd:double"&gt;15.5046791699104&lt;/D&gt;&lt;D xsi:type="xsd:double"&gt;15.088114860838&lt;/D&gt;&lt;D xsi:type="xsd:double"&gt;14.8304301394075&lt;/D&gt;&lt;D xsi:type="xsd:double"&gt;15.262644725388&lt;/D&gt;&lt;D xsi:type="xsd:double"&gt;16.0190635420138&lt;/D&gt;&lt;D xsi:type="xsd:double"&gt;16.0702575697847&lt;/D&gt;&lt;D xsi:type="xsd:double"&gt;15.7056058055815&lt;/D&gt;&lt;D xsi:type="xsd:double"&gt;15.774831287018&lt;/D&gt;&lt;D xsi:type="xsd:double"&gt;16.1076551566143&lt;/D&gt;&lt;D xsi:type="xsd:double"&gt;16.0987715731599&lt;/D&gt;&lt;D xsi:type="xsd:double"&gt;16.2733929134538&lt;/D&gt;&lt;D xsi:type="xsd:double"&gt;15.9883278598237&lt;/D&gt;&lt;D xsi:type="xsd:double"&gt;14.3522619546099&lt;/D&gt;&lt;D xsi:type="xsd:double"&gt;14.1545278968975&lt;/D&gt;&lt;D xsi:type="xsd:double"&gt;14.4727634305462&lt;/D&gt;&lt;D xsi:type="xsd:double"&gt;14.3236830243526&lt;/D&gt;&lt;D xsi:type="xsd:double"&gt;14.4688844653649&lt;/D&gt;&lt;D xsi:type="xsd:double"&gt;14.3794981910232&lt;/D&gt;&lt;D xsi:type="xsd:double"&gt;14.3534165237601&lt;/D&gt;&lt;D xsi:type="xsd:double"&gt;14.8416697673004&lt;/D&gt;&lt;D xsi:type="xsd:double"&gt;14.5138786965978&lt;/D&gt;&lt;D xsi:type="xsd:double"&gt;14.8909741982064&lt;/D&gt;&lt;D xsi:type="xsd:double"&gt;14.6286836464253&lt;/D&gt;&lt;D xsi:type="xsd:double"&gt;14.6082211437204&lt;/D&gt;&lt;D xsi:type="xsd:double"&gt;14.5461107053146&lt;/D&gt;&lt;D xsi:type="xsd:double"&gt;14.1862749629472&lt;/D&gt;&lt;D xsi:type="xsd:double"&gt;14.7463424033308&lt;/D&gt;&lt;D xsi:type="xsd:double"&gt;14.145621020314&lt;/D&gt;&lt;D xsi:type="xsd:double"&gt;12.8099255289285&lt;/D&gt;&lt;D xsi:type="xsd:double"&gt;13.192603523636&lt;/D&gt;&lt;D xsi:type="xsd:double"&gt;13.7275503828248&lt;/D&gt;&lt;D xsi:type="xsd:double"&gt;13.6961076997536&lt;/D&gt;&lt;D xsi:type="xsd:double"&gt;13.1907166661787&lt;/D&gt;&lt;D xsi:type="xsd:double"&gt;13.1626874798717&lt;/D&gt;&lt;D xsi:type="xsd:double"&gt;12.5945186291056&lt;/D&gt;&lt;D xsi:type="xsd:double"&gt;12.6032580337546&lt;/D&gt;&lt;D xsi:type="xsd:double"&gt;11.8665666456458&lt;/D&gt;&lt;D xsi:type="xsd:double"&gt;11.7678812089743&lt;/D&gt;&lt;D xsi:type="xsd:double"&gt;11.5835868385297&lt;/D&gt;&lt;D xsi:type="xsd:double"&gt;12.2645564537277&lt;/D&gt;&lt;D xsi:type="xsd:double"&gt;12.4337731467761&lt;/D&gt;&lt;D xsi:type="xsd:double"&gt;12.7530921919556&lt;/D&gt;&lt;D xsi:type="xsd:double"&gt;12.648113795473&lt;/D&gt;&lt;D xsi:type="xsd:double"&gt;12.2178714222664&lt;/D&gt;&lt;D xsi:type="xsd:double"&gt;12.8024057061399&lt;/D&gt;&lt;D xsi:type="xsd:double"&gt;12.3144106681021&lt;/D&gt;&lt;D xsi:type="xsd:double"&gt;12.2317498539917&lt;/D&gt;&lt;D xsi:type="xsd:double"&gt;12.0724415820169&lt;/D&gt;&lt;D xsi:type="xsd:double"&gt;12.8145261214582&lt;/D&gt;&lt;D xsi:type="xsd:double"&gt;12.7884759306998&lt;/D&gt;&lt;D xsi:type="xsd:double"&gt;13.5189396280604&lt;/D&gt;&lt;D xsi:type="xsd:double"&gt;13.3256748785742&lt;/D&gt;&lt;D xsi:type="xsd:double"&gt;12.3464519785443&lt;/D&gt;&lt;D xsi:type="xsd:double"&gt;11.7545987704441&lt;/D&gt;&lt;D xsi:type="xsd:double"&gt;14.5577964264644&lt;/D&gt;&lt;D xsi:type="xsd:double"&gt;16.5052472874318&lt;/D&gt;&lt;D xsi:type="xsd:double"&gt;16.0111734699685&lt;/D&gt;&lt;D xsi:type="xsd:double"&gt;15.4915860201669&lt;/D&gt;&lt;D xsi:type="xsd:double"&gt;14.8264427530483&lt;/D&gt;&lt;D xsi:type="xsd:double"&gt;14.3894354453942&lt;/D&gt;&lt;D xsi:type="xsd:double"&gt;13.6807907956907&lt;/D&gt;&lt;D xsi:type="xsd:double"&gt;15.2025518390619&lt;/D&gt;&lt;D xsi:type="xsd:double"&gt;14.5169040764201&lt;/D&gt;&lt;D xsi:type="xsd:double"&gt;13.8398320638319&lt;/D&gt;&lt;D xsi:type="xsd:double"&gt;14.10661778962&lt;/D&gt;&lt;D xsi:type="xsd:double"&gt;13.431647037593&lt;/D&gt;&lt;D xsi:type="xsd:double"&gt;13.1300775520798&lt;/D&gt;&lt;D xsi:type="xsd:double"&gt;13.1803681263489&lt;/D&gt;&lt;D xsi:type="xsd:double"&gt;12.6943475296701&lt;/D&gt;&lt;D xsi:type="xsd:double"&gt;12.3712007275688&lt;/D&gt;&lt;D xsi:type="xsd:double"&gt;12.2419563162777&lt;/D&gt;&lt;D xsi:type="xsd:double"&gt;11.7776619527926&lt;/D&gt;&lt;D xsi:type="xsd:double"&gt;12.1260170097143&lt;/D&gt;&lt;D xsi:type="xsd:double"&gt;11.7320197099531&lt;/D&gt;&lt;D xsi:type="xsd:double"&gt;12.4070713543889&lt;/D&gt;&lt;D xsi:type="xsd:double"&gt;12.2266360997776&lt;/D&gt;&lt;D xsi:type="xsd:double"&gt;11.1822219456422&lt;/D&gt;&lt;D xsi:type="xsd:double"&gt;11.1939891562853&lt;/D&gt;&lt;D xsi:type="xsd:double"&gt;10.5465951320364&lt;/D&gt;&lt;D xsi:type="xsd:double"&gt;10.4172119471055&lt;/D&gt;&lt;D xsi:type="xsd:double"&gt;9.53875295596883&lt;/D&gt;&lt;D xsi:type="xsd:double"&gt;9.80405474421118&lt;/D&gt;&lt;D xsi:type="xsd:double"&gt;9.22014653941107&lt;/D&gt;&lt;D xsi:type="xsd:double"&gt;8.92090452824406&lt;/D&gt;&lt;D xsi:type="xsd:double"&gt;9.21074653826894&lt;/D&gt;&lt;D xsi:type="xsd:double"&gt;9.93161236465625&lt;/D&gt;&lt;D xsi:type="xsd:double"&gt;9.99167607243254&lt;/D&gt;&lt;D xsi:type="xsd:double"&gt;10.4981612295588&lt;/D&gt;&lt;D xsi:type="xsd:double"&gt;10.5444445177739&lt;/D&gt;&lt;D xsi:type="xsd:double"&gt;10.4446007269048&lt;/D&gt;&lt;D xsi:type="xsd:double"&gt;10.4975569561247&lt;/D&gt;&lt;D xsi:type="xsd:double"&gt;10.3040301855153&lt;/D&gt;&lt;D xsi:type="xsd:double"&gt;10.3552482902038&lt;/D&gt;&lt;D xsi:type="xsd:double"&gt;10.5697624650676&lt;/D&gt;&lt;D xsi:type="xsd:double"&gt;10.371577213373&lt;/D&gt;&lt;D xsi:type="xsd:double"&gt;10.1128989178502&lt;/D&gt;&lt;D xsi:type="xsd:double"&gt;10.2453737443902&lt;/D&gt;&lt;D xsi:type="xsd:double"&gt;10.5474926622283&lt;/D&gt;&lt;D xsi:type="xsd:double"&gt;11.0234643386872&lt;/D&gt;&lt;D xsi:type="xsd:double"&gt;11.0578106182054&lt;/D&gt;&lt;D xsi:type="xsd:double"&gt;11.1949218402546&lt;/D&gt;&lt;D xsi:type="xsd:double"&gt;11.4833042301006&lt;/D&gt;&lt;/FQL&gt;&lt;FQL&gt;&lt;Q&gt;EWJ^FMA_PE(LTMA,-10AY,0,AM,"PORTAGG","MEANR")&lt;/Q&gt;&lt;R&gt;121&lt;/R&gt;&lt;C&gt;1&lt;/C&gt;&lt;D xsi:type="xsd:double"&gt;15.5796693322523&lt;/D&gt;&lt;D xsi:type="xsd:double"&gt;15.2812199500938&lt;/D&gt;&lt;D xsi:type="xsd:double"&gt;15.3222103260505&lt;/D&gt;&lt;D xsi:type="xsd:double"&gt;15.3810728766151&lt;/D&gt;&lt;D xsi:type="xsd:double"&gt;15.170494544131&lt;/D&gt;&lt;D xsi:type="xsd:double"&gt;15.1377345144367&lt;/D&gt;&lt;D xsi:type="xsd:double"&gt;15.069695567942&lt;/D&gt;&lt;D xsi:type="xsd:double"&gt;15.7358656321379&lt;/D&gt;&lt;D xsi:type="xsd:double"&gt;16.1705128083748&lt;/D&gt;&lt;D xsi:type="xsd:double"&gt;15.885694894027&lt;/D&gt;&lt;D xsi:type="xsd:double"&gt;15.6108181727555&lt;/D&gt;&lt;D xsi:type="xsd:double"&gt;16.8997025629588&lt;/D&gt;&lt;D xsi:type="xsd:double"&gt;16.846137982127&lt;/D&gt;&lt;D xsi:type="xsd:double"&gt;16.874282906575&lt;/D&gt;&lt;D xsi:type="xsd:double"&gt;17.1444175773998&lt;/D&gt;&lt;D xsi:type="xsd:double"&gt;16.8303581367694&lt;/D&gt;&lt;D xsi:type="xsd:double"&gt;16.8289068810816&lt;/D&gt;&lt;D xsi:type="xsd:double"&gt;15.2574437940338&lt;/D&gt;&lt;D xsi:type="xsd:double"&gt;15.0560339317944&lt;/D&gt;&lt;D xsi:type="xsd:double"&gt;15.7240535231229&lt;/D&gt;&lt;D xsi:type="xsd:double"&gt;16.0308345788856&lt;/D&gt;&lt;D xsi:type="xsd:double"&gt;15.3296470119823&lt;/D&gt;&lt;D xsi:type="xsd:double"&gt;14.2759044732099&lt;/D&gt;&lt;D xsi:type="xsd:double"&gt;13.9379006042755&lt;/D&gt;&lt;D xsi:type="xsd:double"&gt;13.7142439212548&lt;/D&gt;&lt;D xsi:type="xsd:double"&gt;13.6427150737928&lt;/D&gt;&lt;D xsi:type="xsd:double"&gt;14.0461427162594&lt;/D&gt;&lt;D xsi:type="xsd:double"&gt;13.7030448296098&lt;/D&gt;&lt;D xsi:type="xsd:double"&gt;13.8376662261681&lt;/D&gt;&lt;D xsi:type="xsd:double"&gt;14.381164911327&lt;/D&gt;&lt;D xsi:type="xsd:double"&gt;14.2740130702519&lt;/D&gt;&lt;D xsi:type="xsd:double"&gt;14.347881767995&lt;/D&gt;&lt;D xsi:type="xsd:double"&gt;15.8579848447712&lt;/D&gt;&lt;D xsi:type="xsd:double"&gt;16.7273383672959&lt;/D&gt;&lt;D xsi:type="xsd:double"&gt;16.1498012859615&lt;/D&gt;&lt;D xsi:type="xsd:double"&gt;15.9673059796334&lt;/D&gt;&lt;D xsi:type="xsd:double"&gt;15.6747169931823&lt;/D&gt;&lt;D xsi:type="xsd:double"&gt;15.6297819494284&lt;/D&gt;&lt;D xsi:type="xsd:double"&gt;15.7743482115011&lt;/D&gt;&lt;D xsi:type="xsd:double"&gt;15.5137692104781&lt;/D&gt;&lt;D xsi:type="xsd:double"&gt;15.4156211265165&lt;/D&gt;&lt;D xsi:type="xsd:double"&gt;14.9719992262634&lt;/D&gt;&lt;D xsi:type="xsd:double"&gt;15.0895942063543&lt;/D&gt;&lt;D xsi:type="xsd:double"&gt;15.6429949377032&lt;/D&gt;&lt;D xsi:type="xsd:double"&gt;16.0097052154613&lt;/D&gt;&lt;D xsi:type="xsd:double"&gt;16.7749196023938&lt;/D&gt;&lt;D xsi:type="xsd:double"&gt;16.4463583995679&lt;/D&gt;&lt;D xsi:type="xsd:double"&gt;14.4091154825721&lt;/D&gt;&lt;D xsi:type="xsd:double"&gt;14.2276811637025&lt;/D&gt;&lt;D xsi:type="xsd:double"&gt;14.2649089849868&lt;/D&gt;&lt;D xsi:type="xsd:double"&gt;14.1618130030585&lt;/D&gt;&lt;D xsi:type="xsd:double"&gt;13.8338121460953&lt;/D&gt;&lt;D xsi:type="xsd:double"&gt;13.8175423610797&lt;/D&gt;&lt;D xsi:type="xsd:double"&gt;13.5376714590235&lt;/D&gt;&lt;D xsi:type="xsd:double"&gt;13.8677022586385&lt;/D&gt;&lt;D xsi:type="xsd:double"&gt;12.9119129900646&lt;/D&gt;&lt;D xsi:type="xsd:double"&gt;12.7275447401481&lt;/D&gt;&lt;D xsi:type="xsd:double"&gt;11.2917931477768&lt;/D&gt;&lt;D xsi:type="xsd:double"&gt;12.3089033612762&lt;/D&gt;&lt;D xsi:type="xsd:double"&gt;12.7194867487574&lt;/D&gt;&lt;D xsi:type="xsd:double"&gt;12.7457423709064&lt;/D&gt;&lt;D xsi:type="xsd:double"&gt;12.7922780881325&lt;/D&gt;&lt;D xsi:type="xsd:double"&gt;12.5674538822132&lt;/D&gt;&lt;D xsi:type="xsd:double"&gt;12.9714092832761&lt;/D&gt;&lt;D xsi:type="xsd:double"&gt;12.8584558783755&lt;/D&gt;&lt;D xsi:type="xsd:double"&gt;12.8611004554771&lt;/D&gt;&lt;D xsi:type="xsd:double"&gt;13.334998314833&lt;/D&gt;&lt;D xsi:type="xsd:double"&gt;14.0758519660482&lt;/D&gt;&lt;D xsi:type="xsd:double"&gt;14.8787135273739&lt;/D&gt;&lt;D xsi:type="xsd:double"&gt;15.3089015872559&lt;/D&gt;&lt;D xsi:type="xsd:double"&gt;15.0493895702937&lt;/D&gt;&lt;D xsi:type="xsd:double"&gt;13.9535475000269&lt;/D&gt;&lt;D xsi:type="xsd:double"&gt;13.5911684044537&lt;/D&gt;&lt;D xsi:type="xsd:double"&gt;14.2459510339768&lt;/D&gt;&lt;D xsi:type="xsd:double"&gt;16.0435328047227&lt;/D&gt;&lt;D xsi:type="xsd:double"&gt;16.8997734699806&lt;/D&gt;&lt;D xsi:type="xsd:double"&gt;17.9045269867659&lt;/D&gt;&lt;D xsi:type="xsd:double"&gt;19.1827586797866&lt;/D&gt;&lt;D xsi:type="xsd:double"&gt;19.8984990063462&lt;/D&gt;&lt;D xsi:type="xsd:double"&gt;20.6308276353861&lt;/D&gt;&lt;D xsi:type="xsd:double"&gt;22.4630208623842&lt;/D&gt;&lt;D xsi:type="xsd:double"&gt;23.4383639347662&lt;/D&gt;&lt;D xsi:type="xsd:double"&gt;23.4346969256177&lt;/D&gt;&lt;D xsi:type="xsd:double"&gt;21.5984982856813&lt;/D&gt;&lt;D xsi:type="xsd:double"&gt;21.3136891015486&lt;/D&gt;&lt;D xsi:type="xsd:double"&gt;20.6594662471133&lt;/D&gt;&lt;D xsi:type="xsd:double"&gt;20.270344746878&lt;/D&gt;&lt;D xsi:type="xsd:double"&gt;19.7943402043485&lt;/D&gt;&lt;D xsi:type="xsd:double"&gt;18.9888230955464&lt;/D&gt;&lt;D xsi:type="xsd:double"&gt;18.6774611591423&lt;/D&gt;&lt;D xsi:type="xsd:double"&gt;17.7287900586563&lt;/D&gt;&lt;D xsi:type="xsd:double"&gt;17.7591613782988&lt;/D&gt;&lt;D xsi:type="xsd:double"&gt;16.526388078343&lt;/D&gt;&lt;D xsi:type="xsd:double"&gt;16.3946335963266&lt;/D&gt;&lt;D xsi:type="xsd:double"&gt;15.2522253001004&lt;/D&gt;&lt;D xsi:type="xsd:double"&gt;14.6403459346956&lt;/D&gt;&lt;D xsi:type="xsd:double"&gt;14.6116922892142&lt;/D&gt;&lt;D xsi:type="xsd:double"&gt;14.3348252152062&lt;/D&gt;&lt;D xsi:type="xsd:double"&gt;14.2543530392571&lt;/D&gt;&lt;D xsi:type="xsd:double"&gt;13.7562360305815&lt;/D&gt;&lt;D xsi:type="xsd:double"&gt;13.8873629906813&lt;/D&gt;&lt;D xsi:type="xsd:double"&gt;13.6686075203091&lt;/D&gt;&lt;D xsi:type="xsd:double"&gt;13.2875520244616&lt;/D&gt;&lt;D xsi:type="xsd:double"&gt;13.1728811637685&lt;/D&gt;&lt;D xsi:type="xsd:double"&gt;13.3674582848007&lt;/D&gt;&lt;D xsi:type="xsd:double"&gt;12.592199380125&lt;/D&gt;&lt;D xsi:type="xsd:double"&gt;13.3921597320537&lt;/D&gt;&lt;D xsi:type="xsd:double"&gt;13.6918331763602&lt;/D&gt;&lt;D xsi:type="xsd:double"&gt;13.6890037217165&lt;/D&gt;&lt;D xsi:type="xsd:double"&gt;13.8191392390895&lt;/D&gt;&lt;D xsi:type="xsd:double"&gt;14.1522157957013&lt;/D&gt;&lt;D xsi:type="xsd:double"&gt;14.7085011966456&lt;/D&gt;&lt;D xsi:type="xsd:double"&gt;14.5572498702946&lt;/D&gt;&lt;D xsi:type="xsd:double"&gt;14.8615476670313&lt;/D&gt;&lt;D xsi:type="xsd:double"&gt;14.2975917211613&lt;/D&gt;&lt;D xsi:type="xsd:double"&gt;14.8536723522491&lt;/D&gt;&lt;D xsi:type="xsd:double"&gt;15.1144091124133&lt;/D&gt;&lt;D xsi:type="xsd:double"&gt;15.3153563680123&lt;/D&gt;&lt;D xsi:type="xsd:double"&gt;16.3773172648196&lt;/D&gt;&lt;D xsi:type="xsd:double"&gt;17.075817977688&lt;/D&gt;&lt;D xsi:type="xsd:double"&gt;16.9212740311965&lt;/D&gt;&lt;/FQL&gt;&lt;FQL&gt;&lt;Q&gt;WL-FDS^FG_PRICE_CHANGE(0,-1AY)&lt;/Q&gt;&lt;R&gt;1&lt;/R&gt;&lt;C&gt;1&lt;/C&gt;&lt;D xsi:type="xsd:double"&gt;2.18278894472363&lt;/D&gt;&lt;/FQL&gt;&lt;FQL&gt;&lt;Q&gt;NI-FDS^FG_PRICE_CHANGE(0,-1AY)&lt;/Q&gt;&lt;R&gt;1&lt;/R&gt;&lt;C&gt;1&lt;/C&gt;&lt;D xsi:type="xsd:double"&gt;-24.7926669576604&lt;/D&gt;&lt;/FQL&gt;&lt;FQL&gt;&lt;Q&gt;BRENT-FDS^FG_PRICE_CHANGE(0,-1AY)&lt;/Q&gt;&lt;R&gt;1&lt;/R&gt;&lt;C&gt;1&lt;/C&gt;&lt;D xsi:type="xsd:double"&gt;-0.486787204450623&lt;/D&gt;&lt;/FQL&gt;&lt;FQL&gt;&lt;Q&gt;TIOS-FDS^FG_PRICE_CHANGE(0,-1AY)&lt;/Q&gt;&lt;R&gt;1&lt;/R&gt;&lt;C&gt;1&lt;/C&gt;&lt;D xsi:type="xsd:double"&gt;-16.9244843646041&lt;/D&gt;&lt;/FQL&gt;&lt;FQL&gt;&lt;Q&gt;EWQ^FG_TOTAL_RETURNC(0,-6AM)&lt;/Q&gt;&lt;R&gt;1&lt;/R&gt;&lt;C&gt;1&lt;/C&gt;&lt;D xsi:type="xsd:double"&gt;17.753935&lt;/D&gt;&lt;/FQL&gt;&lt;FQL&gt;&lt;Q&gt;EWU^FMA_PCT_ABOVE_MAVG(200,0,,,,"PORTAGG")&lt;/Q&gt;&lt;R&gt;1&lt;/R&gt;&lt;C&gt;1&lt;/C&gt;&lt;D xsi:type="xsd:double"&gt;61.9047619047619&lt;/D&gt;&lt;/FQL&gt;&lt;FQL&gt;&lt;Q&gt;EWC^FG_TOTAL_RETURNC(0,-3AM)&lt;/Q&gt;&lt;R&gt;1&lt;/R&gt;&lt;C&gt;1&lt;/C&gt;&lt;D xsi:type="xsd:double"&gt;4.939282&lt;/D&gt;&lt;/FQL&gt;&lt;FQL&gt;&lt;Q&gt;SPY^FMA_ROE(NTMA,-20AY,NOW,FY,"PORTAGG","MEANR")&lt;/Q&gt;&lt;R&gt;20&lt;/R&gt;&lt;C&gt;1&lt;/C&gt;&lt;D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xsi:type="xsd:double"&gt;18.2927433760256&lt;/D&gt;&lt;D xsi:type="xsd:double"&gt;17.2288271221272&lt;/D&gt;&lt;D xsi:type="xsd:double"&gt;20.6849311032173&lt;/D&gt;&lt;D xsi:type="xsd:double"&gt;20.5966915017813&lt;/D&gt;&lt;D xsi:type="xsd:double"&gt;20.3357352039297&lt;/D&gt;&lt;/FQL&gt;&lt;FQL&gt;&lt;Q&gt;TRYAE10Y-FDS^FG_YIELD(-10AY,0,Y,,"YTM")&lt;/Q&gt;&lt;R&gt;10&lt;/R&gt;&lt;C&gt;1&lt;/C&gt;&lt;D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xsi:type="xsd:double"&gt;25.3011114335366&lt;/D&gt;&lt;/FQL&gt;&lt;FQL&gt;&lt;Q&gt;TRYMY10Y-FDS^FG_YIELD(-10AY,0,Y,,"YTM")&lt;/Q&gt;&lt;R&gt;10&lt;/R&gt;&lt;C&gt;1&lt;/C&gt;&lt;D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xsi:type="xsd:double"&gt;3.955&lt;/D&gt;&lt;/FQL&gt;&lt;FQL&gt;&lt;Q&gt;EWC^FG_PRICE_MAVG(0,,,,200)&lt;/Q&gt;&lt;R&gt;1&lt;/R&gt;&lt;C&gt;1&lt;/C&gt;&lt;D xsi:type="xsd:double"&gt;35.18635&lt;/D&gt;&lt;/FQL&gt;&lt;FQL&gt;&lt;Q&gt;FXI^PERCENT_CHANGE(FMA_EPS(+1,0,,,,"PORTAGG","MEAN"),FMA_EPS(+1,-3AM,,,,"PORTAGG","MEAN"))&lt;/Q&gt;&lt;R&gt;1&lt;/R&gt;&lt;C&gt;1&lt;/C&gt;&lt;D xsi:type="xsd:double"&gt;-1.55285202624683&lt;/D&gt;&lt;/FQL&gt;&lt;FQL&gt;&lt;Q&gt;VWO^P_PRICE(0)/P_PRICE_HIGH_PR(0,,,USD,,,"PRICE","INTRA","52W")&lt;/Q&gt;&lt;R&gt;1&lt;/R&gt;&lt;C&gt;1&lt;/C&gt;&lt;D xsi:type="xsd:double"&gt;0.974246&lt;/D&gt;&lt;/FQL&gt;&lt;FQL&gt;&lt;Q&gt;EWI^FG_TOTAL_RETURNC(0,-12AM)&lt;/Q&gt;&lt;R&gt;1&lt;/R&gt;&lt;C&gt;1&lt;/C&gt;&lt;D xsi:type="xsd:double"&gt;25.484253&lt;/D&gt;&lt;/FQL&gt;&lt;FQL&gt;&lt;Q&gt;EWD^PERCENT_CHANGE(FMA_EPS(+1,0,,,,"PORTAGG","MEAN"),FMA_EPS(+1,-1AM,,,,"PORTAGG","MEAN"))&lt;/Q&gt;&lt;R&gt;1&lt;/R&gt;&lt;C&gt;1&lt;/C&gt;&lt;D xsi:type="xsd:double"&gt;0.426859724778843&lt;/D&gt;&lt;/FQL&gt;&lt;FQL&gt;&lt;Q&gt;EWQ^FG_TOTAL_RETURNC(0,-1AM)&lt;/Q&gt;&lt;R&gt;1&lt;/R&gt;&lt;C&gt;1&lt;/C&gt;&lt;D xsi:type="xsd:double"&gt;0.96606016&lt;/D&gt;&lt;/FQL&gt;&lt;FQL&gt;&lt;Q&gt;QQQ^FG_TOTAL_RETURNC(0,-6AM)&lt;/Q&gt;&lt;R&gt;1&lt;/R&gt;&lt;C&gt;1&lt;/C&gt;&lt;D xsi:type="xsd:double"&gt;21.474695&lt;/D&gt;&lt;/FQL&gt;&lt;FQL&gt;&lt;Q&gt;EWL^P_PRICE(0)/P_PRICE_LOW_PR(0,,,USD,,,"PRICE","INTRA","52W")-1&lt;/Q&gt;&lt;R&gt;1&lt;/R&gt;&lt;C&gt;1&lt;/C&gt;&lt;D xsi:type="xsd:double"&gt;0.12803853&lt;/D&gt;&lt;/FQL&gt;&lt;FQL&gt;&lt;Q&gt;EWJ^FMA_PCT_ABOVE_MAVG(200,0,,,</t>
        </r>
      </text>
    </comment>
    <comment ref="A3" authorId="0" shapeId="0" xr:uid="{70AEC0CA-A617-4D7E-BA96-E2B2ED9F464C}">
      <text>
        <r>
          <rPr>
            <b/>
            <sz val="9"/>
            <color indexed="81"/>
            <rFont val="Tahoma"/>
            <charset val="1"/>
          </rPr>
          <t>,"PORTAGG")&lt;/Q&gt;&lt;R&gt;1&lt;/R&gt;&lt;C&gt;1&lt;/C&gt;&lt;D xsi:type="xsd:double"&gt;68.0365296803653&lt;/D&gt;&lt;/FQL&gt;&lt;FQL&gt;&lt;Q&gt;EWC^PERCENT_CHANGE(FMA_EPS(+1,0,,,,"PORTAGG","MEAN"),FMA_EPS(+1,-3AM,,,,"PORTAGG","MEAN"))&lt;/Q&gt;&lt;R&gt;1&lt;/R&gt;&lt;C&gt;1&lt;/C&gt;&lt;D xsi:type="xsd:double"&gt;-4.28552253547922&lt;/D&gt;&lt;/FQL&gt;&lt;FQL&gt;&lt;Q&gt;ENZL^FG_TOTAL_RETURNC(0,-3AM)&lt;/Q&gt;&lt;R&gt;1&lt;/R&gt;&lt;C&gt;1&lt;/C&gt;&lt;D xsi:type="xsd:double"&gt;-4.6074095&lt;/D&gt;&lt;/FQL&gt;&lt;FQL&gt;&lt;Q&gt;URTH^FMA_COS_UP("EPS","1M",+1,0,,,"PORTAGG","MEANR")&lt;/Q&gt;&lt;R&gt;1&lt;/R&gt;&lt;C&gt;1&lt;/C&gt;&lt;D xsi:type="xsd:double"&gt;557&lt;/D&gt;&lt;/FQL&gt;&lt;FQL&gt;&lt;Q&gt;EWJ^FG_ROE(0)&lt;/Q&gt;&lt;R&gt;1&lt;/R&gt;&lt;C&gt;1&lt;/C&gt;&lt;D xsi:type="xsd:double"&gt;9.82362806730387&lt;/D&gt;&lt;/FQL&gt;&lt;FQL&gt;&lt;Q&gt;TRYAU10Y-FDS^FG_YIELD_NAME&lt;/Q&gt;&lt;R&gt;1&lt;/R&gt;&lt;C&gt;1&lt;/C&gt;&lt;D xsi:type="xsd:string"&gt;Australia Benchmark Bond - 10 Year&lt;/D&gt;&lt;/FQL&gt;&lt;FQL&gt;&lt;Q&gt;REFEUREFI-FDS^FG_YIELD(NOW,,,0)&lt;/Q&gt;&lt;R&gt;1&lt;/R&gt;&lt;C&gt;1&lt;/C&gt;&lt;D xsi:type="xsd:double"&gt;4.5&lt;/D&gt;&lt;/FQL&gt;&lt;FQL&gt;&lt;Q&gt;REFFFUND-FDS^PROPER_NAME(0,,,"SECURITY","NAME")&lt;/Q&gt;&lt;R&gt;1&lt;/R&gt;&lt;C&gt;1&lt;/C&gt;&lt;D xsi:type="xsd:string"&gt;US Federal Funds Target Rate&lt;/D&gt;&lt;/FQL&gt;&lt;FQL&gt;&lt;Q&gt;REFAUCASH-FDS^(SUBARRAY(NOT_NA(NO_REPEAT_F(FG_YIELD(NOW,-10AY,D))),0,1)-SUBARRAY(NOT_NA(NO_REPEAT_F(FG_YIELD(NOW,-10AY,D))),1,1))*100&lt;/Q&gt;&lt;R&gt;1&lt;/R&gt;&lt;C&gt;1&lt;/C&gt;&lt;D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xsi:type="xsd:double"&gt;25&lt;/D&gt;&lt;/FQL&gt;&lt;FQL&gt;&lt;Q&gt;TRYUS10Y-FDS^PCTCHG(FG_YIELD(0,,,,"YTM"),FG_YIELD(-3AM,,,,"YTM"))&lt;/Q&gt;&lt;R&gt;1&lt;/R&gt;&lt;C&gt;1&lt;/C&gt;&lt;D xsi:type="xsd:double"&gt;7.772854&lt;/D&gt;&lt;/FQL&gt;&lt;FQL&gt;&lt;Q&gt;TRYUS10Y-FDS^FG_YIELD(0,,,,"YTM")&lt;/Q&gt;&lt;R&gt;1&lt;/R&gt;&lt;C&gt;1&lt;/C&gt;&lt;D xsi:type="xsd:double"&gt;4.3024&lt;/D&gt;&lt;/FQL&gt;&lt;FQL&gt;&lt;Q&gt;TRYCH10Y-FDS^FG_YIELD(0,,,,"YTM")&lt;/Q&gt;&lt;R&gt;1&lt;/R&gt;&lt;C&gt;1&lt;/C&gt;&lt;D xsi:type="xsd:double"&gt;0.722&lt;/D&gt;&lt;/FQL&gt;&lt;FQL&gt;&lt;Q&gt;CC_US^IMF_IFS_RCPI_Q(0)&lt;/Q&gt;&lt;R&gt;0&lt;/R&gt;&lt;C&gt;0&lt;/C&gt;&lt;/FQL&gt;&lt;FQL&gt;&lt;Q&gt;VGK^FMA_EVAL_EBIT(LTMA,NOW,NOW,M,"PORTAGG","MEANR")&lt;/Q&gt;&lt;R&gt;1&lt;/R&gt;&lt;C&gt;1&lt;/C&gt;&lt;D xsi:type="xsd:double"&gt;13.2087861697401&lt;/D&gt;&lt;/FQL&gt;&lt;FQL&gt;&lt;Q&gt;EWD^FG_FCF_YIELD_NTM(0)&lt;/Q&gt;&lt;R&gt;1&lt;/R&gt;&lt;C&gt;1&lt;/C&gt;&lt;D xsi:type="xsd:double"&gt;5.16205004856903&lt;/D&gt;&lt;/FQL&gt;&lt;FQL&gt;&lt;Q&gt;EWQ^FMA_PE(NTMA,0,,,"PORTAGG","MEANR")&lt;/Q&gt;&lt;R&gt;1&lt;/R&gt;&lt;C&gt;1&lt;/C&gt;&lt;D xsi:type="xsd:double"&gt;14.6382836571051&lt;/D&gt;&lt;/FQL&gt;&lt;FQL&gt;&lt;Q&gt;QQQ^JULIAN(FMA_DIV_YLD(NTMA,NOW,NOW,M,"PORTAGG","MEANR").DATES)&lt;/Q&gt;&lt;R&gt;1&lt;/R&gt;&lt;C&gt;1&lt;/C&gt;&lt;D xsi:type="xsd:long"&gt;45379&lt;/D&gt;&lt;/FQL&gt;&lt;FQL&gt;&lt;Q&gt;USDSEK^STD(FG_PRICE_CHANGE(0,-3AY,M))&lt;/Q&gt;&lt;R&gt;1&lt;/R&gt;&lt;C&gt;1&lt;/C&gt;&lt;D xsi:type="xsd:double"&gt;2.96220072588676&lt;/D&gt;&lt;/FQL&gt;&lt;FQL&gt;&lt;Q&gt;USDCHF^STD(FG_PRICE_CHANGE(0,-3AY,M))&lt;/Q&gt;&lt;R&gt;1&lt;/R&gt;&lt;C&gt;1&lt;/C&gt;&lt;D xsi:type="xsd:double"&gt;2.49013642394232&lt;/D&gt;&lt;/FQL&gt;&lt;FQL&gt;&lt;Q&gt;USDUSD^STD(FG_PRICE_CHANGE(0,-3AY,M))&lt;/Q&gt;&lt;R&gt;1&lt;/R&gt;&lt;C&gt;1&lt;/C&gt;&lt;D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xsi:type="xsd:double"&gt;2.22272008231571&lt;/D&gt;&lt;/FQL&gt;&lt;FQL&gt;&lt;Q&gt;USDAUD^STD(FG_PRICE_CHANGE(0,-3AY,M))&lt;/Q&gt;&lt;R&gt;1&lt;/R&gt;&lt;C&gt;1&lt;/C&gt;&lt;D xsi:type="xsd:double"&gt;3.07262529565013&lt;/D&gt;&lt;/FQL&gt;&lt;FQL&gt;&lt;Q&gt;EWI^FMA_EPS(NTMA,-20AY,0,CY,,"PORTAGG","MEANR")&lt;/Q&gt;&lt;R&gt;20&lt;/R&gt;&lt;C&gt;1&lt;/C&gt;&lt;D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xsi:type="xsd:double"&gt;3.81180346997282&lt;/D&gt;&lt;/FQL&gt;&lt;FQL&gt;&lt;Q&gt;EWN^P_PRICE_RETURNS_PR('52W',2,-10AY,0,AM)&lt;/Q&gt;&lt;R&gt;121&lt;/R&gt;&lt;C&gt;1&lt;/C&gt;&lt;D xsi:type="xsd:double"&gt;27.92437&lt;/D&gt;&lt;D xsi:type="xsd:double"&gt;22.22736&lt;/D&gt;&lt;D xsi:type="xsd:double"&gt;20.678986&lt;/D&gt;&lt;D xsi:type="xsd:double"&gt;26.24979&lt;/D&gt;&lt;D xsi:type="xsd:double"&gt;4.994118&lt;/D&gt;&lt;D xsi:type="xsd:double"&gt;10.203528&lt;/D&gt;&lt;D xsi:type="xsd:double"&gt;0.2631545&lt;/D&gt;&lt;D xsi:type="xsd:double"&gt;-3.7041426&lt;/D&gt;&lt;D xsi:type="xsd:double"&gt;2.476406&lt;/D&gt;&lt;D xsi:type="xsd:double"&gt;-4.6979666&lt;/D&gt;&lt;D xsi:type="xsd:double"&gt;1.342392&lt;/D&gt;&lt;D xsi:type="xsd:double"&gt;1.7083287&lt;/D&gt;&lt;D xsi:type="xsd:double"&gt;0.709188&lt;/D&gt;&lt;D xsi:type="xsd:double"&gt;5.064702&lt;/D&gt;&lt;D xsi:type="xsd:double"&gt;4.9874544&lt;/D&gt;&lt;D xsi:type="xsd:double"&gt;1.3664007&lt;/D&gt;&lt;D xsi:type="xsd:double"&gt;13.177835&lt;/D&gt;&lt;D xsi:type="xsd:double"&gt;-2.459693&lt;/D&gt;&lt;D xsi:type="xsd:double"&gt;2.34313&lt;/D&gt;&lt;D xsi:type="xsd:double"&gt;7.941985&lt;/D&gt;&lt;D xsi:type="xsd:double"&gt;0.4601121&lt;/D&gt;&lt;D xsi:type="xsd:double"&gt;0.30311346&lt;/D&gt;&lt;D xsi:type="xsd:double"&gt;-1.3784349&lt;/D&gt;&lt;D xsi:type="xsd:double"&gt;-5.7332096&lt;/D&gt;&lt;D xsi:type="xsd:double"&gt;-3.7789881&lt;/D&gt;&lt;D xsi:type="xsd:double"&gt;-5.7922306&lt;/D&gt;&lt;D xsi:type="xsd:double"&gt;-4.4510484&lt;/D&gt;&lt;D xsi:type="xsd:double"&gt;-9.170872&lt;/D&gt;&lt;D xsi:type="xsd:double"&gt;-8.593673&lt;/D&gt;&lt;D xsi:type="xsd:double"&gt;7.4507833&lt;/D&gt;&lt;D xsi:type="xsd:double"&gt;8.003056&lt;/D&gt;&lt;D xsi:type="xsd:double"&gt;-2.4919987&lt;/D&gt;&lt;D xsi:type="xsd:double"&gt;-3.5498977&lt;/D&gt;&lt;D xsi:type="xsd:double"&gt;6.565237&lt;/D&gt;&lt;D xsi:type="xsd:double"&gt;11.445177&lt;/D&gt;&lt;D xsi:type="xsd:double"&gt;13.771713&lt;/D&gt;&lt;D xsi:type="xsd:double"&gt;12.445175&lt;/D&gt;&lt;D xsi:type="xsd:double"&gt;22.146046&lt;/D&gt;&lt;D xsi:type="xsd:double"&gt;22.377777&lt;/D&gt;&lt;D xsi:type="xsd:double"&gt;28.12965&lt;/D&gt;&lt;D xsi:type="xsd:double"&gt;33.207703&lt;/D&gt;&lt;D xsi:type="xsd:double"&gt;25.774944&lt;/D&gt;&lt;D xsi:type="xsd:double"&gt;28.285385&lt;/D&gt;&lt;D xsi:type="xsd:double"&gt;34.78948&lt;/D&gt;&lt;D xsi:type="xsd:double"&gt;38.68369&lt;/D&gt;&lt;D xsi:type="xsd:double"&gt;35.28533&lt;/D&gt;&lt;D xsi:type="xsd:double"&gt;34.76502&lt;/D&gt;&lt;D xsi:type="xsd:double"&gt;25.550604&lt;/D&gt;&lt;D xsi:type="xsd:double"&gt;21.0191&lt;/D&gt;&lt;D xsi:type="xsd:double"&gt;12.538612&lt;/D&gt;&lt;D xsi:type="xsd:double"&gt;8.478653&lt;/D&gt;&lt;D xsi:type="xsd:double"&gt;7.474327&lt;/D&gt;&lt;D xsi:type="xsd:double"&gt;4.682076&lt;/D&gt;&lt;D xsi:type="xsd:double"&gt;2.5012612&lt;/D&gt;&lt;D xsi:type="xsd:double"&gt;-3.7817001&lt;/D&gt;&lt;D xsi:type="xsd:double"&gt;-7.9382124&lt;/D&gt;&lt;D xsi:type="xsd:double"&gt;-8.364355&lt;/D&gt;&lt;D xsi:type="xsd:double"&gt;-16.335875&lt;/D&gt;&lt;D xsi:type="xsd:double"&gt;-11.503821&lt;/D&gt;&lt;D xsi:type="xsd:double"&gt;-4.0544987&lt;/D&gt;&lt;D xsi:type="xsd:double"&gt;-1.8586397&lt;/D&gt;&lt;D xsi:type="xsd:double"&gt;1.6332984&lt;/D&gt;&lt;D xsi:type="xsd:double"&gt;-3.2098114&lt;/D&gt;&lt;D xsi:type="xsd:double"&gt;6.2765837&lt;/D&gt;&lt;D xsi:type="xsd:double"&gt;-0.85271&lt;/D&gt;&lt;D xsi:type="xsd:double"&gt;3.623569&lt;/D&gt;&lt;D xsi:type="xsd:double"&gt;7.9298854&lt;/D&gt;&lt;D xsi:type="xsd:double"&gt;16.453648&lt;/D&gt;&lt;D xsi:type="xsd:double"&gt;19.36847&lt;/D&gt;&lt;D xsi:type="xsd:double"&gt;34.875416&lt;/D&gt;&lt;D xsi:type="xsd:double"&gt;21.054459&lt;/D&gt;&lt;D xsi:type="xsd:double"&gt;11.23023&lt;/D&gt;&lt;D xsi:type="xsd:double"&gt;-16.571337&lt;/D&gt;&lt;D xsi:type="xsd:double"&gt;-9.424866&lt;/D&gt;&lt;D xsi:type="xsd:double"&gt;11.338878&lt;/D&gt;&lt;D xsi:type="xsd:double"&gt;7.836938&lt;/D&gt;&lt;D xsi:type="xsd:double"&gt;15.501261&lt;/D&gt;&lt;D xsi:type="xsd:double"&gt;13.734388&lt;/D&gt;&lt;D xsi:type="xsd:double"&gt;17.484247&lt;/D&gt;&lt;D xsi:type="xsd:double"&gt;12.067628&lt;/D&gt;&lt;D xsi:type="xsd:double"&gt;25.414694&lt;/D&gt;&lt;D xsi:type="xsd:double"&gt;25.318527&lt;/D&gt;&lt;D xsi:type="xsd:double"&gt;30.932283&lt;/D&gt;&lt;D xsi:type="xsd:double"&gt;35.00221&lt;/D&gt;&lt;D xsi:type="xsd:double"&gt;92.31813&lt;/D&gt;&lt;D xsi:type="xsd:double"&gt;71.63815&lt;/D&gt;&lt;D xsi:type="xsd:double"&gt;54.43909&lt;/D&gt;&lt;D xsi:type="xsd:double"&gt;47.33356&lt;/D&gt;&lt;D xsi:type="xsd:double"&gt;46.559216&lt;/D&gt;&lt;D xsi:type="xsd:double"&gt;54.730392&lt;/D&gt;&lt;D xsi:type="xsd:double"&gt;39.01297&lt;/D&gt;&lt;D xsi:type="xsd:double"&gt;49.615776&lt;/D&gt;&lt;D xsi:type="xsd:double"&gt;21.602844&lt;/D&gt;&lt;D xsi:type="xsd:double"&gt;20.868946&lt;/D&gt;&lt;D xsi:type="xsd:double"&gt;6.8714023&lt;/D&gt;&lt;D xsi:type="xsd:double"&gt;-9.078466&lt;/D&gt;&lt;D xsi:type="xsd:double"&gt;-7.963973&lt;/D&gt;&lt;D xsi:type="xsd:double"&gt;-15.642333&lt;/D&gt;&lt;D xsi:type="xsd:double"&gt;-20.368444&lt;/D&gt;&lt;D xsi:type="xsd:double"&gt;-26.87679&lt;/D&gt;&lt;D xsi:type="xsd:double"&gt;-23.07158&lt;/D&gt;&lt;D xsi:type="xsd:double"&gt;-37.342323&lt;/D&gt;&lt;D xsi:type="xsd:double"&gt;-30.761444&lt;/D&gt;&lt;D xsi:type="xsd:double"&gt;-36.28589&lt;/D&gt;&lt;D xsi:type="xsd:double"&gt;-18.317812&lt;/D&gt;&lt;D xsi:type="xsd:double"&gt;-20.856768&lt;/D&gt;&lt;D xsi:type="xsd:double"&gt;-4.7567725&lt;/D&gt;&lt;D xsi:type="xsd:double"&gt;4.335642&lt;/D&gt;&lt;D xsi:type="xsd:double"&gt;0.23733377&lt;/D&gt;&lt;D xsi:type="xsd:double"&gt;7.254553&lt;/D&gt;&lt;D xsi:type="xsd:double"&gt;9.672952&lt;/D&gt;&lt;D xsi:type="xsd:double"&gt;27.024292&lt;/D&gt;&lt;D xsi:type="xsd:double"&gt;15.261555&lt;/D&gt;&lt;D xsi:type="xsd:double"&gt;25.123346&lt;/D&gt;&lt;D xsi:type="xsd:double"&gt;15.157234&lt;/D&gt;&lt;D xsi:type="xsd:double"&gt;27.185404&lt;/D&gt;&lt;D xsi:type="xsd:double"&gt;9.235466&lt;/D&gt;&lt;D xsi:type="xsd:double"&gt;12.152613&lt;/D&gt;&lt;D xsi:type="xsd:double"&gt;7.292402&lt;/D&gt;&lt;D xsi:type="xsd:double"&gt;18.12414&lt;/D&gt;&lt;D xsi:type="xsd:double"&gt;18.13947&lt;/D&gt;&lt;/FQL&gt;&lt;FQL&gt;&lt;Q&gt;SPY^FG_TOTAL_RETURNC(-10AY,0,AM)&lt;/Q&gt;&lt;R&gt;121&lt;/R&gt;&lt;C&gt;1&lt;/C&gt;&lt;D xsi:type="xsd:double"&gt;-0.18899441&lt;/D&gt;&lt;D xsi:type="xsd:double"&gt;0.8905649&lt;/D&gt;&lt;D xsi:type="xsd:double"&gt;2.7278543&lt;/D&gt;&lt;D xsi:type="xsd:double"&gt;3.0837417&lt;/D&gt;&lt;D xsi:type="xsd:double"&gt;-2.1745682&lt;/D&gt;&lt;D xsi:type="xsd:double"&gt;3.259635&lt;/D&gt;&lt;D xsi:type="xsd:double"&gt;-1.3837814&lt;/D&gt;&lt;D xsi:type="xsd:double"&gt;2.3152828&lt;/D&gt;&lt;D xsi:type="xsd:double"&gt;3.2774687&lt;/D&gt;&lt;D xsi:type="xsd:double"&gt;-0.53023696&lt;/D&gt;&lt;D xsi:type="xsd:double"&gt;-0.6668925&lt;/D&gt;&lt;D xsi:type="xsd:double"&gt;3.023672&lt;/D&gt;&lt;D xsi:type="xsd:double"&gt;-1.3708234&lt;/D&gt;&lt;D xsi:type="xsd:double"&gt;2.366364&lt;/D&gt;&lt;D xsi:type="xsd:double"&gt;-0.5635083&lt;/D&gt;&lt;D xsi:type="xsd:double"&gt;-0.8595884&lt;/D&gt;&lt;D xsi:type="xsd:double"&gt;0.99850893&lt;/D&gt;&lt;D xsi:type="xsd:double"&gt;-8.018917&lt;/D&gt;&lt;D xsi:type="xsd:double"&gt;1.7867327&lt;/D&gt;&lt;D xsi:type="xsd:double"&gt;7.8769207&lt;/D&gt;&lt;D xsi:type="xsd:double"&gt;-0.35178065&lt;/D&gt;&lt;D xsi:type="xsd:double"&gt;-3.5221934&lt;/D&gt;&lt;D xsi:type="xsd:double"&gt;-4.6857176&lt;/D&gt;&lt;D xsi:type="xsd:double"&gt;4.6085477&lt;/D&gt;&lt;D xsi:type="xsd:double"&gt;3.4322262&lt;/D&gt;&lt;D xsi:type="xsd:double"&gt;-0.6012142&lt;/D&gt;&lt;D xsi:type="xsd:double"&gt;2.5706053&lt;/D&gt;&lt;D xsi:type="xsd:double"&gt;0.35048723&lt;/D&gt;&lt;D xsi:type="xsd:double"&gt;3.0911088&lt;/D&gt;&lt;D xsi:type="xsd:double"&gt;0.9058237&lt;/D&gt;&lt;D xsi:type="xsd:double"&gt;-1.1912405&lt;/D&gt;&lt;D xsi:type="xsd:double"&gt;-2.8554082&lt;/D&gt;&lt;D xsi:type="xsd:double"&gt;5.336845&lt;/D&gt;&lt;D xsi:type="xsd:double"&gt;3.7500143&lt;/D&gt;&lt;D xsi:type="xsd:double"&gt;1.2181163&lt;/D&gt;&lt;D xsi:type="xsd:double"&gt;3.9591908&lt;/D&gt;&lt;D xsi:type="xsd:double"&gt;-0.80263615&lt;/D&gt;&lt;D xsi:type="xsd:double"&gt;1.392901&lt;/D&gt;&lt;D xsi:type="xsd:double"&gt;2.2658706&lt;/D&gt;&lt;D xsi:type="xsd:double"&gt;-0.31903386&lt;/D&gt;&lt;D xsi:type="xsd:double"&gt;2.1468997&lt;/D&gt;&lt;D xsi:type="xsd:double"&gt;0.17379522&lt;/D&gt;&lt;D xsi:type="xsd:double"&gt;2.6526093&lt;/D&gt;&lt;D xsi:type="xsd:double"&gt;2.0895958&lt;/D&gt;&lt;D xsi:type="xsd:double"&gt;2.201593&lt;/D&gt;&lt;D xsi:type="xsd:double"&gt;3.3494234&lt;/D&gt;&lt;D xsi:type="xsd:double"&gt;1.4137983&lt;/D&gt;&lt;D xsi:type="xsd:double"&gt;-2.3125887&lt;/D&gt;&lt;D xsi:type="xsd:double"&gt;-1.6596377&lt;/D&gt;&lt;D xsi:type="xsd:double"&gt;0.933373&lt;/D&gt;&lt;D xsi:type="xsd:double"&gt;3.3380985&lt;/D&gt;&lt;D xsi:type="xsd:double"&gt;-1.0121644&lt;/D&gt;&lt;D xsi:type="xsd:double"&gt;4.688084&lt;/D&gt;&lt;D xsi:type="xsd:double"&gt;2.1896958&lt;/D&gt;&lt;D xsi:type="xsd:double"&gt;0.32471418&lt;/D&gt;&lt;D xsi:type="xsd:double"&gt;-6.0634317&lt;/D&gt;&lt;D xsi:type="xsd:double"&gt;-0.60319304&lt;/D&gt;&lt;D xsi:type="xsd:double"&gt;-6.051755&lt;/D&gt;&lt;D xsi:type="xsd:double"&gt;7.753873&lt;/D&gt;&lt;D xsi:type="xsd:double"&gt;2.7356982&lt;/D&gt;&lt;D xsi:type="xsd:double"&gt;3.2350898&lt;/D&gt;&lt;D xsi:type="xsd:double"&gt;2.3852706&lt;/D&gt;&lt;D xsi:type="xsd:double"&gt;-4.5913696&lt;/D&gt;&lt;D xsi:type="xsd:double"&gt;7.0313454&lt;/D&gt;&lt;D xsi:type="xsd:double"&gt;-2.0682693&lt;/D&gt;&lt;D xsi:type="xsd:double"&gt;0.48527718&lt;/D&gt;&lt;D xsi:type="xsd:double"&gt;0.56978464&lt;/D&gt;&lt;D xsi:type="xsd:double"&gt;4.4232965&lt;/D&gt;&lt;D xsi:type="xsd:double"&gt;1.3306379&lt;/D&gt;&lt;D xsi:type="xsd:double"&gt;4.0224195&lt;/D&gt;&lt;D xsi:type="xsd:double"&gt;2.062595&lt;/D&gt;&lt;D xsi:type="xsd:double"&gt;-4.923117&lt;/D&gt;&lt;D xsi:type="xsd:double"&gt;-20.183247&lt;/D&gt;&lt;D xsi:type="xsd:double"&gt;14.255214&lt;/D&gt;&lt;D xsi:type="xsd:double"&gt;9.800041&lt;/D&gt;&lt;D xsi:type="xsd:double"&gt;0.7233262&lt;/D&gt;&lt;D xsi:type="xsd:double"&gt;5.7105303&lt;/D&gt;&lt;D xsi:type="xsd:double"&gt;3.7902236&lt;/D&gt;&lt;D xsi:type="xsd:double"&gt;-2.1536767&lt;/D&gt;&lt;D xsi:type="xsd:double"&gt;2.9055834&lt;/D&gt;&lt;D xsi:type="xsd:double"&gt;7.6584935&lt;/D&gt;&lt;D xsi:type="xsd:double"&gt;0.14014244&lt;/D&gt;&lt;D xsi:type="xsd:double"&gt;4.718125&lt;/D&gt;&lt;D xsi:type="xsd:double"&gt;-2.4573386&lt;/D&gt;&lt;D xsi:type="xsd:double"&gt;6.696129&lt;/D&gt;&lt;D xsi:type="xsd:double"&gt;3.7467837&lt;/D&gt;&lt;D xsi:type="xsd:double"&gt;1.6794205&lt;/D&gt;&lt;D xsi:type="xsd:double"&gt;2.9716492&lt;/D&gt;&lt;D xsi:type="xsd:double"&gt;1.2127638&lt;/D&gt;&lt;D xsi:type="xsd:double"&gt;3.211987&lt;/D&gt;&lt;D xsi:type="xsd:double"&gt;-5.088091&lt;/D&gt;&lt;D xsi:type="xsd:double"&gt;8.92824&lt;/D&gt;&lt;D xsi:type="xsd:double"&gt;-2.889204&lt;/D&gt;&lt;D xsi:type="xsd:double"&gt;5.696547&lt;/D&gt;&lt;D xsi:type="xsd:double"&gt;-6.0412464&lt;/D&gt;&lt;D xsi:type="xsd:double"&gt;-3.6839783&lt;/D&gt;&lt;D xsi:type="xsd:double"&gt;6.0239553&lt;/D&gt;&lt;D xsi:type="xsd:double"&gt;-6.072676&lt;/D&gt;&lt;D xsi:type="xsd:double"&gt;-4.316407&lt;/D&gt;&lt;D xsi:type="xsd:double"&gt;-6.736702&lt;/D&gt;&lt;D xsi:type="xsd:double"&gt;8.637608&lt;/D&gt;&lt;D xsi:type="xsd:double"&gt;-5.294931&lt;/D&gt;&lt;D xsi:type="xsd:double"&gt;-3.2390893&lt;/D&gt;&lt;D xsi:type="xsd:double"&gt;-0.42860508&lt;/D&gt;&lt;D xsi:type="xsd:double"&gt;8.120096&lt;/D&gt;&lt;D xsi:type="xsd:double"&gt;-5.250871&lt;/D&gt;&lt;D xsi:type="xsd:double"&gt;7.4499726&lt;/D&gt;&lt;D xsi:type="xsd:double"&gt;-1.978904&lt;/D&gt;&lt;D xsi:type="xsd:double"&gt;1.4988899&lt;/D&gt;&lt;D xsi:type="xsd:double"&gt;-0.86622834&lt;/D&gt;&lt;D xsi:type="xsd:double"&gt;5.6253552&lt;/D&gt;&lt;D xsi:type="xsd:double"&gt;4.09528&lt;/D&gt;&lt;D xsi:type="xsd:double"&gt;0.6804943&lt;/D&gt;&lt;D xsi:type="xsd:double"&gt;0.98028183&lt;/D&gt;&lt;D xsi:type="xsd:double"&gt;-5.5439234&lt;/D&gt;&lt;D xsi:type="xsd:double"&gt;2.3618937&lt;/D&gt;&lt;D xsi:type="xsd:double"&gt;5.061078&lt;/D&gt;&lt;D xsi:type="xsd:double"&gt;2.7344108&lt;/D&gt;&lt;D xsi:type="xsd:double"&gt;5.7931066&lt;/D&gt;&lt;D xsi:type="xsd:double"&gt;3.6310315&lt;/D&gt;&lt;D xsi:type="xsd:double"&gt;0.46360493&lt;/D&gt;&lt;/FQL&gt;&lt;FQL&gt;&lt;Q&gt;EWU^FMA_DIV_YLD(NTMA,-10AY,0,AM,"PORTAGG","MEANR")&lt;/Q&gt;&lt;R&gt;121&lt;/R&gt;&lt;C&gt;1&lt;/C&gt;&lt;D xsi:type="xsd:double"&gt;3.90077181712625&lt;/D&gt;&lt;D xsi:type="xsd:double"&gt;3.819658860763&lt;/D&gt;&lt;D xsi:type="xsd:double"&gt;3.85749807500437&lt;/D&gt;&lt;D xsi:type="xsd:double"&gt;3.80061627739297&lt;/D&gt;&lt;D xsi:type="xsd:double"&gt;3.94260197358662&lt;/D&gt;&lt;D xsi:type="xsd:double"&gt;3.86572502422569&lt;/D&gt;&lt;D xsi:type="xsd:double"&gt;4.13435088218619&lt;/D&gt;&lt;D xsi:type="xsd:double"&gt;4.15355496762398&lt;/D&gt;&lt;D xsi:type="xsd:double"&gt;4.05245671817782&lt;/D&gt;&lt;D xsi:type="xsd:double"&gt;4.17006326625388&lt;/D&gt;&lt;D xsi:type="xsd:double"&gt;3.99893939948763&lt;/D&gt;&lt;D xsi:type="xsd:double"&gt;3.90998484833266&lt;/D&gt;&lt;D xsi:type="xsd:double"&gt;4.0204209325582&lt;/D&gt;&lt;D xsi:type="xsd:double"&gt;3.92039493495095&lt;/D&gt;&lt;D xsi:type="xsd:double"&gt;3.98969611277483&lt;/D&gt;&lt;D xsi:type="xsd:double"&gt;4.14420467296905&lt;/D&gt;&lt;D xsi:type="xsd:double"&gt;4.10175004844712&lt;/D&gt;&lt;D xsi:type="xsd:double"&gt;4.57520747761562&lt;/D&gt;&lt;D xsi:type="xsd:double"&gt;4.42968318466133&lt;/D&gt;&lt;D xsi:type="xsd:double"&gt;4.18908634474801&lt;/D&gt;&lt;D xsi:type="xsd:double"&gt;4.28635507854789&lt;/D&gt;&lt;D xsi:type="xsd:double"&gt;4.41464729620799&lt;/D&gt;&lt;D xsi:type="xsd:double"&gt;4.52779959067797&lt;/D&gt;&lt;D xsi:type="xsd:double"&gt;4.3451297176959&lt;/D&gt;&lt;D xsi:type="xsd:double"&gt;4.36717341094044&lt;/D&gt;&lt;D xsi:type="xsd:double"&gt;4.38409084760517&lt;/D&gt;&lt;D xsi:type="xsd:double"&gt;4.29394929485512&lt;/D&gt;&lt;D xsi:type="xsd:double"&gt;4.18327853364226&lt;/D&gt;&lt;D xsi:type="xsd:double"&gt;4.13391166742302&lt;/D&gt;&lt;D xsi:type="xsd:double"&gt;4.0356491162387&lt;/D&gt;&lt;D xsi:type="xsd:double"&gt;4.09277718252304&lt;/D&gt;&lt;D xsi:type="xsd:double"&gt;4.47265640204697&lt;/D&gt;&lt;D xsi:type="xsd:double"&gt;4.43792867253151&lt;/D&gt;&lt;D xsi:type="xsd:double"&gt;4.25376568923103&lt;/D&gt;&lt;D xsi:type="xsd:double"&gt;4.29250413560299&lt;/D&gt;&lt;D xsi:type="xsd:double"&gt;4.28452968118164&lt;/D&gt;&lt;D xsi:type="xsd:double"&gt;4.34618311197861&lt;/D&gt;&lt;D xsi:type="xsd:double"&gt;4.3640763639265&lt;/D&gt;&lt;D xsi:type="xsd:double"&gt;4.22036612470311&lt;/D&gt;&lt;D xsi:type="xsd:double"&gt;4.32356898553152&lt;/D&gt;&lt;D xsi:type="xsd:double"&gt;4.22797446184224&lt;/D&gt;&lt;D xsi:type="xsd:double"&gt;4.31442701168876&lt;/D&gt;&lt;D xsi:type="xsd:double"&gt;4.27151857857211&lt;/D&gt;&lt;D xsi:type="xsd:double"&gt;4.28615202258082&lt;/D&gt;&lt;D xsi:type="xsd:double"&gt;4.38672582669859&lt;/D&gt;&lt;D xsi:type="xsd:double"&gt;4.1881788415494&lt;/D&gt;&lt;D xsi:type="xsd:double"&gt;4.2797272394745&lt;/D&gt;&lt;D xsi:type="xsd:double"&gt;4.72587456316156&lt;/D&gt;&lt;D xsi:type="xsd:double"&gt;4.57461271827341&lt;/D&gt;&lt;D xsi:type="xsd:double"&gt;4.35461890472312&lt;/D&gt;&lt;D xsi:type="xsd:double"&gt;4.30985817033822&lt;/D&gt;&lt;D xsi:type="xsd:double"&gt;4.43552806190112&lt;/D&gt;&lt;D xsi:type="xsd:double"&gt;4.42349679681116&lt;/D&gt;&lt;D xsi:type="xsd:double"&gt;4.59321053842405&lt;/D&gt;&lt;D xsi:type="xsd:double"&gt;4.57233674344269&lt;/D&gt;&lt;D xsi:type="xsd:double"&gt;4.85250651158737&lt;/D&gt;&lt;D xsi:type="xsd:double"&gt;4.96104958244948&lt;/D&gt;&lt;D xsi:type="xsd:double"&gt;5.25680202750783&lt;/D&gt;&lt;D xsi:type="xsd:double"&gt;5.03469624008848&lt;/D&gt;&lt;D xsi:type="xsd:double"&gt;4.96630991752441&lt;/D&gt;&lt;D xsi:type="xsd:double"&gt;4.82567439292089&lt;/D&gt;&lt;D xsi:type="xsd:double"&gt;4.85246839573992&lt;/D&gt;&lt;D xsi:type="xsd:double"&gt;4.91482807960819&lt;/D&gt;&lt;D xsi:type="xsd:double"&gt;4.69962676327541&lt;/D&gt;&lt;D xsi:type="xsd:double"&gt;4.95575843656519&lt;/D&gt;&lt;D xsi:type="xsd:double"&gt;4.99293477458189&lt;/D&gt;&lt;D xsi:type="xsd:double"&gt;5.05931907495121&lt;/D&gt;&lt;D xsi:type="xsd:double"&gt;4.77249295103489&lt;/D&gt;&lt;D xsi:type="xsd:double"&gt;4.8193758926881&lt;/D&gt;&lt;D xsi:type="xsd:double"&gt;4.55360358543114&lt;/D&gt;&lt;D xsi:type="xsd:double"&gt;4.6823403143571&lt;/D&gt;&lt;D xsi:type="xsd:double"&gt;5.14502978546598&lt;/D&gt;&lt;D xsi:type="xsd:double"&gt;6.38007018563759&lt;/D&gt;&lt;D xsi:type="xsd:double"&gt;4.836052495283&lt;/D&gt;&lt;D xsi:type="xsd:double"&gt;3.95289395542081&lt;/D&gt;&lt;D xsi:type="xsd:double"&gt;4.08392480355766&lt;/D&gt;&lt;D xsi:type="xsd:double"&gt;4.00030602573784&lt;/D&gt;&lt;D xsi:type="xsd:double"&gt;4.18449642725712&lt;/D&gt;&lt;D xsi:type="xsd:double"&gt;4.23416743952931&lt;/D&gt;&lt;D xsi:type="xsd:double"&gt;4.37432164492106&lt;/D&gt;&lt;D xsi:type="xsd:double"&gt;3.84858808246676&lt;/D&gt;&lt;D xsi:type="xsd:double"&gt;3.9001017601378&lt;/D&gt;&lt;D xsi:type="xsd:double"&gt;4.06154833504394&lt;/D&gt;&lt;D xsi:type="xsd:double"&gt;3.96711984776389&lt;/D&gt;&lt;D xsi:type="xsd:double"&gt;4.04903206083814&lt;/D&gt;&lt;D xsi:type="xsd:double"&gt;3.98548356842935&lt;/D&gt;&lt;D xsi:type="xsd:double"&gt;3.88651397325149&lt;/D&gt;&lt;D xsi:type="xsd:double"&gt;3.99409262579473&lt;/D&gt;&lt;D xsi:type="xsd:double"&gt;4.1323998057081&lt;/D&gt;&lt;D xsi:type="xsd:double"&gt;4.16450288818054&lt;/D&gt;&lt;D xsi:type="xsd:double"&gt;4.21209675981142&lt;/D&gt;&lt;D xsi:type="xsd:double"&gt;4.05006875327363&lt;/D&gt;&lt;D xsi:type="xsd:double"&gt;4.10772782546683&lt;/D&gt;&lt;D xsi:type="xsd:double"&gt;3.83605265456243&lt;/D&gt;&lt;D xsi:type="xsd:double"&gt;3.83763462893458&lt;/D&gt;&lt;D xsi:type="xsd:double"&gt;4.18269312612693&lt;/D&gt;&lt;D xsi:type="xsd:double"&gt;3.97153726089232&lt;/D&gt;&lt;D xsi:type="xsd:double"&gt;4.10815404555977&lt;/D&gt;&lt;D xsi:type="xsd:double"&gt;4.06982315491196&lt;/D&gt;&lt;D xsi:type="xsd:double"&gt;4.32321531067159&lt;/D&gt;&lt;D xsi:type="xsd:double"&gt;4.18959639611317&lt;/D&gt;&lt;D xsi:type="xsd:double"&gt;4.43846751558151&lt;/D&gt;&lt;D xsi:type="xsd:double"&gt;4.52851526739591&lt;/D&gt;&lt;D xsi:type="xsd:double"&gt;4.44385866981687&lt;/D&gt;&lt;D xsi:type="xsd:double"&gt;4.21216748233736&lt;/D&gt;&lt;D xsi:type="xsd:double"&gt;4.22842057180156&lt;/D&gt;&lt;D xsi:type="xsd:double"&gt;4.09465231371574&lt;/D&gt;&lt;D xsi:type="xsd:double"&gt;4.12584156741686&lt;/D&gt;&lt;D xsi:type="xsd:double"&gt;4.20269967839824&lt;/D&gt;&lt;D xsi:type="xsd:double"&gt;4.24838601694528&lt;/D&gt;&lt;D xsi:type="xsd:double"&gt;4.35294126696343&lt;/D&gt;&lt;D xsi:type="xsd:double"&gt;4.38194774822776&lt;/D&gt;&lt;D xsi:type="xsd:double"&gt;4.38918371438911&lt;/D&gt;&lt;D xsi:type="xsd:double"&gt;4.47664163756968&lt;/D&gt;&lt;D xsi:type="xsd:double"&gt;4.60896874557973&lt;/D&gt;&lt;D xsi:type="xsd:double"&gt;4.56447506482337&lt;/D&gt;&lt;D xsi:type="xsd:double"&gt;4.42385986318664&lt;/D&gt;&lt;D xsi:type="xsd:double"&gt;4.26872076462501&lt;/D&gt;&lt;D xsi:type="xsd:double"&gt;4.29976879811539&lt;/D&gt;&lt;D xsi:type="xsd:double"&gt;4.17597441280298&lt;/D&gt;&lt;D xsi:type="xsd:double"&gt;4.04071763503896&lt;/D&gt;&lt;/FQL&gt;&lt;FQL&gt;&lt;Q&gt;EWJ^FMA_PE(NTMA,-10AY,0,AM,"PORTAGG","MEANR")&lt;/Q&gt;&lt;R&gt;121&lt;/R&gt;&lt;C&gt;1&lt;/C&gt;&lt;D xsi:type="xsd:double"&gt;13.4367439253404&lt;/D&gt;&lt;D xsi:type="xsd:double"&gt;13.0292388408046&lt;/D&gt;&lt;D xsi:type="xsd:double"&gt;13.5868482418009&lt;/D&gt;&lt;D xsi:type="xsd:double"&gt;13.9379781926158&lt;/D&gt;&lt;D xsi:type="xsd:double"&gt;13.7377112703887&lt;/D&gt;&lt;D xsi:type="xsd:double"&gt;13.7710622815259&lt;/D&gt;&lt;D xsi:type="xsd:double"&gt;13.605547455641&lt;/D&gt;&lt;D xsi:type="xsd:double"&gt;14.3855299747179&lt;/D&gt;&lt;D xsi:type="xsd:double"&gt;14.7442469456248&lt;/D&gt;&lt;D xsi:type="xsd:double"&gt;14.2217382053288&lt;/D&gt;&lt;D xsi:type="xsd:double"&gt;14.062991963231&lt;/D&gt;&lt;D xsi:type="xsd:double"&gt;15.0420221781974&lt;/D&gt;&lt;D xsi:type="xsd:double"&gt;15.3071373737643&lt;/D&gt;&lt;D xsi:type="xsd:double"&gt;15.6441413428259&lt;/D&gt;&lt;D xsi:type="xsd:double"&gt;16.2402418749483&lt;/D&gt;&lt;D xsi:type="xsd:double"&gt;15.5409536493671&lt;/D&gt;&lt;D xsi:type="xsd:double"&gt;15.5040789231642&lt;/D&gt;&lt;D xsi:type="xsd:double"&gt;13.3308657736671&lt;/D&gt;&lt;D xsi:type="xsd:double"&gt;13.2918978074689&lt;/D&gt;&lt;D xsi:type="xsd:double"&gt;14.2206006581181&lt;/D&gt;&lt;D xsi:type="xsd:double"&gt;14.4319964693314&lt;/D&gt;&lt;D xsi:type="xsd:double"&gt;13.7050380709808&lt;/D&gt;&lt;D xsi:type="xsd:double"&gt;12.7054724080409&lt;/D&gt;&lt;D xsi:type="xsd:double"&gt;13.0918787470464&lt;/D&gt;&lt;D xsi:type="xsd:double"&gt;12.4045816644422&lt;/D&gt;&lt;D xsi:type="xsd:double"&gt;12.4604476329538&lt;/D&gt;&lt;D xsi:type="xsd:double"&gt;13.4176105000418&lt;/D&gt;&lt;D xsi:type="xsd:double"&gt;12.6818555773172&lt;/D&gt;&lt;D xsi:type="xsd:double"&gt;12.993005689561&lt;/D&gt;&lt;D xsi:type="xsd:double"&gt;13.636063568928&lt;/D&gt;&lt;D xsi:type="xsd:double"&gt;13.4009374801389&lt;/D&gt;&lt;D xsi:type="xsd:double"&gt;13.3340396907029&lt;/D&gt;&lt;D xsi:type="xsd:double"&gt;14.6070228151189&lt;/D&gt;&lt;D xsi:type="xsd:double"&gt;14.9695015700192&lt;/D&gt;&lt;D xsi:type="xsd:double"&gt;14.2633100796732&lt;/D&gt;&lt;D xsi:type="xsd:double"&gt;14.3112752079332&lt;/D&gt;&lt;D xsi:type="xsd:double"&gt;13.6830274618086&lt;/D&gt;&lt;D xsi:type="xsd:double"&gt;14.0220437262967&lt;/D&gt;&lt;D xsi:type="xsd:double"&gt;14.6177589268447&lt;/D&gt;&lt;D xsi:type="xsd:double"&gt;14.2554982317049&lt;/D&gt;&lt;D xsi:type="xsd:double"&gt;14.2334736352065&lt;/D&gt;&lt;D xsi:type="xsd:double"&gt;13.7297054110204&lt;/D&gt;&lt;D xsi:type="xsd:double"&gt;14.0654554311952&lt;/D&gt;&lt;D xsi:type="xsd:double"&gt;14.8043693202298&lt;/D&gt;&lt;D xsi:type="xsd:double"&gt;14.6507717948096&lt;/D&gt;&lt;D xsi:type="xsd:double"&gt;15.0970522527145&lt;/D&gt;&lt;D xsi:type="xsd:double"&gt;14.824058295345&lt;/D&gt;&lt;D xsi:type="xsd:double"&gt;12.8016957965391&lt;/D&gt;&lt;D xsi:type="xsd:double"&gt;12.6896517314878&lt;/D&gt;&lt;D xsi:type="xsd:double"&gt;13.1840853880057&lt;/D&gt;&lt;D xsi:type="xsd:double"&gt;13.1353984427347&lt;/D&gt;&lt;D xsi:type="xsd:double"&gt;12.6573301662808&lt;/D&gt;&lt;D xsi:type="xsd:double"&gt;12.8227895061279&lt;/D&gt;&lt;D xsi:type="xsd:double"&gt;12.5541050676413&lt;/D&gt;&lt;D xsi:type="xsd:double"&gt;13.1390534663798&lt;/D&gt;&lt;D xsi:type="xsd:double"&gt;12.1167172200331&lt;/D&gt;&lt;D xsi:type="xsd:double"&gt;12.1558547598052&lt;/D&gt;&lt;D xsi:type="xsd:double"&gt;10.9548340208761&lt;/D&gt;&lt;D xsi:type="xsd:double"&gt;12.0496570667173&lt;/D&gt;&lt;D xsi:type="xsd:double"&gt;12.6676689359415&lt;/D&gt;&lt;D xsi:type="xsd:double"&gt;12.6899110220815&lt;/D&gt;&lt;D xsi:type="xsd:double"&gt;12.7487263459885&lt;/D&gt;&lt;D xsi:type="xsd:double"&gt;12.1055153803318&lt;/D&gt;&lt;D xsi:type="xsd:double"&gt;12.9190445717103&lt;/D&gt;&lt;D xsi:type="xsd:double"&gt;12.6129594482821&lt;/D&gt;&lt;D xsi:type="xsd:double"&gt;12.5626709521586&lt;/D&gt;&lt;D xsi:type="xsd:double"&gt;13.072755148729&lt;/D&gt;&lt;D xsi:type="xsd:double"&gt;13.8292926560958&lt;/D&gt;&lt;D xsi:type="xsd:double"&gt;14.3877069954385&lt;/D&gt;&lt;D xsi:type="xsd:double"&gt;14.5187266588659&lt;/D&gt;&lt;D xsi:type="xsd:double"&gt;14.1902505149806&lt;/D&gt;&lt;D xsi:type="xsd:double"&gt;12.9102023212646&lt;/D&gt;&lt;D xsi:type="xsd:double"&gt;11.7227832136561&lt;/D&gt;&lt;D xsi:type="xsd:double"&gt;13.7849355948217&lt;/D&gt;&lt;D xsi:type="xsd:double"&gt;17.1345993636563&lt;/D&gt;&lt;D xsi:type="xsd:double"&gt;17.4757353748611&lt;/D&gt;&lt;D xsi:type="xsd:double"&gt;17.706669585966&lt;/D&gt;&lt;D xsi:type="xsd:double"&gt;18.2180369490629&lt;/D&gt;&lt;D xsi:type="xsd:double"&gt;17.9011670025509&lt;/D&gt;&lt;D xsi:type="xsd:double"&gt;17.5344683537983&lt;/D&gt;&lt;D xsi:type="xsd:double"&gt;18.5712869593981&lt;/D&gt;&lt;D xsi:type="xsd:double"&gt;18.2421161528842&lt;/D&gt;&lt;D xsi:type="xsd:double"&gt;18.4614298865841&lt;/D&gt;&lt;D xsi:type="xsd:double"&gt;17.5712769243905&lt;/D&gt;&lt;D xsi:type="xsd:double"&gt;17.5855020105587&lt;/D&gt;&lt;D xsi:type="xsd:double"&gt;16.6393558439167&lt;/D&gt;&lt;D xsi:type="xsd:double"&gt;16.6345873269128&lt;/D&gt;&lt;D xsi:type="xsd:double"&gt;16.3206789894019&lt;/D&gt;&lt;D xsi:type="xsd:double"&gt;15.6295781871689&lt;/D&gt;&lt;D xsi:type="xsd:double"&gt;15.7491388400399&lt;/D&gt;&lt;D xsi:type="xsd:double"&gt;15.048137422762&lt;/D&gt;&lt;D xsi:type="xsd:double"&gt;15.5349845293086&lt;/D&gt;&lt;D xsi:type="xsd:double"&gt;14.5062800847961&lt;/D&gt;&lt;D xsi:type="xsd:double"&gt;14.7601059702731&lt;/D&gt;&lt;D xsi:type="xsd:double"&gt;13.7802966706666&lt;/D&gt;&lt;D xsi:type="xsd:double"&gt;12.7648424830763&lt;/D&gt;&lt;D xsi:type="xsd:double"&gt;13.3114409707935&lt;/D&gt;&lt;D xsi:type="xsd:double"&gt;12.8339234571208&lt;/D&gt;&lt;D xsi:type="xsd:double"&gt;12.928823403024&lt;/D&gt;&lt;D xsi:type="xsd:double"&gt;12.1577787537832&lt;/D&gt;&lt;D xsi:type="xsd:double"&gt;12.690893482835&lt;/D&gt;&lt;D xsi:type="xsd:double"&gt;12.623158184344&lt;/D&gt;&lt;D xsi:type="xsd:double"&gt;12.3501907117232&lt;/D&gt;&lt;D xsi:type="xsd:double"&gt;12.4068215564574&lt;/D&gt;&lt;D xsi:type="xsd:double"&gt;12.7461016732997&lt;/D&gt;&lt;D xsi:type="xsd:double"&gt;12.0482118989045&lt;/D&gt;&lt;D xsi:type="xsd:double"&gt;12.8646772291563&lt;/D&gt;&lt;D xsi:type="xsd:double"&gt;13.3078474964351&lt;/D&gt;&lt;D xsi:type="xsd:double"&gt;13.2997440838649&lt;/D&gt;&lt;D xsi:type="xsd:double"&gt;13.6392228390898&lt;/D&gt;&lt;D xsi:type="xsd:double"&gt;14.3054667377154&lt;/D&gt;&lt;D xsi:type="xsd:double"&gt;15.0824192673864&lt;/D&gt;&lt;D xsi:type="xsd:double"&gt;14.4414202811803&lt;/D&gt;&lt;D xsi:type="xsd:double"&gt;14.6635332505262&lt;/D&gt;&lt;D xsi:type="xsd:double"&gt;13.7191731377186&lt;/D&gt;&lt;D xsi:type="xsd:double"&gt;14.1559618982721&lt;/D&gt;&lt;D xsi:type="xsd:double"&gt;14.13494073729&lt;/D&gt;&lt;D xsi:type="xsd:double"&gt;14.0399517289689&lt;/D&gt;&lt;D xsi:type="xsd:double"&gt;14.9414828414995&lt;/D&gt;&lt;D xsi:type="xsd:double"&gt;15.7977310181971&lt;/D&gt;&lt;D xsi:type="xsd:double"&gt;15.514730653461&lt;/D&gt;&lt;/FQL&gt;&lt;FQL&gt;&lt;Q&gt;EWC^FMA_PE(LTMA,-10AY,0,AM,"PORTAGG","MEANR")&lt;/Q&gt;&lt;R&gt;121&lt;/R&gt;&lt;C&gt;1&lt;/C&gt;&lt;D xsi:type="xsd:double"&gt;16.4277853956283&lt;/D&gt;&lt;D xsi:type="xsd:double"&gt;16.374325786381&lt;/D&gt;&lt;D xsi:type="xsd:double"&gt;16.1929648993416&lt;/D&gt;&lt;D xsi:type="xsd:double"&gt;16.3289123304105&lt;/D&gt;&lt;D xsi:type="xsd:double"&gt;16.2632147956074&lt;/D&gt;&lt;D xsi:type="xsd:double"&gt;16.4672018357723&lt;/D&gt;&lt;D xsi:type="xsd:double"&gt;15.8239037173897&lt;/D&gt;&lt;D xsi:type="xsd:double"&gt;15.4701758949802&lt;/D&gt;&lt;D xsi:type="xsd:double"&gt;15.5503000572496&lt;/D&gt;&lt;D xsi:type="xsd:double"&gt;15.7070156564&lt;/D&gt;&lt;D xsi:type="xsd:double"&gt;16.1719455372154&lt;/D&gt;&lt;D xsi:type="xsd:double"&gt;17.0129997181938&lt;/D&gt;&lt;D xsi:type="xsd:double"&gt;17.095456503967&lt;/D&gt;&lt;D xsi:type="xsd:double"&gt;17.3722715313449&lt;/D&gt;&lt;D xsi:type="xsd:double"&gt;17.2369093217697&lt;/D&gt;&lt;D xsi:type="xsd:double"&gt;17.0842855539427&lt;/D&gt;&lt;D xsi:type="xsd:double"&gt;17.0369251442477&lt;/D&gt;&lt;D xsi:type="xsd:double"&gt;16.3289756829073&lt;/D&gt;&lt;D xsi:type="xsd:double"&gt;16.3797557994676&lt;/D&gt;&lt;D xsi:type="xsd:double"&gt;16.7688649740271&lt;/D&gt;&lt;D xsi:type="xsd:double"&gt;16.5771509376271&lt;/D&gt;&lt;D xsi:type="xsd:double"&gt;15.6579007267959&lt;/D&gt;&lt;D xsi:type="xsd:double"&gt;15.5497195772734&lt;/D&gt;&lt;D xsi:type="xsd:double"&gt;15.806776648673&lt;/D&gt;&lt;D xsi:type="xsd:double"&gt;15.9762520210847&lt;/D&gt;&lt;D xsi:type="xsd:double"&gt;16.301516958882&lt;/D&gt;&lt;D xsi:type="xsd:double"&gt;16.7490838649762&lt;/D&gt;&lt;D xsi:type="xsd:double"&gt;16.7934665316453&lt;/D&gt;&lt;D xsi:type="xsd:double"&gt;17.2097209866306&lt;/D&gt;&lt;D xsi:type="xsd:double"&gt;17.6838143347528&lt;/D&gt;&lt;D xsi:type="xsd:double"&gt;17.7498036694306&lt;/D&gt;&lt;D xsi:type="xsd:double"&gt;17.9708370643136&lt;/D&gt;&lt;D xsi:type="xsd:double"&gt;18.7977509765365&lt;/D&gt;&lt;D xsi:type="xsd:double"&gt;19.6417470328651&lt;/D&gt;&lt;D xsi:type="xsd:double"&gt;19.6526094006356&lt;/D&gt;&lt;D xsi:type="xsd:double"&gt;19.4084327608691&lt;/D&gt;&lt;D xsi:type="xsd:double"&gt;19.1001421299763&lt;/D&gt;&lt;D xsi:type="xsd:double"&gt;18.6826313037059&lt;/D&gt;&lt;D xsi:type="xsd:double"&gt;18.42952715946&lt;/D&gt;&lt;D xsi:type="xsd:double"&gt;18.0241574110775&lt;/D&gt;&lt;D xsi:type="xsd:double"&gt;18.0045353284545&lt;/D&gt;&lt;D xsi:type="xsd:double"&gt;17.5274265070569&lt;/D&gt;&lt;D xsi:type="xsd:double"&gt;17.6902426586131&lt;/D&gt;&lt;D xsi:type="xsd:double"&gt;17.4996441700455&lt;/D&gt;&lt;D xsi:type="xsd:double"&gt;17.2185018914301&lt;/D&gt;&lt;D xsi:type="xsd:double"&gt;17.4394824755236&lt;/D&gt;&lt;D xsi:type="xsd:double"&gt;16.3939027219064&lt;/D&gt;&lt;D xsi:type="xsd:double"&gt;15.8114070627831&lt;/D&gt;&lt;D xsi:type="xsd:double"&gt;15.6198928641047&lt;/D&gt;&lt;D xsi:type="xsd:double"&gt;15.5888812557178&lt;/D&gt;&lt;D xsi:type="xsd:double"&gt;15.5250481268711&lt;/D&gt;&lt;D xsi:type="xsd:double"&gt;15.464265835349&lt;/D&gt;&lt;D xsi:type="xsd:double"&gt;15.4898696571682&lt;/D&gt;&lt;D xsi:type="xsd:double"&gt;15.153028687669&lt;/D&gt;&lt;D xsi:type="xsd:double"&gt;15.0016635363752&lt;/D&gt;&lt;D xsi:type="xsd:double"&gt;14.2201797377882&lt;/D&gt;&lt;D xsi:type="xsd:double"&gt;13.9417337044614&lt;/D&gt;&lt;D xsi:type="xsd:double"&gt;13.2373247902731&lt;/D&gt;&lt;D xsi:type="xsd:double"&gt;14.6195787736894&lt;/D&gt;&lt;D xsi:type="xsd:double"&gt;14.7263630274139&lt;/D&gt;&lt;D xsi:type="xsd:double"&gt;14.7452976828294&lt;/D&gt;&lt;D xsi:type="xsd:double"&gt;14.6032994608244&lt;/D&gt;&lt;D xsi:type="xsd:double"&gt;14.4105210837952&lt;/D&gt;&lt;D xsi:type="xsd:double"&gt;14.5470594711168&lt;/D&gt;&lt;D xsi:type="xsd:double"&gt;14.3726991654181&lt;/D&gt;&lt;D xsi:type="xsd:double"&gt;14.4474859429443&lt;/D&gt;&lt;D xsi:type="xsd:double"&gt;14.5155283080125&lt;/D&gt;&lt;D xsi:type="xsd:double"&gt;14.907855307535&lt;/D&gt;&lt;D xsi:type="xsd:double"&gt;14.9815503581764&lt;/D&gt;&lt;D xsi:type="xsd:double"&gt;15.2569832294954&lt;/D&gt;&lt;D xsi:type="xsd:double"&gt;15.5367709968033&lt;/D&gt;&lt;D xsi:type="xsd:double"&gt;14.4683396357362&lt;/D&gt;&lt;D xsi:type="xsd:double"&gt;14.1660934537007&lt;/D&gt;&lt;D xsi:type="xsd:double"&gt;15.6866160105218&lt;/D&gt;&lt;D xsi:type="xsd:double"&gt;17.1128878068767&lt;/D&gt;&lt;D xsi:type="xsd:double"&gt;17.4247691451461&lt;/D&gt;&lt;D xsi:type="xsd:double"&gt;18.1964896724324&lt;/D&gt;&lt;D xsi:type="xsd:double"&gt;18.1013456003587&lt;/D&gt;&lt;D xsi:type="xsd:double"&gt;18.4059117213452&lt;/D&gt;&lt;D xsi:type="xsd:double"&gt;18.4312175495254&lt;/D&gt;&lt;D xsi:type="xsd:double"&gt;20.0369285715154&lt;/D&gt;&lt;D xsi:type="xsd:double"&gt;20.5969012920507&lt;/D&gt;&lt;D xsi:type="xsd:double"&gt;20.8641443092447&lt;/D&gt;&lt;D xsi:type="xsd:double"&gt;19.9152642303619&lt;/D&gt;&lt;D xsi:type="xsd:double"&gt;19.6112449968824&lt;/D&gt;&lt;D xsi:type="xsd:double"&gt;19.1746888291518&lt;/D&gt;&lt;D xsi:type="xsd:double"&gt;18.7762277565505&lt;/D&gt;&lt;D xsi:type="xsd:double"&gt;18.4301547295925&lt;/D&gt;&lt;D xsi:type="xsd:double"&gt;17.7212986576671&lt;/D&gt;&lt;D xsi:type="xsd:double"&gt;17.2307850610811&lt;/D&gt;&lt;D xsi:type="xsd:double"&gt;16.3230143910268&lt;/D&gt;&lt;D xsi:type="xsd:double"&gt;16.6710607552959&lt;/D&gt;&lt;D xsi:type="xsd:double"&gt;15.4860500993552&lt;/D&gt;&lt;D xsi:type="xsd:double"&gt;15.4072578603303&lt;/D&gt;&lt;D xsi:type="xsd:double"&gt;15.4053006106557&lt;/D&gt;&lt;D xsi:type="xsd:double"&gt;15.241983480752&lt;/D&gt;&lt;D xsi:type="xsd:double"&gt;15.0457098602895&lt;/D&gt;&lt;D xsi:type="xsd:double"&gt;14.6099308225907&lt;/D&gt;&lt;D xsi:type="xsd:double"&gt;14.2639868085087&lt;/D&gt;&lt;D xsi:type="xsd:double"&gt;13.4335584086702&lt;/D&gt;&lt;D xsi:type="xsd:double"&gt;13.2266529697451&lt;/D&gt;&lt;D xsi:type="xsd:double"&gt;12.7701419947638&lt;/D&gt;&lt;D xsi:type="xsd:double"&gt;12.5512527258382&lt;/D&gt;&lt;D xsi:type="xsd:double"&gt;12.4251735409757&lt;/D&gt;&lt;D xsi:type="xsd:double"&gt;12.8844391541457&lt;/D&gt;&lt;D xsi:type="xsd:double"&gt;12.1523460871622&lt;/D&gt;&lt;D xsi:type="xsd:double"&gt;12.9204737630084&lt;/D&gt;&lt;D xsi:type="xsd:double"&gt;12.6284457678431&lt;/D&gt;&lt;D xsi:type="xsd:double"&gt;12.6861018874315&lt;/D&gt;&lt;D xsi:type="xsd:double"&gt;12.7339087787611&lt;/D&gt;&lt;D xsi:type="xsd:double"&gt;12.8953621101637&lt;/D&gt;&lt;D xsi:type="xsd:double"&gt;13.051981126626&lt;/D&gt;&lt;D xsi:type="xsd:double"&gt;13.4146178950906&lt;/D&gt;&lt;D xsi:type="xsd:double"&gt;13.659225175889&lt;/D&gt;&lt;D xsi:type="xsd:double"&gt;13.0133375855118&lt;/D&gt;&lt;D xsi:type="xsd:double"&gt;13.4837938998873&lt;/D&gt;&lt;D xsi:type="xsd:double"&gt;13.9992623852342&lt;/D&gt;&lt;D xsi:type="xsd:double"&gt;14.5459823743817&lt;/D&gt;&lt;D xsi:type="xsd:double"&gt;14.6713799631493&lt;/D&gt;&lt;D xsi:type="xsd:double"&gt;14.8818201403529&lt;/D&gt;&lt;D xsi:type="xsd:double"&gt;14.9556919515037&lt;/D&gt;&lt;/FQL&gt;&lt;FQL&gt;&lt;Q&gt;WL-FDS^FG_PRICE_CHANGE(0,-3AM)&lt;/Q&gt;&lt;R&gt;1&lt;/R&gt;&lt;C&gt;1&lt;/C&gt;&lt;D xsi:type="xsd:double"&gt;7.1816834129468&lt;/D&gt;&lt;/FQL&gt;&lt;FQL&gt;&lt;Q&gt;NI-FDS^FG_PRICE_CHANGE(0,-3AM)&lt;/Q&gt;&lt;R&gt;1&lt;/R&gt;&lt;C&gt;1&lt;/C&gt;&lt;D xsi:type="xsd:double"&gt;7.51950078003121&lt;/D&gt;&lt;/FQL&gt;&lt;FQL&gt;&lt;Q&gt;CPALM-FDS^FG_PRICE_CHANGE(0,-3AM)&lt;/Q&gt;&lt;R&gt;1&lt;/R&gt;&lt;C&gt;1&lt;/C&gt;&lt;D xsi:type="xsd:double"&gt;24.2399565689468&lt;/D&gt;&lt;/FQL&gt;&lt;FQL&gt;&lt;Q&gt;BRENT-FDS^FG_PRICE_CHANGE(0,-3AM)&lt;/Q&gt;&lt;R&gt;1&lt;/R&gt;&lt;C&gt;1&lt;/C&gt;&lt;D xsi:type="xsd:double"&gt;0&lt;/D&gt;&lt;/FQL&gt;&lt;FQL&gt;&lt;Q&gt;TIOS-FDS^FG_PRICE_CHANGE(0,-3AM)&lt;/Q&gt;&lt;R&gt;1&lt;/R&gt;&lt;C&gt;1&lt;/C&gt;&lt;D xsi:type="xsd:double"&gt;-30.1224204267226&lt;/D&gt;&lt;/FQL&gt;&lt;FQL&gt;&lt;Q&gt;FC0000CH^FG_PRICE(0)&lt;/Q&gt;&lt;R&gt;1&lt;/R&gt;&lt;C&gt;1&lt;/C&gt;&lt;D xsi:type="xsd:double"&gt;321.37314&lt;/D&gt;&lt;/FQL&gt;&lt;FQL&gt;&lt;Q&gt;FC0000AU^FG_PRICE(0)&lt;/Q&gt;&lt;R&gt;1&lt;/R&gt;&lt;C&gt;1&lt;/C&gt;&lt;D xsi:type="xsd:double"&gt;362.3364&lt;/D&gt;&lt;/FQL&gt;&lt;FQL&gt;&lt;Q&gt;EWN^FG_PRICE_MAVG(0,,,,200)&lt;/Q&gt;&lt;R&gt;1&lt;/R&gt;&lt;C&gt;1&lt;/C&gt;&lt;D xsi:type="xsd:double"&gt;43.055553&lt;/D&gt;&lt;/FQL&gt;&lt;FQL&gt;&lt;Q&gt;EWU^FG_PRICE_MAVG(0,,,,200)&lt;/Q&gt;&lt;R&gt;1&lt;/R&gt;&lt;C&gt;1&lt;/C&gt;&lt;D xsi:type="xsd:double"&gt;32.34135&lt;/D&gt;&lt;/FQL&gt;&lt;FQL&gt;&lt;Q&gt;DUMMY^ECON_EXPR_DATA('FDS_ECON[NTCPMIMFGSA@JP]',03/2024,,M)&lt;/Q&gt;&lt;R&gt;1&lt;/R&gt;&lt;C&gt;1&lt;/C&gt;&lt;D xsi:type="xsd:double"&gt;48.224022&lt;/D&gt;&lt;/FQL&gt;&lt;FQL&gt;&lt;Q&gt;EWJ^FG_TOTAL_RETURNC(0,-3AM)&lt;/Q&gt;&lt;R&gt;1&lt;/R&gt;&lt;C&gt;1&lt;/C&gt;&lt;D xsi:type="xsd:double"&gt;10.482073&lt;/D&gt;&lt;/FQL&gt;&lt;FQL&gt;&lt;Q&gt;EWQ^SIZE(FG_CONSTITUENTS)&lt;/Q&gt;&lt;R&gt;1&lt;/R&gt;&lt;C&gt;1&lt;/C&gt;&lt;D xsi:type="xsd:long"&gt;63&lt;/D&gt;&lt;/FQL&gt;&lt;FQL&gt;&lt;Q&gt;EWJ^FMA_COS_DOWN("EPS","1M",+1,0,,,"PORTAGG","MEANR")&lt;/Q&gt;&lt;R&gt;1&lt;/R&gt;&lt;C&gt;1&lt;/C&gt;&lt;D xsi:type="xsd:double"&gt;90&lt;/D&gt;&lt;/FQL&gt;&lt;FQL&gt;&lt;Q&gt;QQQ^FMA_RBICS_REV_CURRENT(30, LOC, "PORTAGG")&lt;/Q&gt;&lt;R&gt;1&lt;/R&gt;&lt;C&gt;1&lt;/C&gt;&lt;D xsi:type="xsd:double"&gt;0.861039068445162&lt;/D&gt;&lt;/FQL&gt;&lt;FQL&gt;&lt;Q&gt;EWU^FMA_ROE(NTMA,-20AY,NOW,FY,"PORTAGG","MEANR")&lt;/Q&gt;&lt;R&gt;20&lt;/R&gt;&lt;C&gt;1&lt;/C&gt;&lt;D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xsi:type="xsd:double"&gt;12.8710545012496&lt;/D&gt;&lt;D xsi:type="xsd:double"&gt;11.2050609808234&lt;/D&gt;&lt;D xsi:type="xsd:double"&gt;13.9227699470217&lt;/D&gt;&lt;D xsi:type="xsd:double"&gt;15.8587444123321&lt;/D&gt;&lt;D xsi:type="xsd:double"&gt;14.732463877154&lt;/D&gt;&lt;/FQL&gt;&lt;FQL&gt;&lt;Q&gt;TRYMX10Y-FDS^FG_YIELD(-10AY,0,Y,,"YTM")&lt;/Q&gt;&lt;R&gt;10&lt;/R&gt;&lt;C&gt;1&lt;/C&gt;&lt;D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xsi:type="xsd:double"&gt;6.6087&lt;/D&gt;&lt;/FQL&gt;&lt;FQL&gt;&lt;Q&gt;E</t>
        </r>
      </text>
    </comment>
    <comment ref="A4" authorId="0" shapeId="0" xr:uid="{7EE0AC4F-C0C4-44EF-98EB-1E883C73E1FC}">
      <text>
        <r>
          <rPr>
            <b/>
            <sz val="9"/>
            <color indexed="81"/>
            <rFont val="Tahoma"/>
            <charset val="1"/>
          </rPr>
          <t>WJ^FG_TOTAL_RETURNC(0,-1AM)&lt;/Q&gt;&lt;R&gt;1&lt;/R&gt;&lt;C&gt;1&lt;/C&gt;&lt;D xsi:type="xsd:double"&gt;-0.35755038&lt;/D&gt;&lt;/FQL&gt;&lt;FQL&gt;&lt;Q&gt;VWO^FG_TOTAL_RETURNC(0,-6AM)&lt;/Q&gt;&lt;R&gt;1&lt;/R&gt;&lt;C&gt;1&lt;/C&gt;&lt;D xsi:type="xsd:double"&gt;11.775875&lt;/D&gt;&lt;/FQL&gt;&lt;FQL&gt;&lt;Q&gt;EWI^P_PRICE(0)/P_PRICE_LOW_PR(0,,,USD,,,"PRICE","INTRA","52W")-1&lt;/Q&gt;&lt;R&gt;1&lt;/R&gt;&lt;C&gt;1&lt;/C&gt;&lt;D xsi:type="xsd:double"&gt;0.27727044&lt;/D&gt;&lt;/FQL&gt;&lt;FQL&gt;&lt;Q&gt;QQQ^FG_TOTAL_RETURNC(0,-3AM)&lt;/Q&gt;&lt;R&gt;1&lt;/R&gt;&lt;C&gt;1&lt;/C&gt;&lt;D xsi:type="xsd:double"&gt;10.0006695&lt;/D&gt;&lt;/FQL&gt;&lt;FQL&gt;&lt;Q&gt;EWG^FG_TOTAL_RETURNC(0,-12AM)&lt;/Q&gt;&lt;R&gt;1&lt;/R&gt;&lt;C&gt;1&lt;/C&gt;&lt;D xsi:type="xsd:double"&gt;12.467098&lt;/D&gt;&lt;/FQL&gt;&lt;FQL&gt;&lt;Q&gt;EWC^PERCENT_CHANGE(FMA_EPS(+1,0,,,,"PORTAGG","MEAN"),FMA_EPS(+1,-1AM,,,,"PORTAGG","MEAN"))&lt;/Q&gt;&lt;R&gt;1&lt;/R&gt;&lt;C&gt;1&lt;/C&gt;&lt;D xsi:type="xsd:double"&gt;0.356671025132107&lt;/D&gt;&lt;/FQL&gt;&lt;FQL&gt;&lt;Q&gt;VWO^SIZE(FG_CONSTITUENTS)&lt;/Q&gt;&lt;R&gt;1&lt;/R&gt;&lt;C&gt;1&lt;/C&gt;&lt;D xsi:type="xsd:long"&gt;4715&lt;/D&gt;&lt;/FQL&gt;&lt;FQL&gt;&lt;Q&gt;EWJ^FMA_COS_UP("EPS","1M",+1,0,,,"PORTAGG","MEANR")&lt;/Q&gt;&lt;R&gt;1&lt;/R&gt;&lt;C&gt;1&lt;/C&gt;&lt;D xsi:type="xsd:double"&gt;108&lt;/D&gt;&lt;/FQL&gt;&lt;FQL&gt;&lt;Q&gt;EWU^FMA_RBICS_REV_CURRENT(30, LOC, "PORTAGG")&lt;/Q&gt;&lt;R&gt;1&lt;/R&gt;&lt;C&gt;1&lt;/C&gt;&lt;D xsi:type="xsd:double"&gt;17.7139371648032&lt;/D&gt;&lt;/FQL&gt;&lt;FQL&gt;&lt;Q&gt;TRYNZ10Y-FDS^FG_YIELD_NAME&lt;/Q&gt;&lt;R&gt;1&lt;/R&gt;&lt;C&gt;1&lt;/C&gt;&lt;D xsi:type="xsd:string"&gt;New Zealand Benchmark Bond - 10 Year&lt;/D&gt;&lt;/FQL&gt;&lt;FQL&gt;&lt;Q&gt;REFEUREFI-FDS^PROPER_NAME(0,,,"SECURITY","NAME")&lt;/Q&gt;&lt;R&gt;1&lt;/R&gt;&lt;C&gt;1&lt;/C&gt;&lt;D xsi:type="xsd:string"&gt;Eurozone Main Refinancing Operations Minimum Bid Rate&lt;/D&gt;&lt;/FQL&gt;&lt;FQL&gt;&lt;Q&gt;REFGBBANK-FDS^(SUBARRAY(NOT_NA(NO_REPEAT_F(FG_YIELD(NOW,-10AY,D))),0,1)-SUBARRAY(NOT_NA(NO_REPEAT_F(FG_YIELD(NOW,-10AY,D))),1,1))*100&lt;/Q&gt;&lt;R&gt;1&lt;/R&gt;&lt;C&gt;1&lt;/C&gt;&lt;D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xsi:type="xsd:double"&gt;25&lt;/D&gt;&lt;/FQL&gt;&lt;FQL&gt;&lt;Q&gt;REFAUCASH-FDS^FG_YIELD(NOW,,,0)&lt;/Q&gt;&lt;R&gt;1&lt;/R&gt;&lt;C&gt;1&lt;/C&gt;&lt;D xsi:type="xsd:double"&gt;4.35&lt;/D&gt;&lt;/FQL&gt;&lt;FQL&gt;&lt;Q&gt;CAGDPY@GB^EE_ACTUAL_ANNUAL(MED,+1)&lt;/Q&gt;&lt;R&gt;1&lt;/R&gt;&lt;C&gt;1&lt;/C&gt;&lt;D xsi:type="xsd:double"&gt;-3.05&lt;/D&gt;&lt;/FQL&gt;&lt;FQL&gt;&lt;Q&gt;CC_GB^FG_COMPANY_NAME&lt;/Q&gt;&lt;R&gt;1&lt;/R&gt;&lt;C&gt;1&lt;/C&gt;&lt;D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xsi:type="xsd:double"&gt;2.77188200554116&lt;/D&gt;&lt;/FQL&gt;&lt;FQL&gt;&lt;Q&gt;USDCHF^STD(FG_PRICE_CHANGE(0,-1AY,AM))&lt;/Q&gt;&lt;R&gt;1&lt;/R&gt;&lt;C&gt;1&lt;/C&gt;&lt;D xsi:type="xsd:double"&gt;2.59414203256734&lt;/D&gt;&lt;/FQL&gt;&lt;FQL&gt;&lt;Q&gt;USDUSD^STD(FG_PRICE_CHANGE(0,-1AY,AM))&lt;/Q&gt;&lt;R&gt;1&lt;/R&gt;&lt;C&gt;1&lt;/C&gt;&lt;D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xsi:type="xsd:double"&gt;1.91073385670587&lt;/D&gt;&lt;/FQL&gt;&lt;FQL&gt;&lt;Q&gt;USDAUD^STD(FG_PRICE_CHANGE(0,-1AY,AM))&lt;/Q&gt;&lt;R&gt;1&lt;/R&gt;&lt;C&gt;1&lt;/C&gt;&lt;D xsi:type="xsd:double"&gt;1.8401838712695&lt;/D&gt;&lt;/FQL&gt;&lt;FQL&gt;&lt;Q&gt;EWD^FMA_EPS(NTMA,-20AY,0,CY,,"PORTAGG","MEANR")&lt;/Q&gt;&lt;R&gt;20&lt;/R&gt;&lt;C&gt;1&lt;/C&gt;&lt;D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xsi:type="xsd:double"&gt;2.04500090501156&lt;/D&gt;&lt;D xsi:type="xsd:double"&gt;2.21381527791346&lt;/D&gt;&lt;D xsi:type="xsd:double"&gt;2.48981565223205&lt;/D&gt;&lt;D xsi:type="xsd:double"&gt;2.56419574346244&lt;/D&gt;&lt;D xsi:type="xsd:double"&gt;2.51009258700133&lt;/D&gt;&lt;/FQL&gt;&lt;FQL&gt;&lt;Q&gt;EWQ^P_PRICE_RETURNS_PR('52W',2,-10AY,0,AM)&lt;/Q&gt;&lt;R&gt;121&lt;/R&gt;&lt;C&gt;1&lt;/C&gt;&lt;D xsi:type="xsd:double"&gt;29.35574&lt;/D&gt;&lt;D xsi:type="xsd:double"&gt;25.71131&lt;/D&gt;&lt;D xsi:type="xsd:double"&gt;23.059332&lt;/D&gt;&lt;D xsi:type="xsd:double"&gt;29.733551&lt;/D&gt;&lt;D xsi:type="xsd:double"&gt;8.09238&lt;/D&gt;&lt;D xsi:type="xsd:double"&gt;12.995148&lt;/D&gt;&lt;D xsi:type="xsd:double"&gt;-2.1363854&lt;/D&gt;&lt;D xsi:type="xsd:double"&gt;-7.5140533&lt;/D&gt;&lt;D xsi:type="xsd:double"&gt;-1.3891876&lt;/D&gt;&lt;D xsi:type="xsd:double"&gt;-9.054065&lt;/D&gt;&lt;D xsi:type="xsd:double"&gt;-2.0400107&lt;/D&gt;&lt;D xsi:type="xsd:double"&gt;-6.861758&lt;/D&gt;&lt;D xsi:type="xsd:double"&gt;-7.0757685&lt;/D&gt;&lt;D xsi:type="xsd:double"&gt;-5.97564&lt;/D&gt;&lt;D xsi:type="xsd:double"&gt;-6.750351&lt;/D&gt;&lt;D xsi:type="xsd:double"&gt;-9.478974&lt;/D&gt;&lt;D xsi:type="xsd:double"&gt;0.60340166&lt;/D&gt;&lt;D xsi:type="xsd:double"&gt;-10.727442&lt;/D&gt;&lt;D xsi:type="xsd:double"&gt;-2.8776407&lt;/D&gt;&lt;D xsi:type="xsd:double"&gt;5.702877&lt;/D&gt;&lt;D xsi:type="xsd:double"&gt;-1.147747&lt;/D&gt;&lt;D xsi:type="xsd:double"&gt;-0.8524418&lt;/D&gt;&lt;D xsi:type="xsd:double"&gt;-7.479465&lt;/D&gt;&lt;D xsi:type="xsd:double"&gt;-7.8093886&lt;/D&gt;&lt;D xsi:type="xsd:double"&gt;-7.8528643&lt;/D&gt;&lt;D xsi:type="xsd:double"&gt;-9.324545&lt;/D&gt;&lt;D xsi:type="xsd:double"&gt;-8.10424&lt;/D&gt;&lt;D xsi:type="xsd:double"&gt;-9.083867&lt;/D&gt;&lt;D xsi:type="xsd:double"&gt;-9.89393&lt;/D&gt;&lt;D xsi:type="xsd:double"&gt;1.7862082&lt;/D&gt;&lt;D xsi:type="xsd:double"&gt;1.479578&lt;/D&gt;&lt;D xsi:type="xsd:double"&gt;-6.288785&lt;/D&gt;&lt;D xsi:type="xsd:double"&gt;-3.5247684&lt;/D&gt;&lt;D xsi:type="xsd:double"&gt;7.3120832&lt;/D&gt;&lt;D xsi:type="xsd:double"&gt;12.883604&lt;/D&gt;&lt;D xsi:type="xsd:double"&gt;12.234127&lt;/D&gt;&lt;D xsi:type="xsd:double"&gt;13.636648&lt;/D&gt;&lt;D xsi:type="xsd:double"&gt;22.73959&lt;/D&gt;&lt;D xsi:type="xsd:double"&gt;24.418545&lt;/D&gt;&lt;D xsi:type="xsd:double"&gt;28.231466&lt;/D&gt;&lt;D xsi:type="xsd:double"&gt;30.461407&lt;/D&gt;&lt;D xsi:type="xsd:double"&gt;26.241386&lt;/D&gt;&lt;D xsi:type="xsd:double"&gt;30.726696&lt;/D&gt;&lt;D xsi:type="xsd:double"&gt;34.48168&lt;/D&gt;&lt;D xsi:type="xsd:double"&gt;36.40249&lt;/D&gt;&lt;D xsi:type="xsd:double"&gt;31.297577&lt;/D&gt;&lt;D xsi:type="xsd:double"&gt;32.40565&lt;/D&gt;&lt;D xsi:type="xsd:double"&gt;27.122175&lt;/D&gt;&lt;D xsi:type="xsd:double"&gt;21.08115&lt;/D&gt;&lt;D xsi:type="xsd:double"&gt;15.145254&lt;/D&gt;&lt;D xsi:type="xsd:double"&gt;9.784842&lt;/D&gt;&lt;D xsi:type="xsd:double"&gt;8.5611105&lt;/D&gt;&lt;D xsi:type="xsd:double"&gt;7.935357&lt;/D&gt;&lt;D xsi:type="xsd:double"&gt;5.320132&lt;/D&gt;&lt;D xsi:type="xsd:double"&gt;1.8030286&lt;/D&gt;&lt;D xsi:type="xsd:double"&gt;-6.3210306&lt;/D&gt;&lt;D xsi:type="xsd:double"&gt;-9.397066&lt;/D&gt;&lt;D xsi:type="xsd:double"&gt;-14.582729&lt;/D&gt;&lt;D xsi:type="xsd:double"&gt;-11.076069&lt;/D&gt;&lt;D xsi:type="xsd:double"&gt;-3.522426&lt;/D&gt;&lt;D xsi:type="xsd:double"&gt;-1.4576316&lt;/D&gt;&lt;D xsi:type="xsd:double"&gt;-3.7103534&lt;/D&gt;&lt;D xsi:type="xsd:double"&gt;-5.666566&lt;/D&gt;&lt;D xsi:type="xsd:double"&gt;4.6059012&lt;/D&gt;&lt;D xsi:type="xsd:double"&gt;-4.175252&lt;/D&gt;&lt;D xsi:type="xsd:double"&gt;0.16294718&lt;/D&gt;&lt;D xsi:type="xsd:double"&gt;-1.1698604&lt;/D&gt;&lt;D xsi:type="xsd:double"&gt;13.034964&lt;/D&gt;&lt;D xsi:type="xsd:double"&gt;16.91345&lt;/D&gt;&lt;D xsi:type="xsd:double"&gt;29.214525&lt;/D&gt;&lt;D xsi:type="xsd:double"&gt;16.298723&lt;/D&gt;&lt;D xsi:type="xsd:double"&gt;5.2382827&lt;/D&gt;&lt;D xsi:type="xsd:double"&gt;-25.598568&lt;/D&gt;&lt;D xsi:type="xsd:double"&gt;-20.536226&lt;/D&gt;&lt;D xsi:type="xsd:double"&gt;-2.4041057&lt;/D&gt;&lt;D xsi:type="xsd:double"&gt;-8.499283&lt;/D&gt;&lt;D xsi:type="xsd:double"&gt;-0.9989321&lt;/D&gt;&lt;D xsi:type="xsd:double"&gt;-0.85739493&lt;/D&gt;&lt;D xsi:type="xsd:double"&gt;-2.1952093&lt;/D&gt;&lt;D xsi:type="xsd:double"&gt;-9.24778&lt;/D&gt;&lt;D xsi:type="xsd:double"&gt;8.159744&lt;/D&gt;&lt;D xsi:type="xsd:double"&gt;4.347503&lt;/D&gt;&lt;D xsi:type="xsd:double"&gt;5.0736666&lt;/D&gt;&lt;D xsi:type="xsd:double"&gt;13.9962435&lt;/D&gt;&lt;D xsi:type="xsd:double"&gt;61.32288&lt;/D&gt;&lt;D xsi:type="xsd:double"&gt;57.365833&lt;/D&gt;&lt;D xsi:type="xsd:double"&gt;41.043877&lt;/D&gt;&lt;D xsi:type="xsd:double"&gt;38.95763&lt;/D&gt;&lt;D xsi:type="xsd:double"&gt;37.843643&lt;/D&gt;&lt;D xsi:type="xsd:double"&gt;35.594296&lt;/D&gt;&lt;D xsi:type="xsd:double"&gt;35.212837&lt;/D&gt;&lt;D xsi:type="xsd:double"&gt;43.279312&lt;/D&gt;&lt;D xsi:type="xsd:double"&gt;15.138161&lt;/D&gt;&lt;D xsi:type="xsd:double"&gt;22.021294&lt;/D&gt;&lt;D xsi:type="xsd:double"&gt;19.554626&lt;/D&gt;&lt;D xsi:type="xsd:double"&gt;-2.6413262&lt;/D&gt;&lt;D xsi:type="xsd:double"&gt;4.7364473&lt;/D&gt;&lt;D xsi:type="xsd:double"&gt;-5.049634&lt;/D&gt;&lt;D xsi:type="xsd:double"&gt;-8.334457&lt;/D&gt;&lt;D xsi:type="xsd:double"&gt;-16.32346&lt;/D&gt;&lt;D xsi:type="xsd:double"&gt;-12.638676&lt;/D&gt;&lt;D xsi:type="xsd:double"&gt;-22.38112&lt;/D&gt;&lt;D xsi:type="xsd:double"&gt;-18.197144&lt;/D&gt;&lt;D xsi:type="xsd:double"&gt;-18.950064&lt;/D&gt;&lt;D xsi:type="xsd:double"&gt;-5.1412106&lt;/D&gt;&lt;D xsi:type="xsd:double"&gt;-10.12724&lt;/D&gt;&lt;D xsi:type="xsd:double"&gt;0.6918669&lt;/D&gt;&lt;D xsi:type="xsd:double"&gt;14.388884&lt;/D&gt;&lt;D xsi:type="xsd:double"&gt;10.794163&lt;/D&gt;&lt;D xsi:type="xsd:double"&gt;18.854273&lt;/D&gt;&lt;D xsi:type="xsd:double"&gt;12.324774&lt;/D&gt;&lt;D xsi:type="xsd:double"&gt;30.88789&lt;/D&gt;&lt;D xsi:type="xsd:double"&gt;21.762753&lt;/D&gt;&lt;D xsi:type="xsd:double"&gt;31.38839&lt;/D&gt;&lt;D xsi:type="xsd:double"&gt;23.65054&lt;/D&gt;&lt;D xsi:type="xsd:double"&gt;25.699211&lt;/D&gt;&lt;D xsi:type="xsd:double"&gt;13.051486&lt;/D&gt;&lt;D xsi:type="xsd:double"&gt;14.494777&lt;/D&gt;&lt;D xsi:type="xsd:double"&gt;6.203139&lt;/D&gt;&lt;D xsi:type="xsd:double"&gt;11.341023&lt;/D&gt;&lt;D xsi:type="xsd:double"&gt;9.653997&lt;/D&gt;&lt;/FQL&gt;&lt;FQL&gt;&lt;Q&gt;QQQ^FG_TOTAL_RETURNC(-10AY,0,AM)&lt;/Q&gt;&lt;R&gt;121&lt;/R&gt;&lt;C&gt;1&lt;/C&gt;&lt;D xsi:type="xsd:double"&gt;-4.669118&lt;/D&gt;&lt;D xsi:type="xsd:double"&gt;1.2967467&lt;/D&gt;&lt;D xsi:type="xsd:double"&gt;4.606235&lt;/D&gt;&lt;D xsi:type="xsd:double"&gt;4.848087&lt;/D&gt;&lt;D xsi:type="xsd:double"&gt;-0.39707422&lt;/D&gt;&lt;D xsi:type="xsd:double"&gt;4.2698264&lt;/D&gt;&lt;D xsi:type="xsd:double"&gt;-0.9925604&lt;/D&gt;&lt;D xsi:type="xsd:double"&gt;3.2494664&lt;/D&gt;&lt;D xsi:type="xsd:double"&gt;3.9561987&lt;/D&gt;&lt;D xsi:type="xsd:double"&gt;-1.9439161&lt;/D&gt;&lt;D xsi:type="xsd:double"&gt;-0.06800294&lt;/D&gt;&lt;D xsi:type="xsd:double"&gt;5.4243207&lt;/D&gt;&lt;D xsi:type="xsd:double"&gt;-2.8489947&lt;/D&gt;&lt;D xsi:type="xsd:double"&gt;3.9098144&lt;/D&gt;&lt;D xsi:type="xsd:double"&gt;0.3021121&lt;/D&gt;&lt;D xsi:type="xsd:double"&gt;-1.2416303&lt;/D&gt;&lt;D xsi:type="xsd:double"&gt;3.186667&lt;/D&gt;&lt;D xsi:type="xsd:double"&gt;-8.286196&lt;/D&gt;&lt;D xsi:type="xsd:double"&gt;2.0621657&lt;/D&gt;&lt;D xsi:type="xsd:double"&gt;10.58551&lt;/D&gt;&lt;D xsi:type="xsd:double"&gt;0.10433197&lt;/D&gt;&lt;D xsi:type="xsd:double"&gt;-4.601961&lt;/D&gt;&lt;D xsi:type="xsd:double"&gt;-7.1689487&lt;/D&gt;&lt;D xsi:type="xsd:double"&gt;3.9547443&lt;/D&gt;&lt;D xsi:type="xsd:double"&gt;4.3488383&lt;/D&gt;&lt;D xsi:type="xsd:double"&gt;-4.4478774&lt;/D&gt;&lt;D xsi:type="xsd:double"&gt;4.7691464&lt;/D&gt;&lt;D xsi:type="xsd:double"&gt;-1.5346825&lt;/D&gt;&lt;D xsi:type="xsd:double"&gt;7.0225716&lt;/D&gt;&lt;D xsi:type="xsd:double"&gt;1.2535691&lt;/D&gt;&lt;D xsi:type="xsd:double"&gt;1.3205051&lt;/D&gt;&lt;D xsi:type="xsd:double"&gt;-3.987497&lt;/D&gt;&lt;D xsi:type="xsd:double"&gt;1.8037796&lt;/D&gt;&lt;D xsi:type="xsd:double"&gt;4.1890144&lt;/D&gt;&lt;D xsi:type="xsd:double"&gt;4.567766&lt;/D&gt;&lt;D xsi:type="xsd:double"&gt;4.2488933&lt;/D&gt;&lt;D xsi:type="xsd:double"&gt;1.3477683&lt;/D&gt;&lt;D xsi:type="xsd:double"&gt;3.4186125&lt;/D&gt;&lt;D xsi:type="xsd:double"&gt;4.68477&lt;/D&gt;&lt;D xsi:type="xsd:double"&gt;-4.8075795&lt;/D&gt;&lt;D xsi:type="xsd:double"&gt;5.477631&lt;/D&gt;&lt;D xsi:type="xsd:double"&gt;1.635921&lt;/D&gt;&lt;D xsi:type="xsd:double"&gt;0.2400279&lt;/D&gt;&lt;D xsi:type="xsd:double"&gt;4.9578905&lt;/D&gt;&lt;D xsi:type="xsd:double"&gt;-0.36536455&lt;/D&gt;&lt;D xsi:type="xsd:double"&gt;5.1947355&lt;/D&gt;&lt;D xsi:type="xsd:double"&gt;2.6823044&lt;/D&gt;&lt;D xsi:type="xsd:double"&gt;0.83835125&lt;/D&gt;&lt;D xsi:type="xsd:double"&gt;-3.6060214&lt;/D&gt;&lt;D xsi:type="xsd:double"&gt;3.2114625&lt;/D&gt;&lt;D xsi:type="xsd:double"&gt;5.7196617&lt;/D&gt;&lt;D xsi:type="xsd:double"&gt;-1.7979622&lt;/D&gt;&lt;D xsi:type="xsd:double"&gt;5.4332495&lt;/D&gt;&lt;D xsi:type="xsd:double"&gt;3.2041311&lt;/D&gt;&lt;D xsi:type="xsd:double"&gt;-1.6911209&lt;/D&gt;&lt;D xsi:type="xsd:double"&gt;-7.1279764&lt;/D&gt;&lt;D xsi:type="xsd:double"&gt;-2.1608233&lt;/D&gt;&lt;D xsi:type="xsd:double"&gt;-5.4502068&lt;/D&gt;&lt;D xsi:type="xsd:double"&gt;8.513093&lt;/D&gt;&lt;D xsi:type="xsd:double"&gt;2.8844476&lt;/D&gt;&lt;D xsi:type="xsd:double"&gt;5.517578&lt;/D&gt;&lt;D xsi:type="xsd:double"&gt;4.028082&lt;/D&gt;&lt;D xsi:type="xsd:double"&gt;-8.476793&lt;/D&gt;&lt;D xsi:type="xsd:double"&gt;9.692311&lt;/D&gt;&lt;D xsi:type="xsd:double"&gt;-2.136439&lt;/D&gt;&lt;D xsi:type="xsd:double"&gt;0.52307844&lt;/D&gt;&lt;D xsi:type="xsd:double"&gt;0.4570365&lt;/D&gt;&lt;D xsi:type="xsd:double"&gt;5.979562&lt;/D&gt;&lt;D xsi:type="xsd:double"&gt;1.1644125&lt;/D&gt;&lt;D xsi:type="xsd:double"&gt;6.033075&lt;/D&gt;&lt;D xsi:type="xsd:double"&gt;6.20507&lt;/D&gt;&lt;D xsi:type="xsd:double"&gt;-4.066473&lt;/D&gt;&lt;D xsi:type="xsd:double"&gt;-15.791339&lt;/D&gt;&lt;D xsi:type="xsd:double"&gt;17.369259&lt;/D&gt;&lt;D xsi:type="xsd:double"&gt;9.204531&lt;/D&gt;&lt;D xsi:type="xsd:double"&gt;7.4856997&lt;/D&gt;&lt;D xsi:type="xsd:double"&gt;7.2128177&lt;/D&gt;&lt;D xsi:type="xsd:double"&gt;4.882014&lt;/D&gt;&lt;D xsi:type="xsd:double"&gt;-3.1285226&lt;/D&gt;&lt;D xsi:type="xsd:double"&gt;4.5933485&lt;/D&gt;&lt;D xsi:type="xsd:double"&gt;6.4863443&lt;/D&gt;&lt;D xsi:type="xsd:double"&gt;1.4244795&lt;/D&gt;&lt;D xsi:type="xsd:double"&gt;6.766677&lt;/D&gt;&lt;D xsi:type="xsd:double"&gt;-7.915449&lt;/D&gt;&lt;D xsi:type="xsd:double"&gt;6.8635464&lt;/D&gt;&lt;D xsi:type="xsd:double"&gt;1.7161131&lt;/D&gt;&lt;D xsi:type="xsd:double"&gt;1.6538382&lt;/D&gt;&lt;D xsi:type="xsd:double"&gt;6.988442&lt;/D&gt;&lt;D xsi:type="xsd:double"&gt;2.4258256&lt;/D&gt;&lt;D xsi:type="xsd:double"&gt;3.8738012&lt;/D&gt;&lt;D xsi:type="xsd:double"&gt;-7.482481&lt;/D&gt;&lt;D xsi:type="xsd:double"&gt;12.931765&lt;/D&gt;&lt;D xsi:type="xsd:double"&gt;-3.7893593&lt;/D&gt;&lt;D xsi:type="xsd:double"&gt;3.615427&lt;/D&gt;&lt;D xsi:type="xsd:double"&gt;-9.700608&lt;/D&gt;&lt;D xsi:type="xsd:double"&gt;-5.784762&lt;/D&gt;&lt;D xsi:type="xsd:double"&gt;9.622741&lt;/D&gt;&lt;D xsi:type="xsd:double"&gt;-10.750061&lt;/D&gt;&lt;D xsi:type="xsd:double"&gt;-7.099515&lt;/D&gt;&lt;D xsi:type="xsd:double"&gt;-7.687998&lt;/D&gt;&lt;D xsi:type="xsd:double"&gt;14.9824505&lt;/D&gt;&lt;D xsi:type="xsd:double"&gt;-9.010476&lt;/D&gt;&lt;D xsi:type="xsd:double"&gt;-4.2474985&lt;/D&gt;&lt;D xsi:type="xsd:double"&gt;-6.1850967&lt;/D&gt;&lt;D xsi:type="xsd:double"&gt;10.529697&lt;/D&gt;&lt;D xsi:type="xsd:double"&gt;-8.94354&lt;/D&gt;&lt;D xsi:type="xsd:double"&gt;15.217888&lt;/D&gt;&lt;D xsi:type="xsd:double"&gt;-2.1229327&lt;/D&gt;&lt;D xsi:type="xsd:double"&gt;6.634569&lt;/D&gt;&lt;D xsi:type="xsd:double"&gt;-0.9088874&lt;/D&gt;&lt;D xsi:type="xsd:double"&gt;12.17066&lt;/D&gt;&lt;D xsi:type="xsd:double"&gt;4.5534015&lt;/D&gt;&lt;D xsi:type="xsd:double"&gt;0.47260523&lt;/D&gt;&lt;D xsi:type="xsd:double"&gt;1.4917731&lt;/D&gt;&lt;D xsi:type="xsd:double"&gt;-4.587036&lt;/D&gt;&lt;D xsi:type="xsd:double"&gt;2.2126436&lt;/D&gt;&lt;D xsi:type="xsd:double"&gt;5.061054&lt;/D&gt;&lt;D xsi:type="xsd:double"&gt;2.8357506&lt;/D&gt;&lt;D xsi:type="xsd:double"&gt;8.25932&lt;/D&gt;&lt;D xsi:type="xsd:double"&gt;3.498745&lt;/D&gt;&lt;D xsi:type="xsd:double"&gt;-1.8263459&lt;/D&gt;&lt;/FQL&gt;&lt;FQL&gt;&lt;Q&gt;EWL^FMA_DIV_YLD(NTMA,-10AY,0,AM,"PORTAGG","MEANR")&lt;/Q&gt;&lt;R&gt;121&lt;/R&gt;&lt;C&gt;1&lt;/C&gt;&lt;D xsi:type="xsd:double"&gt;3.19572123841158&lt;/D&gt;&lt;D xsi:type="xsd:double"&gt;3.19941486500802&lt;/D&gt;&lt;D xsi:type="xsd:double"&gt;3.2162066224983&lt;/D&gt;&lt;D xsi:type="xsd:double"&gt;3.27782530149552&lt;/D&gt;&lt;D xsi:type="xsd:double"&gt;3.43736141420564&lt;/D&gt;&lt;D xsi:type="xsd:double"&gt;3.26249795499245&lt;/D&gt;&lt;D xsi:type="xsd:double"&gt;3.39975935487568&lt;/D&gt;&lt;D xsi:type="xsd:double"&gt;3.36082915990139&lt;/D&gt;&lt;D xsi:type="xsd:double"&gt;3.23825157535935&lt;/D&gt;&lt;D xsi:type="xsd:double"&gt;3.31217177074199&lt;/D&gt;&lt;D xsi:type="xsd:double"&gt;3.2918169317798&lt;/D&gt;&lt;D xsi:type="xsd:double"&gt;3.17900037170843&lt;/D&gt;&lt;D xsi:type="xsd:double"&gt;3.13109479757595&lt;/D&gt;&lt;D xsi:type="xsd:double"&gt;3.09711685790773&lt;/D&gt;&lt;D xsi:type="xsd:double"&gt;3.12051496896827&lt;/D&gt;&lt;D xsi:type="xsd:double"&gt;3.23806260266242&lt;/D&gt;&lt;D xsi:type="xsd:double"&gt;3.09443255101963&lt;/D&gt;&lt;D xsi:type="xsd:double"&gt;3.39346671177993&lt;/D&gt;&lt;D xsi:type="xsd:double"&gt;3.43939997398871&lt;/D&gt;&lt;D xsi:type="xsd:double"&gt;3.2441379162591&lt;/D&gt;&lt;D xsi:type="xsd:double"&gt;3.28451161991089&lt;/D&gt;&lt;D xsi:type="xsd:double"&gt;3.34225149233076&lt;/D&gt;&lt;D xsi:type="xsd:double"&gt;3.51354674088293&lt;/D&gt;&lt;D xsi:type="xsd:double"&gt;3.48595322964661&lt;/D&gt;&lt;D xsi:type="xsd:double"&gt;3.57207045754521&lt;/D&gt;&lt;D xsi:type="xsd:double"&gt;3.58214448087616&lt;/D&gt;&lt;D xsi:type="xsd:double"&gt;3.47111952779416&lt;/D&gt;&lt;D xsi:type="xsd:double"&gt;3.5203014955333&lt;/D&gt;&lt;D xsi:type="xsd:double"&gt;3.51180091645715&lt;/D&gt;&lt;D xsi:type="xsd:double"&gt;3.42822070948567&lt;/D&gt;&lt;D xsi:type="xsd:double"&gt;3.46932621259989&lt;/D&gt;&lt;D xsi:type="xsd:double"&gt;3.71827232610039&lt;/D&gt;&lt;D xsi:type="xsd:double"&gt;3.71630699819162&lt;/D&gt;&lt;D xsi:type="xsd:double"&gt;3.51228643851784&lt;/D&gt;&lt;D xsi:type="xsd:double"&gt;3.44727006785641&lt;/D&gt;&lt;D xsi:type="xsd:double"&gt;3.34966278776583&lt;/D&gt;&lt;D xsi:type="xsd:double"&gt;3.42314894457319&lt;/D&gt;&lt;D xsi:type="xsd:double"&gt;3.32117754356481&lt;/D&gt;&lt;D xsi:type="xsd:double"&gt;3.26916377488315&lt;/D&gt;&lt;D xsi:type="xsd:double"&gt;3.26305177639174&lt;/D&gt;&lt;D xsi:type="xsd:double"&gt;3.23855101744722&lt;/D&gt;&lt;D xsi:type="xsd:double"&gt;3.31966903233124&lt;/D&gt;&lt;D xsi:type="xsd:double"&gt;3.2319141752183&lt;/D&gt;&lt;D xsi:type="xsd:double"&gt;3.22632650051147&lt;/D&gt;&lt;D xsi:type="xsd:double"&gt;3.23359095534239&lt;/D&gt;&lt;D xsi:type="xsd:double"&gt;3.17900439832344&lt;/D&gt;&lt;D xsi:type="xsd:double"&gt;3.23399277619482&lt;/D&gt;&lt;D xsi:type="xsd:double"&gt;3.52843856823392&lt;/D&gt;&lt;D xsi:type="xsd:double"&gt;3.57282311344333&lt;/D&gt;&lt;D xsi:type="xsd:double"&gt;3.471129052571&lt;/D&gt;&lt;D xsi:type="xsd:double"&gt;3.54595543988521&lt;/D&gt;&lt;D xsi:type="xsd:double"&gt;3.55226520638505&lt;/D&gt;&lt;D xsi:type="xsd:double"&gt;3.37459045442245&lt;/D&gt;&lt;D xsi:type="xsd:double"&gt;3.42509276169003&lt;/D&gt;&lt;D xsi:type="xsd:double"&gt;3.44208170336103&lt;/D&gt;&lt;D xsi:type="xsd:double"&gt;3.50453699075546&lt;/D&gt;&lt;D xsi:type="xsd:double"&gt;3.50676905467239&lt;/D&gt;&lt;D xsi:type="xsd:double"&gt;3.636441554693&lt;/D&gt;&lt;D xsi:type="xsd:double"&gt;3.46538605148667&lt;/D&gt;&lt;D xsi:type="xsd:double"&gt;3.34341838671519&lt;/D&gt;&lt;D xsi:type="xsd:double"&gt;3.29634248551682&lt;/D&gt;&lt;D xsi:type="xsd:double"&gt;3.26136714678486&lt;/D&gt;&lt;D xsi:type="xsd:double"&gt;3.3148319930864&lt;/D&gt;&lt;D xsi:type="xsd:double"&gt;3.17912848944572&lt;/D&gt;&lt;D xsi:type="xsd:double"&gt;3.25367930914858&lt;/D&gt;&lt;D xsi:type="xsd:double"&gt;3.21701929673944&lt;/D&gt;&lt;D xsi:type="xsd:double"&gt;3.27933245349102&lt;/D&gt;&lt;D xsi:type="xsd:double"&gt;3.12204452727722&lt;/D&gt;&lt;D xsi:type="xsd:double"&gt;3.13528360812671&lt;/D&gt;&lt;D xsi:type="xsd:double"&gt;3.02261710479138&lt;/D&gt;&lt;D xsi:type="xsd:double"&gt;2.99210895299057&lt;/D&gt;&lt;D xsi:type="xsd:double"&gt;3.15032148875814&lt;/D&gt;&lt;D xsi:type="xsd:double"&gt;3.53400523961669&lt;/D&gt;&lt;D xsi:type="xsd:double"&gt;3.38059005306926&lt;/D&gt;&lt;D xsi:type="xsd:double"&gt;3.08730933611866&lt;/D&gt;&lt;D xsi:type="xsd:double"&gt;3.04301857241544&lt;/D&gt;&lt;D xsi:type="xsd:double"&gt;2.96687242714275&lt;/D&gt;&lt;D xsi:type="xsd:double"&gt;2.9828708778369&lt;/D&gt;&lt;D xsi:type="xsd:double"&gt;2.95441049049601&lt;/D&gt;&lt;D xsi:type="xsd:double"&gt;2.94633738698622&lt;/D&gt;&lt;D xsi:type="xsd:double"&gt;2.92200975373758&lt;/D&gt;&lt;D xsi:type="xsd:double"&gt;2.8078468389217&lt;/D&gt;&lt;D xsi:type="xsd:double"&gt;2.81970230852534&lt;/D&gt;&lt;D xsi:type="xsd:double"&gt;2.88971322424031&lt;/D&gt;&lt;D xsi:type="xsd:double"&gt;2.7935006971028&lt;/D&gt;&lt;D xsi:type="xsd:double"&gt;2.79526396273171&lt;/D&gt;&lt;D xsi:type="xsd:double"&gt;2.67233855706077&lt;/D&gt;&lt;D xsi:type="xsd:double"&gt;2.63100633268272&lt;/D&gt;&lt;D xsi:type="xsd:double"&gt;2.57991988242635&lt;/D&gt;&lt;D xsi:type="xsd:double"&gt;2.57558710680237&lt;/D&gt;&lt;D xsi:type="xsd:double"&gt;2.77835028702106&lt;/D&gt;&lt;D xsi:type="xsd:double"&gt;2.57713944366403&lt;/D&gt;&lt;D xsi:type="xsd:double"&gt;2.67077607471837&lt;/D&gt;&lt;D xsi:type="xsd:double"&gt;2.52804890555209&lt;/D&gt;&lt;D xsi:type="xsd:double"&gt;2.77485801484989&lt;/D&gt;&lt;D xsi:type="xsd:double"&gt;2.96721915724644&lt;/D&gt;&lt;D xsi:type="xsd:double"&gt;2.74864770252585&lt;/D&gt;&lt;D xsi:type="xsd:double"&gt;2.91146949328081&lt;/D&gt;&lt;D xsi:type="xsd:double"&gt;2.97445030051647&lt;/D&gt;&lt;D xsi:type="xsd:double"&gt;3.19652283435489&lt;/D&gt;&lt;D xsi:type="xsd:double"&gt;3.05614856348982&lt;/D&gt;&lt;D xsi:type="xsd:double"&gt;3.19651035851543&lt;/D&gt;&lt;D xsi:type="xsd:double"&gt;3.32284461872628&lt;/D&gt;&lt;D xsi:type="xsd:double"&gt;3.28862045797891&lt;/D&gt;&lt;D xsi:type="xsd:double"&gt;3.0846754008924&lt;/D&gt;&lt;D xsi:type="xsd:double"&gt;3.11096047047173&lt;/D&gt;&lt;D xsi:type="xsd:double"&gt;3.02742752639341&lt;/D&gt;&lt;D xsi:type="xsd:double"&gt;3.13399285623849&lt;/D&gt;&lt;D xsi:type="xsd:double"&gt;3.17045871792557&lt;/D&gt;&lt;D xsi:type="xsd:double"&gt;3.06588191082432&lt;/D&gt;&lt;D xsi:type="xsd:double"&gt;3.12627979885354&lt;/D&gt;&lt;D xsi:type="xsd:double"&gt;3.18555114093357&lt;/D&gt;&lt;D xsi:type="xsd:double"&gt;3.2027226644569&lt;/D&gt;&lt;D xsi:type="xsd:double"&gt;3.245367403327&lt;/D&gt;&lt;D xsi:type="xsd:double"&gt;3.4195311978305&lt;/D&gt;&lt;D xsi:type="xsd:double"&gt;3.46260057708268&lt;/D&gt;&lt;D xsi:type="xsd:double"&gt;3.35586133021201&lt;/D&gt;&lt;D xsi:type="xsd:double"&gt;3.27047896671231&lt;/D&gt;&lt;D xsi:type="xsd:double"&gt;3.31210706583619&lt;/D&gt;&lt;D xsi:type="xsd:double"&gt;3.30306969601326&lt;/D&gt;&lt;D xsi:type="xsd:double"&gt;3.30621814081868&lt;/D&gt;&lt;/FQL&gt;&lt;FQL&gt;&lt;Q&gt;EWG^FMA_PE(NTMA,-10AY,0,AM,"PORTAGG","MEANR")&lt;/Q&gt;&lt;R&gt;121&lt;/R&gt;&lt;C&gt;1&lt;/C&gt;&lt;D xsi:type="xsd:double"&gt;13.2413961484875&lt;/D&gt;&lt;D xsi:type="xsd:double"&gt;13.0187563084919&lt;/D&gt;&lt;D xsi:type="xsd:double"&gt;13.3042799490309&lt;/D&gt;&lt;D xsi:type="xsd:double"&gt;13.3314700479341&lt;/D&gt;&lt;D xsi:type="xsd:double"&gt;12.2512251442898&lt;/D&gt;&lt;D xsi:type="xsd:double"&gt;12.8815938738595&lt;/D&gt;&lt;D xsi:type="xsd:double"&gt;12.1334345673536&lt;/D&gt;&lt;D xsi:type="xsd:double"&gt;12.101190478682&lt;/D&gt;&lt;D xsi:type="xsd:double"&gt;12.9784780253541&lt;/D&gt;&lt;D xsi:type="xsd:double"&gt;12.7825272234926&lt;/D&gt;&lt;D xsi:type="xsd:double"&gt;14.2377605787583&lt;/D&gt;&lt;D xsi:type="xsd:double"&gt;14.810235578269&lt;/D&gt;&lt;D xsi:type="xsd:double"&gt;15.401928977175&lt;/D&gt;&lt;D xsi:type="xsd:double"&gt;14.7151395759407&lt;/D&gt;&lt;D xsi:type="xsd:double"&gt;13.9827588432228&lt;/D&gt;&lt;D xsi:type="xsd:double"&gt;13.5190984789168&lt;/D&gt;&lt;D xsi:type="xsd:double"&gt;13.9089478768916&lt;/D&gt;&lt;D xsi:type="xsd:double"&gt;12.1909707472067&lt;/D&gt;&lt;D xsi:type="xsd:double"&gt;11.7567898125376&lt;/D&gt;&lt;D xsi:type="xsd:double"&gt;13.4401656904912&lt;/D&gt;&lt;D xsi:type="xsd:double"&gt;13.4161150303784&lt;/D&gt;&lt;D xsi:type="xsd:double"&gt;12.7697353207234&lt;/D&gt;&lt;D xsi:type="xsd:double"&gt;11.8890557245468&lt;/D&gt;&lt;D xsi:type="xsd:double"&gt;12.5663689423759&lt;/D&gt;&lt;D xsi:type="xsd:double"&gt;12.5463292772496&lt;/D&gt;&lt;D xsi:type="xsd:double"&gt;12.401739073545&lt;/D&gt;&lt;D xsi:type="xsd:double"&gt;12.5002303711458&lt;/D&gt;&lt;D xsi:type="xsd:double"&gt;12.0769572673331&lt;/D&gt;&lt;D xsi:type="xsd:double"&gt;12.590894229682&lt;/D&gt;&lt;D xsi:type="xsd:double"&gt;13.0598123735016&lt;/D&gt;&lt;D xsi:type="xsd:double"&gt;13.0103594007285&lt;/D&gt;&lt;D xsi:type="xsd:double"&gt;12.4291032450206&lt;/D&gt;&lt;D xsi:type="xsd:double"&gt;12.6282640722403&lt;/D&gt;&lt;D xsi:type="xsd:double"&gt;13.7314763481099&lt;/D&gt;&lt;D xsi:type="xsd:double"&gt;13.6655992190853&lt;/D&gt;&lt;D xsi:type="xsd:double"&gt;13.9620892654792&lt;/D&gt;&lt;D xsi:type="xsd:double"&gt;14.0249595864931&lt;/D&gt;&lt;D xsi:type="xsd:double"&gt;14.045779537743&lt;/D&gt;&lt;D xsi:type="xsd:double"&gt;13.929161446858&lt;/D&gt;&lt;D xsi:type="xsd:double"&gt;13.4368981466052&lt;/D&gt;&lt;D xsi:type="xsd:double"&gt;13.2515016007289&lt;/D&gt;&lt;D xsi:type="xsd:double"&gt;13.0136614052677&lt;/D&gt;&lt;D xsi:type="xsd:double"&gt;13.7876379682505&lt;/D&gt;&lt;D xsi:type="xsd:double"&gt;14.2955132092919&lt;/D&gt;&lt;D xsi:type="xsd:double"&gt;13.9253981602684&lt;/D&gt;&lt;D xsi:type="xsd:double"&gt;13.9911735223173&lt;/D&gt;&lt;D xsi:type="xsd:double"&gt;13.4818469676368&lt;/D&gt;&lt;D xsi:type="xsd:double"&gt;12.601035925087&lt;/D&gt;&lt;D xsi:type="xsd:double"&gt;12.6242031190502&lt;/D&gt;&lt;D xsi:type="xsd:double"&gt;13.3662469696264&lt;/D&gt;&lt;D xsi:type="xsd:double"&gt;13.209537663508&lt;/D&gt;&lt;D xsi:type="xsd:double"&gt;12.7784281918763&lt;/D&gt;&lt;D xsi:type="xsd:double"&gt;13.0651007580992&lt;/D&gt;&lt;D xsi:type="xsd:double"&gt;12.6765171973692&lt;/D&gt;&lt;D xsi:type="xsd:double"&gt;12.6362335473084&lt;/D&gt;&lt;D xsi:type="xsd:double"&gt;11.8116826163144&lt;/D&gt;&lt;D xsi:type="xsd:double"&gt;11.6322565141869&lt;/D&gt;&lt;D xsi:type="xsd:double"&gt;11.1728077094826&lt;/D&gt;&lt;D xsi:type="xsd:double"&gt;11.7270152049537&lt;/D&gt;&lt;D xsi:type="xsd:double"&gt;12.232740516931&lt;/D&gt;&lt;D xsi:type="xsd:double"&gt;12.6070055297435&lt;/D&gt;&lt;D xsi:type="xsd:double"&gt;13.0365111748838&lt;/D&gt;&lt;D xsi:type="xsd:double"&gt;12.3318167274905&lt;/D&gt;&lt;D xsi:type="xsd:double"&gt;12.9923530179425&lt;/D&gt;&lt;D xsi:type="xsd:double"&gt;12.5713738736076&lt;/D&gt;&lt;D xsi:type="xsd:double"&gt;12.6986006824782&lt;/D&gt;&lt;D xsi:type="xsd:double"&gt;12.6712000276239&lt;/D&gt;&lt;D xsi:type="xsd:double"&gt;13.8267810209526&lt;/D&gt;&lt;D xsi:type="xsd:double"&gt;13.9969288593227&lt;/D&gt;&lt;D xsi:type="xsd:double"&gt;14.1093670463904&lt;/D&gt;&lt;D xsi:type="xsd:double"&gt;14.1141569148674&lt;/D&gt;&lt;D xsi:type="xsd:double"&gt;12.919097108791&lt;/D&gt;&lt;D xsi:type="xsd:double"&gt;11.8796957350468&lt;/D&gt;&lt;D xsi:type="xsd:double"&gt;14.6090337711871&lt;/D&gt;&lt;D xsi:type="xsd:double"&gt;17.9922801294651&lt;/D&gt;&lt;D xsi:type="xsd:double"&gt;18.1529602694738&lt;/D&gt;&lt;D xsi:type="xsd:double"&gt;17.7619537747632&lt;/D&gt;&lt;D xsi:type="xsd:double"&gt;17.4459240305987&lt;/D&gt;&lt;D xsi:type="xsd:double"&gt;16.7635121324661&lt;/D&gt;&lt;D xsi:type="xsd:double"&gt;15.3608367393602&lt;/D&gt;&lt;D xsi:type="xsd:double"&gt;16.020263008207&lt;/D&gt;&lt;D xsi:type="xsd:double"&gt;16.0453152241385&lt;/D&gt;&lt;D xsi:type="xsd:double"&gt;15.8699070910335&lt;/D&gt;&lt;D xsi:type="xsd:double"&gt;15.5363241990428&lt;/D&gt;&lt;D xsi:type="xsd:double"&gt;16.2350761603233&lt;/D&gt;&lt;D xsi:type="xsd:double"&gt;14.7992419570136&lt;/D&gt;&lt;D xsi:type="xsd:double"&gt;15.0243898816647&lt;/D&gt;&lt;D xsi:type="xsd:double"&gt;14.7441992827428&lt;/D&gt;&lt;D xsi:type="xsd:double"&gt;14.3549178194486&lt;/D&gt;&lt;D xsi:type="xsd:double"&gt;14.1712702010605&lt;/D&gt;&lt;D xsi:type="xsd:double"&gt;13.3514167342625&lt;/D&gt;&lt;D xsi:type="xsd:double"&gt;13.9447910877576&lt;/D&gt;&lt;D xsi:type="xsd:double"&gt;12.8624432491174&lt;/D&gt;&lt;D xsi:type="xsd:double"&gt;13.6012592582598&lt;/D&gt;&lt;D xsi:type="xsd:double"&gt;12.6296505986975&lt;/D&gt;&lt;D xsi:type="xsd:double"&gt;10.6510278899585&lt;/D&gt;&lt;D xsi:type="xsd:double"&gt;11.7069187401926&lt;/D&gt;&lt;D xsi:type="xsd:double"&gt;10.955653702074&lt;/D&gt;&lt;D xsi:type="xsd:double"&gt;11.0353529815604&lt;/D&gt;&lt;D xsi:type="xsd:double"&gt;9.7040564377485&lt;/D&gt;&lt;D xsi:type="xsd:double"&gt;10.408843997469&lt;/D&gt;&lt;D xsi:type="xsd:double"&gt;9.72516268418167&lt;/D&gt;&lt;D xsi:type="xsd:double"&gt;9.403421722456&lt;/D&gt;&lt;D xsi:type="xsd:double"&gt;10.0330089952636&lt;/D&gt;&lt;D xsi:type="xsd:double"&gt;10.8692756991826&lt;/D&gt;&lt;D xsi:type="xsd:double"&gt;10.9618174906824&lt;/D&gt;&lt;D xsi:type="xsd:double"&gt;11.7707473031541&lt;/D&gt;&lt;D xsi:type="xsd:double"&gt;11.6753014994328&lt;/D&gt;&lt;D xsi:type="xsd:double"&gt;11.3763071093856&lt;/D&gt;&lt;D xsi:type="xsd:double"&gt;11.121368268906&lt;/D&gt;&lt;D xsi:type="xsd:double"&gt;10.8628061218602&lt;/D&gt;&lt;D xsi:type="xsd:double"&gt;10.7944403863895&lt;/D&gt;&lt;D xsi:type="xsd:double"&gt;10.6652363383554&lt;/D&gt;&lt;D xsi:type="xsd:double"&gt;10.6456785236529&lt;/D&gt;&lt;D xsi:type="xsd:double"&gt;10.1314261612947&lt;/D&gt;&lt;D xsi:type="xsd:double"&gt;10.1543236777341&lt;/D&gt;&lt;D xsi:type="xsd:double"&gt;11.0567183399397&lt;/D&gt;&lt;D xsi:type="xsd:double"&gt;11.0551779350876&lt;/D&gt;&lt;D xsi:type="xsd:double"&gt;11.5307400805793&lt;/D&gt;&lt;D xsi:type="xsd:double"&gt;11.9878623933976&lt;/D&gt;&lt;D xsi:type="xsd:double"&gt;12.3145854105433&lt;/D&gt;&lt;/FQL&gt;&lt;FQL&gt;&lt;Q&gt;EWA^FMA_PE(LTMA,-10AY,0,AM,"PORTAGG","MEANR")&lt;/Q&gt;&lt;R&gt;121&lt;/R&gt;&lt;C&gt;1&lt;/C&gt;&lt;D xsi:type="xsd:double"&gt;15.294188005753&lt;/D&gt;&lt;D xsi:type="xsd:double"&gt;15.2316930508121&lt;/D&gt;&lt;D xsi:type="xsd:double"&gt;15.1288926344598&lt;/D&gt;&lt;D xsi:type="xsd:double"&gt;15.2291980254451&lt;/D&gt;&lt;D xsi:type="xsd:double"&gt;15.3878410811146&lt;/D&gt;&lt;D xsi:type="xsd:double"&gt;15.4910241359794&lt;/D&gt;&lt;D xsi:type="xsd:double"&gt;14.7038804114428&lt;/D&gt;&lt;D xsi:type="xsd:double"&gt;15.2981878829492&lt;/D&gt;&lt;D xsi:type="xsd:double"&gt;14.6237053007784&lt;/D&gt;&lt;D xsi:type="xsd:double"&gt;14.8442549418679&lt;/D&gt;&lt;D xsi:type="xsd:double"&gt;15.7133709573477&lt;/D&gt;&lt;D xsi:type="xsd:double"&gt;16.2069644305237&lt;/D&gt;&lt;D xsi:type="xsd:double"&gt;16.2644675273386&lt;/D&gt;&lt;D xsi:type="xsd:double"&gt;16.3503942993752&lt;/D&gt;&lt;D xsi:type="xsd:double"&gt;15.9186154793625&lt;/D&gt;&lt;D xsi:type="xsd:double"&gt;16.0606296735918&lt;/D&gt;&lt;D xsi:type="xsd:double"&gt;16.2098313362095&lt;/D&gt;&lt;D xsi:type="xsd:double"&gt;15.0967343099177&lt;/D&gt;&lt;D xsi:type="xsd:double"&gt;15.12316260996&lt;/D&gt;&lt;D xsi:type="xsd:double"&gt;15.6471240042565&lt;/D&gt;&lt;D xsi:type="xsd:double"&gt;15.5206311202538&lt;/D&gt;&lt;D xsi:type="xsd:double"&gt;15.9365299791085&lt;/D&gt;&lt;D xsi:type="xsd:double"&gt;15.2788830878205&lt;/D&gt;&lt;D xsi:type="xsd:double"&gt;15.0670649567759&lt;/D&gt;&lt;D xsi:type="xsd:double"&gt;15.0971914368699&lt;/D&gt;&lt;D xsi:type="xsd:double"&gt;15.5431425345065&lt;/D&gt;&lt;D xsi:type="xsd:double"&gt;15.7232898649166&lt;/D&gt;&lt;D xsi:type="xsd:double"&gt;15.7835404267062&lt;/D&gt;&lt;D xsi:type="xsd:double"&gt;16.3289112045486&lt;/D&gt;&lt;D xsi:type="xsd:double"&gt;16.3823856602455&lt;/D&gt;&lt;D xsi:type="xsd:double"&gt;16.8355205006416&lt;/D&gt;&lt;D xsi:type="xsd:double"&gt;16.4497033585976&lt;/D&gt;&lt;D xsi:type="xsd:double"&gt;17.0762607591871&lt;/D&gt;&lt;D xsi:type="xsd:double"&gt;17.9408769730061&lt;/D&gt;&lt;D xsi:type="xsd:double"&gt;17.4936874239121&lt;/D&gt;&lt;D xsi:type="xsd:double"&gt;17.502128523886&lt;/D&gt;&lt;D xsi:type="xsd:double"&gt;17.3523722157325&lt;/D&gt;&lt;D xsi:type="xsd:double"&gt;17.2187550700021&lt;/D&gt;&lt;D xsi:type="xsd:double"&gt;16.9218107992119&lt;/D&gt;&lt;D xsi:type="xsd:double"&gt;16.7188263193845&lt;/D&gt;&lt;D xsi:type="xsd:double"&gt;16.7726012076477&lt;/D&gt;&lt;D xsi:type="xsd:double"&gt;16.621429923767&lt;/D&gt;&lt;D xsi:type="xsd:double"&gt;16.2813124381971&lt;/D&gt;&lt;D xsi:type="xsd:double"&gt;16.7574925946574&lt;/D&gt;&lt;D xsi:type="xsd:double"&gt;16.6197478273123&lt;/D&gt;&lt;D xsi:type="xsd:double"&gt;16.8120552642681&lt;/D&gt;&lt;D xsi:type="xsd:double"&gt;16.9208824259969&lt;/D&gt;&lt;D xsi:type="xsd:double"&gt;16.5093584074697&lt;/D&gt;&lt;D xsi:type="xsd:double"&gt;16.263254373172&lt;/D&gt;&lt;D xsi:type="xsd:double"&gt;16.3189205214321&lt;/D&gt;&lt;D xsi:type="xsd:double"&gt;16.1729502161788&lt;/D&gt;&lt;D xsi:type="xsd:double"&gt;16.2822757692091&lt;/D&gt;&lt;D xsi:type="xsd:double"&gt;16.2757098476572&lt;/D&gt;&lt;D xsi:type="xsd:double"&gt;16.2725413133912&lt;/D&gt;&lt;D xsi:type="xsd:double"&gt;15.9215921867009&lt;/D&gt;&lt;D xsi:type="xsd:double"&gt;15.3092180816754&lt;/D&gt;&lt;D xsi:type="xsd:double"&gt;14.9693648605516&lt;/D&gt;&lt;D xsi:type="xsd:double"&gt;14.6043015986726&lt;/D&gt;&lt;D xsi:type="xsd:double"&gt;15.3136873266965&lt;/D&gt;&lt;D xsi:type="xsd:double"&gt;15.9249658654693&lt;/D&gt;&lt;D xsi:type="xsd:double"&gt;15.884850484402&lt;/D&gt;&lt;D xsi:type="xsd:double"&gt;15.8676886818646&lt;/D&gt;&lt;D xsi:type="xsd:double"&gt;15.8757552666789&lt;/D&gt;&lt;D xsi:type="xsd:double"&gt;16.321577945621&lt;/D&gt;&lt;D xsi:type="xsd:double"&gt;16.4440725633018&lt;/D&gt;&lt;D xsi:type="xsd:double"&gt;16.3845871089203&lt;/D&gt;&lt;D xsi:type="xsd:double"&gt;16.5624234257992&lt;/D&gt;&lt;D xsi:type="xsd:double"&gt;17.3242851775187&lt;/D&gt;&lt;D xsi:type="xsd:double"&gt;17.2674378259464&lt;/D&gt;&lt;D xsi:type="xsd:double"&gt;17.8281025477692&lt;/D&gt;&lt;D xsi:type="xsd:double"&gt;18.2955494232032&lt;/D&gt;&lt;D xsi:type="xsd:double"&gt;16.905160296356&lt;/D&gt;&lt;D xsi:type="xsd:double"&gt;16.3629183863297&lt;/D&gt;&lt;D xsi:type="xsd:double"&gt;17.1507159323664&lt;/D&gt;&lt;D xsi:type="xsd:double"&gt;18.5355421378509&lt;/D&gt;&lt;D xsi:type="xsd:double"&gt;18.6698985511773&lt;/D&gt;&lt;D xsi:type="xsd:double"&gt;19.1666102091716&lt;/D&gt;&lt;D xsi:type="xsd:double"&gt;19.4760473060604&lt;/D&gt;&lt;D xsi:type="xsd:double"&gt;19.0311669054241&lt;/D&gt;&lt;D xsi:type="xsd:double"&gt;20.036351622814&lt;/D&gt;&lt;D xsi:type="xsd:double"&gt;22.732353364669&lt;/D&gt;&lt;D xsi:type="xsd:double"&gt;23.2673194440571&lt;/D&gt;&lt;D xsi:type="xsd:double"&gt;22.8185401629995&lt;/D&gt;&lt;D xsi:type="xsd:double"&gt;21.777351709278&lt;/D&gt;&lt;D xsi:type="xsd:double"&gt;21.3012038672565&lt;/D&gt;&lt;D xsi:type="xsd:double"&gt;20.9978108534606&lt;/D&gt;&lt;D xsi:type="xsd:double"&gt;20.7909363987482&lt;/D&gt;&lt;D xsi:type="xsd:double"&gt;19.8750088460077&lt;/D&gt;&lt;D xsi:type="xsd:double"&gt;19.3326600132356&lt;/D&gt;&lt;D xsi:type="xsd:double"&gt;19.1294168598438&lt;/D&gt;&lt;D xsi:type="xsd:double"&gt;18.4512431976666&lt;/D&gt;&lt;D xsi:type="xsd:double"&gt;22.5574507257018&lt;/D&gt;&lt;D xsi:type="xsd:double"&gt;17.5754168615788&lt;/D&gt;&lt;D xsi:type="xsd:double"&gt;18.093680554187&lt;/D&gt;&lt;D xsi:type="xsd:double"&gt;16.0393361768342&lt;/D&gt;&lt;D xsi:type="xsd:double"&gt;15.704104198327&lt;/D&gt;&lt;D xsi:type="xsd:double"&gt;15.7811301819717&lt;/D&gt;&lt;D xsi:type="xsd:double"&gt;15.342430660064&lt;/D&gt;&lt;D xsi:type="xsd:double"&gt;15.0184661914859&lt;/D&gt;&lt;D xsi:type="xsd:double"&gt;13.9861244999995&lt;/D&gt;&lt;D xsi:type="xsd:double"&gt;14.4611487327522&lt;/D&gt;&lt;D xsi:type="xsd:double"&gt;14.130471376196&lt;/D&gt;&lt;D xsi:type="xsd:double"&gt;13.5754002565179&lt;/D&gt;&lt;D xsi:type="xsd:double"&gt;13.5207993888735&lt;/D&gt;&lt;D xsi:type="xsd:double"&gt;14.4123445577826&lt;/D&gt;&lt;D xsi:type="xsd:double"&gt;13.9057949481175&lt;/D&gt;&lt;D xsi:type="xsd:double"&gt;14.9855807887684&lt;/D&gt;&lt;D xsi:type="xsd:double"&gt;14.2712508232755&lt;/D&gt;&lt;D xsi:type="xsd:double"&gt;14.2847651333206&lt;/D&gt;&lt;D xsi:type="xsd:double"&gt;14.2765913754311&lt;/D&gt;&lt;D xsi:type="xsd:double"&gt;14.3006014082232&lt;/D&gt;&lt;D xsi:type="xsd:double"&gt;14.6558819543819&lt;/D&gt;&lt;D xsi:type="xsd:double"&gt;14.978178529504&lt;/D&gt;&lt;D xsi:type="xsd:double"&gt;15.1076587386803&lt;/D&gt;&lt;D xsi:type="xsd:double"&gt;14.4201193452215&lt;/D&gt;&lt;D xsi:type="xsd:double"&gt;14.8805678458168&lt;/D&gt;&lt;D xsi:type="xsd:double"&gt;15.3458330154233&lt;/D&gt;&lt;D xsi:type="xsd:double"&gt;16.2812780263075&lt;/D&gt;&lt;D xsi:type="xsd:double"&gt;16.6427168933941&lt;/D&gt;&lt;D xsi:type="xsd:double"&gt;16.6168441148669&lt;/D&gt;&lt;D xsi:type="xsd:double"&gt;16.6331112803949&lt;/D&gt;&lt;/FQL&gt;&lt;FQL&gt;&lt;Q&gt;WL-FDS^FG_PRICE_CHANGE(0,-1AM)&lt;/Q&gt;&lt;R&gt;1&lt;/R&gt;&lt;C&gt;1&lt;/C&gt;&lt;D xsi:type="xsd:double"&gt;9.73018549747049&lt;/D&gt;&lt;/FQL&gt;&lt;FQL&gt;&lt;Q&gt;NI-FDS^FG_PRICE_CHANGE(0,-1AM)&lt;/Q&gt;&lt;R&gt;1&lt;/R&gt;&lt;C&gt;1&lt;/C&gt;&lt;D xsi:type="xsd:double"&gt;-1.96301564722617&lt;/D&gt;&lt;/FQL&gt;&lt;FQL&gt;&lt;Q&gt;CPALM-FDS^FG_PRICE_CHANGE(0,-1AM)&lt;/Q&gt;&lt;R&gt;1&lt;/R&gt;&lt;C&gt;1&lt;/C&gt;&lt;D xsi:type="xsd:double"&gt;13.9407518048295&lt;/D&gt;&lt;/FQL&gt;&lt;FQL&gt;&lt;Q&gt;BRENT-FDS^FG_PRICE_CHANGE(0,-1AM)&lt;/Q&gt;&lt;R&gt;1&lt;/R&gt;&lt;C&gt;1&lt;/C&gt;&lt;D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xsi:type="xsd:double"&gt;-14.5801265606294&lt;/D&gt;&lt;/FQL&gt;&lt;FQL&gt;&lt;Q&gt;EWN^FG_PRICE_MAVG(0,,,,60)&lt;/Q&gt;&lt;R&gt;1&lt;/R&gt;&lt;C&gt;1&lt;/C&gt;&lt;D xsi:type="xsd:double"&gt;47.049416&lt;/D&gt;&lt;/FQL&gt;&lt;FQL&gt;&lt;Q&gt;EWU^FG_PRICE_MAVG(0,,,,60)&lt;/Q&gt;&lt;R&gt;1&lt;/R&gt;&lt;C&gt;1&lt;/C&gt;&lt;D xsi:type="xsd:double"&gt;32.916668&lt;/D&gt;&lt;/FQL&gt;&lt;FQL&gt;&lt;Q&gt;EWC^FG_PRICE_MAVG(0,,,,60)&lt;/Q&gt;&lt;R&gt;1&lt;/R&gt;&lt;C&gt;1&lt;/C&gt;&lt;D xsi:type="xsd:double"&gt;36.918&lt;/D&gt;&lt;/FQL&gt;&lt;FQL&gt;&lt;Q&gt;DUMMY^ECON_EXPR_DATA('FDS_ECON[NTCPMIMFGSA@CH]',03/2024,,M)&lt;/Q&gt;&lt;R&gt;1&lt;/R&gt;&lt;C&gt;1&lt;/C&gt;&lt;D xsi:type="xsd:double"&gt;45.16902&lt;/D&gt;&lt;/FQL&gt;&lt;FQL&gt;&lt;Q&gt;FXI^PERCENT_CHANGE(FMA_EPS(+1,0,,,,"PORTAGG","MEAN"),FMA_EPS(+1,-1AM,,,,"PORTAGG","MEAN"))&lt;/Q&gt;&lt;R&gt;1&lt;/R&gt;&lt;C&gt;1&lt;/C&gt;&lt;D xsi:type="xsd:double"&gt;0.790049801819623&lt;/D&gt;&lt;/FQL&gt;&lt;FQL&gt;&lt;Q&gt;EWD^FMA_PCT_ABOVE_MAVG(200,0,,,,"PORTAGG")&lt;/Q&gt;&lt;R&gt;1&lt;/R&gt;&lt;C&gt;1&lt;/C&gt;&lt;D xsi:type="xsd:double"&gt;93.0232558139535&lt;/D&gt;&lt;/FQL&gt;&lt;FQL&gt;&lt;Q&gt;EWQ^PERCENT_CHANGE(FMA_EPS(+1,0,,,,"PORTAGG","MEAN"),FMA_EPS(+1,-3AM,,,,"PORTAGG","MEAN"))&lt;/Q&gt;&lt;R&gt;1&lt;/R&gt;&lt;C&gt;1&lt;/C&gt;&lt;D xsi:type="xsd:double"&gt;-4.45378124587764&lt;/D&gt;&lt;/FQL&gt;&lt;FQL&gt;&lt;Q&gt;EWL^P_PRICE(0)/P_PRICE_HIGH_PR(0,,,USD,,,"PRICE","INTRA","52W")&lt;/Q&gt;&lt;R&gt;1&lt;/R&gt;&lt;C&gt;1&lt;/C&gt;&lt;D xsi:type="xsd:double"&gt;0.9578011&lt;/D&gt;&lt;/FQL&gt;&lt;FQL&gt;&lt;Q&gt;ENZL^FG_TOTAL_RETURNC(0,-1AM)&lt;/Q&gt;&lt;R&gt;1&lt;/R&gt;&lt;C&gt;1&lt;/C&gt;&lt;D xsi:type="xsd:double"&gt;0.4711628&lt;/D&gt;&lt;/FQL&gt;&lt;FQL&gt;&lt;Q&gt;EWQ^FMA_COS_DOWN("EPS","1M",+1,0,,,"PORTAGG","MEANR")&lt;/Q&gt;&lt;R&gt;1&lt;/R&gt;&lt;C&gt;1&lt;/C&gt;&lt;D xsi:type="xsd:double"&gt;30&lt;/D&gt;&lt;/FQL&gt;&lt;FQL&gt;&lt;Q&gt;EWG^FG_ROE(0)&lt;/Q&gt;&lt;R&gt;1&lt;/R&gt;&lt;C&gt;1&lt;/C&gt;&lt;D xsi:type="xsd:double"&gt;12.500677691387&lt;/D&gt;&lt;/FQL&gt;&lt;FQL&gt;&lt;Q&gt;EWL^FMA_ROE(NTMA,-20AY,NOW,FY,"PORTAGG","MEANR")&lt;/Q&gt;&lt;R&gt;20&lt;/R&gt;&lt;C&gt;1&lt;/C&gt;&lt;D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xsi:type="xsd:double"&gt;14.6677795152565&lt;/D&gt;&lt;D xsi:type="xsd:double"&gt;16.3837417700753&lt;/D&gt;&lt;D xsi:type="xsd:double"&gt;16.6906517335277&lt;/D&gt;&lt;D xsi:type="xsd:double"&gt;19.2996868123636&lt;/D&gt;&lt;/FQL&gt;&lt;FQL&gt;&lt;Q&gt;TRYIN10Y-FDS^FG_YIELD(-10AY,0,Y,,"YTM")&lt;/Q&gt;&lt;R&gt;10&lt;/R&gt;&lt;C&gt;1&lt;/C&gt;&lt;D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</t>
        </r>
      </text>
    </comment>
    <comment ref="A5" authorId="0" shapeId="0" xr:uid="{9B416F4D-020B-456A-9BEC-E6B05E91FF8A}">
      <text>
        <r>
          <rPr>
            <b/>
            <sz val="9"/>
            <color indexed="81"/>
            <rFont val="Tahoma"/>
            <charset val="1"/>
          </rPr>
          <t xml:space="preserve"> xsi:type="xsd:double"&gt;0.618&lt;/D&gt;&lt;D xsi:type="xsd:double"&gt;1.315&lt;/D&gt;&lt;D xsi:type="xsd:double"&gt;4.585&lt;/D&gt;&lt;D xsi:type="xsd:double"&gt;3.099&lt;/D&gt;&lt;/FQL&gt;&lt;FQL&gt;&lt;Q&gt;NI-FDS^FG_PRICE_MAVG(0,,,,30)&lt;/Q&gt;&lt;R&gt;1&lt;/R&gt;&lt;C&gt;1&lt;/C&gt;&lt;D xsi:type="xsd:double"&gt;17302.834&lt;/D&gt;&lt;/FQL&gt;&lt;FQL&gt;&lt;Q&gt;CPALM-FDS^FG_PRICE_MAVG(0,,,,30)&lt;/Q&gt;&lt;R&gt;1&lt;/R&gt;&lt;C&gt;1&lt;/C&gt;&lt;D xsi:type="xsd:double"&gt;4222.9&lt;/D&gt;&lt;/FQL&gt;&lt;FQL&gt;&lt;Q&gt;BRENT-FDS^FG_PRICE_MAVG(0,,,,30)&lt;/Q&gt;&lt;R&gt;1&lt;/R&gt;&lt;C&gt;1&lt;/C&gt;&lt;D xsi:type="xsd:double"&gt;85.86&lt;/D&gt;&lt;/FQL&gt;&lt;FQL&gt;&lt;Q&gt;EWN^FG_PRICE_MAVG(0,,,,30)&lt;/Q&gt;&lt;R&gt;1&lt;/R&gt;&lt;C&gt;1&lt;/C&gt;&lt;D xsi:type="xsd:double"&gt;48.696&lt;/D&gt;&lt;/FQL&gt;&lt;FQL&gt;&lt;Q&gt;EWU^FG_PRICE_MAVG(0,,,,30)&lt;/Q&gt;&lt;R&gt;1&lt;/R&gt;&lt;C&gt;1&lt;/C&gt;&lt;D xsi:type="xsd:double"&gt;33.459&lt;/D&gt;&lt;/FQL&gt;&lt;FQL&gt;&lt;Q&gt;EWC^FG_PRICE_MAVG(0,,,,30)&lt;/Q&gt;&lt;R&gt;1&lt;/R&gt;&lt;C&gt;1&lt;/C&gt;&lt;D xsi:type="xsd:double"&gt;37.593&lt;/D&gt;&lt;/FQL&gt;&lt;FQL&gt;&lt;Q&gt;DUMMY^ECON_EXPR_DATA('FDS_ECON[NTCPMIMFGSA@GB]',03/2024,,M)&lt;/Q&gt;&lt;R&gt;1&lt;/R&gt;&lt;C&gt;1&lt;/C&gt;&lt;D xsi:type="xsd:double"&gt;50.269836&lt;/D&gt;&lt;/FQL&gt;&lt;FQL&gt;&lt;Q&gt;FXI^FMA_PCT_ABOVE_MAVG(200,0,,,,"PORTAGG")&lt;/Q&gt;&lt;R&gt;1&lt;/R&gt;&lt;C&gt;1&lt;/C&gt;&lt;D xsi:type="xsd:double"&gt;50.9803921568627&lt;/D&gt;&lt;/FQL&gt;&lt;FQL&gt;&lt;Q&gt;VWO^FG_TOTAL_RETURNC(0,-3AM)&lt;/Q&gt;&lt;R&gt;1&lt;/R&gt;&lt;C&gt;1&lt;/C&gt;&lt;D xsi:type="xsd:double"&gt;3.954649&lt;/D&gt;&lt;/FQL&gt;&lt;FQL&gt;&lt;Q&gt;EWI^P_PRICE(0)/P_PRICE_HIGH_PR(0,,,USD,,,"PRICE","INTRA","52W")&lt;/Q&gt;&lt;R&gt;1&lt;/R&gt;&lt;C&gt;1&lt;/C&gt;&lt;D xsi:type="xsd:double"&gt;0.9762909&lt;/D&gt;&lt;/FQL&gt;&lt;FQL&gt;&lt;Q&gt;EWG^SIZE(FG_CONSTITUENTS)&lt;/Q&gt;&lt;R&gt;1&lt;/R&gt;&lt;C&gt;1&lt;/C&gt;&lt;D xsi:type="xsd:long"&gt;57&lt;/D&gt;&lt;/FQL&gt;&lt;FQL&gt;&lt;Q&gt;CAGDPY@GB^EE_ACTUAL_ANNUAL(MED,0)&lt;/Q&gt;&lt;R&gt;1&lt;/R&gt;&lt;C&gt;1&lt;/C&gt;&lt;D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xsi:type="xsd:double"&gt;-4.8427343&lt;/D&gt;&lt;/FQL&gt;&lt;FQL&gt;&lt;Q&gt;USDCHF^FG_PRICE_CHANGE(0,-6AM)&lt;/Q&gt;&lt;R&gt;1&lt;/R&gt;&lt;C&gt;1&lt;/C&gt;&lt;D xsi:type="xsd:double"&gt;-1.5828133&lt;/D&gt;&lt;/FQL&gt;&lt;FQL&gt;&lt;Q&gt;USDUSD^FG_PRICE_CHANGE(0,-6AM)&lt;/Q&gt;&lt;R&gt;1&lt;/R&gt;&lt;C&gt;1&lt;/C&gt;&lt;D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xsi:type="xsd:double"&gt;-3.4550965&lt;/D&gt;&lt;/FQL&gt;&lt;FQL&gt;&lt;Q&gt;USDAUD^FG_PRICE_CHANGE(0,-6AM)&lt;/Q&gt;&lt;R&gt;1&lt;/R&gt;&lt;C&gt;1&lt;/C&gt;&lt;D xsi:type="xsd:double"&gt;-4.6615243&lt;/D&gt;&lt;/FQL&gt;&lt;FQL&gt;&lt;Q&gt;EWN^FMA_EPS(NTMA,-20AY,0,CY,,"PORTAGG","MEANR")&lt;/Q&gt;&lt;R&gt;20&lt;/R&gt;&lt;C&gt;1&lt;/C&gt;&lt;D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xsi:type="xsd:double"&gt;1.99085797419876&lt;/D&gt;&lt;D xsi:type="xsd:double"&gt;2.00892945351409&lt;/D&gt;&lt;D xsi:type="xsd:double"&gt;2.43601807668502&lt;/D&gt;&lt;D xsi:type="xsd:double"&gt;2.42941425498409&lt;/D&gt;&lt;D xsi:type="xsd:double"&gt;2.95560750409213&lt;/D&gt;&lt;/FQL&gt;&lt;FQL&gt;&lt;Q&gt;SPY^P_PRICE_RETURNS_PR('52W',2,-10AY,0,AM)&lt;/Q&gt;&lt;R&gt;121&lt;/R&gt;&lt;C&gt;1&lt;/C&gt;&lt;D xsi:type="xsd:double"&gt;22.005713&lt;/D&gt;&lt;D xsi:type="xsd:double"&gt;20.094883&lt;/D&gt;&lt;D xsi:type="xsd:double"&gt;20.497072&lt;/D&gt;&lt;D xsi:type="xsd:double"&gt;25.307869&lt;/D&gt;&lt;D xsi:type="xsd:double"&gt;15.648901&lt;/D&gt;&lt;D xsi:type="xsd:double"&gt;23.165108&lt;/D&gt;&lt;D xsi:type="xsd:double"&gt;19.51909&lt;/D&gt;&lt;D xsi:type="xsd:double"&gt;15.917134&lt;/D&gt;&lt;D xsi:type="xsd:double"&gt;17.784632&lt;/D&gt;&lt;D xsi:type="xsd:double"&gt;14.498711&lt;/D&gt;&lt;D xsi:type="xsd:double"&gt;18.621492&lt;/D&gt;&lt;D xsi:type="xsd:double"&gt;14.263177&lt;/D&gt;&lt;D xsi:type="xsd:double"&gt;11.4277&lt;/D&gt;&lt;D xsi:type="xsd:double"&gt;14.561844&lt;/D&gt;&lt;D xsi:type="xsd:double"&gt;10.891318&lt;/D&gt;&lt;D xsi:type="xsd:double"&gt;7.173836&lt;/D&gt;&lt;D xsi:type="xsd:double"&gt;10.108625&lt;/D&gt;&lt;D xsi:type="xsd:double"&gt;-1.918006&lt;/D&gt;&lt;D xsi:type="xsd:double"&gt;2.3498535&lt;/D&gt;&lt;D xsi:type="xsd:double"&gt;6.7382574&lt;/D&gt;&lt;D xsi:type="xsd:double"&gt;2.9873967&lt;/D&gt;&lt;D xsi:type="xsd:double"&gt;-0.11036396&lt;/D&gt;&lt;D xsi:type="xsd:double"&gt;-4.1517076&lt;/D&gt;&lt;D xsi:type="xsd:double"&gt;-2.6772082&lt;/D&gt;&lt;D xsi:type="xsd:double"&gt;2.0622253&lt;/D&gt;&lt;D xsi:type="xsd:double"&gt;-0.8965492&lt;/D&gt;&lt;D xsi:type="xsd:double"&gt;1.3632178&lt;/D&gt;&lt;D xsi:type="xsd:double"&gt;3.380084&lt;/D&gt;&lt;D xsi:type="xsd:double"&gt;5.618739&lt;/D&gt;&lt;D xsi:type="xsd:double"&gt;14.194632&lt;/D&gt;&lt;D xsi:type="xsd:double"&gt;12.476826&lt;/D&gt;&lt;D xsi:type="xsd:double"&gt;1.2868762&lt;/D&gt;&lt;D xsi:type="xsd:double"&gt;7.6292157&lt;/D&gt;&lt;D xsi:type="xsd:double"&gt;15.13958&lt;/D&gt;&lt;D xsi:type="xsd:double"&gt;22.463142&lt;/D&gt;&lt;D xsi:type="xsd:double"&gt;21.910799&lt;/D&gt;&lt;D xsi:type="xsd:double"&gt;16.537262&lt;/D&gt;&lt;D xsi:type="xsd:double"&gt;18.875206&lt;/D&gt;&lt;D xsi:type="xsd:double"&gt;18.167995&lt;/D&gt;&lt;D xsi:type="xsd:double"&gt;17.731262&lt;/D&gt;&lt;D xsi:type="xsd:double"&gt;16.652966&lt;/D&gt;&lt;D xsi:type="xsd:double"&gt;16.328764&lt;/D&gt;&lt;D xsi:type="xsd:double"&gt;20.311785&lt;/D&gt;&lt;D xsi:type="xsd:double"&gt;26.296795&lt;/D&gt;&lt;D xsi:type="xsd:double"&gt;22.672832&lt;/D&gt;&lt;D xsi:type="xsd:double"&gt;22.199177&lt;/D&gt;&lt;D xsi:type="xsd:double"&gt;23.279358&lt;/D&gt;&lt;D xsi:type="xsd:double"&gt;15.121424&lt;/D&gt;&lt;D xsi:type="xsd:double"&gt;14.0550375&lt;/D&gt;&lt;D xsi:type="xsd:double"&gt;13.538122&lt;/D&gt;&lt;D xsi:type="xsd:double"&gt;14.728535&lt;/D&gt;&lt;D xsi:type="xsd:double"&gt;13.93075&lt;/D&gt;&lt;D xsi:type="xsd:double"&gt;16.97786&lt;/D&gt;&lt;D xsi:type="xsd:double"&gt;19.114887&lt;/D&gt;&lt;D xsi:type="xsd:double"&gt;16.413652&lt;/D&gt;&lt;D xsi:type="xsd:double"&gt;7.474339&lt;/D&gt;&lt;D xsi:type="xsd:double"&gt;4.177046&lt;/D&gt;&lt;D xsi:type="xsd:double"&gt;-5.299425&lt;/D&gt;&lt;D xsi:type="xsd:double"&gt;0.62094927&lt;/D&gt;&lt;D xsi:type="xsd:double"&gt;5.8208466&lt;/D&gt;&lt;D xsi:type="xsd:double"&gt;11.087906&lt;/D&gt;&lt;D xsi:type="xsd:double"&gt;14.144754&lt;/D&gt;&lt;D xsi:type="xsd:double"&gt;4.0391207&lt;/D&gt;&lt;D xsi:type="xsd:double"&gt;12.493086&lt;/D&gt;&lt;D xsi:type="xsd:double"&gt;5.683923&lt;/D&gt;&lt;D xsi:type="xsd:double"&gt;3.4778237&lt;/D&gt;&lt;D xsi:type="xsd:double"&gt;3.730595&lt;/D&gt;&lt;D xsi:type="xsd:double"&gt;15.31068&lt;/D&gt;&lt;D xsi:type="xsd:double"&gt;17.554129&lt;/D&gt;&lt;D xsi:type="xsd:double"&gt;34.519398&lt;/D&gt;&lt;D xsi:type="xsd:double"&gt;23.284912&lt;/D&gt;&lt;D xsi:type="xsd:double"&gt;14.094173&lt;/D&gt;&lt;D xsi:type="xsd:double"&gt;-11.553431&lt;/D&gt;&lt;D xsi:type="xsd:double"&gt;-1.5606523&lt;/D&gt;&lt;D xsi:type="xsd:double"&gt;13.287914&lt;/D&gt;&lt;D xsi:type="xsd:double"&gt;7.4635267&lt;/D&gt;&lt;D xsi:type="xsd:double"&gt;15.079379&lt;/D&gt;&lt;D xsi:type="xsd:double"&gt;18.864323&lt;/D&gt;&lt;D xsi:type="xsd:double"&gt;18.170643&lt;/D&gt;&lt;D xsi:type="xsd:double"&gt;13.964617&lt;/D&gt;&lt;D xsi:type="xsd:double"&gt;21.081425&lt;/D&gt;&lt;D xsi:type="xsd:double"&gt;16.562485&lt;/D&gt;&lt;D xsi:type="xsd:double"&gt;19.5953&lt;/D&gt;&lt;D xsi:type="xsd:double"&gt;22.69696&lt;/D&gt;&lt;D xsi:type="xsd:double"&gt;65.37613&lt;/D&gt;&lt;D xsi:type="xsd:double"&gt;48.93165&lt;/D&gt;&lt;D xsi:type="xsd:double"&gt;37.916924&lt;/D&gt;&lt;D xsi:type="xsd:double"&gt;40.99548&lt;/D&gt;&lt;D xsi:type="xsd:double"&gt;34.996426&lt;/D&gt;&lt;D xsi:type="xsd:double"&gt;33.148266&lt;/D&gt;&lt;D xsi:type="xsd:double"&gt;30.218351&lt;/D&gt;&lt;D xsi:type="xsd:double"&gt;37.839508&lt;/D&gt;&lt;D xsi:type="xsd:double"&gt;25.406324&lt;/D&gt;&lt;D xsi:type="xsd:double"&gt;31.233728&lt;/D&gt;&lt;D xsi:type="xsd:double"&gt;17.749989&lt;/D&gt;&lt;D xsi:type="xsd:double"&gt;16.26923&lt;/D&gt;&lt;D xsi:type="xsd:double"&gt;15.536749&lt;/D&gt;&lt;D xsi:type="xsd:double"&gt;4.601383&lt;/D&gt;&lt;D xsi:type="xsd:double"&gt;-0.6664932&lt;/D&gt;&lt;D xsi:type="xsd:double"&gt;-10.165781&lt;/D&gt;&lt;D xsi:type="xsd:double"&gt;-4.307085&lt;/D&gt;&lt;D xsi:type="xsd:double"&gt;-12.215585&lt;/D&gt;&lt;D xsi:type="xsd:double"&gt;-10.4837&lt;/D&gt;&lt;D xsi:type="xsd:double"&gt;-18.17308&lt;/D&gt;&lt;D xsi:type="xsd:double"&gt;-9.689199&lt;/D&gt;&lt;D xsi:type="xsd:double"&gt;-18.33244&lt;/D&gt;&lt;D xsi:type="xsd:double"&gt;-6.166917&lt;/D&gt;&lt;D xsi:type="xsd:double"&gt;-5.724949&lt;/D&gt;&lt;D xsi:type="xsd:double"&gt;-9.009319&lt;/D&gt;&lt;D xsi:type="xsd:double"&gt;-3.965646&lt;/D&gt;&lt;D xsi:type="xsd:double"&gt;4.272735&lt;/D&gt;&lt;D xsi:type="xsd:double"&gt;18.325293&lt;/D&gt;&lt;D xsi:type="xsd:double"&gt;9.658611&lt;/D&gt;&lt;D xsi:type="xsd:double"&gt;15.691757&lt;/D&gt;&lt;D xsi:type="xsd:double"&gt;14.139533&lt;/D&gt;&lt;D xsi:type="xsd:double"&gt;19.02715&lt;/D&gt;&lt;D xsi:type="xsd:double"&gt;14.018464&lt;/D&gt;&lt;D xsi:type="xsd:double"&gt;23.627722&lt;/D&gt;&lt;D xsi:type="xsd:double"&gt;20.427608&lt;/D&gt;&lt;D xsi:type="xsd:double"&gt;28.68774&lt;/D&gt;&lt;D xsi:type="xsd:double"&gt;27.375137&lt;/D&gt;&lt;/FQL&gt;&lt;FQL&gt;&lt;Q&gt;EWU^FG_TOTAL_RETURNC(-10AY,0,AM)&lt;/Q&gt;&lt;R&gt;121&lt;/R&gt;&lt;C&gt;1&lt;/C&gt;&lt;D xsi:type="xsd:double"&gt;-2.8328657&lt;/D&gt;&lt;D xsi:type="xsd:double"&gt;4.9562693&lt;/D&gt;&lt;D xsi:type="xsd:double"&gt;0.18517971&lt;/D&gt;&lt;D xsi:type="xsd:double"&gt;3.2214642&lt;/D&gt;&lt;D xsi:type="xsd:double"&gt;-4.321277&lt;/D&gt;&lt;D xsi:type="xsd:double"&gt;0.14727116&lt;/D&gt;&lt;D xsi:type="xsd:double"&gt;-7.3529425&lt;/D&gt;&lt;D xsi:type="xsd:double"&gt;-0.63491464&lt;/D&gt;&lt;D xsi:type="xsd:double"&gt;1.4376879&lt;/D&gt;&lt;D xsi:type="xsd:double"&gt;-4.396248&lt;/D&gt;&lt;D xsi:type="xsd:double"&gt;3.471434&lt;/D&gt;&lt;D xsi:type="xsd:double"&gt;2.0562887&lt;/D&gt;&lt;D xsi:type="xsd:double"&gt;-3.3934295&lt;/D&gt;&lt;D xsi:type="xsd:double"&gt;5.762899&lt;/D&gt;&lt;D xsi:type="xsd:double"&gt;-1.2454569&lt;/D&gt;&lt;D xsi:type="xsd:double"&gt;-1.6553998&lt;/D&gt;&lt;D xsi:type="xsd:double"&gt;0.70729256&lt;/D&gt;&lt;D xsi:type="xsd:double"&gt;-11.669368&lt;/D&gt;&lt;D xsi:type="xsd:double"&gt;3.302741&lt;/D&gt;&lt;D xsi:type="xsd:double"&gt;4.4997096&lt;/D&gt;&lt;D xsi:type="xsd:double"&gt;-3.6260605&lt;/D&gt;&lt;D xsi:type="xsd:double"&gt;-4.779011&lt;/D&gt;&lt;D xsi:type="xsd:double"&gt;-4.471034&lt;/D&gt;&lt;D xsi:type="xsd:double"&gt;2.6367784&lt;/D&gt;&lt;D xsi:type="xsd:double"&gt;0.064229965&lt;/D&gt;&lt;D xsi:type="xsd:double"&gt;1.4120698&lt;/D&gt;&lt;D xsi:type="xsd:double"&gt;2.974689&lt;/D&gt;&lt;D xsi:type="xsd:double"&gt;-3.200543&lt;/D&gt;&lt;D xsi:type="xsd:double"&gt;1.301229&lt;/D&gt;&lt;D xsi:type="xsd:double"&gt;4.0462494&lt;/D&gt;&lt;D xsi:type="xsd:double"&gt;-1.9753098&lt;/D&gt;&lt;D xsi:type="xsd:double"&gt;-7.2418156&lt;/D&gt;&lt;D xsi:type="xsd:double"&gt;3.0210495&lt;/D&gt;&lt;D xsi:type="xsd:double"&gt;3.9235473&lt;/D&gt;&lt;D xsi:type="xsd:double"&gt;1.2536168&lt;/D&gt;&lt;D xsi:type="xsd:double"&gt;1.6825318&lt;/D&gt;&lt;D xsi:type="xsd:double"&gt;1.1551738&lt;/D&gt;&lt;D xsi:type="xsd:double"&gt;2.7160406&lt;/D&gt;&lt;D xsi:type="xsd:double"&gt;4.567313&lt;/D&gt;&lt;D xsi:type="xsd:double"&gt;-2.075845&lt;/D&gt;&lt;D xsi:type="xsd:double"&gt;3.1503081&lt;/D&gt;&lt;D xsi:type="xsd:double"&gt;-1.1343777&lt;/D&gt;&lt;D xsi:type="xsd:double"&gt;2.6184201&lt;/D&gt;&lt;D xsi:type="xsd:double"&gt;-0.08601546&lt;/D&gt;&lt;D xsi:type="xsd:double"&gt;-0.08608103&lt;/D&gt;&lt;D xsi:type="xsd:double"&gt;6.015444&lt;/D&gt;&lt;D xsi:type="xsd:double"&gt;0.110411644&lt;/D&gt;&lt;D xsi:type="xsd:double"&gt;-5.238491&lt;/D&gt;&lt;D xsi:type="xsd:double"&gt;1.9202828&lt;/D&gt;&lt;D xsi:type="xsd:double"&gt;2.9688835&lt;/D&gt;&lt;D xsi:type="xsd:double"&gt;0.49903393&lt;/D&gt;&lt;D xsi:type="xsd:double"&gt;-2.6203156&lt;/D&gt;&lt;D xsi:type="xsd:double"&gt;0.02900362&lt;/D&gt;&lt;D xsi:type="xsd:double"&gt;-3.3343017&lt;/D&gt;&lt;D xsi:type="xsd:double"&gt;1.2297511&lt;/D&gt;&lt;D xsi:type="xsd:double"&gt;-4.4148207&lt;/D&gt;&lt;D xsi:type="xsd:double"&gt;-3.7507713&lt;/D&gt;&lt;D xsi:type="xsd:double"&gt;-1.4011145&lt;/D&gt;&lt;D xsi:type="xsd:double"&gt;5.774367&lt;/D&gt;&lt;D xsi:type="xsd:double"&gt;2.7137876&lt;/D&gt;&lt;D xsi:type="xsd:double"&gt;3.594482&lt;/D&gt;&lt;D xsi:type="xsd:double"&gt;0.44482946&lt;/D&gt;&lt;D xsi:type="xsd:double"&gt;-5.1372824&lt;/D&gt;&lt;D xsi:type="xsd:double"&gt;4.641199&lt;/D&gt;&lt;D xsi:type="xsd:double"&gt;-6.314826&lt;/D&gt;&lt;D xsi:type="xsd:double"&gt;0.39075613&lt;/D&gt;&lt;D xsi:type="xsd:double"&gt;-0.7784605&lt;/D&gt;&lt;D xsi:type="xsd:double"&gt;7.289958&lt;/D&gt;&lt;D xsi:type="xsd:double"&gt;-0.5484462&lt;/D&gt;&lt;D xsi:type="xsd:double"&gt;5.4916263&lt;/D&gt;&lt;D xsi:type="xsd:double"&gt;-2.7777731&lt;/D&gt;&lt;D xsi:type="xsd:double"&gt;-7.811552&lt;/D&gt;&lt;D xsi:type="xsd:double"&gt;-25.651175&lt;/D&gt;&lt;D xsi:type="xsd:double"&gt;9.578716&lt;/D&gt;&lt;D xsi:type="xsd:double"&gt;10.360182&lt;/D&gt;&lt;D xsi:type="xsd:double"&gt;-2.6907444&lt;/D&gt;&lt;D xsi:type="xsd:double"&gt;1.4154553&lt;/D&gt;&lt;D xsi:type="xsd:double"&gt;-1.3202608&lt;/D&gt;&lt;D xsi:type="xsd:double"&gt;-1.6055048&lt;/D&gt;&lt;D xsi:type="xsd:double"&gt;-0.7769942&lt;/D&gt;&lt;D xsi:type="xsd:double"&gt;16.87548&lt;/D&gt;&lt;D xsi:type="xsd:double"&gt;0.5697131&lt;/D&gt;&lt;D xsi:type="xsd:double"&gt;-0.06738901&lt;/D&gt;&lt;D xsi:type="xsd:double"&gt;4.113281&lt;/D&gt;&lt;D xsi:type="xsd:double"&gt;2.558291&lt;/D&gt;&lt;D xsi:type="xsd:double"&gt;3.1259894&lt;/D&gt;&lt;D xsi:type="xsd:double"&gt;4.4396877&lt;/D&gt;&lt;D xsi:type="xsd:double"&gt;-1.500231&lt;/D&gt;&lt;D xsi:type="xsd:double"&gt;0.4842639&lt;/D&gt;&lt;D xsi:type="xsd:double"&gt;0.8132577&lt;/D&gt;&lt;D xsi:type="xsd:double"&gt;-3.047508&lt;/D&gt;&lt;D xsi:type="xsd:double"&gt;2.896762&lt;/D&gt;&lt;D xsi:type="xsd:double"&gt;-3.4141958&lt;/D&gt;&lt;D xsi:type="xsd:double"&gt;7.532108&lt;/D&gt;&lt;D xsi:type="xsd:double"&gt;1.1851907&lt;/D&gt;&lt;D xsi:type="xsd:double"&gt;-8.023429&lt;/D&gt;&lt;D xsi:type="xsd:double"&gt;7.9274178&lt;/D&gt;&lt;D xsi:type="xsd:double"&gt;-2.536875&lt;/D&gt;&lt;D xsi:type="xsd:double"&gt;-0.4842639&lt;/D&gt;&lt;D xsi:type="xsd:double"&gt;-7.4246764&lt;/D&gt;&lt;D xsi:type="xsd:double"&gt;3.077948&lt;/D&gt;&lt;D xsi:type="xsd:double"&gt;-7.7896776&lt;/D&gt;&lt;D xsi:type="xsd:double"&gt;-1.8303454&lt;/D&gt;&lt;D xsi:type="xsd:double"&gt;3.298676&lt;/D&gt;&lt;D xsi:type="xsd:double"&gt;10.725439&lt;/D&gt;&lt;D xsi:type="xsd:double"&gt;-0.98543763&lt;/D&gt;&lt;D xsi:type="xsd:double"&gt;3.5347104&lt;/D&gt;&lt;D xsi:type="xsd:double"&gt;1.5518308&lt;/D&gt;&lt;D xsi:type="xsd:double"&gt;-0.091695786&lt;/D&gt;&lt;D xsi:type="xsd:double"&gt;1.8966079&lt;/D&gt;&lt;D xsi:type="xsd:double"&gt;-2.0414293&lt;/D&gt;&lt;D xsi:type="xsd:double"&gt;0.6303668&lt;/D&gt;&lt;D xsi:type="xsd:double"&gt;0.434649&lt;/D&gt;&lt;D xsi:type="xsd:double"&gt;-0.896436&lt;/D&gt;&lt;D xsi:type="xsd:double"&gt;-3.742987&lt;/D&gt;&lt;D xsi:type="xsd:double"&gt;1.523006&lt;/D&gt;&lt;D xsi:type="xsd:double"&gt;4.085541&lt;/D&gt;&lt;D xsi:type="xsd:double"&gt;3.023696&lt;/D&gt;&lt;D xsi:type="xsd:double"&gt;-1.1571288&lt;/D&gt;&lt;D xsi:type="xsd:double"&gt;1.1090636&lt;/D&gt;&lt;D xsi:type="xsd:double"&gt;3.6867738&lt;/D&gt;&lt;/FQL&gt;&lt;FQL&gt;&lt;Q&gt;EWJ^FMA_DIV_YLD(NTMA,-10AY,0,AM,"PORTAGG","MEANR")&lt;/Q&gt;&lt;R&gt;121&lt;/R&gt;&lt;C&gt;1&lt;/C&gt;&lt;D xsi:type="xsd:double"&gt;2.07970729032275&lt;/D&gt;&lt;D xsi:type="xsd:double"&gt;2.15781029827312&lt;/D&gt;&lt;D xsi:type="xsd:double"&gt;2.10484082061671&lt;/D&gt;&lt;D xsi:type="xsd:double"&gt;2.04869438770492&lt;/D&gt;&lt;D xsi:type="xsd:double"&gt;2.06843942639792&lt;/D&gt;&lt;D xsi:type="xsd:double"&gt;2.057172969887&lt;/D&gt;&lt;D xsi:type="xsd:double"&gt;2.09508174668382&lt;/D&gt;&lt;D xsi:type="xsd:double"&gt;1.96728082235104&lt;/D&gt;&lt;D xsi:type="xsd:double"&gt;1.91677458682577&lt;/D&gt;&lt;D xsi:type="xsd:double"&gt;1.98232280512474&lt;/D&gt;&lt;D xsi:type="xsd:double"&gt;2.00289422428968&lt;/D&gt;&lt;D xsi:type="xsd:double"&gt;1.89459024986066&lt;/D&gt;&lt;D xsi:type="xsd:double"&gt;1.87306489716522&lt;/D&gt;&lt;D xsi:type="xsd:double"&gt;1.86418460797726&lt;/D&gt;&lt;D xsi:type="xsd:double"&gt;1.84707965442335&lt;/D&gt;&lt;D xsi:type="xsd:double"&gt;1.90159297065694&lt;/D&gt;&lt;D xsi:type="xsd:double"&gt;1.90297415196875&lt;/D&gt;&lt;D xsi:type="xsd:double"&gt;2.20556783206123&lt;/D&gt;&lt;D xsi:type="xsd:double"&gt;2.21331368535566&lt;/D&gt;&lt;D xsi:type="xsd:double"&gt;2.07951746947237&lt;/D&gt;&lt;D xsi:type="xsd:double"&gt;2.0516927131749&lt;/D&gt;&lt;D xsi:type="xsd:double"&gt;2.1509945239934&lt;/D&gt;&lt;D xsi:type="xsd:double"&gt;2.34772702152295&lt;/D&gt;&lt;D xsi:type="xsd:double"&gt;2.33487126205417&lt;/D&gt;&lt;D xsi:type="xsd:double"&gt;2.48265173385914&lt;/D&gt;&lt;D xsi:type="xsd:double"&gt;2.46637665648089&lt;/D&gt;&lt;D xsi:type="xsd:double"&gt;2.36457455130072&lt;/D&gt;&lt;D xsi:type="xsd:double"&gt;2.5223679725129&lt;/D&gt;&lt;D xsi:type="xsd:double"&gt;2.45553763808727&lt;/D&gt;&lt;D xsi:type="xsd:double"&gt;2.34100500255819&lt;/D&gt;&lt;D xsi:type="xsd:double"&gt;2.37951887948945&lt;/D&gt;&lt;D xsi:type="xsd:double"&gt;2.39090100670584&lt;/D&gt;&lt;D xsi:type="xsd:double"&gt;2.16760263994861&lt;/D&gt;&lt;D xsi:type="xsd:double"&gt;2.07756850463772&lt;/D&gt;&lt;D xsi:type="xsd:double"&gt;2.1650400585983&lt;/D&gt;&lt;D xsi:type="xsd:double"&gt;2.13338853949562&lt;/D&gt;&lt;D xsi:type="xsd:double"&gt;2.23494128939627&lt;/D&gt;&lt;D xsi:type="xsd:double"&gt;2.18964645830292&lt;/D&gt;&lt;D xsi:type="xsd:double"&gt;2.13768306048346&lt;/D&gt;&lt;D xsi:type="xsd:double"&gt;2.16770465963382&lt;/D&gt;&lt;D xsi:type="xsd:double"&gt;2.16454066370686&lt;/D&gt;&lt;D xsi:type="xsd:double"&gt;2.20887719488853&lt;/D&gt;&lt;D xsi:type="xsd:double"&gt;2.15428033916332&lt;/D&gt;&lt;D xsi:type="xsd:double"&gt;2.03622719983469&lt;/D&gt;&lt;D xsi:type="xsd:double"&gt;2.0835876942962&lt;/D&gt;&lt;D xsi:type="xsd:double"&gt;2.00737359003685&lt;/D&gt;&lt;D xsi:type="xsd:double"&gt;2.03511276396523&lt;/D&gt;&lt;D xsi:type="xsd:double"&gt;2.26918251959667&lt;/D&gt;&lt;D xsi:type="xsd:double"&gt;2.28997008252972&lt;/D&gt;&lt;D xsi:type="xsd:double"&gt;2.21512025713478&lt;/D&gt;&lt;D xsi:type="xsd:double"&gt;2.24059387981884&lt;/D&gt;&lt;D xsi:type="xsd:double"&gt;2.35153795733357&lt;/D&gt;&lt;D xsi:type="xsd:double"&gt;2.29282134765729&lt;/D&gt;&lt;D xsi:type="xsd:double"&gt;2.33894835363632&lt;/D&gt;&lt;D xsi:type="xsd:double"&gt;2.24149155717657&lt;/D&gt;&lt;D xsi:type="xsd:double"&gt;2.44503711950436&lt;/D&gt;&lt;D xsi:type="xsd:double"&gt;2.48288692648824&lt;/D&gt;&lt;D xsi:type="xsd:double"&gt;2.79422796757495&lt;/D&gt;&lt;D xsi:type="xsd:double"&gt;2.61340798807015&lt;/D&gt;&lt;D xsi:type="xsd:double"&gt;2.53641864317608&lt;/D&gt;&lt;D xsi:type="xsd:double"&gt;2.560432967589&lt;/D&gt;&lt;D xsi:type="xsd:double"&gt;2.56792598874021&lt;/D&gt;&lt;D xsi:type="xsd:double"&gt;2.77816457767708&lt;/D&gt;&lt;D xsi:type="xsd:double"&gt;2.64058839884688&lt;/D&gt;&lt;D xsi:type="xsd:double"&gt;2.71605049371135&lt;/D&gt;&lt;D xsi:type="xsd:double"&gt;2.75643940831184&lt;/D&gt;&lt;D xsi:type="xsd:double"&gt;2.65087043855944&lt;/D&gt;&lt;D xsi:type="xsd:double"&gt;2.51645460788355&lt;/D&gt;&lt;D xsi:type="xsd:double"&gt;2.46255621044463&lt;/D&gt;&lt;D xsi:type="xsd:double"&gt;2.44710569333055&lt;/D&gt;&lt;D xsi:type="xsd:double"&gt;2.50239553733653&lt;/D&gt;&lt;D xsi:type="xsd:double"&gt;2.77954229671523&lt;/D&gt;&lt;D xsi:type="xsd:double"&gt;3.14215701772517&lt;/D&gt;&lt;D xsi:type="xsd:double"&gt;2.86509620055017&lt;/D&gt;&lt;D xsi:type="xsd:double"&gt;2.47321116482126&lt;/D&gt;&lt;D xsi:type="xsd:double"&gt;2.53322659298642&lt;/D&gt;&lt;D xsi:type="xsd:double"&gt;2.50800136559643&lt;/D&gt;&lt;D xsi:type="xsd:double"&gt;2.38062232249122&lt;/D&gt;&lt;D xsi:type="xsd:double"&gt;2.41898956254655&lt;/D&gt;&lt;D xsi:type="xsd:double"&gt;2.39042503171411&lt;/D&gt;&lt;D xsi:type="xsd:double"&gt;2.16331508446821&lt;/D&gt;&lt;D xsi:type="xsd:double"&gt;2.15155383530646&lt;/D&gt;&lt;D xsi:type="xsd:double"&gt;2.09717202267466&lt;/D&gt;&lt;D xsi:type="xsd:double"&gt;2.11475470167887&lt;/D&gt;&lt;D xsi:type="xsd:double"&gt;2.06397659865889&lt;/D&gt;&lt;D xsi:type="xsd:double"&gt;2.16458542114932&lt;/D&gt;&lt;D xsi:type="xsd:double"&gt;2.14244312632461&lt;/D&gt;&lt;D xsi:type="xsd:double"&gt;2.18215093561684&lt;/D&gt;&lt;D xsi:type="xsd:double"&gt;2.25394525415152&lt;/D&gt;&lt;D xsi:type="xsd:double"&gt;2.19252582486498&lt;/D&gt;&lt;D xsi:type="xsd:double"&gt;2.27127917805579&lt;/D&gt;&lt;D xsi:type="xsd:double"&gt;2.19798047659221&lt;/D&gt;&lt;D xsi:type="xsd:double"&gt;2.33627415286411&lt;/D&gt;&lt;D xsi:type="xsd:double"&gt;2.27370885590355&lt;/D&gt;&lt;D xsi:type="xsd:double"&gt;2.43842933459739&lt;/D&gt;&lt;D xsi:type="xsd:double"&gt;2.62267968426572&lt;/D&gt;&lt;D xsi:type="xsd:double"&gt;2.50264468872394&lt;/D&gt;&lt;D xsi:type="xsd:double"&gt;2.58721581890146&lt;/D&gt;&lt;D xsi:type="xsd:double"&gt;2.58205846830787&lt;/D&gt;&lt;D xsi:type="xsd:double"&gt;2.74049663731132&lt;/D&gt;&lt;D xsi:type="xsd:double"&gt;2.6238090754129&lt;/D&gt;&lt;D xsi:type="xsd:double"&gt;2.64148448167227&lt;/D&gt;&lt;D xsi:type="xsd:double"&gt;2.70498633035428&lt;/D&gt;&lt;D xsi:type="xsd:double"&gt;2.69459021586192&lt;/D&gt;&lt;D xsi:type="xsd:double"&gt;2.64007891387061&lt;/D&gt;&lt;D xsi:type="xsd:double"&gt;2.79411800577158&lt;/D&gt;&lt;D xsi:type="xsd:double"&gt;2.63319226216041&lt;/D&gt;&lt;D xsi:type="xsd:double"&gt;2.57739610211537&lt;/D&gt;&lt;D xsi:type="xsd:double"&gt;2.59979988170156&lt;/D&gt;&lt;D xsi:type="xsd:double"&gt;2.53593258721927&lt;/D&gt;&lt;D xsi:type="xsd:double"&gt;2.42131985321573&lt;/D&gt;&lt;D xsi:type="xsd:double"&gt;2.30002877905465&lt;/D&gt;&lt;D xsi:type="xsd:double"&gt;2.38120651110484&lt;/D&gt;&lt;D xsi:type="xsd:double"&gt;2.33552600475449&lt;/D&gt;&lt;D xsi:type="xsd:double"&gt;2.49993686306321&lt;/D&gt;&lt;D xsi:type="xsd:double"&gt;2.40763485256971&lt;/D&gt;&lt;D xsi:type="xsd:double"&gt;2.41367937354847&lt;/D&gt;&lt;D xsi:type="xsd:double"&gt;2.42179125989346&lt;/D&gt;&lt;D xsi:type="xsd:double"&gt;2.27800233495271&lt;/D&gt;&lt;D xsi:type="xsd:double"&gt;2.15680677230321&lt;/D&gt;&lt;D xsi:type="xsd:double"&gt;2.19846964061965&lt;/D&gt;&lt;/FQL&gt;&lt;FQL&gt;&lt;Q&gt;EWC^FMA_PE(NTMA,-10AY,0,AM,"PORTAGG","MEANR")&lt;/Q&gt;&lt;R&gt;121&lt;/R&gt;&lt;C&gt;1&lt;/C&gt;&lt;D xsi:type="xsd:double"&gt;14.9846123671528&lt;/D&gt;&lt;D xsi:type="xsd:double"&gt;15.0417313150279&lt;/D&gt;&lt;D xsi:type="xsd:double"&gt;14.7787197898888&lt;/D&gt;&lt;D xsi:type="xsd:double"&gt;15.1112937218677&lt;/D&gt;&lt;D xsi:type="xsd:double"&gt;14.9547521407861&lt;/D&gt;&lt;D xsi:type="xsd:double"&gt;15.1977636872839&lt;/D&gt;&lt;D xsi:type="xsd:double"&gt;14.3135030463203&lt;/D&gt;&lt;D xsi:type="xsd:double"&gt;14.1297543353851&lt;/D&gt;&lt;D xsi:type="xsd:double"&gt;14.6430750037249&lt;/D&gt;&lt;D xsi:type="xsd:double"&gt;15.6006677092602&lt;/D&gt;&lt;D xsi:type="xsd:double"&gt;16.8850031164959&lt;/D&gt;&lt;D xsi:type="xsd:double"&gt;17.2751521607715&lt;/D&gt;&lt;D xsi:type="xsd:double"&gt;17.0975978273143&lt;/D&gt;&lt;D xsi:type="xsd:double"&gt;17.3665064837995&lt;/D&gt;&lt;D xsi:type="xsd:double"&gt;16.5459355844555&lt;/D&gt;&lt;D xsi:type="xsd:double"&gt;15.9393195822104&lt;/D&gt;&lt;D xsi:type="xsd:double"&gt;15.6649943094328&lt;/D&gt;&lt;D xsi:type="xsd:double"&gt;14.501702845761&lt;/D&gt;&lt;D xsi:type="xsd:double"&gt;14.4606031738619&lt;/D&gt;&lt;D xsi:type="xsd:double"&gt;14.882950130352&lt;/D&gt;&lt;D xsi:type="xsd:double"&gt;14.5116256698864&lt;/D&gt;&lt;D xsi:type="xsd:double"&gt;14.0062456600066&lt;/D&gt;&lt;D xsi:type="xsd:double"&gt;14.5140403358736&lt;/D&gt;&lt;D xsi:type="xsd:double"&gt;15.3121315579067&lt;/D&gt;&lt;D xsi:type="xsd:double"&gt;15.7518323302095&lt;/D&gt;&lt;D xsi:type="xsd:double"&gt;16.2645752310764&lt;/D&gt;&lt;D xsi:type="xsd:double"&gt;16.7267394913414&lt;/D&gt;&lt;D xsi:type="xsd:double"&gt;16.292351603394&lt;/D&gt;&lt;D xsi:type="xsd:double"&gt;16.3018438352894&lt;/D&gt;&lt;D xsi:type="xsd:double"&gt;16.4424361334629&lt;/D&gt;&lt;D xsi:type="xsd:double"&gt;15.8886293433516&lt;/D&gt;&lt;D xsi:type="xsd:double"&gt;15.4998692488029&lt;/D&gt;&lt;D xsi:type="xsd:double"&gt;15.8701628570013&lt;/D&gt;&lt;D xsi:type="xsd:double"&gt;15.9547997177573&lt;/D&gt;&lt;D xsi:type="xsd:double"&gt;16.0332923907167&lt;/D&gt;&lt;D xsi:type="xsd:double"&gt;16.0771331126213&lt;/D&gt;&lt;D xsi:type="xsd:double"&gt;15.9550378675498&lt;/D&gt;&lt;D xsi:type="xsd:double"&gt;15.4897636098004&lt;/D&gt;&lt;D xsi:type="xsd:double"&gt;15.5123585292512&lt;/D&gt;&lt;D xsi:type="xsd:double"&gt;15.2185526976216&lt;/D&gt;&lt;D xsi:type="xsd:double"&gt;15.7243994529745&lt;/D&gt;&lt;D xsi:type="xsd:double"&gt;15.3768543989389&lt;/D&gt;&lt;D xsi:type="xsd:double"&gt;15.8511428543261&lt;/D&gt;&lt;D xsi:type="xsd:double"&gt;15.921295855547&lt;/D&gt;&lt;D xsi:type="xsd:double"&gt;15.8382446814193&lt;/D&gt;&lt;D xsi:type="xsd:double"&gt;16.0791846298192&lt;/D&gt;&lt;D xsi:type="xsd:double"&gt;14.9050084693492&lt;/D&gt;&lt;D xsi:type="xsd:double"&gt;14.2838736765197&lt;/D&gt;&lt;D xsi:type="xsd:double"&gt;13.9735501295852&lt;/D&gt;&lt;D xsi:type="xsd:double"&gt;14.1585075546921&lt;/D&gt;&lt;D xsi:type="xsd:double"&gt;14.2003078226727&lt;/D&gt;&lt;D xsi:type="xsd:double"&gt;14.1973164222681&lt;/D&gt;&lt;D xsi:type="xsd:double"&gt;14.1594270157489&lt;/D&gt;&lt;D xsi:type="xsd:double"&gt;13.6919237725263&lt;/D&gt;&lt;D xsi:type="xsd:double"&gt;13.5010383248819&lt;/D&gt;&lt;D xsi:type="xsd:double"&gt;12.6295019222956&lt;/D&gt;&lt;D xsi:type="xsd:double"&gt;12.6354155946312&lt;/D&gt;&lt;D xsi:type="xsd:double"&gt;12.3790409167286&lt;/D&gt;&lt;D xsi:type="xsd:double"&gt;13.7308784390358&lt;/D&gt;&lt;D xsi:type="xsd:double"&gt;14.1545357718798&lt;/D&gt;&lt;D xsi:type="xsd:double"&gt;14.2317421817862&lt;/D&gt;&lt;D xsi:type="xsd:double"&gt;13.8350180935099&lt;/D&gt;&lt;D xsi:type="xsd:double"&gt;13.4487434329986&lt;/D&gt;&lt;D xsi:type="xsd:double"&gt;13.7908806569724&lt;/D&gt;&lt;D xsi:type="xsd:double"&gt;13.5458192811406&lt;/D&gt;&lt;D xsi:type="xsd:double"&gt;13.6654973070392&lt;/D&gt;&lt;D xsi:type="xsd:double"&gt;13.7403541728782&lt;/D&gt;&lt;D xsi:type="xsd:double"&gt;14.1302292858358&lt;/D&gt;&lt;D xsi:type="xsd:double"&gt;14.2308828658196&lt;/D&gt;&lt;D xsi:type="xsd:double"&gt;14.3988359334841&lt;/D&gt;&lt;D xsi:type="xsd:double"&gt;14.6033053504242&lt;/D&gt;&lt;D xsi:type="xsd:double"&gt;14.4021458250937&lt;/D&gt;&lt;D xsi:type="xsd:double"&gt;12.9230124190845&lt;/D&gt;&lt;D xsi:type="xsd:double"&gt;16.5662214265009&lt;/D&gt;&lt;D xsi:type="xsd:double"&gt;18.2367431192798&lt;/D&gt;&lt;D xsi:type="xsd:double"&gt;17.7111157880514&lt;/D&gt;&lt;D xsi:type="xsd:double"&gt;17.7556204851878&lt;/D&gt;&lt;D xsi:type="xsd:double"&gt;16.7949894250864&lt;/D&gt;&lt;D xsi:type="xsd:double"&gt;16.2219449389062&lt;/D&gt;&lt;D xsi:type="xsd:double"&gt;15.4977333972154&lt;/D&gt;&lt;D xsi:type="xsd:double"&gt;16.2812045631427&lt;/D&gt;&lt;D xsi:type="xsd:double"&gt;15.8363864674998&lt;/D&gt;&lt;D xsi:type="xsd:double"&gt;15.9589835060613&lt;/D&gt;&lt;D xsi:type="xsd:double"&gt;15.1903969819962&lt;/D&gt;&lt;D xsi:type="xsd:double"&gt;15.5223416392423&lt;/D&gt;&lt;D xsi:type="xsd:double"&gt;15.4359678041476&lt;/D&gt;&lt;D xsi:type="xsd:double"&gt;15.5890171863838&lt;/D&gt;&lt;D xsi:type="xsd:double"&gt;15.5841026701326&lt;/D&gt;&lt;D xsi:type="xsd:double"&gt;15.1172621070101&lt;/D&gt;&lt;D xsi:type="xsd:double"&gt;15.0059607722278&lt;/D&gt;&lt;D xsi:type="xsd:double"&gt;14.3422087655881&lt;/D&gt;&lt;D xsi:type="xsd:double"&gt;14.925291514468&lt;/D&gt;&lt;D xsi:type="xsd:double"&gt;14.0775350596005&lt;/D&gt;&lt;D xsi:type="xsd:double"&gt;14.4135665598288&lt;/D&gt;&lt;D xsi:type="xsd:double"&gt;14.1827105139414&lt;/D&gt;&lt;D xsi:type="xsd:double"&gt;13.9791952098913&lt;/D&gt;&lt;D xsi:type="xsd:double"&gt;13.6700244452683&lt;/D&gt;&lt;D xsi:type="xsd:double"&gt;12.7675803875727&lt;/D&gt;&lt;D xsi:type="xsd:double"&gt;12.4319886314992&lt;/D&gt;&lt;D xsi:type="xsd:double"&gt;11.2255879530961&lt;/D&gt;&lt;D xsi:type="xsd:double"&gt;11.4747062697648&lt;/D&gt;&lt;D xsi:type="xsd:double"&gt;11.2982604285122&lt;/D&gt;&lt;D xsi:type="xsd:double"&gt;11.3148012604548&lt;/D&gt;&lt;D xsi:type="xsd:double"&gt;11.5186146675421&lt;/D&gt;&lt;D xsi:type="xsd:double"&gt;12.4490725801399&lt;/D&gt;&lt;D xsi:type="xsd:double"&gt;12.0384878604288&lt;/D&gt;&lt;D xsi:type="xsd:double"&gt;13.068455910617&lt;/D&gt;&lt;D xsi:type="xsd:double"&gt;12.9699924818043&lt;/D&gt;&lt;D xsi:type="xsd:double"&gt;12.8872859420278&lt;/D&gt;&lt;D xsi:type="xsd:double"&gt;12.8000802079373&lt;/D&gt;&lt;D xsi:type="xsd:double"&gt;12.9373386500213&lt;/D&gt;&lt;D xsi:type="xsd:double"&gt;13.00512848392&lt;/D&gt;&lt;D xsi:type="xsd:double"&gt;13.2089591843777&lt;/D&gt;&lt;D xsi:type="xsd:double"&gt;13.3546044338065&lt;/D&gt;&lt;D xsi:type="xsd:double"&gt;12.2388363679452&lt;/D&gt;&lt;D xsi:type="xsd:double"&gt;12.6053141083727&lt;/D&gt;&lt;D xsi:type="xsd:double"&gt;13.0872355892043&lt;/D&gt;&lt;D xsi:type="xsd:double"&gt;13.5840027109724&lt;/D&gt;&lt;D xsi:type="xsd:double"&gt;13.8596413263647&lt;/D&gt;&lt;D xsi:type="xsd:double"&gt;14.2977556484507&lt;/D&gt;&lt;D xsi:type="xsd:double"&gt;14.5638721906357&lt;/D&gt;&lt;/FQL&gt;&lt;FQL&gt;&lt;Q&gt;ENZL^FMA_PE(LTMA,-10AY,0,AM,"PORTAGG","MEANR")&lt;/Q&gt;&lt;R&gt;121&lt;/R&gt;&lt;C&gt;1&lt;/C&gt;&lt;D xsi:type="xsd:double"&gt;17.9531960853795&lt;/D&gt;&lt;D xsi:type="xsd:double"&gt;18.1081302909899&lt;/D&gt;&lt;D xsi:type="xsd:double"&gt;17.9438382345737&lt;/D&gt;&lt;D xsi:type="xsd:double"&gt;18.0160973330219&lt;/D&gt;&lt;D xsi:type="xsd:double"&gt;17.8773236106286&lt;/D&gt;&lt;D xsi:type="xsd:double"&gt;17.9058782108598&lt;/D&gt;&lt;D xsi:type="xsd:double"&gt;17.8726778206679&lt;/D&gt;&lt;D xsi:type="xsd:double"&gt;18.5091483805311&lt;/D&gt;&lt;D xsi:type="xsd:double"&gt;18.9501389366444&lt;/D&gt;&lt;D xsi:type="xsd:double"&gt;19.2341389813833&lt;/D&gt;&lt;D xsi:type="xsd:double"&gt;20.0151700555164&lt;/D&gt;&lt;D xsi:type="xsd:double"&gt;20.5075127779875&lt;/D&gt;&lt;D xsi:type="xsd:double"&gt;20.2701126972107&lt;/D&gt;&lt;D xsi:type="xsd:double"&gt;20.0596567372419&lt;/D&gt;&lt;D xsi:type="xsd:double"&gt;20.0272275996383&lt;/D&gt;&lt;D xsi:type="xsd:double"&gt;19.8755888358466&lt;/D&gt;&lt;D xsi:type="xsd:double"&gt;19.8764203176493&lt;/D&gt;&lt;D xsi:type="xsd:double"&gt;18.960416878999&lt;/D&gt;&lt;D xsi:type="xsd:double"&gt;18.6100967787143&lt;/D&gt;&lt;D xsi:type="xsd:double"&gt;19.6937155792538&lt;/D&gt;&lt;D xsi:type="xsd:double"&gt;19.5659708040725&lt;/D&gt;&lt;D xsi:type="xsd:double"&gt;19.8420519527744&lt;/D&gt;&lt;D xsi:type="xsd:double"&gt;19.0315333903199&lt;/D&gt;&lt;D xsi:type="xsd:double"&gt;19.3301639469493&lt;/D&gt;&lt;D xsi:type="xsd:double"&gt;19.3533326936641&lt;/D&gt;&lt;D xsi:type="xsd:double"&gt;19.4656168983397&lt;/D&gt;&lt;D xsi:type="xsd:double"&gt;19.8165848770946&lt;/D&gt;&lt;D xsi:type="xsd:double"&gt;19.7077987621199&lt;/D&gt;&lt;D xsi:type="xsd:double"&gt;20.4763043308048&lt;/D&gt;&lt;D xsi:type="xsd:double"&gt;20.963367602413&lt;/D&gt;&lt;D xsi:type="xsd:double"&gt;20.962838625226&lt;/D&gt;&lt;D xsi:type="xsd:double"&gt;19.476175382873&lt;/D&gt;&lt;D xsi:type="xsd:double"&gt;20.0199524674571&lt;/D&gt;&lt;D xsi:type="xsd:double"&gt;20.2433333891742&lt;/D&gt;&lt;D xsi:type="xsd:double"&gt;20.5408386654425&lt;/D&gt;&lt;D xsi:type="xsd:double"&gt;19.8138835774319&lt;/D&gt;&lt;D xsi:type="xsd:double"&gt;19.8144190932246&lt;/D&gt;&lt;D xsi:type="xsd:double"&gt;19.9320225867068&lt;/D&gt;&lt;D xsi:type="xsd:double"&gt;20.0034945545716&lt;/D&gt;&lt;D xsi:type="xsd:double"&gt;20.0780043061073&lt;/D&gt;&lt;D xsi:type="xsd:double"&gt;20.4993157209764&lt;/D&gt;&lt;D xsi:type="xsd:double"&gt;20.6091379600415&lt;/D&gt;&lt;D xsi:type="xsd:double"&gt;20.6527194006466&lt;/D&gt;&lt;D xsi:type="xsd:double"&gt;21.2244259438749&lt;/D&gt;&lt;D xsi:type="xsd:double"&gt;21.6356077480455&lt;/D&gt;&lt;D xsi:type="xsd:double"&gt;22.4773959158251&lt;/D&gt;&lt;D xsi:type="xsd:double"&gt;22.4628391333142&lt;/D&gt;&lt;D xsi:type="xsd:double"&gt;22.5797765761439&lt;/D&gt;&lt;D xsi:type="xsd:double"&gt;22.4108138365989&lt;/D&gt;&lt;D xsi:type="xsd:double"&gt;22.4001870149689&lt;/D&gt;&lt;D xsi:type="xsd:double"&gt;22.4383592604618&lt;/D&gt;&lt;D xsi:type="xsd:double"&gt;22.978318263358&lt;/D&gt;&lt;D xsi:type="xsd:double"&gt;22.8067158433713&lt;/D&gt;&lt;D xsi:type="xsd:double"&gt;23.7001632473935&lt;/D&gt;&lt;D xsi:type="xsd:double"&gt;23.5291948131134&lt;/D&gt;&lt;D xsi:type="xsd:double"&gt;22.824232228699&lt;/D&gt;&lt;D xsi:type="xsd:double"&gt;23.0470691600501&lt;/D&gt;&lt;D xsi:type="xsd:double"&gt;22.7918941770155&lt;/D&gt;&lt;D xsi:type="xsd:double"&gt;23.2090272685318&lt;/D&gt;&lt;D xsi:type="xsd:double"&gt;24.1863572809716&lt;/D&gt;&lt;D xsi:type="xsd:double"&gt;24.1646217208373&lt;/D&gt;&lt;D xsi:type="xsd:double"&gt;24.2551959490963&lt;/D&gt;&lt;D xsi:type="xsd:double"&gt;24.0636959402759&lt;/D&gt;&lt;D xsi:type="xsd:double"&gt;24.7675353086079&lt;/D&gt;&lt;D xsi:type="xsd:double"&gt;25.4133938809774&lt;/D&gt;&lt;D xsi:type="xsd:double"&gt;28.4360098008426&lt;/D&gt;&lt;D xsi:type="xsd:double"&gt;28.5852947939103&lt;/D&gt;&lt;D xsi:type="xsd:double"&gt;28.9571935287515&lt;/D&gt;&lt;D xsi:type="xsd:double"&gt;30.9714244151956&lt;/D&gt;&lt;D xsi:type="xsd:double"&gt;32.5584257849414&lt;/D&gt;&lt;D xsi:type="xsd:double"&gt;32.0491944755988&lt;/D&gt;&lt;D xsi:type="xsd:double"&gt;31.0596535078938&lt;/D&gt;&lt;D xsi:type="xsd:double"&gt;30.5614358771723&lt;/D&gt;&lt;D xsi:type="xsd:double"&gt;31.5146193120544&lt;/D&gt;&lt;D xsi:type="xsd:double"&gt;32.2912400312223&lt;/D&gt;&lt;D xsi:type="xsd:double"&gt;32.7941032495871&lt;/D&gt;&lt;D xsi:type="xsd:double"&gt;33.856501072336&lt;/D&gt;&lt;D xsi:type="xsd:double"&gt;33.6155313160948&lt;/D&gt;&lt;D xsi:type="xsd:double"&gt;33.9048421317524&lt;/D&gt;&lt;D xsi:type="xsd:double"&gt;35.3351897482912&lt;/D&gt;&lt;D xsi:type="xsd:double"&gt;35.8465711454346&lt;/D&gt;&lt;D xsi:type="xsd:double"&gt;37.9117228053639&lt;/D&gt;&lt;D xsi:type="xsd:double"&gt;36.2857717686287&lt;/D&gt;&lt;D xsi:type="xsd:double"&gt;34.3552215814569&lt;/D&gt;&lt;D xsi:type="xsd:double"&gt;34.4315172423136&lt;/D&gt;&lt;D xsi:type="xsd:double"&gt;34.7472819288108&lt;/D&gt;&lt;D xsi:type="xsd:double"&gt;35.2765411488593&lt;/D&gt;&lt;D xsi:type="xsd:double"&gt;36.2607484145197&lt;/D&gt;&lt;D xsi:type="xsd:double"&gt;36.9817872681177&lt;/D&gt;&lt;D xsi:type="xsd:double"&gt;38.5089330294875&lt;/D&gt;&lt;D xsi:type="xsd:double"&gt;39.0221460529621&lt;/D&gt;&lt;D xsi:type="xsd:double"&gt;39.0529494937836&lt;/D&gt;&lt;D xsi:type="xsd:double"&gt;37.4689719401494&lt;/D&gt;&lt;D xsi:type="xsd:double"&gt;39.2891003766683&lt;/D&gt;&lt;D xsi:type="xsd:double"&gt;37.1341575039067&lt;/D&gt;&lt;D xsi:type="xsd:double"&gt;35.3003251036691&lt;/D&gt;&lt;D xsi:type="xsd:double"&gt;34.7230853442136&lt;/D&gt;&lt;D xsi:type="xsd:double"&gt;34.7306834235373&lt;/D&gt;&lt;D xsi:type="xsd:double"&gt;33.6611706652823&lt;/D&gt;&lt;D xsi:type="xsd:double"&gt;32.7524135919501&lt;/D&gt;&lt;D xsi:type="xsd:double"&gt;33.5587105317005&lt;/D&gt;&lt;D xsi:type="xsd:double"&gt;34.2485099116412&lt;/D&gt;&lt;D xsi:type="xsd:double"&gt;31.7614840984059&lt;/D&gt;&lt;D xsi:type="xsd:double"&gt;31.2477196844993&lt;/D&gt;&lt;D xsi:type="xsd:double"&gt;29.9190971857232&lt;/D&gt;&lt;D xsi:type="xsd:double"&gt;29.331978114436&lt;/D&gt;&lt;D xsi:type="xsd:double"&gt;30.2026506139973&lt;/D&gt;&lt;D xsi:type="xsd:double"&gt;29.465369860344&lt;/D&gt;&lt;D xsi:type="xsd:double"&gt;28.8494495190344&lt;/D&gt;&lt;D xsi:type="xsd:double"&gt;28.4076497723421&lt;/D&gt;&lt;D xsi:type="xsd:double"&gt;26.8541677006896&lt;/D&gt;&lt;D xsi:type="xsd:double"&gt;26.0367987704941&lt;/D&gt;&lt;D xsi:type="xsd:double"&gt;25.1828996616476&lt;/D&gt;&lt;D xsi:type="xsd:double"&gt;24.8084721153986&lt;/D&gt;&lt;D xsi:type="xsd:double"&gt;23.6018170007279&lt;/D&gt;&lt;D xsi:type="xsd:double"&gt;22.8075807220663&lt;/D&gt;&lt;D xsi:type="xsd:double"&gt;23.3527433969086&lt;/D&gt;&lt;D xsi:type="xsd:double"&gt;23.9087455006195&lt;/D&gt;&lt;D xsi:type="xsd:double"&gt;23.41164752586&lt;/D&gt;&lt;D xsi:type="xsd:double"&gt;23.7033802750753&lt;/D&gt;&lt;D xsi:type="xsd:double"&gt;24.0442579300582&lt;/D&gt;&lt;/FQL&gt;&lt;FQL&gt;&lt;Q&gt;WL-FDS^FG_PRICE_MAVG(0,,,,30)&lt;/Q&gt;&lt;R&gt;1&lt;/R&gt;&lt;C&gt;1&lt;/C&gt;&lt;D xsi:type="xsd:double"&gt;625.65&lt;/D&gt;&lt;/FQL&gt;&lt;FQL&gt;&lt;Q&gt;TIOS-FDS^FG_PRICE_MAVG(0,,,,30)&lt;/Q&gt;&lt;R&gt;1&lt;/R&gt;&lt;C&gt;1&lt;/C&gt;&lt;D xsi:type="xsd:double"&gt;113.77433&lt;/D&gt;&lt;/FQL&gt;&lt;FQL&gt;&lt;Q&gt;EWN^FG_TOTAL_RETURNC(0,-12AM)&lt;/Q&gt;&lt;R&gt;1&lt;/R&gt;&lt;C&gt;1&lt;/C&gt;&lt;D xsi:type="xsd:double"&gt;18.13947&lt;/D&gt;&lt;/FQL&gt;&lt;FQL&gt;&lt;Q&gt;EWQ^PERCENT_CHANGE(FMA_EPS(+1,0,,,,"PORTAGG","MEAN"),FMA_EPS(+1,-1AM,,,,"PORTAGG","MEAN"))&lt;/Q&gt;&lt;R&gt;1&lt;/R&gt;&lt;C&gt;1&lt;/C&gt;&lt;D xsi:type="xsd:double"&gt;-0.591213233656384&lt;/D&gt;&lt;/FQL&gt;&lt;FQL&gt;&lt;Q&gt;QQQ^FG_TOTAL_RETURNC(0,-1AM)&lt;/Q&gt;&lt;R&gt;1&lt;/R&gt;&lt;C&gt;1&lt;/C&gt;&lt;D xsi:type="xsd:double"&gt;-1.8263459&lt;/D&gt;&lt;/FQL&gt;&lt;FQL&gt;&lt;Q&gt;EWL^FG_TOTAL_RETURNC(0,-6AM)&lt;/Q&gt;&lt;R&gt;1&lt;/R&gt;&lt;C&gt;1&lt;/C&gt;&lt;D xsi:type="xsd:double"&gt;9.076095&lt;/D&gt;&lt;/FQL&gt;&lt;FQL&gt;&lt;Q&gt;EWG^P_PRICE(0)/P_PRICE_LOW_PR(0,,,USD,,,"PRICE","INTRA","52W")-1&lt;/Q&gt;&lt;R&gt;1&lt;/R&gt;&lt;C&gt;1&lt;/C&gt;&lt;D xsi:type="xsd:double"&gt;0.2697835&lt;/D&gt;&lt;/FQL&gt;&lt;FQL&gt;&lt;Q&gt;EWC^FMA_PCT_ABOVE_MAVG(200,0,,,,"PORTAGG")&lt;/Q&gt;&lt;R&gt;1&lt;/R&gt;&lt;C&gt;1&lt;/C&gt;&lt;D xsi:type="xsd:double"&gt;69.3181818181818&lt;/D&gt;&lt;/FQL&gt;&lt;FQL&gt;&lt;Q&gt;ENZL^PERCENT_CHANGE(FMA_EPS(+1,0,,,,"PORTAGG","MEAN"),FMA_EPS(+1,-3AM,,,,"PORTAGG","MEAN"))&lt;/Q&gt;&lt;R&gt;1&lt;/R&gt;&lt;C&gt;1&lt;/C&gt;&lt;D xsi:type="xsd:double"&gt;-15.5920994913438&lt;/D&gt;&lt;/FQL&gt;&lt;FQL&gt;&lt;Q&gt;VWO^FMA_COS_DOWN("EPS","1M",+1,0,,,"PORTAGG","MEANR")&lt;/Q&gt;&lt;R&gt;1&lt;/R&gt;&lt;C&gt;1&lt;/C&gt;&lt;D xsi:type="xsd:double"&gt;1127&lt;/D&gt;&lt;/FQL&gt;&lt;FQL&gt;&lt;Q&gt;EWQ^FMA_COS_UP("EPS","1M",+1,0,,,"PORTAGG","MEANR")&lt;/Q&gt;&lt;R&gt;1&lt;/R&gt;&lt;C&gt;1&lt;/C&gt;&lt;D xsi:type="xsd:double"&gt;21&lt;/D&gt;&lt;/FQL&gt;&lt;FQL&gt;&lt;Q&gt;EWL^FMA_RBICS_REV_CURRENT(30, LOC, "PORTAGG")&lt;/Q&gt;&lt;R&gt;1&lt;/R&gt;&lt;C&gt;1&lt;/C&gt;&lt;D xsi:type="xsd:double"&gt;18.5381872854438&lt;/D&gt;&lt;/FQL&gt;&lt;FQL&gt;&lt;Q&gt;EWJ^FMA_ROE(NTMA,-20AY,NOW,FY,"PORTAGG","MEANR")&lt;/Q&gt;&lt;R&gt;20&lt;/R&gt;&lt;C&gt;1&lt;/C&gt;&lt;D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xsi:type="xsd:double"&gt;8.35596279001247&lt;/D&gt;&lt;D xsi:type="xsd:double"&gt;7.43859929051954&lt;/D&gt;&lt;D xsi:type="xsd:double"&gt;9.22076567875365&lt;/D&gt;&lt;D xsi:type="xsd:double"&gt;9.22544557635683&lt;/D&gt;&lt;D xsi:type="xsd:double"&gt;9.299010467763&lt;/D&gt;&lt;/FQL&gt;&lt;FQL&gt;&lt;Q&gt;TRYQA10Y-FDS^FG_YIELD(-10AY,0,Y,,"YTM")&lt;/Q&gt;&lt;R&gt;10&lt;/R&gt;&lt;C&gt;1&lt;/C&gt;&lt;D xsi:type="xsd:string"&gt;@NA&lt;/D&gt;&lt;D xsi:type="xsd:double"&gt;2.7255995&lt;/D&gt;&lt;D xsi:type="xsd:double"&gt;3.5394266&lt;/D&gt;&lt;D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xsi:type="xsd:double"&gt;0.703&lt;/D&gt;&lt;/FQL&gt;&lt;FQL&gt;&lt;Q&gt;USDEUR^FG_PRICE_CHANGE(0,-3AM)&lt;/Q&gt;&lt;R&gt;1&lt;/R&gt;&lt;C&gt;1&lt;/C&gt;&lt;D xsi:type="xsd:double"&gt;0.8051157&lt;/D&gt;&lt;/FQL&gt;&lt;FQL&gt;&lt;Q&gt;USDAUD^FG_PRICE_CHANGE(0,-3AM)&lt;/Q&gt;&lt;R&gt;1&lt;/R&gt;&lt;C&gt;1&lt;/C&gt;&lt;D xsi:type="xsd:double"&gt;1.405263&lt;/D&gt;&lt;/FQL&gt;&lt;FQL&gt;&lt;Q&gt;EWQ^FMA_EPS(NTMA,-20AY,0,CY,,"PORTAGG","MEANR")&lt;/Q&gt;&lt;R&gt;20&lt;/R&gt;&lt;C&gt;1&lt;/C&gt;&lt;D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</t>
        </r>
      </text>
    </comment>
    <comment ref="A6" authorId="0" shapeId="0" xr:uid="{E79FCF1E-17D0-47AF-9C30-12E9184928A9}">
      <text>
        <r>
          <rPr>
            <b/>
            <sz val="9"/>
            <color indexed="81"/>
            <rFont val="Tahoma"/>
            <charset val="1"/>
          </rPr>
          <t>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xsi:type="xsd:double"&gt;1.85113612015885&lt;/D&gt;&lt;D xsi:type="xsd:double"&gt;2.46081798634908&lt;/D&gt;&lt;D xsi:type="xsd:double"&gt;2.80265475944353&lt;/D&gt;&lt;D xsi:type="xsd:double"&gt;2.92072613428035&lt;/D&gt;&lt;/FQL&gt;&lt;FQL&gt;&lt;Q&gt;QQQ^P_PRICE_RETURNS_PR('52W',2,-10AY,0,AM)&lt;/Q&gt;&lt;R&gt;121&lt;/R&gt;&lt;C&gt;1&lt;/C&gt;&lt;D xsi:type="xsd:double"&gt;28.220104&lt;/D&gt;&lt;D xsi:type="xsd:double"&gt;24.689663&lt;/D&gt;&lt;D xsi:type="xsd:double"&gt;27.359951&lt;/D&gt;&lt;D xsi:type="xsd:double"&gt;34.90254&lt;/D&gt;&lt;D xsi:type="xsd:double"&gt;25.744843&lt;/D&gt;&lt;D xsi:type="xsd:double"&gt;31.558311&lt;/D&gt;&lt;D xsi:type="xsd:double"&gt;26.545883&lt;/D&gt;&lt;D xsi:type="xsd:double"&gt;24.025011&lt;/D&gt;&lt;D xsi:type="xsd:double"&gt;25.07081&lt;/D&gt;&lt;D xsi:type="xsd:double"&gt;19.760979&lt;/D&gt;&lt;D xsi:type="xsd:double"&gt;23.005915&lt;/D&gt;&lt;D xsi:type="xsd:double"&gt;20.75466&lt;/D&gt;&lt;D xsi:type="xsd:double"&gt;18.8362&lt;/D&gt;&lt;D xsi:type="xsd:double"&gt;26.234686&lt;/D&gt;&lt;D xsi:type="xsd:double"&gt;21.040642&lt;/D&gt;&lt;D xsi:type="xsd:double"&gt;14.72975&lt;/D&gt;&lt;D xsi:type="xsd:double"&gt;18.112564&lt;/D&gt;&lt;D xsi:type="xsd:double"&gt;3.8896203&lt;/D&gt;&lt;D xsi:type="xsd:double"&gt;8.152592&lt;/D&gt;&lt;D xsi:type="xsd:double"&gt;14.704251&lt;/D&gt;&lt;D xsi:type="xsd:double"&gt;10.45413&lt;/D&gt;&lt;D xsi:type="xsd:double"&gt;7.46001&lt;/D&gt;&lt;D xsi:type="xsd:double"&gt;-0.1758635&lt;/D&gt;&lt;D xsi:type="xsd:double"&gt;-1.5673637&lt;/D&gt;&lt;D xsi:type="xsd:double"&gt;5.7254076&lt;/D&gt;&lt;D xsi:type="xsd:double"&gt;-2.7783275&lt;/D&gt;&lt;D xsi:type="xsd:double"&gt;0.7788539&lt;/D&gt;&lt;D xsi:type="xsd:double"&gt;1.2783289&lt;/D&gt;&lt;D xsi:type="xsd:double"&gt;5.0141096&lt;/D&gt;&lt;D xsi:type="xsd:double"&gt;13.995767&lt;/D&gt;&lt;D xsi:type="xsd:double"&gt;15.094852&lt;/D&gt;&lt;D xsi:type="xsd:double"&gt;-0.07240772&lt;/D&gt;&lt;D xsi:type="xsd:double"&gt;2.236712&lt;/D&gt;&lt;D xsi:type="xsd:double"&gt;10.98876&lt;/D&gt;&lt;D xsi:type="xsd:double"&gt;25.008858&lt;/D&gt;&lt;D xsi:type="xsd:double"&gt;25.422405&lt;/D&gt;&lt;D xsi:type="xsd:double"&gt;21.769142&lt;/D&gt;&lt;D xsi:type="xsd:double"&gt;31.794012&lt;/D&gt;&lt;D xsi:type="xsd:double"&gt;31.068588&lt;/D&gt;&lt;D xsi:type="xsd:double"&gt;27.310658&lt;/D&gt;&lt;D xsi:type="xsd:double"&gt;25.472868&lt;/D&gt;&lt;D xsi:type="xsd:double"&gt;26.356638&lt;/D&gt;&lt;D xsi:type="xsd:double"&gt;24.603558&lt;/D&gt;&lt;D xsi:type="xsd:double"&gt;35.735&lt;/D&gt;&lt;D xsi:type="xsd:double"&gt;33.310448&lt;/D&gt;&lt;D xsi:type="xsd:double"&gt;34.59725&lt;/D&gt;&lt;D xsi:type="xsd:double"&gt;32.550003&lt;/D&gt;&lt;D xsi:type="xsd:double"&gt;28.080952&lt;/D&gt;&lt;D xsi:type="xsd:double"&gt;21.597313&lt;/D&gt;&lt;D xsi:type="xsd:double"&gt;21.353745&lt;/D&gt;&lt;D xsi:type="xsd:double"&gt;22.553432&lt;/D&gt;&lt;D xsi:type="xsd:double"&gt;26.428091&lt;/D&gt;&lt;D xsi:type="xsd:double"&gt;26.604044&lt;/D&gt;&lt;D xsi:type="xsd:double"&gt;28.324831&lt;/D&gt;&lt;D xsi:type="xsd:double"&gt;25.852608&lt;/D&gt;&lt;D xsi:type="xsd:double"&gt;12.431717&lt;/D&gt;&lt;D xsi:type="xsd:double"&gt;9.353948&lt;/D&gt;&lt;D xsi:type="xsd:double"&gt;-1.7118514&lt;/D&gt;&lt;D xsi:type="xsd:double"&gt;3.8694143&lt;/D&gt;&lt;D xsi:type="xsd:double"&gt;5.9770107&lt;/D&gt;&lt;D xsi:type="xsd:double"&gt;16.007637&lt;/D&gt;&lt;D xsi:type="xsd:double"&gt;19.144058&lt;/D&gt;&lt;D xsi:type="xsd:double"&gt;1.2242913&lt;/D&gt;&lt;D xsi:type="xsd:double"&gt;13.068199&lt;/D&gt;&lt;D xsi:type="xsd:double"&gt;5.271876&lt;/D&gt;&lt;D xsi:type="xsd:double"&gt;2.2239327&lt;/D&gt;&lt;D xsi:type="xsd:double"&gt;4.4576406&lt;/D&gt;&lt;D xsi:type="xsd:double"&gt;19.200314&lt;/D&gt;&lt;D xsi:type="xsd:double"&gt;23.251545&lt;/D&gt;&lt;D xsi:type="xsd:double"&gt;44.13445&lt;/D&gt;&lt;D xsi:type="xsd:double"&gt;35.280823&lt;/D&gt;&lt;D xsi:type="xsd:double"&gt;26.141203&lt;/D&gt;&lt;D xsi:type="xsd:double"&gt;0.62907934&lt;/D&gt;&lt;D xsi:type="xsd:double"&gt;13.577593&lt;/D&gt;&lt;D xsi:type="xsd:double"&gt;35.51959&lt;/D&gt;&lt;D xsi:type="xsd:double"&gt;33.792843&lt;/D&gt;&lt;D xsi:type="xsd:double"&gt;45.479656&lt;/D&gt;&lt;D xsi:type="xsd:double"&gt;51.78802&lt;/D&gt;&lt;D xsi:type="xsd:double"&gt;50.15584&lt;/D&gt;&lt;D xsi:type="xsd:double"&gt;44.45579&lt;/D&gt;&lt;D xsi:type="xsd:double"&gt;52.055157&lt;/D&gt;&lt;D xsi:type="xsd:double"&gt;45.44624&lt;/D&gt;&lt;D xsi:type="xsd:double"&gt;46.215355&lt;/D&gt;&lt;D xsi:type="xsd:double"&gt;40.348995&lt;/D&gt;&lt;D xsi:type="xsd:double"&gt;79.143036&lt;/D&gt;&lt;D xsi:type="xsd:double"&gt;54.35388&lt;/D&gt;&lt;D xsi:type="xsd:double"&gt;43.681442&lt;/D&gt;&lt;D xsi:type="xsd:double"&gt;43.016754&lt;/D&gt;&lt;D xsi:type="xsd:double"&gt;36.63114&lt;/D&gt;&lt;D xsi:type="xsd:double"&gt;33.5145&lt;/D&gt;&lt;D xsi:type="xsd:double"&gt;29.235792&lt;/D&gt;&lt;D xsi:type="xsd:double"&gt;39.538788&lt;/D&gt;&lt;D xsi:type="xsd:double"&gt;26.587343&lt;/D&gt;&lt;D xsi:type="xsd:double"&gt;28.796982&lt;/D&gt;&lt;D xsi:type="xsd:double"&gt;8.931839&lt;/D&gt;&lt;D xsi:type="xsd:double"&gt;11.452341&lt;/D&gt;&lt;D xsi:type="xsd:double"&gt;14.330006&lt;/D&gt;&lt;D xsi:type="xsd:double"&gt;0.3178954&lt;/D&gt;&lt;D xsi:type="xsd:double"&gt;-6.764656&lt;/D&gt;&lt;D xsi:type="xsd:double"&gt;-19.988829&lt;/D&gt;&lt;D xsi:type="xsd:double"&gt;-11.199397&lt;/D&gt;&lt;D xsi:type="xsd:double"&gt;-21.974766&lt;/D&gt;&lt;D xsi:type="xsd:double"&gt;-19.49414&lt;/D&gt;&lt;D xsi:type="xsd:double"&gt;-33.122017&lt;/D&gt;&lt;D xsi:type="xsd:double"&gt;-24.504536&lt;/D&gt;&lt;D xsi:type="xsd:double"&gt;-32.48109&lt;/D&gt;&lt;D xsi:type="xsd:double"&gt;-12.762183&lt;/D&gt;&lt;D xsi:type="xsd:double"&gt;-11.797607&lt;/D&gt;&lt;D xsi:type="xsd:double"&gt;-12.94021&lt;/D&gt;&lt;D xsi:type="xsd:double"&gt;-3.3405364&lt;/D&gt;&lt;D xsi:type="xsd:double"&gt;13.672638&lt;/D&gt;&lt;D xsi:type="xsd:double"&gt;32.186043&lt;/D&gt;&lt;D xsi:type="xsd:double"&gt;15.505242&lt;/D&gt;&lt;D xsi:type="xsd:double"&gt;27.016926&lt;/D&gt;&lt;D xsi:type="xsd:double"&gt;28.380287&lt;/D&gt;&lt;D xsi:type="xsd:double"&gt;42.12197&lt;/D&gt;&lt;D xsi:type="xsd:double"&gt;32.951714&lt;/D&gt;&lt;D xsi:type="xsd:double"&gt;50.15068&lt;/D&gt;&lt;D xsi:type="xsd:double"&gt;38.57497&lt;/D&gt;&lt;D xsi:type="xsd:double"&gt;49.185562&lt;/D&gt;&lt;D xsi:type="xsd:double"&gt;37.34846&lt;/D&gt;&lt;/FQL&gt;&lt;FQL&gt;&lt;Q&gt;EWL^FG_TOTAL_RETURNC(-10AY,0,AM)&lt;/Q&gt;&lt;R&gt;121&lt;/R&gt;&lt;C&gt;1&lt;/C&gt;&lt;D xsi:type="xsd:double"&gt;0.47086477&lt;/D&gt;&lt;D xsi:type="xsd:double"&gt;2.460456&lt;/D&gt;&lt;D xsi:type="xsd:double"&gt;0.34304857&lt;/D&gt;&lt;D xsi:type="xsd:double"&gt;0.87007284&lt;/D&gt;&lt;D xsi:type="xsd:double"&gt;-5.5764256&lt;/D&gt;&lt;D xsi:type="xsd:double"&gt;2.815175&lt;/D&gt;&lt;D xsi:type="xsd:double"&gt;-5.803567&lt;/D&gt;&lt;D xsi:type="xsd:double"&gt;1.1690378&lt;/D&gt;&lt;D xsi:type="xsd:double"&gt;3.2479763&lt;/D&gt;&lt;D xsi:type="xsd:double"&gt;-4.6279488&lt;/D&gt;&lt;D xsi:type="xsd:double"&gt;2.917862&lt;/D&gt;&lt;D xsi:type="xsd:double"&gt;1.8798113&lt;/D&gt;&lt;D xsi:type="xsd:double"&gt;2.2686005&lt;/D&gt;&lt;D xsi:type="xsd:double"&gt;3.4605145&lt;/D&gt;&lt;D xsi:type="xsd:double"&gt;0.97198486&lt;/D&gt;&lt;D xsi:type="xsd:double"&gt;-3.8731813&lt;/D&gt;&lt;D xsi:type="xsd:double"&gt;2.4427056&lt;/D&gt;&lt;D xsi:type="xsd:double"&gt;-8.6546955&lt;/D&gt;&lt;D xsi:type="xsd:double"&gt;-0.12891293&lt;/D&gt;&lt;D xsi:type="xsd:double"&gt;2.742827&lt;/D&gt;&lt;D xsi:type="xsd:double"&gt;-0.91080666&lt;/D&gt;&lt;D xsi:type="xsd:double"&gt;-2.7258277&lt;/D&gt;&lt;D xsi:type="xsd:double"&gt;-5.930269&lt;/D&gt;&lt;D xsi:type="xsd:double"&gt;1.3162374&lt;/D&gt;&lt;D xsi:type="xsd:double"&gt;1.2991428&lt;/D&gt;&lt;D xsi:type="xsd:double"&gt;1.5187383&lt;/D&gt;&lt;D xsi:type="xsd:double"&gt;2.8257966&lt;/D&gt;&lt;D xsi:type="xsd:double"&gt;-1.0553479&lt;/D&gt;&lt;D xsi:type="xsd:double"&gt;0.5031824&lt;/D&gt;&lt;D xsi:type="xsd:double"&gt;2.20294&lt;/D&gt;&lt;D xsi:type="xsd:double"&gt;-0.65317154&lt;/D&gt;&lt;D xsi:type="xsd:double"&gt;-5.8842897&lt;/D&gt;&lt;D xsi:type="xsd:double"&gt;-1.1177063&lt;/D&gt;&lt;D xsi:type="xsd:double"&gt;5.5409074&lt;/D&gt;&lt;D xsi:type="xsd:double"&gt;3.1480193&lt;/D&gt;&lt;D xsi:type="xsd:double"&gt;2.1753192&lt;/D&gt;&lt;D xsi:type="xsd:double"&gt;1.7477036&lt;/D&gt;&lt;D xsi:type="xsd:double"&gt;6.652093&lt;/D&gt;&lt;D xsi:type="xsd:double"&gt;3.6017537&lt;/D&gt;&lt;D xsi:type="xsd:double"&gt;-0.8931458&lt;/D&gt;&lt;D xsi:type="xsd:double"&gt;1.3690591&lt;/D&gt;&lt;D xsi:type="xsd:double"&gt;-1.5517294&lt;/D&gt;&lt;D xsi:type="xsd:double"&gt;2.743733&lt;/D&gt;&lt;D xsi:type="xsd:double"&gt;-1.6193151&lt;/D&gt;&lt;D xsi:type="xsd:double"&gt;0.8374214&lt;/D&gt;&lt;D xsi:type="xsd:double"&gt;3.4364343&lt;/D&gt;&lt;D xsi:type="xsd:double"&gt;1.1904716&lt;/D&gt;&lt;D xsi:type="xsd:double"&gt;-5.991787&lt;/D&gt;&lt;D xsi:type="xsd:double"&gt;-1.4551818&lt;/D&gt;&lt;D xsi:type="xsd:double"&gt;0.62019825&lt;/D&gt;&lt;D xsi:type="xsd:double"&gt;-1.027292&lt;/D&gt;&lt;D xsi:type="xsd:double"&gt;-0.6539345&lt;/D&gt;&lt;D xsi:type="xsd:double"&gt;5.9057593&lt;/D&gt;&lt;D xsi:type="xsd:double"&gt;-0.28893948&lt;/D&gt;&lt;D xsi:type="xsd:double"&gt;-0.92726946&lt;/D&gt;&lt;D xsi:type="xsd:double"&gt;-2.8663337&lt;/D&gt;&lt;D xsi:type="xsd:double"&gt;-0.5721152&lt;/D&gt;&lt;D xsi:type="xsd:double"&gt;-2.967894&lt;/D&gt;&lt;D xsi:type="xsd:double"&gt;4.026222&lt;/D&gt;&lt;D xsi:type="xsd:double"&gt;4.260421&lt;/D&gt;&lt;D xsi:type="xsd:double"&gt;2.5323749&lt;/D&gt;&lt;D xsi:type="xsd:double"&gt;1.8523693&lt;/D&gt;&lt;D xsi:type="xsd:double"&gt;0.854218&lt;/D&gt;&lt;D xsi:type="xsd:double"&gt;5.5404663&lt;/D&gt;&lt;D xsi:type="xsd:double"&gt;-1.5852034&lt;/D&gt;&lt;D xsi:type="xsd:double"&gt;1.2617469&lt;/D&gt;&lt;D xsi:type="xsd:double"&gt;-1.8292725&lt;/D&gt;&lt;D xsi:type="xsd:double"&gt;4.8609376&lt;/D&gt;&lt;D xsi:type="xsd:double"&gt;0.07725954&lt;/D&gt;&lt;D xsi:type="xsd:double"&gt;4.709208&lt;/D&gt;&lt;D xsi:type="xsd:double"&gt;1.4254212&lt;/D&gt;&lt;D xsi:type="xsd:double"&gt;-2.253455&lt;/D&gt;&lt;D xsi:type="xsd:double"&gt;-13.881999&lt;/D&gt;&lt;D xsi:type="xsd:double"&gt;4.9222827&lt;/D&gt;&lt;D xsi:type="xsd:double"&gt;8.010971&lt;/D&gt;&lt;D xsi:type="xsd:double"&gt;1.9616127&lt;/D&gt;&lt;D xsi:type="xsd:double"&gt;4.3544292&lt;/D&gt;&lt;D xsi:type="xsd:double"&gt;0.82484484&lt;/D&gt;&lt;D xsi:type="xsd:double"&gt;-0.19249916&lt;/D&gt;&lt;D xsi:type="xsd:double"&gt;0.40984154&lt;/D&gt;&lt;D xsi:type="xsd:double"&gt;3.8415313&lt;/D&gt;&lt;D xsi:type="xsd:double"&gt;4.4938684&lt;/D&gt;&lt;D xsi:type="xsd:double"&gt;-1.129067&lt;/D&gt;&lt;D xsi:type="xsd:double"&gt;-3.649801&lt;/D&gt;&lt;D xsi:type="xsd:double"&gt;4.4620037&lt;/D&gt;&lt;D xsi:type="xsd:double"&gt;2.4694085&lt;/D&gt;&lt;D xsi:type="xsd:double"&gt;7.4250937&lt;/D&gt;&lt;D xsi:type="xsd:double"&gt;0.77415705&lt;/D&gt;&lt;D xsi:type="xsd:double"&gt;3.0433059&lt;/D&gt;&lt;D xsi:type="xsd:double"&gt;0.5748272&lt;/D&gt;&lt;D xsi:type="xsd:double"&gt;-7.4300346&lt;/D&gt;&lt;D xsi:type="xsd:double"&gt;9.090912&lt;/D&gt;&lt;D xsi:type="xsd:double"&gt;-3.1615973&lt;/D&gt;&lt;D xsi:type="xsd:double"&gt;6.3683987&lt;/D&gt;&lt;D xsi:type="xsd:double"&gt;-7.4081063&lt;/D&gt;&lt;D xsi:type="xsd:double"&gt;-6.0159564&lt;/D&gt;&lt;D xsi:type="xsd:double"&gt;8.4041&lt;/D&gt;&lt;D xsi:type="xsd:double"&gt;-6.5675855&lt;/D&gt;&lt;D xsi:type="xsd:double"&gt;-3.3748925&lt;/D&gt;&lt;D xsi:type="xsd:double"&gt;-5.6098995&lt;/D&gt;&lt;D xsi:type="xsd:double"&gt;4.329002&lt;/D&gt;&lt;D xsi:type="xsd:double"&gt;-7.768565&lt;/D&gt;&lt;D xsi:type="xsd:double"&gt;-1.8745303&lt;/D&gt;&lt;D xsi:type="xsd:double"&gt;0.30566454&lt;/D&gt;&lt;D xsi:type="xsd:double"&gt;10.208225&lt;/D&gt;&lt;D xsi:type="xsd:double"&gt;0.27649403&lt;/D&gt;&lt;D xsi:type="xsd:double"&gt;3.5386086&lt;/D&gt;&lt;D xsi:type="xsd:double"&gt;-2.0195305&lt;/D&gt;&lt;D xsi:type="xsd:double"&gt;3.0804038&lt;/D&gt;&lt;D xsi:type="xsd:double"&gt;6.4820886&lt;/D&gt;&lt;D xsi:type="xsd:double"&gt;-2.6207209&lt;/D&gt;&lt;D xsi:type="xsd:double"&gt;-0.50671697&lt;/D&gt;&lt;D xsi:type="xsd:double"&gt;1.3066292&lt;/D&gt;&lt;D xsi:type="xsd:double"&gt;-1.2682736&lt;/D&gt;&lt;D xsi:type="xsd:double"&gt;-6.4445853&lt;/D&gt;&lt;D xsi:type="xsd:double"&gt;0.51198006&lt;/D&gt;&lt;D xsi:type="xsd:double"&gt;6.066227&lt;/D&gt;&lt;D xsi:type="xsd:double"&gt;4.4968247&lt;/D&gt;&lt;D xsi:type="xsd:double"&gt;-1.1280477&lt;/D&gt;&lt;D xsi:type="xsd:double"&gt;-0.9296477&lt;/D&gt;&lt;D xsi:type="xsd:double"&gt;-0.042653084&lt;/D&gt;&lt;/FQL&gt;&lt;FQL&gt;&lt;Q&gt;EWG^FMA_DIV_YLD(NTMA,-10AY,0,AM,"PORTAGG","MEANR")&lt;/Q&gt;&lt;R&gt;121&lt;/R&gt;&lt;C&gt;1&lt;/C&gt;&lt;D xsi:type="xsd:double"&gt;2.92704865530614&lt;/D&gt;&lt;D xsi:type="xsd:double"&gt;3.00546613367846&lt;/D&gt;&lt;D xsi:type="xsd:double"&gt;2.97118918547174&lt;/D&gt;&lt;D xsi:type="xsd:double"&gt;2.97712171938965&lt;/D&gt;&lt;D xsi:type="xsd:double"&gt;3.27952498707205&lt;/D&gt;&lt;D xsi:type="xsd:double"&gt;3.09161741946692&lt;/D&gt;&lt;D xsi:type="xsd:double"&gt;3.29188127460621&lt;/D&gt;&lt;D xsi:type="xsd:double"&gt;3.32106449414923&lt;/D&gt;&lt;D xsi:type="xsd:double"&gt;3.1695357827974&lt;/D&gt;&lt;D xsi:type="xsd:double"&gt;3.20673972066176&lt;/D&gt;&lt;D xsi:type="xsd:double"&gt;2.89514083294979&lt;/D&gt;&lt;D xsi:type="xsd:double"&gt;2.78309024822116&lt;/D&gt;&lt;D xsi:type="xsd:double"&gt;2.68976864034982&lt;/D&gt;&lt;D xsi:type="xsd:double"&gt;2.83130527553843&lt;/D&gt;&lt;D xsi:type="xsd:double"&gt;2.96323636338921&lt;/D&gt;&lt;D xsi:type="xsd:double"&gt;3.05685616476568&lt;/D&gt;&lt;D xsi:type="xsd:double"&gt;2.97523856995384&lt;/D&gt;&lt;D xsi:type="xsd:double"&gt;3.40086124311739&lt;/D&gt;&lt;D xsi:type="xsd:double"&gt;3.51099814566017&lt;/D&gt;&lt;D xsi:type="xsd:double"&gt;2.99982875895864&lt;/D&gt;&lt;D xsi:type="xsd:double"&gt;3.02327542846115&lt;/D&gt;&lt;D xsi:type="xsd:double"&gt;3.16279181876451&lt;/D&gt;&lt;D xsi:type="xsd:double"&gt;3.48413439562242&lt;/D&gt;&lt;D xsi:type="xsd:double"&gt;3.35807651938531&lt;/D&gt;&lt;D xsi:type="xsd:double"&gt;3.33842611335442&lt;/D&gt;&lt;D xsi:type="xsd:double"&gt;3.37974929324668&lt;/D&gt;&lt;D xsi:type="xsd:double"&gt;3.32649893888525&lt;/D&gt;&lt;D xsi:type="xsd:double"&gt;3.45090564501753&lt;/D&gt;&lt;D xsi:type="xsd:double"&gt;3.29355906323087&lt;/D&gt;&lt;D xsi:type="xsd:double"&gt;3.15759180837066&lt;/D&gt;&lt;D xsi:type="xsd:double"&gt;3.13680796954181&lt;/D&gt;&lt;D xsi:type="xsd:double"&gt;3.27905138003926&lt;/D&gt;&lt;D xsi:type="xsd:double"&gt;3.22706974405052&lt;/D&gt;&lt;D xsi:type="xsd:double"&gt;2.95424520894838&lt;/D&gt;&lt;D xsi:type="xsd:double"&gt;2.96780169636894&lt;/D&gt;&lt;D xsi:type="xsd:double"&gt;2.91453132973445&lt;/D&gt;&lt;D xsi:type="xsd:double"&gt;2.918040731529&lt;/D&gt;&lt;D xsi:type="xsd:double"&gt;2.87283087342161&lt;/D&gt;&lt;D xsi:type="xsd:double"&gt;2.89345814013456&lt;/D&gt;&lt;D xsi:type="xsd:double"&gt;3.00041456595016&lt;/D&gt;&lt;D xsi:type="xsd:double"&gt;3.04664267387214&lt;/D&gt;&lt;D xsi:type="xsd:double"&gt;3.12476873166622&lt;/D&gt;&lt;D xsi:type="xsd:double"&gt;2.95776587647489&lt;/D&gt;&lt;D xsi:type="xsd:double"&gt;2.85286242267193&lt;/D&gt;&lt;D xsi:type="xsd:double"&gt;2.91142005379629&lt;/D&gt;&lt;D xsi:type="xsd:double"&gt;2.89864373468423&lt;/D&gt;&lt;D xsi:type="xsd:double"&gt;3.03486414155075&lt;/D&gt;&lt;D xsi:type="xsd:double"&gt;3.26415442174342&lt;/D&gt;&lt;D xsi:type="xsd:double"&gt;3.29106051751067&lt;/D&gt;&lt;D xsi:type="xsd:double"&gt;3.11958434234051&lt;/D&gt;&lt;D xsi:type="xsd:double"&gt;3.1477797933358&lt;/D&gt;&lt;D xsi:type="xsd:double"&gt;3.26814988784593&lt;/D&gt;&lt;D xsi:type="xsd:double"&gt;3.20173208428678&lt;/D&gt;&lt;D xsi:type="xsd:double"&gt;3.30082908432317&lt;/D&gt;&lt;D xsi:type="xsd:double"&gt;3.32760286714725&lt;/D&gt;&lt;D xsi:type="xsd:double"&gt;3.58808191674732&lt;/D&gt;&lt;D xsi:type="xsd:double"&gt;3.66129656338555&lt;/D&gt;&lt;D xsi:type="xsd:double"&gt;3.8803184061531&lt;/D&gt;&lt;D xsi:type="xsd:double"&gt;3.7173364700761&lt;/D&gt;&lt;D xsi:type="xsd:double"&gt;3.57796067458287&lt;/D&gt;&lt;D xsi:type="xsd:double"&gt;3.48588336684598&lt;/D&gt;&lt;D xsi:type="xsd:double"&gt;3.37985280098915&lt;/D&gt;&lt;D xsi:type="xsd:double"&gt;3.58751305212908&lt;/D&gt;&lt;D xsi:type="xsd:double"&gt;3.42631044972663&lt;/D&gt;&lt;D xsi:type="xsd:double"&gt;3.53950872042247&lt;/D&gt;&lt;D xsi:type="xsd:double"&gt;3.49094372410817&lt;/D&gt;&lt;D xsi:type="xsd:double"&gt;3.49708801396196&lt;/D&gt;&lt;D xsi:type="xsd:double"&gt;3.19771155499223&lt;/D&gt;&lt;D xsi:type="xsd:double"&gt;3.11783540977524&lt;/D&gt;&lt;D xsi:type="xsd:double"&gt;3.09872815389408&lt;/D&gt;&lt;D xsi:type="xsd:double"&gt;3.10255154453835&lt;/D&gt;&lt;D xsi:type="xsd:double"&gt;3.3785534524756&lt;/D&gt;&lt;D xsi:type="xsd:double"&gt;4.00760950726393&lt;/D&gt;&lt;D xsi:type="xsd:double"&gt;3.47439046850271&lt;/D&gt;&lt;D xsi:type="xsd:double"&gt;2.85983097116864&lt;/D&gt;&lt;D xsi:type="xsd:double"&gt;2.86559149083768&lt;/D&gt;&lt;D xsi:type="xsd:double"&gt;2.87070045880864&lt;/D&gt;&lt;D xsi:type="xsd:double"&gt;2.85909494160686&lt;/D&gt;&lt;D xsi:type="xsd:double"&gt;2.8779421610387&lt;/D&gt;&lt;D xsi:type="xsd:double"&gt;2.99761251650515&lt;/D&gt;&lt;D xsi:type="xsd:double"&gt;2.77886204184179&lt;/D&gt;&lt;D xsi:type="xsd:double"&gt;2.71128493244629&lt;/D&gt;&lt;D xsi:type="xsd:double"&gt;2.7203220188489&lt;/D&gt;&lt;D xsi:type="xsd:double"&gt;2.81054474086113&lt;/D&gt;&lt;D xsi:type="xsd:double"&gt;2.68998077275861&lt;/D&gt;&lt;D xsi:type="xsd:double"&gt;2.83500708303479&lt;/D&gt;&lt;D xsi:type="xsd:double"&gt;2.77784188246147&lt;/D&gt;&lt;D xsi:type="xsd:double"&gt;2.80248347192271&lt;/D&gt;&lt;D xsi:type="xsd:double"&gt;2.82459967358833&lt;/D&gt;&lt;D xsi:type="xsd:double"&gt;2.84331045133629&lt;/D&gt;&lt;D xsi:type="xsd:double"&gt;3.02504301060152&lt;/D&gt;&lt;D xsi:type="xsd:double"&gt;2.90475684317671&lt;/D&gt;&lt;D xsi:type="xsd:double"&gt;3.15433445094716&lt;/D&gt;&lt;D xsi:type="xsd:double"&gt;2.99933909828433&lt;/D&gt;&lt;D xsi:type="xsd:double"&gt;3.24223569384731&lt;/D&gt;&lt;D xsi:type="xsd:double"&gt;3.86072841516427&lt;/D&gt;&lt;D xsi:type="xsd:double"&gt;3.51401099695744&lt;/D&gt;&lt;D xsi:type="xsd:double"&gt;3.76579621029511&lt;/D&gt;&lt;D xsi:type="xsd:double"&gt;3.7266379651704&lt;/D&gt;&lt;D xsi:type="xsd:double"&gt;4.21192722787975&lt;/D&gt;&lt;D xsi:type="xsd:double"&gt;3.95548918892744&lt;/D&gt;&lt;D xsi:type="xsd:double"&gt;4.1385548345337&lt;/D&gt;&lt;D xsi:type="xsd:double"&gt;4.28060593442704&lt;/D&gt;&lt;D xsi:type="xsd:double"&gt;4.06174750648161&lt;/D&gt;&lt;D xsi:type="xsd:double"&gt;3.70988506937136&lt;/D&gt;&lt;D xsi:type="xsd:double"&gt;3.67638846109114&lt;/D&gt;&lt;D xsi:type="xsd:double"&gt;3.42585563222999&lt;/D&gt;&lt;D xsi:type="xsd:double"&gt;3.48250213639352&lt;/D&gt;&lt;D xsi:type="xsd:double"&gt;3.53662897503116&lt;/D&gt;&lt;D xsi:type="xsd:double"&gt;3.57287175517332&lt;/D&gt;&lt;D xsi:type="xsd:double"&gt;3.618187211125&lt;/D&gt;&lt;D xsi:type="xsd:double"&gt;3.64056174298984&lt;/D&gt;&lt;D xsi:type="xsd:double"&gt;3.70320206673814&lt;/D&gt;&lt;D xsi:type="xsd:double"&gt;3.7175364546224&lt;/D&gt;&lt;D xsi:type="xsd:double"&gt;3.93383801162297&lt;/D&gt;&lt;D xsi:type="xsd:double"&gt;3.93031420690237&lt;/D&gt;&lt;D xsi:type="xsd:double"&gt;3.60905912284384&lt;/D&gt;&lt;D xsi:type="xsd:double"&gt;3.59534421066489&lt;/D&gt;&lt;D xsi:type="xsd:double"&gt;3.53328075397238&lt;/D&gt;&lt;D xsi:type="xsd:double"&gt;3.43139306326823&lt;/D&gt;&lt;D xsi:type="xsd:double"&gt;3.27063157795324&lt;/D&gt;&lt;/FQL&gt;&lt;FQL&gt;&lt;Q&gt;EWA^FMA_PE(NTMA,-10AY,0,AM,"PORTAGG","MEANR")&lt;/Q&gt;&lt;R&gt;121&lt;/R&gt;&lt;C&gt;1&lt;/C&gt;&lt;D xsi:type="xsd:double"&gt;14.2984806195286&lt;/D&gt;&lt;D xsi:type="xsd:double"&gt;14.2721515065256&lt;/D&gt;&lt;D xsi:type="xsd:double"&gt;14.1775471088901&lt;/D&gt;&lt;D xsi:type="xsd:double"&gt;14.470144161433&lt;/D&gt;&lt;D xsi:type="xsd:double"&gt;14.7716754991309&lt;/D&gt;&lt;D xsi:type="xsd:double"&gt;14.8904681920022&lt;/D&gt;&lt;D xsi:type="xsd:double"&gt;13.9080576011534&lt;/D&gt;&lt;D xsi:type="xsd:double"&gt;14.5471572676946&lt;/D&gt;&lt;D xsi:type="xsd:double"&gt;14.1094730853552&lt;/D&gt;&lt;D xsi:type="xsd:double"&gt;14.6262194220997&lt;/D&gt;&lt;D xsi:type="xsd:double"&gt;15.758257082409&lt;/D&gt;&lt;D xsi:type="xsd:double"&gt;16.220909830015&lt;/D&gt;&lt;D xsi:type="xsd:double"&gt;16.2523775221701&lt;/D&gt;&lt;D xsi:type="xsd:double"&gt;16.301695757441&lt;/D&gt;&lt;D xsi:type="xsd:double"&gt;15.1638263068372&lt;/D&gt;&lt;D xsi:type="xsd:double"&gt;15.4841375406311&lt;/D&gt;&lt;D xsi:type="xsd:double"&gt;15.7204422358023&lt;/D&gt;&lt;D xsi:type="xsd:double"&gt;13.999494154228&lt;/D&gt;&lt;D xsi:type="xsd:double"&gt;14.2968851204463&lt;/D&gt;&lt;D xsi:type="xsd:double"&gt;15.093278417169&lt;/D&gt;&lt;D xsi:type="xsd:double"&gt;15.064781264346&lt;/D&gt;&lt;D xsi:type="xsd:double"&gt;15.6384303118155&lt;/D&gt;&lt;D xsi:type="xsd:double"&gt;15.3262496654408&lt;/D&gt;&lt;D xsi:type="xsd:double"&gt;15.8199453818539&lt;/D&gt;&lt;D xsi:type="xsd:double"&gt;15.415935362746&lt;/D&gt;&lt;D xsi:type="xsd:double"&gt;16.3553319729932&lt;/D&gt;&lt;D xsi:type="xsd:double"&gt;16.2996290566753&lt;/D&gt;&lt;D xsi:type="xsd:double"&gt;15.999973819414&lt;/D&gt;&lt;D xsi:type="xsd:double"&gt;16.4900617545458&lt;/D&gt;&lt;D xsi:type="xsd:double"&gt;16.2099438092433&lt;/D&gt;&lt;D xsi:type="xsd:double"&gt;16.3576474953088&lt;/D&gt;&lt;D xsi:type="xsd:double"&gt;15.3783155559203&lt;/D&gt;&lt;D xsi:type="xsd:double"&gt;15.6786481105494&lt;/D&gt;&lt;D xsi:type="xsd:double"&gt;15.9978846569998&lt;/D&gt;&lt;D xsi:type="xsd:double"&gt;15.6042763822164&lt;/D&gt;&lt;D xsi:type="xsd:double"&gt;15.7107518687991&lt;/D&gt;&lt;D xsi:type="xsd:double"&gt;15.7971870856378&lt;/D&gt;&lt;D xsi:type="xsd:double"&gt;15.7802607224412&lt;/D&gt;&lt;D xsi:type="xsd:double"&gt;15.39965433794&lt;/D&gt;&lt;D xsi:type="xsd:double"&gt;15.3175279280684&lt;/D&gt;&lt;D xsi:type="xsd:double"&gt;15.6506028945661&lt;/D&gt;&lt;D xsi:type="xsd:double"&gt;15.6384385009527&lt;/D&gt;&lt;D xsi:type="xsd:double"&gt;15.3362843367515&lt;/D&gt;&lt;D xsi:type="xsd:double"&gt;15.946902792774&lt;/D&gt;&lt;D xsi:type="xsd:double"&gt;15.845029356876&lt;/D&gt;&lt;D xsi:type="xsd:double"&gt;16.0193841662017&lt;/D&gt;&lt;D xsi:type="xsd:double"&gt;15.9032455761203&lt;/D&gt;&lt;D xsi:type="xsd:double"&gt;15.3294363410676&lt;/D&gt;&lt;D xsi:type="xsd:double"&gt;14.759298666304&lt;/D&gt;&lt;D xsi:type="xsd:double"&gt;15.310383772271&lt;/D&gt;&lt;D xsi:type="xsd:double"&gt;15.13810878929&lt;/D&gt;&lt;D xsi:type="xsd:double"&gt;15.5010352829042&lt;/D&gt;&lt;D xsi:type="xsd:double"&gt;15.4881824673553&lt;/D&gt;&lt;D xsi:type="xsd:double"&gt;15.5536558232622&lt;/D&gt;&lt;D xsi:type="xsd:double"&gt;15.1138064381411&lt;/D&gt;&lt;D xsi:type="xsd:double"&gt;14.3912145806402&lt;/D&gt;&lt;D xsi:type="xsd:double"&gt;14.1673441049957&lt;/D&gt;&lt;D xsi:type="xsd:double"&gt;13.9949240615902&lt;/D&gt;&lt;D xsi:type="xsd:double"&gt;14.6789558767283&lt;/D&gt;&lt;D xsi:type="xsd:double"&gt;15.4624279720486&lt;/D&gt;&lt;D xsi:type="xsd:double"&gt;15.3844252171123&lt;/D&gt;&lt;D xsi:type="xsd:double"&gt;15.4009511831517&lt;/D&gt;&lt;D xsi:type="xsd:double"&gt;15.4168961445301&lt;/D&gt;&lt;D xsi:type="xsd:double"&gt;16.2872000468238&lt;/D&gt;&lt;D xsi:type="xsd:double"&gt;16.3162212856101&lt;/D&gt;&lt;D xsi:type="xsd:double"&gt;16.1249512629421&lt;/D&gt;&lt;D xsi:type="xsd:double"&gt;16.2497435015316&lt;/D&gt;&lt;D xsi:type="xsd:double"&gt;16.9883030102618&lt;/D&gt;&lt;D xsi:type="xsd:double"&gt;16.8461142675154&lt;/D&gt;&lt;D xsi:type="xsd:double"&gt;17.23769927886&lt;/D&gt;&lt;D xsi:type="xsd:double"&gt;17.7394966894497&lt;/D&gt;&lt;D xsi:type="xsd:double"&gt;16.2783170651856&lt;/D&gt;&lt;D xsi:type="xsd:double"&gt;14.2933351383017&lt;/D&gt;&lt;D xsi:type="xsd:double"&gt;16.773175602281&lt;/D&gt;&lt;D xsi:type="xsd:double"&gt;19.6117734526855&lt;/D&gt;&lt;D xsi:type="xsd:double"&gt;19.2256058688285&lt;/D&gt;&lt;D xsi:type="xsd:double"&gt;19.1987639029907&lt;/D&gt;&lt;D xsi:type="xsd:double"&gt;18.9553895113679&lt;/D&gt;&lt;D xsi:type="xsd:double"&gt;17.8949313774311&lt;/D&gt;&lt;D xsi:type="xsd:double"&gt;18.2357631380362&lt;/D&gt;&lt;D xsi:type="xsd:double"&gt;19.8955331411634&lt;/D&gt;&lt;D xsi:type="xsd:double"&gt;19.1880470887245&lt;/D&gt;&lt;D xsi:type="xsd:double"&gt;18.8496678026363&lt;/D&gt;&lt;D xsi:type="xsd:double"&gt;18.2222691783455&lt;/D&gt;&lt;D xsi:type="xsd:double"&gt;17.6611665393569&lt;/D&gt;&lt;D xsi:type="xsd:double"&gt;18.0117541561927&lt;/D&gt;&lt;D xsi:type="xsd:double"&gt;18.4410063144999&lt;/D&gt;&lt;D xsi:type="xsd:double"&gt;17.3066818034817&lt;/D&gt;&lt;D xsi:type="xsd:double"&gt;17.0996909872917&lt;/D&gt;&lt;D xsi:type="xsd:double"&gt;17.387460383849&lt;/D&gt;&lt;D xsi:type="xsd:double"&gt;17.0244825157634&lt;/D&gt;&lt;D xsi:type="xsd:double"&gt;17.9601600627582&lt;/D&gt;&lt;D xsi:type="xsd:double"&gt;16.9172725511445&lt;/D&gt;&lt;D xsi:type="xsd:double"&gt;17.7139952423083&lt;/D&gt;&lt;D xsi:type="xsd:double"&gt;15.8324556469375&lt;/D&gt;&lt;D xsi:type="xsd:double"&gt;15.6991855448931&lt;/D&gt;&lt;D xsi:type="xsd:double"&gt;16.0905199310405&lt;/D&gt;&lt;D xsi:type="xsd:double"&gt;14.7806516550441&lt;/D&gt;&lt;D xsi:type="xsd:double"&gt;14.2559874186128&lt;/D&gt;&lt;D xsi:type="xsd:double"&gt;12.4724347323239&lt;/D&gt;&lt;D xsi:type="xsd:double"&gt;13.7848691906161&lt;/D&gt;&lt;D xsi:type="xsd:double"&gt;13.5788553456945&lt;/D&gt;&lt;D xsi:type="xsd:double"&gt;13.0926361235895&lt;/D&gt;&lt;D xsi:type="xsd:double"&gt;13.4695934600517&lt;/D&gt;&lt;D xsi:type="xsd:double"&gt;14.5963023095546&lt;/D&gt;&lt;D xsi:type="xsd:double"&gt;14.0266685111293&lt;/D&gt;&lt;D xsi:type="xsd:double"&gt;15.0568337909699&lt;/D&gt;&lt;D xsi:type="xsd:double"&gt;14.5201460991821&lt;/D&gt;&lt;D xsi:type="xsd:double"&gt;14.4792312011978&lt;/D&gt;&lt;D xsi:type="xsd:double"&gt;14.3780592297632&lt;/D&gt;&lt;D xsi:type="xsd:double"&gt;14.3998475346568&lt;/D&gt;&lt;D xsi:type="xsd:double"&gt;15.0142265583721&lt;/D&gt;&lt;D xsi:type="xsd:double"&gt;15.4026298204681&lt;/D&gt;&lt;D xsi:type="xsd:double"&gt;15.5104648620548&lt;/D&gt;&lt;D xsi:type="xsd:double"&gt;14.4006146318785&lt;/D&gt;&lt;D xsi:type="xsd:double"&gt;14.8757381207264&lt;/D&gt;&lt;D xsi:type="xsd:double"&gt;15.3985332724964&lt;/D&gt;&lt;D xsi:type="xsd:double"&gt;16.1764570939353&lt;/D&gt;&lt;D xsi:type="xsd:double"&gt;16.5898470502772&lt;/D&gt;&lt;D xsi:type="xsd:double"&gt;16.6011487989477&lt;/D&gt;&lt;D xsi:type="xsd:double"&gt;16.6093290040088&lt;/D&gt;&lt;/FQL&gt;&lt;FQL&gt;&lt;Q&gt;ENZL^JULIAN(FMA_DIV_YLD(LTMA,-10AY,0,AM,"PORTAGG","MEANR").DATES)&lt;/Q&gt;&lt;R&gt;121&lt;/R&gt;&lt;C&gt;1&lt;/C&gt;&lt;D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xsi:type="xsd:long"&gt;45355&lt;/D&gt;&lt;D xsi:type="xsd:long"&gt;45385&lt;/D&gt;&lt;/FQL&gt;&lt;FQL&gt;&lt;Q&gt;WL-FDS^FG_PRICE(0)&lt;/Q&gt;&lt;R&gt;1&lt;/R&gt;&lt;C&gt;1&lt;/C&gt;&lt;D xsi:type="xsd:double"&gt;650.7&lt;/D&gt;&lt;/FQL&gt;&lt;FQL&gt;&lt;Q&gt;NI-FDS^FG_PRICE(0)&lt;/Q&gt;&lt;R&gt;1&lt;/R&gt;&lt;C&gt;1&lt;/C&gt;&lt;D xsi:type="xsd:double"&gt;17230&lt;/D&gt;&lt;/FQL&gt;&lt;FQL&gt;&lt;Q&gt;CPALM-FDS^FG_PRICE(0)&lt;/Q&gt;&lt;R&gt;1&lt;/R&gt;&lt;C&gt;1&lt;/C&gt;&lt;D xsi:type="xsd:double"&gt;4577&lt;/D&gt;&lt;/FQL&gt;&lt;FQL&gt;&lt;Q&gt;BRENT-FDS^FG_PRICE(0)&lt;/Q&gt;&lt;R&gt;1&lt;/R&gt;&lt;C&gt;1&lt;/C&gt;&lt;D xsi:type="xsd:double"&gt;85.86&lt;/D&gt;&lt;/FQL&gt;&lt;FQL&gt;&lt;Q&gt;TIOS-FDS^FG_PRICE(0)&lt;/Q&gt;&lt;R&gt;1&lt;/R&gt;&lt;C&gt;1&lt;/C&gt;&lt;D xsi:type="xsd:double"&gt;99.89&lt;/D&gt;&lt;/FQL&gt;&lt;FQL&gt;&lt;Q&gt;EWN^FG_PRICE(0)&lt;/Q&gt;&lt;R&gt;1&lt;/R&gt;&lt;C&gt;1&lt;/C&gt;&lt;D xsi:type="xsd:double"&gt;49.2&lt;/D&gt;&lt;/FQL&gt;&lt;FQL&gt;&lt;Q&gt;EWU^FG_PRICE(0)&lt;/Q&gt;&lt;R&gt;1&lt;/R&gt;&lt;C&gt;1&lt;/C&gt;&lt;D xsi:type="xsd:double"&gt;34.03&lt;/D&gt;&lt;/FQL&gt;&lt;FQL&gt;&lt;Q&gt;EWC^FG_PRICE(0)&lt;/Q&gt;&lt;R&gt;1&lt;/R&gt;&lt;C&gt;1&lt;/C&gt;&lt;D xsi:type="xsd:double"&gt;38.03&lt;/D&gt;&lt;/FQL&gt;&lt;FQL&gt;&lt;Q&gt;CAGDPY@CH^EE_ACTUAL_ANNUAL(MED,+1)&lt;/Q&gt;&lt;R&gt;1&lt;/R&gt;&lt;C&gt;1&lt;/C&gt;&lt;D xsi:type="xsd:double"&gt;9.2&lt;/D&gt;&lt;/FQL&gt;&lt;FQL&gt;&lt;Q&gt;CC_JP^FG_COMPANY_NAME&lt;/Q&gt;&lt;R&gt;1&lt;/R&gt;&lt;C&gt;1&lt;/C&gt;&lt;D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xsi:type="xsd:double"&gt;3.5288453&lt;/D&gt;&lt;/FQL&gt;&lt;FQL&gt;&lt;Q&gt;USDCHF^FG_PRICE_CHANGE(0,-3AM)&lt;/Q&gt;&lt;R&gt;1&lt;/R&gt;&lt;C&gt;1&lt;/C&gt;&lt;D xsi:type="xsd:double"&gt;6.4666033&lt;/D&gt;&lt;/FQL&gt;&lt;FQL&gt;&lt;Q&gt;USDUSD^FG_PRICE_CHANGE(0,-3AM)&lt;/Q&gt;&lt;R&gt;1&lt;/R&gt;&lt;C&gt;1&lt;/C&gt;&lt;D xsi:type="xsd:double"&gt;0&lt;/D&gt;&lt;/FQL&gt;&lt;FQL&gt;&lt;Q&gt;DUMMY^ECON_EXPR_DATA('FDS_ECON[NTCPMIMFGMESA@US]',03/2024,,M)&lt;/Q&gt;&lt;R&gt;1&lt;/R&gt;&lt;C&gt;1&lt;/C&gt;&lt;D xsi:type="xsd:double"&gt;51.857662&lt;/D&gt;&lt;/FQL&gt;&lt;FQL&gt;&lt;Q&gt;EWG^FMA_ROE(NTMA,-20AY,NOW,FY,"PORTAGG","MEANR")&lt;/Q&gt;&lt;R&gt;20&lt;/R&gt;&lt;C&gt;1&lt;/C&gt;&lt;D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xsi:type="xsd:double"&gt;9.71407742399289&lt;/D&gt;&lt;D xsi:type="xsd:double"&gt;12.1999545354885&lt;/D&gt;&lt;D xsi:type="xsd:double"&gt;11.8188093455252&lt;/D&gt;&lt;D xsi:type="xsd:double"&gt;11.94085627567&lt;/D&gt;&lt;/FQL&gt;&lt;FQL&gt;&lt;Q&gt;TRYUS10Y-FDS^FG_YIELD(-10AY,0,Y,,"YTM")&lt;/Q&gt;&lt;R&gt;10&lt;/R&gt;&lt;C&gt;1&lt;/C&gt;&lt;D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xsi:type="xsd:double"&gt;2.004&lt;/D&gt;&lt;/FQL&gt;&lt;FQL&gt;&lt;Q&gt;EWG^FG_TOTAL_RETURNC(0,-6AM)&lt;/Q&gt;&lt;R&gt;1&lt;/R&gt;&lt;C&gt;1&lt;/C&gt;&lt;D xsi:type="xsd:double"&gt;22.116161&lt;/D&gt;&lt;/FQL&gt;&lt;FQL&gt;&lt;Q&gt;ENZL^FMA_PCT_ABOVE_MAVG(200,0,,,,"PORTAGG")&lt;/Q&gt;&lt;R&gt;1&lt;/R&gt;&lt;C&gt;1&lt;/C&gt;&lt;D xsi:type="xsd:double"&gt;50&lt;/D&gt;&lt;/FQL&gt;&lt;FQL&gt;&lt;Q&gt;VGK^SIZE(FG_CONSTITUENTS)&lt;/Q&gt;&lt;R&gt;1&lt;/R&gt;&lt;C&gt;1&lt;/C&gt;&lt;D xsi:type="xsd:long"&gt;1296&lt;/D&gt;&lt;/FQL&gt;&lt;FQL&gt;&lt;Q&gt;SPY^FMA_COS_DOWN("EPS","1M",+1,0,,,"PORTAGG","MEANR")&lt;/Q&gt;&lt;R&gt;1&lt;/R&gt;&lt;C&gt;1&lt;/C&gt;&lt;D xsi:type="xsd:double"&gt;156&lt;/D&gt;&lt;/FQL&gt;&lt;FQL&gt;&lt;Q&gt;EWG^FMA_COS_UP("EPS","1M",+1,0,,,"PORTAGG","MEANR")&lt;/Q&gt;&lt;R&gt;1&lt;/R&gt;&lt;C&gt;1&lt;/C&gt;&lt;D xsi:type="xsd:double"&gt;26&lt;/D&gt;&lt;/FQL&gt;&lt;FQL&gt;&lt;Q&gt;EWG^FMA_RBICS_REV_CURRENT(30, LOC, "PORTAGG")&lt;/Q&gt;&lt;R&gt;1&lt;/R&gt;&lt;C&gt;1&lt;/C&gt;&lt;D xsi:type="xsd:double"&gt;22.6656567309621&lt;/D&gt;&lt;/FQL&gt;&lt;FQL&gt;&lt;Q&gt;ENZL^FG_ROE(0)&lt;/Q&gt;&lt;R&gt;1&lt;/R&gt;&lt;C&gt;1&lt;/C&gt;&lt;D xsi:type="xsd:double"&gt;5.5980628279606&lt;/D&gt;&lt;/FQL&gt;&lt;FQL&gt;&lt;Q&gt;REFSEREPO-FDS^PROPER_NAME(0,,,"SECURITY","NAME")&lt;/Q&gt;&lt;R&gt;1&lt;/R&gt;&lt;C&gt;1&lt;/C&gt;&lt;D xsi:type="xsd:string"&gt;Sweden Repo Rate&lt;/D&gt;&lt;/FQL&gt;&lt;FQL&gt;&lt;Q&gt;REFCHMPR-FDS^(SUBARRAY(NOT_NA(NO_REPEAT_F(FG_YIELD(NOW,-10AY,D))),0,1)-SUBARRAY(NOT_NA(NO_REPEAT_F(FG_YIELD(NOW,-10AY,D))),1,1))*100&lt;/Q&gt;&lt;R&gt;1&lt;/R&gt;&lt;C&gt;1&lt;/C&gt;&lt;D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xsi:type="xsd:double"&gt;-25&lt;/D&gt;&lt;/FQL&gt;&lt;FQL&gt;&lt;Q&gt;REFNZOCR-FDS^FG_YIELD(NOW,,,0)&lt;/Q&gt;&lt;R&gt;1&lt;/R&gt;&lt;C&gt;1&lt;/C&gt;&lt;D xsi:type="xsd:double"&gt;5.5&lt;/D&gt;&lt;/FQL&gt;&lt;FQL&gt;&lt;Q&gt;TRYCH10Y-FDS^PCTCHG(FG_YIELD(0,,,,"YTM"),FG_YIELD(-3AM,,,,"YTM"))&lt;/Q&gt;&lt;R&gt;1&lt;/R&gt;&lt;C&gt;1&lt;/C&gt;&lt;D xsi:type="xsd:double"&gt;-11.627903&lt;/D&gt;&lt;/FQL&gt;&lt;FQL&gt;&lt;Q&gt;TRYSE10Y-FDS^FG_YIELD(0,,,,"YTM")&lt;/Q&gt;&lt;R&gt;1&lt;/R&gt;&lt;C&gt;1&lt;/C&gt;&lt;D xsi:type="xsd:double"&gt;2.456&lt;/D&gt;&lt;/FQL&gt;&lt;FQL&gt;&lt;Q&gt;TRYDE10Y-FDS^FG_YIELD(0,,,,"YTM")&lt;/Q&gt;&lt;R&gt;1&lt;/R&gt;&lt;C&gt;1&lt;/C&gt;&lt;D xsi:type="xsd:double"&gt;2.355&lt;/D&gt;&lt;/FQL&gt;&lt;FQL&gt;&lt;Q&gt;TRYZA10Y-FDS^JULIAN(FG_YIELD(-10AY,0,CY,,"YTM").DATES)&lt;/Q&gt;&lt;R&gt;10&lt;/R&gt;&lt;C&gt;1&lt;/C&gt;&lt;D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xsi:type="xsd:double"&gt;7.64151941312264&lt;/D&gt;&lt;/FQL&gt;&lt;FQL&gt;&lt;Q&gt;CC_DE^FG_COMPANY_NAME&lt;/Q&gt;&lt;R&gt;1&lt;/R&gt;&lt;C&gt;1&lt;/C&gt;&lt;D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xsi:type="xsd:double"&gt;2.106762&lt;/D&gt;&lt;/FQL&gt;&lt;FQL&gt;&lt;Q&gt;USDCHF^FG_PRICE_CHANGE(0,-1AM)&lt;/Q&gt;&lt;R&gt;1&lt;/R&gt;&lt;C&gt;1&lt;/C&gt;&lt;D xsi:type="xsd:double"&gt;2.2548676&lt;/D&gt;&lt;/FQL&gt;&lt;FQL&gt;&lt;Q&gt;USDUSD^FG_PRICE_CHANGE(0,-1AM)&lt;/Q&gt;&lt;R&gt;1&lt;/R&gt;&lt;C&gt;1&lt;/C&gt;&lt;D xsi:type="xsd:double"&gt;0&lt;/D&gt;&lt;/FQL&gt;&lt;FQL&gt;&lt;Q&gt;USDEUR^FG_PRICE_CHANGE(0,-1AM)&lt;/Q&gt;&lt;R&gt;1&lt;/R&gt;&lt;C&gt;1&lt;/C&gt;&lt;D xsi:type="xsd:double"&gt;-0.041401386&lt;/D&gt;&lt;/FQL&gt;&lt;FQL&gt;&lt;Q&gt;USDAUD^FG_PRICE_CHANGE(0,-1AM)&lt;/Q&gt;&lt;R&gt;1&lt;/R&gt;&lt;C&gt;1&lt;/C&gt;&lt;D xsi:type="xsd:double"&gt;-1.4959216&lt;/D&gt;&lt;/FQL&gt;&lt;FQL&gt;&lt;Q&gt;SPY^FMA_EPS(NTMA,-20AY,0,CY,,"PORTAGG","MEANR")&lt;/Q&gt;&lt;R&gt;20&lt;/R&gt;&lt;C&gt;1&lt;/C&gt;&lt;D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xsi:type="xsd:double"&gt;17.7262479254623&lt;/D&gt;&lt;D xsi:type="xsd:double"&gt;16.6578690191601&lt;/D&gt;&lt;D xsi:type="xsd:double"&gt;22.2710180615552&lt;/D&gt;&lt;D xsi:type="xsd:double"&gt;22.962547023494&lt;/D&gt;&lt;D xsi:type="xsd:double"&gt;24.3153750284337&lt;/D&gt;&lt;/FQL&gt;&lt;FQL&gt;&lt;Q&gt;EWU^P_PRICE_RETURNS_PR('52W',2,-10AY,0,AM)&lt;/Q&gt;&lt;R&gt;121&lt;/R&gt;&lt;C&gt;1&lt;/C&gt;&lt;D xsi:type="xsd:double"&gt;16.230942&lt;/D&gt;&lt;D xsi:type="xsd:double"&gt;17.843163&lt;/D&gt;&lt;D xsi:type="xsd:double"&gt;17.62389&lt;/D&gt;&lt;D xsi:type="xsd:double"&gt;26.970911&lt;/D&gt;&lt;D xsi:type="xsd:double"&gt;13.572359&lt;/D&gt;&lt;D xsi:type="xsd:double"&gt;13.650095&lt;/D&gt;&lt;D xsi:type="xsd:double"&gt;2.785194&lt;/D&gt;&lt;D xsi:type="xsd:double"&gt;-2.4166286&lt;/D&gt;&lt;D xsi:type="xsd:double"&gt;0.66155195&lt;/D&gt;&lt;D xsi:type="xsd:double"&gt;-7.331353&lt;/D&gt;&lt;D xsi:type="xsd:double"&gt;0.5165577&lt;/D&gt;&lt;D xsi:type="xsd:double"&gt;-4.7300816&lt;/D&gt;&lt;D xsi:type="xsd:double"&gt;-5.8742704&lt;/D&gt;&lt;D xsi:type="xsd:double"&gt;-4.5517445&lt;/D&gt;&lt;D xsi:type="xsd:double"&gt;-5.914736&lt;/D&gt;&lt;D xsi:type="xsd:double"&gt;-9.894401&lt;/D&gt;&lt;D xsi:type="xsd:double"&gt;-5.6487503&lt;/D&gt;&lt;D xsi:type="xsd:double"&gt;-16.781504&lt;/D&gt;&lt;D xsi:type="xsd:double"&gt;-7.308316&lt;/D&gt;&lt;D xsi:type="xsd:double"&gt;-2.4153829&lt;/D&gt;&lt;D xsi:type="xsd:double"&gt;-7.2867928&lt;/D&gt;&lt;D xsi:type="xsd:double"&gt;-7.657981&lt;/D&gt;&lt;D xsi:type="xsd:double"&gt;-14.74616&lt;/D&gt;&lt;D xsi:type="xsd:double"&gt;-14.261234&lt;/D&gt;&lt;D xsi:type="xsd:double"&gt;-11.192542&lt;/D&gt;&lt;D xsi:type="xsd:double"&gt;-14.845878&lt;/D&gt;&lt;D xsi:type="xsd:double"&gt;-</t>
        </r>
      </text>
    </comment>
    <comment ref="A7" authorId="0" shapeId="0" xr:uid="{41067EBA-D8E7-4865-A4E9-360ED3C3B972}">
      <text>
        <r>
          <rPr>
            <b/>
            <sz val="9"/>
            <color indexed="81"/>
            <rFont val="Tahoma"/>
            <charset val="1"/>
          </rPr>
          <t>12.084693&lt;/D&gt;&lt;D xsi:type="xsd:double"&gt;-12.171942&lt;/D&gt;&lt;D xsi:type="xsd:double"&gt;-12.086546&lt;/D&gt;&lt;D xsi:type="xsd:double"&gt;1.2027383&lt;/D&gt;&lt;D xsi:type="xsd:double"&gt;-1.7360866&lt;/D&gt;&lt;D xsi:type="xsd:double"&gt;-12.776971&lt;/D&gt;&lt;D xsi:type="xsd:double"&gt;-7.2517514&lt;/D&gt;&lt;D xsi:type="xsd:double"&gt;1.7604113&lt;/D&gt;&lt;D xsi:type="xsd:double"&gt;8.14364&lt;/D&gt;&lt;D xsi:type="xsd:double"&gt;7.546413&lt;/D&gt;&lt;D xsi:type="xsd:double"&gt;8.020676&lt;/D&gt;&lt;D xsi:type="xsd:double"&gt;9.40963&lt;/D&gt;&lt;D xsi:type="xsd:double"&gt;12.274897&lt;/D&gt;&lt;D xsi:type="xsd:double"&gt;12.39264&lt;/D&gt;&lt;D xsi:type="xsd:double"&gt;14.444172&lt;/D&gt;&lt;D xsi:type="xsd:double"&gt;11.007082&lt;/D&gt;&lt;D xsi:type="xsd:double"&gt;13.841963&lt;/D&gt;&lt;D xsi:type="xsd:double"&gt;21.388126&lt;/D&gt;&lt;D xsi:type="xsd:double"&gt;18.925894&lt;/D&gt;&lt;D xsi:type="xsd:double"&gt;21.31977&lt;/D&gt;&lt;D xsi:type="xsd:double"&gt;20.064354&lt;/D&gt;&lt;D xsi:type="xsd:double"&gt;11.925364&lt;/D&gt;&lt;D xsi:type="xsd:double"&gt;12.631106&lt;/D&gt;&lt;D xsi:type="xsd:double"&gt;12.908363&lt;/D&gt;&lt;D xsi:type="xsd:double"&gt;8.51556&lt;/D&gt;&lt;D xsi:type="xsd:double"&gt;7.9122066&lt;/D&gt;&lt;D xsi:type="xsd:double"&gt;4.6163917&lt;/D&gt;&lt;D xsi:type="xsd:double"&gt;2.3182392&lt;/D&gt;&lt;D xsi:type="xsd:double"&gt;0.93364716&lt;/D&gt;&lt;D xsi:type="xsd:double"&gt;-3.4116209&lt;/D&gt;&lt;D xsi:type="xsd:double"&gt;-6.9810333&lt;/D&gt;&lt;D xsi:type="xsd:double"&gt;-13.488388&lt;/D&gt;&lt;D xsi:type="xsd:double"&gt;-8.593809&lt;/D&gt;&lt;D xsi:type="xsd:double"&gt;-0.92310905&lt;/D&gt;&lt;D xsi:type="xsd:double"&gt;0.70438385&lt;/D&gt;&lt;D xsi:type="xsd:double"&gt;-1.5184402&lt;/D&gt;&lt;D xsi:type="xsd:double"&gt;-7.273543&lt;/D&gt;&lt;D xsi:type="xsd:double"&gt;-0.35901666&lt;/D&gt;&lt;D xsi:type="xsd:double"&gt;-6.133932&lt;/D&gt;&lt;D xsi:type="xsd:double"&gt;-3.082043&lt;/D&gt;&lt;D xsi:type="xsd:double"&gt;-5.0047216&lt;/D&gt;&lt;D xsi:type="xsd:double"&gt;6.627834&lt;/D&gt;&lt;D xsi:type="xsd:double"&gt;10.175467&lt;/D&gt;&lt;D xsi:type="xsd:double"&gt;21.152996&lt;/D&gt;&lt;D xsi:type="xsd:double"&gt;8.346785&lt;/D&gt;&lt;D xsi:type="xsd:double"&gt;-2.755791&lt;/D&gt;&lt;D xsi:type="xsd:double"&gt;-30.456179&lt;/D&gt;&lt;D xsi:type="xsd:double"&gt;-23.862278&lt;/D&gt;&lt;D xsi:type="xsd:double"&gt;-11.423862&lt;/D&gt;&lt;D xsi:type="xsd:double"&gt;-17.175371&lt;/D&gt;&lt;D xsi:type="xsd:double"&gt;-10.833561&lt;/D&gt;&lt;D xsi:type="xsd:double"&gt;-12.353259&lt;/D&gt;&lt;D xsi:type="xsd:double"&gt;-11.932241&lt;/D&gt;&lt;D xsi:type="xsd:double"&gt;-19.61891&lt;/D&gt;&lt;D xsi:type="xsd:double"&gt;-5.536139&lt;/D&gt;&lt;D xsi:type="xsd:double"&gt;-9.943533&lt;/D&gt;&lt;D xsi:type="xsd:double"&gt;-7.432914&lt;/D&gt;&lt;D xsi:type="xsd:double"&gt;4.5408964&lt;/D&gt;&lt;D xsi:type="xsd:double"&gt;43.06388&lt;/D&gt;&lt;D xsi:type="xsd:double"&gt;35.714054&lt;/D&gt;&lt;D xsi:type="xsd:double"&gt;28.433395&lt;/D&gt;&lt;D xsi:type="xsd:double"&gt;30.004692&lt;/D&gt;&lt;D xsi:type="xsd:double"&gt;28.810978&lt;/D&gt;&lt;D xsi:type="xsd:double"&gt;32.05025&lt;/D&gt;&lt;D xsi:type="xsd:double"&gt;29.667377&lt;/D&gt;&lt;D xsi:type="xsd:double"&gt;34.46833&lt;/D&gt;&lt;D xsi:type="xsd:double"&gt;12.290692&lt;/D&gt;&lt;D xsi:type="xsd:double"&gt;18.817627&lt;/D&gt;&lt;D xsi:type="xsd:double"&gt;20.306896&lt;/D&gt;&lt;D xsi:type="xsd:double"&gt;6.2824607&lt;/D&gt;&lt;D xsi:type="xsd:double"&gt;11.846566&lt;/D&gt;&lt;D xsi:type="xsd:double"&gt;5.704832&lt;/D&gt;&lt;D xsi:type="xsd:double"&gt;1.3152957&lt;/D&gt;&lt;D xsi:type="xsd:double"&gt;-4.9628735&lt;/D&gt;&lt;D xsi:type="xsd:double"&gt;-2.8933704&lt;/D&gt;&lt;D xsi:type="xsd:double"&gt;-11.10031&lt;/D&gt;&lt;D xsi:type="xsd:double"&gt;-10.06493&lt;/D&gt;&lt;D xsi:type="xsd:double"&gt;-9.713644&lt;/D&gt;&lt;D xsi:type="xsd:double"&gt;2.7708411&lt;/D&gt;&lt;D xsi:type="xsd:double"&gt;-4.694682&lt;/D&gt;&lt;D xsi:type="xsd:double"&gt;-2.7380228&lt;/D&gt;&lt;D xsi:type="xsd:double"&gt;3.1390548&lt;/D&gt;&lt;D xsi:type="xsd:double"&gt;-0.32954216&lt;/D&gt;&lt;D xsi:type="xsd:double"&gt;4.2043567&lt;/D&gt;&lt;D xsi:type="xsd:double"&gt;1.1889458&lt;/D&gt;&lt;D xsi:type="xsd:double"&gt;11.498857&lt;/D&gt;&lt;D xsi:type="xsd:double"&gt;8.639622&lt;/D&gt;&lt;D xsi:type="xsd:double"&gt;16.719936&lt;/D&gt;&lt;D xsi:type="xsd:double"&gt;14.486181&lt;/D&gt;&lt;D xsi:type="xsd:double"&gt;17.281092&lt;/D&gt;&lt;D xsi:type="xsd:double"&gt;5.7707906&lt;/D&gt;&lt;D xsi:type="xsd:double"&gt;10.053492&lt;/D&gt;&lt;D xsi:type="xsd:double"&gt;4.579401&lt;/D&gt;&lt;D xsi:type="xsd:double"&gt;4.6081543&lt;/D&gt;&lt;D xsi:type="xsd:double"&gt;8.564365&lt;/D&gt;&lt;/FQL&gt;&lt;FQL&gt;&lt;Q&gt;EWJ^FG_TOTAL_RETURNC(-10AY,0,AM)&lt;/Q&gt;&lt;R&gt;121&lt;/R&gt;&lt;C&gt;1&lt;/C&gt;&lt;D xsi:type="xsd:double"&gt;-2.4075627&lt;/D&gt;&lt;D xsi:type="xsd:double"&gt;-1.32159&lt;/D&gt;&lt;D xsi:type="xsd:double"&gt;5.1785707&lt;/D&gt;&lt;D xsi:type="xsd:double"&gt;4.1032553&lt;/D&gt;&lt;D xsi:type="xsd:double"&gt;-1.3957322&lt;/D&gt;&lt;D xsi:type="xsd:double"&gt;-0.9991646&lt;/D&gt;&lt;D xsi:type="xsd:double"&gt;-3.2800674&lt;/D&gt;&lt;D xsi:type="xsd:double"&gt;2.782607&lt;/D&gt;&lt;D xsi:type="xsd:double"&gt;-0.6768167&lt;/D&gt;&lt;D xsi:type="xsd:double"&gt;-3.5241663&lt;/D&gt;&lt;D xsi:type="xsd:double"&gt;3.4635782&lt;/D&gt;&lt;D xsi:type="xsd:double"&gt;5.2360535&lt;/D&gt;&lt;D xsi:type="xsd:double"&gt;3.50734&lt;/D&gt;&lt;D xsi:type="xsd:double"&gt;3.073287&lt;/D&gt;&lt;D xsi:type="xsd:double"&gt;-0.3058076&lt;/D&gt;&lt;D xsi:type="xsd:double"&gt;-0.57451725&lt;/D&gt;&lt;D xsi:type="xsd:double"&gt;-0.31007528&lt;/D&gt;&lt;D xsi:type="xsd:double"&gt;-10.653186&lt;/D&gt;&lt;D xsi:type="xsd:double"&gt;1.3925195&lt;/D&gt;&lt;D xsi:type="xsd:double"&gt;5.9227467&lt;/D&gt;&lt;D xsi:type="xsd:double"&gt;0.6482959&lt;/D&gt;&lt;D xsi:type="xsd:double"&gt;-3.2459676&lt;/D&gt;&lt;D xsi:type="xsd:double"&gt;-6.6219625&lt;/D&gt;&lt;D xsi:type="xsd:double"&gt;3.4111261&lt;/D&gt;&lt;D xsi:type="xsd:double"&gt;-3.3854187&lt;/D&gt;&lt;D xsi:type="xsd:double"&gt;2.6055694&lt;/D&gt;&lt;D xsi:type="xsd:double"&gt;2.7145267&lt;/D&gt;&lt;D xsi:type="xsd:double"&gt;-1.3546884&lt;/D&gt;&lt;D xsi:type="xsd:double"&gt;5.0522685&lt;/D&gt;&lt;D xsi:type="xsd:double"&gt;3.3167481&lt;/D&gt;&lt;D xsi:type="xsd:double"&gt;-0.240767&lt;/D&gt;&lt;D xsi:type="xsd:double"&gt;-0.40225387&lt;/D&gt;&lt;D xsi:type="xsd:double"&gt;0.20194054&lt;/D&gt;&lt;D xsi:type="xsd:double"&gt;2.457416&lt;/D&gt;&lt;D xsi:type="xsd:double"&gt;1.5920401&lt;/D&gt;&lt;D xsi:type="xsd:double"&gt;0.6268382&lt;/D&gt;&lt;D xsi:type="xsd:double"&gt;0.40880442&lt;/D&gt;&lt;D xsi:type="xsd:double"&gt;1.7448545&lt;/D&gt;&lt;D xsi:type="xsd:double"&gt;4.6112895&lt;/D&gt;&lt;D xsi:type="xsd:double"&gt;-2.1239758&lt;/D&gt;&lt;D xsi:type="xsd:double"&gt;3.2777667&lt;/D&gt;&lt;D xsi:type="xsd:double"&gt;-1.178813&lt;/D&gt;&lt;D xsi:type="xsd:double"&gt;2.8629065&lt;/D&gt;&lt;D xsi:type="xsd:double"&gt;5.602145&lt;/D&gt;&lt;D xsi:type="xsd:double"&gt;-0.30410886&lt;/D&gt;&lt;D xsi:type="xsd:double"&gt;5.5491567&lt;/D&gt;&lt;D xsi:type="xsd:double"&gt;0.72733164&lt;/D&gt;&lt;D xsi:type="xsd:double"&gt;-3.770858&lt;/D&gt;&lt;D xsi:type="xsd:double"&gt;0.50024986&lt;/D&gt;&lt;D xsi:type="xsd:double"&gt;0.76322556&lt;/D&gt;&lt;D xsi:type="xsd:double"&gt;-0.36225915&lt;/D&gt;&lt;D xsi:type="xsd:double"&gt;-5.1962137&lt;/D&gt;&lt;D xsi:type="xsd:double"&gt;2.8988123&lt;/D&gt;&lt;D xsi:type="xsd:double"&gt;-1.8268704&lt;/D&gt;&lt;D xsi:type="xsd:double"&gt;2.886951&lt;/D&gt;&lt;D xsi:type="xsd:double"&gt;-6.9979725&lt;/D&gt;&lt;D xsi:type="xsd:double"&gt;-1.8175185&lt;/D&gt;&lt;D xsi:type="xsd:double"&gt;-2.1159828&lt;/D&gt;&lt;D xsi:type="xsd:double"&gt;3.2590032&lt;/D&gt;&lt;D xsi:type="xsd:double"&gt;0.31377077&lt;/D&gt;&lt;D xsi:type="xsd:double"&gt;1.8031359&lt;/D&gt;&lt;D xsi:type="xsd:double"&gt;1.1386156&lt;/D&gt;&lt;D xsi:type="xsd:double"&gt;-4.1458187&lt;/D&gt;&lt;D xsi:type="xsd:double"&gt;4.764414&lt;/D&gt;&lt;D xsi:type="xsd:double"&gt;-2.92691&lt;/D&gt;&lt;D xsi:type="xsd:double"&gt;0.35146475&lt;/D&gt;&lt;D xsi:type="xsd:double"&gt;4.552996&lt;/D&gt;&lt;D xsi:type="xsd:double"&gt;5.183351&lt;/D&gt;&lt;D xsi:type="xsd:double"&gt;0.9218931&lt;/D&gt;&lt;D xsi:type="xsd:double"&gt;-0.5098045&lt;/D&gt;&lt;D xsi:type="xsd:double"&gt;-0.21959543&lt;/D&gt;&lt;D xsi:type="xsd:double"&gt;-8.430677&lt;/D&gt;&lt;D xsi:type="xsd:double"&gt;-13.902754&lt;/D&gt;&lt;D xsi:type="xsd:double"&gt;8.653641&lt;/D&gt;&lt;D xsi:type="xsd:double"&gt;11.166012&lt;/D&gt;&lt;D xsi:type="xsd:double"&gt;-1.1336684&lt;/D&gt;&lt;D xsi:type="xsd:double"&gt;1.6131997&lt;/D&gt;&lt;D xsi:type="xsd:double"&gt;3.5497665&lt;/D&gt;&lt;D xsi:type="xsd:double"&gt;1.2747645&lt;/D&gt;&lt;D xsi:type="xsd:double"&gt;2.041161&lt;/D&gt;&lt;D xsi:type="xsd:double"&gt;10.118341&lt;/D&gt;&lt;D xsi:type="xsd:double"&gt;1.4556527&lt;/D&gt;&lt;D xsi:type="xsd:double"&gt;2.9209018&lt;/D&gt;&lt;D xsi:type="xsd:double"&gt;-1.6009271&lt;/D&gt;&lt;D xsi:type="xsd:double"&gt;2.2629738&lt;/D&gt;&lt;D xsi:type="xsd:double"&gt;-2.5744855&lt;/D&gt;&lt;D xsi:type="xsd:double"&gt;3.251195&lt;/D&gt;&lt;D xsi:type="xsd:double"&gt;-1.6413033&lt;/D&gt;&lt;D xsi:type="xsd:double"&gt;-0.5153954&lt;/D&gt;&lt;D xsi:type="xsd:double"&gt;6.29071&lt;/D&gt;&lt;D xsi:type="xsd:double"&gt;-5.3195953&lt;/D&gt;&lt;D xsi:type="xsd:double"&gt;3.3534288&lt;/D&gt;&lt;D xsi:type="xsd:double"&gt;-4.141164&lt;/D&gt;&lt;D xsi:type="xsd:double"&gt;2.1551132&lt;/D&gt;&lt;D xsi:type="xsd:double"&gt;-5.4336667&lt;/D&gt;&lt;D xsi:type="xsd:double"&gt;-4.7337294&lt;/D&gt;&lt;D xsi:type="xsd:double"&gt;2.0431519&lt;/D&gt;&lt;D xsi:type="xsd:double"&gt;-6.9998384&lt;/D&gt;&lt;D xsi:type="xsd:double"&gt;-1.8084764&lt;/D&gt;&lt;D xsi:type="xsd:double"&gt;-6.0357866&lt;/D&gt;&lt;D xsi:type="xsd:double"&gt;4.9010396&lt;/D&gt;&lt;D xsi:type="xsd:double"&gt;-5.8939877&lt;/D&gt;&lt;D xsi:type="xsd:double"&gt;-2.0049632&lt;/D&gt;&lt;D xsi:type="xsd:double"&gt;-0.8768499&lt;/D&gt;&lt;D xsi:type="xsd:double"&gt;9.94693&lt;/D&gt;&lt;D xsi:type="xsd:double"&gt;-2.9494584&lt;/D&gt;&lt;D xsi:type="xsd:double"&gt;7.200885&lt;/D&gt;&lt;D xsi:type="xsd:double"&gt;-1.1712015&lt;/D&gt;&lt;D xsi:type="xsd:double"&gt;2.718711&lt;/D&gt;&lt;D xsi:type="xsd:double"&gt;-0.33932328&lt;/D&gt;&lt;D xsi:type="xsd:double"&gt;5.549872&lt;/D&gt;&lt;D xsi:type="xsd:double"&gt;0.8521676&lt;/D&gt;&lt;D xsi:type="xsd:double"&gt;-0.4992783&lt;/D&gt;&lt;D xsi:type="xsd:double"&gt;0.42085648&lt;/D&gt;&lt;D xsi:type="xsd:double"&gt;-6.366861&lt;/D&gt;&lt;D xsi:type="xsd:double"&gt;6.730938&lt;/D&gt;&lt;D xsi:type="xsd:double"&gt;0.40322542&lt;/D&gt;&lt;D xsi:type="xsd:double"&gt;2.7290463&lt;/D&gt;&lt;D xsi:type="xsd:double"&gt;5.470979&lt;/D&gt;&lt;D xsi:type="xsd:double"&gt;5.1270366&lt;/D&gt;&lt;D xsi:type="xsd:double"&gt;-0.35755038&lt;/D&gt;&lt;/FQL&gt;&lt;FQL&gt;&lt;Q&gt;EWC^FMA_DIV_YLD(NTMA,-10AY,0,AM,"PORTAGG","MEANR")&lt;/Q&gt;&lt;R&gt;121&lt;/R&gt;&lt;C&gt;1&lt;/C&gt;&lt;D xsi:type="xsd:double"&gt;2.91187195860029&lt;/D&gt;&lt;D xsi:type="xsd:double"&gt;2.84969097558561&lt;/D&gt;&lt;D xsi:type="xsd:double"&gt;2.86445334380831&lt;/D&gt;&lt;D xsi:type="xsd:double"&gt;2.79690860600783&lt;/D&gt;&lt;D xsi:type="xsd:double"&gt;2.80379457323574&lt;/D&gt;&lt;D xsi:type="xsd:double"&gt;2.75454630731311&lt;/D&gt;&lt;D xsi:type="xsd:double"&gt;2.91369474506466&lt;/D&gt;&lt;D xsi:type="xsd:double"&gt;3.01487515536736&lt;/D&gt;&lt;D xsi:type="xsd:double"&gt;2.98312231478788&lt;/D&gt;&lt;D xsi:type="xsd:double"&gt;2.90627132915346&lt;/D&gt;&lt;D xsi:type="xsd:double"&gt;2.89425708206254&lt;/D&gt;&lt;D xsi:type="xsd:double"&gt;2.88178560931378&lt;/D&gt;&lt;D xsi:type="xsd:double"&gt;2.88985059263069&lt;/D&gt;&lt;D xsi:type="xsd:double"&gt;2.8164815887255&lt;/D&gt;&lt;D xsi:type="xsd:double"&gt;2.90063917353018&lt;/D&gt;&lt;D xsi:type="xsd:double"&gt;3.0015151753047&lt;/D&gt;&lt;D xsi:type="xsd:double"&gt;3.0603238578867&lt;/D&gt;&lt;D xsi:type="xsd:double"&gt;3.25660419980678&lt;/D&gt;&lt;D xsi:type="xsd:double"&gt;3.30547131549187&lt;/D&gt;&lt;D xsi:type="xsd:double"&gt;3.23383901622166&lt;/D&gt;&lt;D xsi:type="xsd:double"&gt;3.31273288692691&lt;/D&gt;&lt;D xsi:type="xsd:double"&gt;3.38218731965775&lt;/D&gt;&lt;D xsi:type="xsd:double"&gt;3.37988259420051&lt;/D&gt;&lt;D xsi:type="xsd:double"&gt;3.25532814973938&lt;/D&gt;&lt;D xsi:type="xsd:double"&gt;3.19604179371096&lt;/D&gt;&lt;D xsi:type="xsd:double"&gt;3.12594526672503&lt;/D&gt;&lt;D xsi:type="xsd:double"&gt;3.01468549032031&lt;/D&gt;&lt;D xsi:type="xsd:double"&gt;3.0768974137006&lt;/D&gt;&lt;D xsi:type="xsd:double"&gt;2.99334947318124&lt;/D&gt;&lt;D xsi:type="xsd:double"&gt;2.93570045645377&lt;/D&gt;&lt;D xsi:type="xsd:double"&gt;2.97091316617307&lt;/D&gt;&lt;D xsi:type="xsd:double"&gt;2.99276323441794&lt;/D&gt;&lt;D xsi:type="xsd:double"&gt;2.88509080898664&lt;/D&gt;&lt;D xsi:type="xsd:double"&gt;2.80820130989549&lt;/D&gt;&lt;D xsi:type="xsd:double"&gt;2.82487684845552&lt;/D&gt;&lt;D xsi:type="xsd:double"&gt;2.87954070619418&lt;/D&gt;&lt;D xsi:type="xsd:double"&gt;2.89887891681171&lt;/D&gt;&lt;D xsi:type="xsd:double"&gt;2.9703478790569&lt;/D&gt;&lt;D xsi:type="xsd:double"&gt;2.97949800928306&lt;/D&gt;&lt;D xsi:type="xsd:double"&gt;3.05134311316204&lt;/D&gt;&lt;D xsi:type="xsd:double"&gt;3.01971169312734&lt;/D&gt;&lt;D xsi:type="xsd:double"&gt;3.0708359150307&lt;/D&gt;&lt;D xsi:type="xsd:double"&gt;2.96492311897016&lt;/D&gt;&lt;D xsi:type="xsd:double"&gt;2.91559582201892&lt;/D&gt;&lt;D xsi:type="xsd:double"&gt;2.9338021613707&lt;/D&gt;&lt;D xsi:type="xsd:double"&gt;2.87712653979317&lt;/D&gt;&lt;D xsi:type="xsd:double"&gt;3.03444594585367&lt;/D&gt;&lt;D xsi:type="xsd:double"&gt;3.16644044857663&lt;/D&gt;&lt;D xsi:type="xsd:double"&gt;3.23373281075465&lt;/D&gt;&lt;D xsi:type="xsd:double"&gt;3.13343568726582&lt;/D&gt;&lt;D xsi:type="xsd:double"&gt;3.09685861351478&lt;/D&gt;&lt;D xsi:type="xsd:double"&gt;3.07534124195832&lt;/D&gt;&lt;D xsi:type="xsd:double"&gt;3.07070010637545&lt;/D&gt;&lt;D xsi:type="xsd:double"&gt;3.14507608834581&lt;/D&gt;&lt;D xsi:type="xsd:double"&gt;3.18381771176668&lt;/D&gt;&lt;D xsi:type="xsd:double"&gt;3.38607122550708&lt;/D&gt;&lt;D xsi:type="xsd:double"&gt;3.40802649006384&lt;/D&gt;&lt;D xsi:type="xsd:double"&gt;3.57435364282132&lt;/D&gt;&lt;D xsi:type="xsd:double"&gt;3.32334815361779&lt;/D&gt;&lt;D xsi:type="xsd:double"&gt;3.26902675216791&lt;/D&gt;&lt;D xsi:type="xsd:double"&gt;3.23387336333925&lt;/D&gt;&lt;D xsi:type="xsd:double"&gt;3.22124880660834&lt;/D&gt;&lt;D xsi:type="xsd:double"&gt;3.35404683975822&lt;/D&gt;&lt;D xsi:type="xsd:double"&gt;3.28350093395983&lt;/D&gt;&lt;D xsi:type="xsd:double"&gt;3.38638358154247&lt;/D&gt;&lt;D xsi:type="xsd:double"&gt;3.38686604617641&lt;/D&gt;&lt;D xsi:type="xsd:double"&gt;3.38862059274526&lt;/D&gt;&lt;D xsi:type="xsd:double"&gt;3.31757103798366&lt;/D&gt;&lt;D xsi:type="xsd:double"&gt;3.28261076181261&lt;/D&gt;&lt;D xsi:type="xsd:double"&gt;3.26432854776536&lt;/D&gt;&lt;D xsi:type="xsd:double"&gt;3.24030054220613&lt;/D&gt;&lt;D xsi:type="xsd:double"&gt;3.42851730554025&lt;/D&gt;&lt;D xsi:type="xsd:double"&gt;4.4274093326505&lt;/D&gt;&lt;D xsi:type="xsd:double"&gt;3.87249961516204&lt;/D&gt;&lt;D xsi:type="xsd:double"&gt;3.54384417918066&lt;/D&gt;&lt;D xsi:type="xsd:double"&gt;3.52630010189897&lt;/D&gt;&lt;D xsi:type="xsd:double"&gt;3.38246596040062&lt;/D&gt;&lt;D xsi:type="xsd:double"&gt;3.41112968466877&lt;/D&gt;&lt;D xsi:type="xsd:double"&gt;3.4366620525085&lt;/D&gt;&lt;D xsi:type="xsd:double"&gt;3.46780821838772&lt;/D&gt;&lt;D xsi:type="xsd:double"&gt;3.12503235027304&lt;/D&gt;&lt;D xsi:type="xsd:double"&gt;3.11733851643624&lt;/D&gt;&lt;D xsi:type="xsd:double"&gt;3.01969577632129&lt;/D&gt;&lt;D xsi:type="xsd:double"&gt;2.96072006742611&lt;/D&gt;&lt;D xsi:type="xsd:double"&gt;2.80258135035122&lt;/D&gt;&lt;D xsi:type="xsd:double"&gt;2.74529530465899&lt;/D&gt;&lt;D xsi:type="xsd:double"&gt;2.5945381468635&lt;/D&gt;&lt;D xsi:type="xsd:double"&gt;2.70419184812494&lt;/D&gt;&lt;D xsi:type="xsd:double"&gt;2.70078695448748&lt;/D&gt;&lt;D xsi:type="xsd:double"&gt;2.71305785779172&lt;/D&gt;&lt;D xsi:type="xsd:double"&gt;2.83710253849952&lt;/D&gt;&lt;D xsi:type="xsd:double"&gt;2.71956790210307&lt;/D&gt;&lt;D xsi:type="xsd:double"&gt;2.87145110775974&lt;/D&gt;&lt;D xsi:type="xsd:double"&gt;2.78584889082917&lt;/D&gt;&lt;D xsi:type="xsd:double"&gt;2.80362679520632&lt;/D&gt;&lt;D xsi:type="xsd:double"&gt;2.84557885474321&lt;/D&gt;&lt;D xsi:type="xsd:double"&gt;2.81027315276681&lt;/D&gt;&lt;D xsi:type="xsd:double"&gt;3.003028967106&lt;/D&gt;&lt;D xsi:type="xsd:double"&gt;3.10242999425018&lt;/D&gt;&lt;D xsi:type="xsd:double"&gt;3.42241268976922&lt;/D&gt;&lt;D xsi:type="xsd:double"&gt;3.34858581792338&lt;/D&gt;&lt;D xsi:type="xsd:double"&gt;3.47749931269678&lt;/D&gt;&lt;D xsi:type="xsd:double"&gt;3.46134453087201&lt;/D&gt;&lt;D xsi:type="xsd:double"&gt;3.46403487133021&lt;/D&gt;&lt;D xsi:type="xsd:double"&gt;3.28170113423955&lt;/D&gt;&lt;D xsi:type="xsd:double"&gt;3.43467322805486&lt;/D&gt;&lt;D xsi:type="xsd:double"&gt;3.25367565156304&lt;/D&gt;&lt;D xsi:type="xsd:double"&gt;3.28699952186339&lt;/D&gt;&lt;D xsi:type="xsd:double"&gt;3.30508678976919&lt;/D&gt;&lt;D xsi:type="xsd:double"&gt;3.30145862183927&lt;/D&gt;&lt;D xsi:type="xsd:double"&gt;3.31108210263712&lt;/D&gt;&lt;D xsi:type="xsd:double"&gt;3.24699322791431&lt;/D&gt;&lt;D xsi:type="xsd:double"&gt;3.44564650882637&lt;/D&gt;&lt;D xsi:type="xsd:double"&gt;3.44666746952653&lt;/D&gt;&lt;D xsi:type="xsd:double"&gt;3.74058874162209&lt;/D&gt;&lt;D xsi:type="xsd:double"&gt;3.61424336331157&lt;/D&gt;&lt;D xsi:type="xsd:double"&gt;3.44704684590704&lt;/D&gt;&lt;D xsi:type="xsd:double"&gt;3.36761991574715&lt;/D&gt;&lt;D xsi:type="xsd:double"&gt;3.32577774137929&lt;/D&gt;&lt;D xsi:type="xsd:double"&gt;3.22692190062646&lt;/D&gt;&lt;D xsi:type="xsd:double"&gt;3.10659251536143&lt;/D&gt;&lt;/FQL&gt;&lt;FQL&gt;&lt;Q&gt;ENZL^FMA_PE(NTMA,-10AY,0,AM,"PORTAGG","MEANR")&lt;/Q&gt;&lt;R&gt;121&lt;/R&gt;&lt;C&gt;1&lt;/C&gt;&lt;D xsi:type="xsd:double"&gt;17.2777830175213&lt;/D&gt;&lt;D xsi:type="xsd:double"&gt;17.7327766438296&lt;/D&gt;&lt;D xsi:type="xsd:double"&gt;17.1443728874014&lt;/D&gt;&lt;D xsi:type="xsd:double"&gt;17.32041006322&lt;/D&gt;&lt;D xsi:type="xsd:double"&gt;16.9940217661714&lt;/D&gt;&lt;D xsi:type="xsd:double"&gt;17.265195330418&lt;/D&gt;&lt;D xsi:type="xsd:double"&gt;17.0817297077626&lt;/D&gt;&lt;D xsi:type="xsd:double"&gt;17.7371668759014&lt;/D&gt;&lt;D xsi:type="xsd:double"&gt;18.0608533316646&lt;/D&gt;&lt;D xsi:type="xsd:double"&gt;18.3613013678912&lt;/D&gt;&lt;D xsi:type="xsd:double"&gt;19.1543353677596&lt;/D&gt;&lt;D xsi:type="xsd:double"&gt;19.2249890279109&lt;/D&gt;&lt;D xsi:type="xsd:double"&gt;18.4899205739579&lt;/D&gt;&lt;D xsi:type="xsd:double"&gt;18.2319462564558&lt;/D&gt;&lt;D xsi:type="xsd:double"&gt;18.3636593132085&lt;/D&gt;&lt;D xsi:type="xsd:double"&gt;18.2289772582524&lt;/D&gt;&lt;D xsi:type="xsd:double"&gt;18.4293396237735&lt;/D&gt;&lt;D xsi:type="xsd:double"&gt;17.2015824314033&lt;/D&gt;&lt;D xsi:type="xsd:double"&gt;16.9700635398646&lt;/D&gt;&lt;D xsi:type="xsd:double"&gt;18.2816422301113&lt;/D&gt;&lt;D xsi:type="xsd:double"&gt;18.1877637495649&lt;/D&gt;&lt;D xsi:type="xsd:double"&gt;18.2707979599419&lt;/D&gt;&lt;D xsi:type="xsd:double"&gt;17.3112897676038&lt;/D&gt;&lt;D xsi:type="xsd:double"&gt;18.0124966648951&lt;/D&gt;&lt;D xsi:type="xsd:double"&gt;18.5112430016437&lt;/D&gt;&lt;D xsi:type="xsd:double"&gt;18.8313003545641&lt;/D&gt;&lt;D xsi:type="xsd:double"&gt;19.4929709603077&lt;/D&gt;&lt;D xsi:type="xsd:double"&gt;19.059687665176&lt;/D&gt;&lt;D xsi:type="xsd:double"&gt;20.08127870695&lt;/D&gt;&lt;D xsi:type="xsd:double"&gt;20.6958794495932&lt;/D&gt;&lt;D xsi:type="xsd:double"&gt;20.2497674276414&lt;/D&gt;&lt;D xsi:type="xsd:double"&gt;18.2150531619003&lt;/D&gt;&lt;D xsi:type="xsd:double"&gt;18.7150183102484&lt;/D&gt;&lt;D xsi:type="xsd:double"&gt;18.7432023333229&lt;/D&gt;&lt;D xsi:type="xsd:double"&gt;19.0975197273083&lt;/D&gt;&lt;D xsi:type="xsd:double"&gt;19.0176230962398&lt;/D&gt;&lt;D xsi:type="xsd:double"&gt;19.1385579728599&lt;/D&gt;&lt;D xsi:type="xsd:double"&gt;19.4408903270487&lt;/D&gt;&lt;D xsi:type="xsd:double"&gt;19.4809545927608&lt;/D&gt;&lt;D xsi:type="xsd:double"&gt;19.4565018600269&lt;/D&gt;&lt;D xsi:type="xsd:double"&gt;19.8184185668558&lt;/D&gt;&lt;D xsi:type="xsd:double"&gt;19.9205763536595&lt;/D&gt;&lt;D xsi:type="xsd:double"&gt;19.812097428364&lt;/D&gt;&lt;D xsi:type="xsd:double"&gt;20.2607857672626&lt;/D&gt;&lt;D xsi:type="xsd:double"&gt;20.3656939917651&lt;/D&gt;&lt;D xsi:type="xsd:double"&gt;21.0151764254555&lt;/D&gt;&lt;D xsi:type="xsd:double"&gt;20.9643662464545&lt;/D&gt;&lt;D xsi:type="xsd:double"&gt;20.254594308011&lt;/D&gt;&lt;D xsi:type="xsd:double"&gt;20.1266114384915&lt;/D&gt;&lt;D xsi:type="xsd:double"&gt;20.3470634754239&lt;/D&gt;&lt;D xsi:type="xsd:double"&gt;20.5236612546943&lt;/D&gt;&lt;D xsi:type="xsd:double"&gt;21.3783934241575&lt;/D&gt;&lt;D xsi:type="xsd:double"&gt;20.9208465976924&lt;/D&gt;&lt;D xsi:type="xsd:double"&gt;21.9367620950543&lt;/D&gt;&lt;D xsi:type="xsd:double"&gt;21.379556949515&lt;/D&gt;&lt;D xsi:type="xsd:double"&gt;20.3149253120883&lt;/D&gt;&lt;D xsi:type="xsd:double"&gt;20.2875400226918&lt;/D&gt;&lt;D xsi:type="xsd:double"&gt;19.9014809258006&lt;/D&gt;&lt;D xsi:type="xsd:double"&gt;20.4225650865482&lt;/D&gt;&lt;D xsi:type="xsd:double"&gt;21.756838462993&lt;/D&gt;&lt;D xsi:type="xsd:double"&gt;22.3734527225135&lt;/D&gt;&lt;D xsi:type="xsd:double"&gt;22.8719638393942&lt;/D&gt;&lt;D xsi:type="xsd:double"&gt;22.4257707859316&lt;/D&gt;&lt;D xsi:type="xsd:double"&gt;23.8934135917171&lt;/D&gt;&lt;D xsi:type="xsd:double"&gt;24.7165971853104&lt;/D&gt;&lt;D xsi:type="xsd:double"&gt;26.160894814946&lt;/D&gt;&lt;D xsi:type="xsd:double"&gt;25.3080438911241&lt;/D&gt;&lt;D xsi:type="xsd:double"&gt;24.846641064738&lt;/D&gt;&lt;D xsi:type="xsd:double"&gt;25.5619582782366&lt;/D&gt;&lt;D xsi:type="xsd:double"&gt;25.8844732111342&lt;/D&gt;&lt;D xsi:type="xsd:double"&gt;25.7694083921871&lt;/D&gt;&lt;D xsi:type="xsd:double"&gt;26.0530051530264&lt;/D&gt;&lt;D xsi:type="xsd:double"&gt;25.4242885862164&lt;/D&gt;&lt;D xsi:type="xsd:double"&gt;29.0263208453065&lt;/D&gt;&lt;D xsi:type="xsd:double"&gt;30.5003832926089&lt;/D&gt;&lt;D xsi:type="xsd:double"&gt;31.1321284630737&lt;/D&gt;&lt;D xsi:type="xsd:double"&gt;32.1107099001027&lt;/D&gt;&lt;D xsi:type="xsd:double"&gt;32.2203180153268&lt;/D&gt;&lt;D xsi:type="xsd:double"&gt;31.9432971831393&lt;/D&gt;&lt;D xsi:type="xsd:double"&gt;32.8851247840324&lt;/D&gt;&lt;D xsi:type="xsd:double"&gt;32.5014169779241&lt;/D&gt;&lt;D xsi:type="xsd:double"&gt;34.2307668021939&lt;/D&gt;&lt;D xsi:type="xsd:double"&gt;32.8783417864856&lt;/D&gt;&lt;D xsi:type="xsd:double"&gt;31.7258643716274&lt;/D&gt;&lt;D xsi:type="xsd:double"&gt;32.1557073601623&lt;/D&gt;&lt;D xsi:type="xsd:double"&gt;32.8124671004042&lt;/D&gt;&lt;D xsi:type="xsd:double"&gt;33.1680746952551&lt;/D&gt;&lt;D xsi:type="xsd:double"&gt;34.284693598756&lt;/D&gt;&lt;D xsi:type="xsd:double"&gt;34.2964603696086&lt;/D&gt;&lt;D xsi:type="xsd:double"&gt;35.0387174218563&lt;/D&gt;&lt;D xsi:type="xsd:double"&gt;34.6050264808366&lt;/D&gt;&lt;D xsi:type="xsd:double"&gt;33.4515095338902&lt;/D&gt;&lt;D xsi:type="xsd:double"&gt;31.1389995890559&lt;/D&gt;&lt;D xsi:type="xsd:double"&gt;32.2591624974692&lt;/D&gt;&lt;D xsi:type="xsd:double"&gt;30.2627647323654&lt;/D&gt;&lt;D xsi:type="xsd:double"&gt;29.4440585686124&lt;/D&gt;&lt;D xsi:type="xsd:double"&gt;28.7143150367713&lt;/D&gt;&lt;D xsi:type="xsd:double"&gt;28.9773357697853&lt;/D&gt;&lt;D xsi:type="xsd:double"&gt;26.88580283941&lt;/D&gt;&lt;D xsi:type="xsd:double"&gt;25.321511584538&lt;/D&gt;&lt;D xsi:type="xsd:double"&gt;26.7479836531182&lt;/D&gt;&lt;D xsi:type="xsd:double"&gt;27.0721715607429&lt;/D&gt;&lt;D xsi:type="xsd:double"&gt;24.0765126476224&lt;/D&gt;&lt;D xsi:type="xsd:double"&gt;23.5008263556533&lt;/D&gt;&lt;D xsi:type="xsd:double"&gt;23.4579902896617&lt;/D&gt;&lt;D xsi:type="xsd:double"&gt;23.2912040875383&lt;/D&gt;&lt;D xsi:type="xsd:double"&gt;24.4064677045089&lt;/D&gt;&lt;D xsi:type="xsd:double"&gt;23.5586680983444&lt;/D&gt;&lt;D xsi:type="xsd:double"&gt;23.3525259913988&lt;/D&gt;&lt;D xsi:type="xsd:double"&gt;23.5702395478718&lt;/D&gt;&lt;D xsi:type="xsd:double"&gt;21.1480622104525&lt;/D&gt;&lt;D xsi:type="xsd:double"&gt;21.0272195398292&lt;/D&gt;&lt;D xsi:type="xsd:double"&gt;20.9329621247701&lt;/D&gt;&lt;D xsi:type="xsd:double"&gt;20.8741750086002&lt;/D&gt;&lt;D xsi:type="xsd:double"&gt;19.9729753984858&lt;/D&gt;&lt;D xsi:type="xsd:double"&gt;20.0526093606653&lt;/D&gt;&lt;D xsi:type="xsd:double"&gt;21.5964084836762&lt;/D&gt;&lt;D xsi:type="xsd:double"&gt;22.8155746618082&lt;/D&gt;&lt;D xsi:type="xsd:double"&gt;22.4393108104604&lt;/D&gt;&lt;D xsi:type="xsd:double"&gt;24.5791019506207&lt;/D&gt;&lt;D xsi:type="xsd:double"&gt;25.0643293624228&lt;/D&gt;&lt;/FQL&gt;&lt;FQL&gt;&lt;Q&gt;DDR3512M-FDS^MAX(FG_PRICE(0,-5AY))&lt;/Q&gt;&lt;R&gt;1&lt;/R&gt;&lt;C&gt;1&lt;/C&gt;&lt;D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xsi:type="xsd:double"&gt;4.929&lt;/D&gt;&lt;/FQL&gt;&lt;FQL&gt;&lt;Q&gt;FC0000JP^FG_PRICE(0)&lt;/Q&gt;&lt;R&gt;1&lt;/R&gt;&lt;C&gt;1&lt;/C&gt;&lt;D xsi:type="xsd:double"&gt;178.14485&lt;/D&gt;&lt;/FQL&gt;&lt;FQL&gt;&lt;Q&gt;FC0000NZ^FG_PRICE(0)&lt;/Q&gt;&lt;R&gt;1&lt;/R&gt;&lt;C&gt;1&lt;/C&gt;&lt;D xsi:type="xsd:double"&gt;391.72736&lt;/D&gt;&lt;/FQL&gt;&lt;FQL&gt;&lt;Q&gt;EWQ^FG_PRICE_MAVG(0,,,,200)&lt;/Q&gt;&lt;R&gt;1&lt;/R&gt;&lt;C&gt;1&lt;/C&gt;&lt;D xsi:type="xsd:double"&gt;37.961075&lt;/D&gt;&lt;/FQL&gt;&lt;FQL&gt;&lt;Q&gt;EWL^FG_PRICE_MAVG(0,,,,200)&lt;/Q&gt;&lt;R&gt;1&lt;/R&gt;&lt;C&gt;1&lt;/C&gt;&lt;D xsi:type="xsd:double"&gt;45.9433&lt;/D&gt;&lt;/FQL&gt;&lt;FQL&gt;&lt;Q&gt;EWA^FG_PRICE_MAVG(0,,,,200)&lt;/Q&gt;&lt;R&gt;1&lt;/R&gt;&lt;C&gt;1&lt;/C&gt;&lt;D xsi:type="xsd:double"&gt;22.7745&lt;/D&gt;&lt;/FQL&gt;&lt;FQL&gt;&lt;Q&gt;DUMMY^ECON_EXPR_DATA('FDS_ECON[NTCPMIMFGSA@FR]',03/2024,,M)&lt;/Q&gt;&lt;R&gt;1&lt;/R&gt;&lt;C&gt;1&lt;/C&gt;&lt;D xsi:type="xsd:double"&gt;46.246628&lt;/D&gt;&lt;/FQL&gt;&lt;FQL&gt;&lt;Q&gt;SPY^P_PRICE(0)/P_PRICE_LOW_PR(0,,,USD,,,"PRICE","INTRA","52W")-1&lt;/Q&gt;&lt;R&gt;1&lt;/R&gt;&lt;C&gt;1&lt;/C&gt;&lt;D xsi:type="xsd:double"&gt;0.27079308&lt;/D&gt;&lt;/FQL&gt;&lt;FQL&gt;&lt;Q&gt;VWO^PERCENT_CHANGE(FMA_EPS(+1,0,,,,"PORTAGG","MEAN"),FMA_EPS(+1,-3AM,,,,"PORTAGG","MEAN"))&lt;/Q&gt;&lt;R&gt;1&lt;/R&gt;&lt;C&gt;1&lt;/C&gt;&lt;D xsi:type="xsd:double"&gt;-3.81954528834501&lt;/D&gt;&lt;/FQL&gt;&lt;FQL&gt;&lt;Q&gt;EWI^FG_TOTAL_RETURNC(0,-3AM)&lt;/Q&gt;&lt;R&gt;1&lt;/R&gt;&lt;C&gt;1&lt;/C&gt;&lt;D xsi:type="xsd:double"&gt;10.461998&lt;/D&gt;&lt;/FQL&gt;&lt;FQL&gt;&lt;Q&gt;EWN^P_PRICE(0)/P_PRICE_HIGH_PR(0,,,USD,,,"PRICE","INTRA","52W")&lt;/Q&gt;&lt;R&gt;1&lt;/R&gt;&lt;C&gt;1&lt;/C&gt;&lt;D xsi:type="xsd:double"&gt;0.97813123&lt;/D&gt;&lt;/FQL&gt;&lt;FQL&gt;&lt;Q&gt;SPY^FG_TOTAL_RETURNC(0,-12AM)&lt;/Q&gt;&lt;R&gt;1&lt;/R&gt;&lt;C&gt;1&lt;/C&gt;&lt;D xsi:type="xsd:double"&gt;27.375137&lt;/D&gt;&lt;/FQL&gt;&lt;FQL&gt;&lt;Q&gt;QQQ^PERCENT_CHANGE(FMA_EPS(+1,0,,,,"PORTAGG","MEAN"),FMA_EPS(+1,-1AM,,,,"PORTAGG","MEAN"))&lt;/Q&gt;&lt;R&gt;1&lt;/R&gt;&lt;C&gt;1&lt;/C&gt;&lt;D xsi:type="xsd:double"&gt;0.0509142450721721&lt;/D&gt;&lt;/FQL&gt;&lt;FQL&gt;&lt;Q&gt;EWL^FG_TOTAL_RETURNC(0,-1AM)&lt;/Q&gt;&lt;R&gt;1&lt;/R&gt;&lt;C&gt;1&lt;/C&gt;&lt;D xsi:type="xsd:double"&gt;-0.042653084&lt;/D&gt;&lt;/FQL&gt;&lt;FQL&gt;&lt;Q&gt;EWA^P_PRICE(0)/P_PRICE_LOW_PR(0,,,USD,,,"PRICE","INTRA","52W")-1&lt;/Q&gt;&lt;R&gt;1&lt;/R&gt;&lt;C&gt;1&lt;/C&gt;&lt;D xsi:type="xsd:double"&gt;0.1940372&lt;/D&gt;&lt;/FQL&gt;&lt;FQL&gt;&lt;Q&gt;CAGDPY@SE^EE_ACTUAL_ANNUAL(MED,+1)&lt;/Q&gt;&lt;R&gt;1&lt;/R&gt;&lt;C&gt;1&lt;/C&gt;&lt;D xsi:type="xsd:double"&gt;5.4&lt;/D&gt;&lt;/FQL&gt;&lt;FQL&gt;&lt;Q&gt;CAGDPY@DE^EE_ACTUAL_ANNUAL(MED,+1)&lt;/Q&gt;&lt;R&gt;1&lt;/R&gt;&lt;C&gt;1&lt;/C&gt;&lt;D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Dollar&lt;/D&gt;&lt;/FQL&gt;&lt;FQL&gt;&lt;Q&gt;CAGDPY@FR^EE_ACTUAL_ANNUAL(MED,+1)&lt;/Q&gt;&lt;R&gt;1&lt;/R&gt;&lt;C&gt;1&lt;/C&gt;&lt;D xsi:type="xsd:double"&gt;-1.7&lt;/D&gt;&lt;/FQL&gt;&lt;FQL&gt;&lt;Q&gt;CAGDPY@AU^EE_ACTUAL_ANNUAL(MED,+1)&lt;/Q&gt;&lt;R&gt;1&lt;/R&gt;&lt;C&gt;1&lt;/C&gt;&lt;D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xsi:type="xsd:double"&gt;0.8051157&lt;/D&gt;&lt;/FQL&gt;&lt;FQL&gt;&lt;Q&gt;USDANG^FG_PRICE_CHANGE(0,-3AM)&lt;/Q&gt;&lt;R&gt;1&lt;/R&gt;&lt;C&gt;1&lt;/C&gt;&lt;D xsi:type="xsd:double"&gt;0&lt;/D&gt;&lt;/FQL&gt;&lt;FQL&gt;&lt;Q&gt;USDGBP^FG_PRICE_CHANGE(0,-3AM)&lt;/Q&gt;&lt;R&gt;1&lt;/R&gt;&lt;C&gt;1&lt;/C&gt;&lt;D xsi:type="xsd:double"&gt;0.24075508&lt;/D&gt;&lt;/FQL&gt;&lt;FQL&gt;&lt;Q&gt;USDJPY^FG_PRICE_CHANGE(0,-3AM)&lt;/Q&gt;&lt;R&gt;1&lt;/R&gt;&lt;C&gt;1&lt;/C&gt;&lt;D xsi:type="xsd:double"&gt;4.8641324&lt;/D&gt;&lt;/FQL&gt;&lt;FQL&gt;&lt;Q&gt;USDCAD^FG_PRICE_CHANGE(0,-3AM)&lt;/Q&gt;&lt;R&gt;1&lt;/R&gt;&lt;C&gt;1&lt;/C&gt;&lt;D xsi:type="xsd:double"&gt;0.999701&lt;/D&gt;&lt;/FQL&gt;&lt;FQL&gt;&lt;Q&gt;USDNZD^FG_PRICE_CHANGE(0,-3AM)&lt;/Q&gt;&lt;R&gt;1&lt;/R&gt;&lt;C&gt;1&lt;/C&gt;&lt;D xsi:type="xsd:double"&gt;3.1617284&lt;/D&gt;&lt;/FQL&gt;&lt;FQL&gt;&lt;Q&gt;EWA^FMA_EPS(NTMA,-20AY,0,CY,,"PORTAGG","MEANR")&lt;/Q&gt;&lt;R&gt;20&lt;/R&gt;&lt;C&gt;1&lt;/C&gt;&lt;D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xsi:type="xsd:long"&gt;45355&lt;/D&gt;&lt;D xsi:type="xsd:long"&gt;45386&lt;/D&gt;&lt;/FQL&gt;&lt;FQL&gt;&lt;Q&gt;EWD^FMA_DIV_YLD(NTMA,-10AY,0,AM,"PORTAGG","MEANR")&lt;/Q&gt;&lt;R&gt;121&lt;/R&gt;&lt;C&gt;1&lt;/C&gt;&lt;D xsi:type="xsd:double"&gt;3.99126325412964&lt;/D&gt;&lt;D xsi:type="xsd:double"&gt;4.11187226650118&lt;/D&gt;&lt;D xsi:type="xsd:double"&gt;4.06745041293963&lt;/D&gt;&lt;D xsi:type="xsd:double"&gt;4.05135199817431&lt;/D&gt;&lt;D xsi:type="xsd:double"&gt;4.28411717912099&lt;/D&gt;&lt;D xsi:type="xsd:double"&gt;4.18828352234158&lt;/D&gt;&lt;D xsi:type="xsd:double"&gt;4.30738999542707&lt;/D&gt;&lt;D xsi:type="xsd:double"&gt;4.21474888694285&lt;/D&gt;&lt;D xsi:type="xsd:double"&gt;4.11893210669832&lt;/D&gt;&lt;D xsi:type="xsd:double"&gt;4.09745096649795&lt;/D&gt;&lt;D xsi:type="xsd:double"&gt;3.83369990842633&lt;/D&gt;&lt;D xsi:type="xsd:double"&gt;3.67019450583995&lt;/D&gt;&lt;D xsi:type="xsd:double"&gt;3.65937690689615&lt;/D&gt;&lt;D xsi:type="xsd:double"&gt;3.79221376969597&lt;/D&gt;&lt;D xsi:type="xsd:double"&gt;3.84371011100898&lt;/D&gt;&lt;D xsi:type="xsd:double"&gt;4.02620848817658&lt;/D&gt;&lt;D xsi:type="xsd:double"&gt;3.97652155166922&lt;/D&gt;&lt;D xsi:type="xsd:double"&gt;4.40894771797914&lt;/D&gt;&lt;D xsi:type="xsd:double"&gt;4.57136566651824&lt;/D&gt;&lt;D xsi:type="xsd:double"&gt;4.12405639252162&lt;/D&gt;&lt;D xsi:type="xsd:double"&gt;4.21571381315639&lt;/D&gt;&lt;D xsi:type="xsd:double"&gt;4.46743525945826&lt;/D&gt;&lt;D xsi:type="xsd:double"&gt;4.51321686424956&lt;/D&gt;&lt;D xsi:type="xsd:double"&gt;4.27244227416144&lt;/D&gt;&lt;D xsi:type="xsd:double"&gt;4.4026623563381&lt;/D&gt;&lt;D xsi:type="xsd:double"&gt;4.50663765653268&lt;/D&gt;&lt;D xsi:type="xsd:double"&gt;4.44920851553594&lt;/D&gt;&lt;D xsi:type="xsd:double"&gt;4.45984828805178&lt;/D&gt;&lt;D xsi:type="xsd:double"&gt;4.36841610803346&lt;/D&gt;&lt;D xsi:type="xsd:double"&gt;4.18540209469836&lt;/D&gt;&lt;D xsi:type="xsd:double"&gt;4.14187166390452&lt;/D&gt;&lt;D xsi:type="xsd:double"&gt;4.24570555871851&lt;/D&gt;&lt;D xsi:type="xsd:double"&gt;4.03949567137985&lt;/D&gt;&lt;D xsi:type="xsd:double"&gt;3.86540113570329&lt;/D&gt;&lt;D xsi:type="xsd:double"&gt;3.67984413142987&lt;/D&gt;&lt;D xsi:type="xsd:double"&gt;3.63830664450521&lt;/D&gt;&lt;D xsi:type="xsd:double"&gt;3.67771797992242&lt;/D&gt;&lt;D xsi:type="xsd:double"&gt;3.512705744293&lt;/D&gt;&lt;D xsi:type="xsd:double"&gt;3.36604315801769&lt;/D&gt;&lt;D xsi:type="xsd:double"&gt;3.56050769275156&lt;/D&gt;&lt;D xsi:type="xsd:double"&gt;3.68728274697132&lt;/D&gt;&lt;D xsi:type="xsd:double"&gt;3.74100517530846&lt;/D&gt;&lt;D xsi:type="xsd:double"&gt;3.52634257028056&lt;/D&gt;&lt;D xsi:type="xsd:double"&gt;3.51379707662705&lt;/D&gt;&lt;D xsi:type="xsd:double"&gt;3.66500534795097&lt;/D&gt;&lt;D xsi:type="xsd:double"&gt;3.70306250932207&lt;/D&gt;&lt;D xsi:type="xsd:double"&gt;3.81273090284385&lt;/D&gt;&lt;D xsi:type="xsd:double"&gt;3.98582247509225&lt;/D&gt;&lt;D xsi:type="xsd:double"&gt;4.16379633671818&lt;/D&gt;&lt;D xsi:type="xsd:double"&gt;4.03374338245727&lt;/D&gt;&lt;D xsi:type="xsd:double"&gt;4.08937100983267&lt;/D&gt;&lt;D xsi:type="xsd:double"&gt;4.17906637120055&lt;/D&gt;&lt;D xsi:type="xsd:double"&gt;4.09562349798691&lt;/D&gt;&lt;D xsi:type="xsd:double"&gt;4.04511214681699&lt;/D&gt;&lt;D xsi:type="xsd:double"&gt;4.05402475913192&lt;/D&gt;&lt;D xsi:type="xsd:double"&gt;4.30719388408219&lt;/D&gt;&lt;D xsi:type="xsd:double"&gt;4.45884851263367&lt;/D&gt;&lt;D xsi:type="xsd:double"&gt;4.64469829440776&lt;/D&gt;&lt;D xsi:type="xsd:double"&gt;4.31295938189837&lt;/D&gt;&lt;D xsi:type="xsd:double"&gt;4.12962975639641&lt;/D&gt;&lt;D xsi:type="xsd:double"&gt;4.07415953652532&lt;/D&gt;&lt;D xsi:type="xsd:double"&gt;4.02507737635489&lt;/D&gt;&lt;D xsi:type="xsd:double"&gt;4.37295300028524&lt;/D&gt;&lt;D xsi:type="xsd:double"&gt;4.09586166696807&lt;/D&gt;&lt;D xsi:type="xsd:double"&gt;4.15208590476921&lt;/D&gt;&lt;D xsi:type="xsd:double"&gt;4.16161607006522&lt;/D&gt;&lt;D xsi:type="xsd:double"&gt;4.04084790133735&lt;/D&gt;&lt;D xsi:type="xsd:double"&gt;3.65991525174396&lt;/D&gt;&lt;D xsi:type="xsd:double"&gt;3.7283381223504&lt;/D&gt;&lt;D xsi:type="xsd:double"&gt;3.59549069827784&lt;/D&gt;&lt;D xsi:type="xsd:double"&gt;3.54475411852234&lt;/D&gt;&lt;D xsi:type="xsd:double"&gt;3.75168603859699&lt;/D&gt;&lt;D xsi:type="xsd:double"&gt;3.99197053126076&lt;/D&gt;&lt;D xsi:type="xsd:double"&gt;3.43330174659054&lt;/D&gt;&lt;D xsi:type="xsd:double"&gt;2.93989721630046&lt;/D&gt;&lt;D xsi:type="xsd:double"&gt;3.00450381832383&lt;/D&gt;&lt;D xsi:type="xsd:double"&gt;3.02706293659028&lt;/D&gt;&lt;D xsi:type="xsd:double"&gt;3.0461361915457&lt;/D&gt;&lt;D xsi:type="xsd:double"&gt;3.03266951949525&lt;/D&gt;&lt;D xsi:type="xsd:double"&gt;3.17647111945367&lt;/D&gt;&lt;D xsi:type="xsd:double"&gt;3.01397459515867&lt;/D&gt;&lt;D xsi:type="xsd:double"&gt;3.08317272541196&lt;/D&gt;&lt;D xsi:type="xsd:double"&gt;2.96552060750515&lt;/D&gt;&lt;D xsi:type="xsd:double"&gt;2.91072312756623&lt;/D&gt;&lt;D xsi:type="xsd:double"&gt;2.75477930334971&lt;/D&gt;&lt;D xsi:type="xsd:double"&gt;2.87953307694289&lt;/D&gt;&lt;D xsi:type="xsd:double"&gt;2.67614977423537&lt;/D&gt;&lt;D xsi:type="xsd:double"&gt;2.69562977519897&lt;/D&gt;&lt;D xsi:type="xsd:double"&gt;2.70739027954473&lt;/D&gt;&lt;D xsi:type="xsd:double"&gt;2.72957626015385&lt;/D&gt;&lt;D xsi:type="xsd:double"&gt;2.93701221097438&lt;/D&gt;&lt;D xsi:type="xsd:double"&gt;2.98785653055212&lt;/D&gt;&lt;D xsi:type="xsd:double"&gt;3.02557242962377&lt;/D&gt;&lt;D xsi:type="xsd:double"&gt;2.7981371187987&lt;/D&gt;&lt;D xsi:type="xsd:double"&gt;2.94404820193675&lt;/D&gt;&lt;D xsi:type="xsd:double"&gt;3.37343342803976&lt;/D&gt;&lt;D xsi:type="xsd:double"&gt;3.08014196320588&lt;/D&gt;&lt;D xsi:type="xsd:double"&gt;3.38130135221629&lt;/D&gt;&lt;D xsi:type="xsd:double"&gt;3.23859296048194&lt;/D&gt;&lt;D xsi:type="xsd:double"&gt;3.63852903608446&lt;/D&gt;&lt;D xsi:type="xsd:double"&gt;3.45892741789907&lt;/D&gt;&lt;D xsi:type="xsd:double"&gt;3.71263331049508&lt;/D&gt;&lt;D xsi:type="xsd:double"&gt;3.62641553834522&lt;/D&gt;&lt;D xsi:type="xsd:double"&gt;3.71907740293099&lt;/D&gt;&lt;D xsi:type="xsd:double"&gt;3.55931357257278&lt;/D&gt;&lt;D xsi:type="xsd:double"&gt;3.64722752407647&lt;/D&gt;&lt;D xsi:type="xsd:double"&gt;3.42777179963472&lt;/D&gt;&lt;D xsi:type="xsd:double"&gt;3.49742819124023&lt;/D&gt;&lt;D xsi:type="xsd:double"&gt;3.64154664014077&lt;/D&gt;&lt;D xsi:type="xsd:double"&gt;3.71116048140106&lt;/D&gt;&lt;D xsi:type="xsd:double"&gt;3.71238319112071&lt;/D&gt;&lt;D xsi:type="xsd:double"&gt;3.728264524897</t>
        </r>
      </text>
    </comment>
    <comment ref="A8" authorId="0" shapeId="0" xr:uid="{16353CF9-6E7E-4B5A-AAF4-00534A7D6EE6}">
      <text>
        <r>
          <rPr>
            <b/>
            <sz val="9"/>
            <color indexed="81"/>
            <rFont val="Tahoma"/>
            <charset val="1"/>
          </rPr>
          <t>79&lt;/D&gt;&lt;D xsi:type="xsd:double"&gt;3.8619696146599&lt;/D&gt;&lt;D xsi:type="xsd:double"&gt;3.95449652567087&lt;/D&gt;&lt;D xsi:type="xsd:double"&gt;4.10299250333332&lt;/D&gt;&lt;D xsi:type="xsd:double"&gt;3.85626151812081&lt;/D&gt;&lt;D xsi:type="xsd:double"&gt;3.1380418253057&lt;/D&gt;&lt;D xsi:type="xsd:double"&gt;2.98197889413409&lt;/D&gt;&lt;D xsi:type="xsd:double"&gt;3.31409547386913&lt;/D&gt;&lt;D xsi:type="xsd:double"&gt;3.28182580947026&lt;/D&gt;&lt;D xsi:type="xsd:double"&gt;3.22144820849954&lt;/D&gt;&lt;/FQL&gt;&lt;FQL&gt;&lt;Q&gt;EWQ^FMA_PE(NTMA,-10AY,0,AM,"PORTAGG","MEANR")&lt;/Q&gt;&lt;R&gt;121&lt;/R&gt;&lt;C&gt;1&lt;/C&gt;&lt;D xsi:type="xsd:double"&gt;14.0521966377966&lt;/D&gt;&lt;D xsi:type="xsd:double"&gt;14.0176256018427&lt;/D&gt;&lt;D xsi:type="xsd:double"&gt;14.2166335785692&lt;/D&gt;&lt;D xsi:type="xsd:double"&gt;14.1361001037127&lt;/D&gt;&lt;D xsi:type="xsd:double"&gt;13.2935719873864&lt;/D&gt;&lt;D xsi:type="xsd:double"&gt;13.952491944265&lt;/D&gt;&lt;D xsi:type="xsd:double"&gt;13.2381987885324&lt;/D&gt;&lt;D xsi:type="xsd:double"&gt;12.901313762166&lt;/D&gt;&lt;D xsi:type="xsd:double"&gt;13.7884594638176&lt;/D&gt;&lt;D xsi:type="xsd:double"&gt;13.7289565546907&lt;/D&gt;&lt;D xsi:type="xsd:double"&gt;15.6072248759&lt;/D&gt;&lt;D xsi:type="xsd:double"&gt;16.248165188513&lt;/D&gt;&lt;D xsi:type="xsd:double"&gt;16.6037523299544&lt;/D&gt;&lt;D xsi:type="xsd:double"&gt;16.3992254777522&lt;/D&gt;&lt;D xsi:type="xsd:double"&gt;16.024036046838&lt;/D&gt;&lt;D xsi:type="xsd:double"&gt;15.3237084896228&lt;/D&gt;&lt;D xsi:type="xsd:double"&gt;15.8528684045159&lt;/D&gt;&lt;D xsi:type="xsd:double"&gt;13.9508657899878&lt;/D&gt;&lt;D xsi:type="xsd:double"&gt;13.8827690699177&lt;/D&gt;&lt;D xsi:type="xsd:double"&gt;15.2915302025362&lt;/D&gt;&lt;D xsi:type="xsd:double"&gt;14.7690731045913&lt;/D&gt;&lt;D xsi:type="xsd:double"&gt;14.1752873396429&lt;/D&gt;&lt;D xsi:type="xsd:double"&gt;13.7223838276463&lt;/D&gt;&lt;D xsi:type="xsd:double"&gt;14.5520858214009&lt;/D&gt;&lt;D xsi:type="xsd:double"&gt;14.2264950589951&lt;/D&gt;&lt;D xsi:type="xsd:double"&gt;14.1861658824392&lt;/D&gt;&lt;D xsi:type="xsd:double"&gt;14.3182960735214&lt;/D&gt;&lt;D xsi:type="xsd:double"&gt;13.6982287872212&lt;/D&gt;&lt;D xsi:type="xsd:double"&gt;13.7897973489736&lt;/D&gt;&lt;D xsi:type="xsd:double"&gt;14.265122056874&lt;/D&gt;&lt;D xsi:type="xsd:double"&gt;13.9989862682257&lt;/D&gt;&lt;D xsi:type="xsd:double"&gt;13.5104488661513&lt;/D&gt;&lt;D xsi:type="xsd:double"&gt;13.7541373927975&lt;/D&gt;&lt;D xsi:type="xsd:double"&gt;14.646981526403&lt;/D&gt;&lt;D xsi:type="xsd:double"&gt;14.3369487502949&lt;/D&gt;&lt;D xsi:type="xsd:double"&gt;14.5341399191049&lt;/D&gt;&lt;D xsi:type="xsd:double"&gt;14.8322729851316&lt;/D&gt;&lt;D xsi:type="xsd:double"&gt;15.4661036765156&lt;/D&gt;&lt;D xsi:type="xsd:double"&gt;15.2634708736995&lt;/D&gt;&lt;D xsi:type="xsd:double"&gt;14.759932603358&lt;/D&gt;&lt;D xsi:type="xsd:double"&gt;14.7740514540149&lt;/D&gt;&lt;D xsi:type="xsd:double"&gt;14.5510852693452&lt;/D&gt;&lt;D xsi:type="xsd:double"&gt;15.1875610945984&lt;/D&gt;&lt;D xsi:type="xsd:double"&gt;15.4478297837694&lt;/D&gt;&lt;D xsi:type="xsd:double"&gt;15.0703722671518&lt;/D&gt;&lt;D xsi:type="xsd:double"&gt;15.0568383033677&lt;/D&gt;&lt;D xsi:type="xsd:double"&gt;14.883011983911&lt;/D&gt;&lt;D xsi:type="xsd:double"&gt;14.1847968466843&lt;/D&gt;&lt;D xsi:type="xsd:double"&gt;14.1087826330934&lt;/D&gt;&lt;D xsi:type="xsd:double"&gt;14.8102091998853&lt;/D&gt;&lt;D xsi:type="xsd:double"&gt;14.4786724922305&lt;/D&gt;&lt;D xsi:type="xsd:double"&gt;13.9214169739867&lt;/D&gt;&lt;D xsi:type="xsd:double"&gt;14.072271243197&lt;/D&gt;&lt;D xsi:type="xsd:double"&gt;13.6047046408345&lt;/D&gt;&lt;D xsi:type="xsd:double"&gt;13.6150947599762&lt;/D&gt;&lt;D xsi:type="xsd:double"&gt;12.8366828005511&lt;/D&gt;&lt;D xsi:type="xsd:double"&gt;12.5664136855346&lt;/D&gt;&lt;D xsi:type="xsd:double"&gt;11.906856111504&lt;/D&gt;&lt;D xsi:type="xsd:double"&gt;12.8703089852673&lt;/D&gt;&lt;D xsi:type="xsd:double"&gt;13.5787893918899&lt;/D&gt;&lt;D xsi:type="xsd:double"&gt;13.8759338479745&lt;/D&gt;&lt;D xsi:type="xsd:double"&gt;14.0397728643122&lt;/D&gt;&lt;D xsi:type="xsd:double"&gt;13.3049018503161&lt;/D&gt;&lt;D xsi:type="xsd:double"&gt;14.0809810226379&lt;/D&gt;&lt;D xsi:type="xsd:double"&gt;13.6054903864722&lt;/D&gt;&lt;D xsi:type="xsd:double"&gt;13.8964850770857&lt;/D&gt;&lt;D xsi:type="xsd:double"&gt;13.77232801751&lt;/D&gt;&lt;D xsi:type="xsd:double"&gt;14.6385133237635&lt;/D&gt;&lt;D xsi:type="xsd:double"&gt;14.4872020603202&lt;/D&gt;&lt;D xsi:type="xsd:double"&gt;15.0300559696275&lt;/D&gt;&lt;D xsi:type="xsd:double"&gt;14.8131268241372&lt;/D&gt;&lt;D xsi:type="xsd:double"&gt;13.8748468856443&lt;/D&gt;&lt;D xsi:type="xsd:double"&gt;12.5360041044414&lt;/D&gt;&lt;D xsi:type="xsd:double"&gt;15.8836698494214&lt;/D&gt;&lt;D xsi:type="xsd:double"&gt;18.9891314999436&lt;/D&gt;&lt;D xsi:type="xsd:double"&gt;19.2809752557241&lt;/D&gt;&lt;D xsi:type="xsd:double"&gt;19.6356045977595&lt;/D&gt;&lt;D xsi:type="xsd:double"&gt;19.1740616356064&lt;/D&gt;&lt;D xsi:type="xsd:double"&gt;18.0821121715273&lt;/D&gt;&lt;D xsi:type="xsd:double"&gt;17.5416791955386&lt;/D&gt;&lt;D xsi:type="xsd:double"&gt;19.0429811293797&lt;/D&gt;&lt;D xsi:type="xsd:double"&gt;18.0701185246774&lt;/D&gt;&lt;D xsi:type="xsd:double"&gt;17.8270398129381&lt;/D&gt;&lt;D xsi:type="xsd:double"&gt;18.0290262833798&lt;/D&gt;&lt;D xsi:type="xsd:double"&gt;18.3004914041401&lt;/D&gt;&lt;D xsi:type="xsd:double"&gt;17.8015614003293&lt;/D&gt;&lt;D xsi:type="xsd:double"&gt;17.8812166732371&lt;/D&gt;&lt;D xsi:type="xsd:double"&gt;17.4625566338393&lt;/D&gt;&lt;D xsi:type="xsd:double"&gt;16.8221721826426&lt;/D&gt;&lt;D xsi:type="xsd:double"&gt;16.2904181610036&lt;/D&gt;&lt;D xsi:type="xsd:double"&gt;15.4223544483447&lt;/D&gt;&lt;D xsi:type="xsd:double"&gt;15.8610419145309&lt;/D&gt;&lt;D xsi:type="xsd:double"&gt;15.1398329374667&lt;/D&gt;&lt;D xsi:type="xsd:double"&gt;16.1030520790099&lt;/D&gt;&lt;D xsi:type="xsd:double"&gt;14.8152666761617&lt;/D&gt;&lt;D xsi:type="xsd:double"&gt;12.5924774156985&lt;/D&gt;&lt;D xsi:type="xsd:double"&gt;13.5609960712083&lt;/D&gt;&lt;D xsi:type="xsd:double"&gt;12.545134622841&lt;/D&gt;&lt;D xsi:type="xsd:double"&gt;12.4292431743521&lt;/D&gt;&lt;D xsi:type="xsd:double"&gt;11.1853188289709&lt;/D&gt;&lt;D xsi:type="xsd:double"&gt;11.8109593984701&lt;/D&gt;&lt;D xsi:type="xsd:double"&gt;11.1241657096226&lt;/D&gt;&lt;D xsi:type="xsd:double"&gt;10.7614842038368&lt;/D&gt;&lt;D xsi:type="xsd:double"&gt;11.4255476671195&lt;/D&gt;&lt;D xsi:type="xsd:double"&gt;12.1846772308317&lt;/D&gt;&lt;D xsi:type="xsd:double"&gt;12.341981719946&lt;/D&gt;&lt;D xsi:type="xsd:double"&gt;13.4166095173354&lt;/D&gt;&lt;D xsi:type="xsd:double"&gt;13.3424034678087&lt;/D&gt;&lt;D xsi:type="xsd:double"&gt;13.3762972054909&lt;/D&gt;&lt;D xsi:type="xsd:double"&gt;13.3878340064485&lt;/D&gt;&lt;D xsi:type="xsd:double"&gt;13.1336131538586&lt;/D&gt;&lt;D xsi:type="xsd:double"&gt;13.2760080130871&lt;/D&gt;&lt;D xsi:type="xsd:double"&gt;13.045112210231&lt;/D&gt;&lt;D xsi:type="xsd:double"&gt;12.9497600687677&lt;/D&gt;&lt;D xsi:type="xsd:double"&gt;12.2142776291676&lt;/D&gt;&lt;D xsi:type="xsd:double"&gt;12.4413113283708&lt;/D&gt;&lt;D xsi:type="xsd:double"&gt;12.9740181619545&lt;/D&gt;&lt;D xsi:type="xsd:double"&gt;13.2628992281579&lt;/D&gt;&lt;D xsi:type="xsd:double"&gt;13.6461392312577&lt;/D&gt;&lt;D xsi:type="xsd:double"&gt;14.3544608486852&lt;/D&gt;&lt;D xsi:type="xsd:double"&gt;14.6382836571051&lt;/D&gt;&lt;/FQL&gt;&lt;FQL&gt;&lt;Q&gt;QQQ^FMA_PE(LTMA,-10AY,0,AM,"PORTAGG","MEANR")&lt;/Q&gt;&lt;R&gt;121&lt;/R&gt;&lt;C&gt;1&lt;/C&gt;&lt;D xsi:type="xsd:double"&gt;18.9604589630434&lt;/D&gt;&lt;D xsi:type="xsd:double"&gt;18.7783283384728&lt;/D&gt;&lt;D xsi:type="xsd:double"&gt;18.9017969696518&lt;/D&gt;&lt;D xsi:type="xsd:double"&gt;19.2148765330994&lt;/D&gt;&lt;D xsi:type="xsd:double"&gt;18.9741970650072&lt;/D&gt;&lt;D xsi:type="xsd:double"&gt;19.4119457064866&lt;/D&gt;&lt;D xsi:type="xsd:double"&gt;19.2525087136177&lt;/D&gt;&lt;D xsi:type="xsd:double"&gt;19.7535616683577&lt;/D&gt;&lt;D xsi:type="xsd:double"&gt;20.4343391103326&lt;/D&gt;&lt;D xsi:type="xsd:double"&gt;20.0691968928018&lt;/D&gt;&lt;D xsi:type="xsd:double"&gt;19.7408344854617&lt;/D&gt;&lt;D xsi:type="xsd:double"&gt;20.7570925544997&lt;/D&gt;&lt;D xsi:type="xsd:double"&gt;20.457636356412&lt;/D&gt;&lt;D xsi:type="xsd:double"&gt;20.3785244931196&lt;/D&gt;&lt;D xsi:type="xsd:double"&gt;20.1955568892353&lt;/D&gt;&lt;D xsi:type="xsd:double"&gt;19.9452813801037&lt;/D&gt;&lt;D xsi:type="xsd:double"&gt;20.3655289650461&lt;/D&gt;&lt;D xsi:type="xsd:double"&gt;19.1647038302447&lt;/D&gt;&lt;D xsi:type="xsd:double"&gt;19.2635539720155&lt;/D&gt;&lt;D xsi:type="xsd:double"&gt;20.5611373358865&lt;/D&gt;&lt;D xsi:type="xsd:double"&gt;20.6064489807126&lt;/D&gt;&lt;D xsi:type="xsd:double"&gt;19.9050710063603&lt;/D&gt;&lt;D xsi:type="xsd:double"&gt;18.2619361991922&lt;/D&gt;&lt;D xsi:type="xsd:double"&gt;18.2516666867713&lt;/D&gt;&lt;D xsi:type="xsd:double"&gt;18.4245100522264&lt;/D&gt;&lt;D xsi:type="xsd:double"&gt;18.2737461252963&lt;/D&gt;&lt;D xsi:type="xsd:double"&gt;18.6126621595739&lt;/D&gt;&lt;D xsi:type="xsd:double"&gt;18.6440457276687&lt;/D&gt;&lt;D xsi:type="xsd:double"&gt;19.412035999545&lt;/D&gt;&lt;D xsi:type="xsd:double"&gt;19.6058006620666&lt;/D&gt;&lt;D xsi:type="xsd:double"&gt;19.9465008074335&lt;/D&gt;&lt;D xsi:type="xsd:double"&gt;19.2478778038632&lt;/D&gt;&lt;D xsi:type="xsd:double"&gt;19.6266462216378&lt;/D&gt;&lt;D xsi:type="xsd:double"&gt;20.5913106388023&lt;/D&gt;&lt;D xsi:type="xsd:double"&gt;21.2572761468263&lt;/D&gt;&lt;D xsi:type="xsd:double"&gt;21.7219698335703&lt;/D&gt;&lt;D xsi:type="xsd:double"&gt;21.6535291099736&lt;/D&gt;&lt;D xsi:type="xsd:double"&gt;21.7836219593518&lt;/D&gt;&lt;D xsi:type="xsd:double"&gt;22.1022740381737&lt;/D&gt;&lt;D xsi:type="xsd:double"&gt;21.5399218389232&lt;/D&gt;&lt;D xsi:type="xsd:double"&gt;22.0850486522561&lt;/D&gt;&lt;D xsi:type="xsd:double"&gt;22.3062549192523&lt;/D&gt;&lt;D xsi:type="xsd:double"&gt;22.363092743029&lt;/D&gt;&lt;D xsi:type="xsd:double"&gt;22.9227416283693&lt;/D&gt;&lt;D xsi:type="xsd:double"&gt;22.8368980831031&lt;/D&gt;&lt;D xsi:type="xsd:double"&gt;24.1540038512161&lt;/D&gt;&lt;D xsi:type="xsd:double"&gt;24.1449957666679&lt;/D&gt;&lt;D xsi:type="xsd:double"&gt;24.0788483340659&lt;/D&gt;&lt;D xsi:type="xsd:double"&gt;23.5554020395594&lt;/D&gt;&lt;D xsi:type="xsd:double"&gt;23.265680097237&lt;/D&gt;&lt;D xsi:type="xsd:double"&gt;23.3427693991118&lt;/D&gt;&lt;D xsi:type="xsd:double"&gt;22.9029684507188&lt;/D&gt;&lt;D xsi:type="xsd:double"&gt;23.1215312910434&lt;/D&gt;&lt;D xsi:type="xsd:double"&gt;23.3721615278027&lt;/D&gt;&lt;D xsi:type="xsd:double"&gt;22.9338697397862&lt;/D&gt;&lt;D xsi:type="xsd:double"&gt;21.1234186000788&lt;/D&gt;&lt;D xsi:type="xsd:double"&gt;20.2852841007646&lt;/D&gt;&lt;D xsi:type="xsd:double"&gt;19.0476001414982&lt;/D&gt;&lt;D xsi:type="xsd:double"&gt;20.5389593871857&lt;/D&gt;&lt;D xsi:type="xsd:double"&gt;20.913814128787&lt;/D&gt;&lt;D xsi:type="xsd:double"&gt;21.1567250705163&lt;/D&gt;&lt;D xsi:type="xsd:double"&gt;21.5142552176524&lt;/D&gt;&lt;D xsi:type="xsd:double"&gt;20.8381362011605&lt;/D&gt;&lt;D xsi:type="xsd:double"&gt;21.8952327009466&lt;/D&gt;&lt;D xsi:type="xsd:double"&gt;21.7403634515916&lt;/D&gt;&lt;D xsi:type="xsd:double"&gt;21.9106671441629&lt;/D&gt;&lt;D xsi:type="xsd:double"&gt;22.129203862312&lt;/D&gt;&lt;D xsi:type="xsd:double"&gt;23.2772751727262&lt;/D&gt;&lt;D xsi:type="xsd:double"&gt;23.9209657662154&lt;/D&gt;&lt;D xsi:type="xsd:double"&gt;25.6234835956995&lt;/D&gt;&lt;D xsi:type="xsd:double"&gt;26.4210891810339&lt;/D&gt;&lt;D xsi:type="xsd:double"&gt;23.9970502388216&lt;/D&gt;&lt;D xsi:type="xsd:double"&gt;23.3643675426848&lt;/D&gt;&lt;D xsi:type="xsd:double"&gt;25.0848085988077&lt;/D&gt;&lt;D xsi:type="xsd:double"&gt;26.6459995769387&lt;/D&gt;&lt;D xsi:type="xsd:double"&gt;27.9753211761512&lt;/D&gt;&lt;D xsi:type="xsd:double"&gt;29.0872429404241&lt;/D&gt;&lt;D xsi:type="xsd:double"&gt;30.6448883050624&lt;/D&gt;&lt;D xsi:type="xsd:double"&gt;30.5399241983619&lt;/D&gt;&lt;D xsi:type="xsd:double"&gt;31.5089148655437&lt;/D&gt;&lt;D xsi:type="xsd:double"&gt;33.909425848717&lt;/D&gt;&lt;D xsi:type="xsd:double"&gt;34.6453741154332&lt;/D&gt;&lt;D xsi:type="xsd:double"&gt;35.1318545992393&lt;/D&gt;&lt;D xsi:type="xsd:double"&gt;32.684540374848&lt;/D&gt;&lt;D xsi:type="xsd:double"&gt;32.6716433388025&lt;/D&gt;&lt;D xsi:type="xsd:double"&gt;31.8645531272531&lt;/D&gt;&lt;D xsi:type="xsd:double"&gt;31.4616990484072&lt;/D&gt;&lt;D xsi:type="xsd:double"&gt;32.0171609181533&lt;/D&gt;&lt;D xsi:type="xsd:double"&gt;31.4594183915121&lt;/D&gt;&lt;D xsi:type="xsd:double"&gt;31.8010792817601&lt;/D&gt;&lt;D xsi:type="xsd:double"&gt;29.8608099612789&lt;/D&gt;&lt;D xsi:type="xsd:double"&gt;32.1992350775981&lt;/D&gt;&lt;D xsi:type="xsd:double"&gt;30.8335051969529&lt;/D&gt;&lt;D xsi:type="xsd:double"&gt;31.7861775357966&lt;/D&gt;&lt;D xsi:type="xsd:double"&gt;27.8003756988071&lt;/D&gt;&lt;D xsi:type="xsd:double"&gt;26.5577278574984&lt;/D&gt;&lt;D xsi:type="xsd:double"&gt;26.9680728952301&lt;/D&gt;&lt;D xsi:type="xsd:double"&gt;26.1860660337644&lt;/D&gt;&lt;D xsi:type="xsd:double"&gt;25.236945724813&lt;/D&gt;&lt;D xsi:type="xsd:double"&gt;24.1734814448847&lt;/D&gt;&lt;D xsi:type="xsd:double"&gt;26.0514745076895&lt;/D&gt;&lt;D xsi:type="xsd:double"&gt;24.488897986318&lt;/D&gt;&lt;D xsi:type="xsd:double"&gt;23.5367120069021&lt;/D&gt;&lt;D xsi:type="xsd:double"&gt;22.3801722673231&lt;/D&gt;&lt;D xsi:type="xsd:double"&gt;24.0273413937452&lt;/D&gt;&lt;D xsi:type="xsd:double"&gt;22.6503939800935&lt;/D&gt;&lt;D xsi:type="xsd:double"&gt;26.2413558925897&lt;/D&gt;&lt;D xsi:type="xsd:double"&gt;25.3131845910093&lt;/D&gt;&lt;D xsi:type="xsd:double"&gt;25.6457333081359&lt;/D&gt;&lt;D xsi:type="xsd:double"&gt;25.5090296590998&lt;/D&gt;&lt;D xsi:type="xsd:double"&gt;26.5756661092589&lt;/D&gt;&lt;D xsi:type="xsd:double"&gt;27.3340854363934&lt;/D&gt;&lt;D xsi:type="xsd:double"&gt;26.556177508138&lt;/D&gt;&lt;D xsi:type="xsd:double"&gt;26.7891023421605&lt;/D&gt;&lt;D xsi:type="xsd:double"&gt;26.0432723216829&lt;/D&gt;&lt;D xsi:type="xsd:double"&gt;26.3733159741313&lt;/D&gt;&lt;D xsi:type="xsd:double"&gt;27.4929408737629&lt;/D&gt;&lt;D xsi:type="xsd:double"&gt;28.1941219795856&lt;/D&gt;&lt;D xsi:type="xsd:double"&gt;30.0123963602426&lt;/D&gt;&lt;D xsi:type="xsd:double"&gt;30.3211288264606&lt;/D&gt;&lt;D xsi:type="xsd:double"&gt;29.85209870325&lt;/D&gt;&lt;/FQL&gt;&lt;FQL&gt;&lt;Q&gt;DDR3512M-FDS^FG_PRICE(0)&lt;/Q&gt;&lt;R&gt;1&lt;/R&gt;&lt;C&gt;1&lt;/C&gt;&lt;D xsi:type="xsd:double"&gt;0.9590378&lt;/D&gt;&lt;/FQL&gt;&lt;FQL&gt;&lt;Q&gt;PASP-FDS^FG_PRICE(0)&lt;/Q&gt;&lt;R&gt;1&lt;/R&gt;&lt;C&gt;1&lt;/C&gt;&lt;D xsi:type="xsd:double"&gt;1030&lt;/D&gt;&lt;/FQL&gt;&lt;FQL&gt;&lt;Q&gt;PLATI-FDS^FG_PRICE(0)&lt;/Q&gt;&lt;R&gt;1&lt;/R&gt;&lt;C&gt;1&lt;/C&gt;&lt;D xsi:type="xsd:double"&gt;940&lt;/D&gt;&lt;/FQL&gt;&lt;FQL&gt;&lt;Q&gt;W-FDS^FG_PRICE(0)&lt;/Q&gt;&lt;R&gt;1&lt;/R&gt;&lt;C&gt;1&lt;/C&gt;&lt;D xsi:type="xsd:double"&gt;5.5625&lt;/D&gt;&lt;/FQL&gt;&lt;FQL&gt;&lt;Q&gt;COPP-FDS^FG_PRICE(0)&lt;/Q&gt;&lt;R&gt;1&lt;/R&gt;&lt;C&gt;1&lt;/C&gt;&lt;D xsi:type="xsd:double"&gt;4.2465&lt;/D&gt;&lt;/FQL&gt;&lt;FQL&gt;&lt;Q&gt;FC0000GR^FG_PRICE(0)&lt;/Q&gt;&lt;R&gt;1&lt;/R&gt;&lt;C&gt;1&lt;/C&gt;&lt;D xsi:type="xsd:double"&gt;9.432228&lt;/D&gt;&lt;/FQL&gt;&lt;FQL&gt;&lt;Q&gt;EWI^FG_PRICE(0)&lt;/Q&gt;&lt;R&gt;1&lt;/R&gt;&lt;C&gt;1&lt;/C&gt;&lt;D xsi:type="xsd:double"&gt;37.06&lt;/D&gt;&lt;/FQL&gt;&lt;FQL&gt;&lt;Q&gt;SPY^FG_PRICE(0)&lt;/Q&gt;&lt;R&gt;1&lt;/R&gt;&lt;C&gt;1&lt;/C&gt;&lt;D xsi:type="xsd:double"&gt;513.07&lt;/D&gt;&lt;/FQL&gt;&lt;FQL&gt;&lt;Q&gt;EWJ^FG_PRICE(0)&lt;/Q&gt;&lt;R&gt;1&lt;/R&gt;&lt;C&gt;1&lt;/C&gt;&lt;D xsi:type="xsd:double"&gt;69.67&lt;/D&gt;&lt;/FQL&gt;&lt;FQL&gt;&lt;Q&gt;ENZL^FG_PRICE(0)&lt;/Q&gt;&lt;R&gt;1&lt;/R&gt;&lt;C&gt;1&lt;/C&gt;&lt;D xsi:type="xsd:double"&gt;45.2924&lt;/D&gt;&lt;/FQL&gt;&lt;FQL&gt;&lt;Q&gt;DUMMY^ECON_EXPR_DATA('FDS_ECON[PMIDMMANHE]',12/2023,,Q)&lt;/Q&gt;&lt;R&gt;1&lt;/R&gt;&lt;C&gt;1&lt;/C&gt;&lt;D xsi:type="xsd:double"&gt;47.377975&lt;/D&gt;&lt;/FQL&gt;&lt;FQL&gt;&lt;Q&gt;FXI^P_PRICE(0)/P_PRICE_LOW_PR(0,,,USD,,,"PRICE","INTRA","52W")-1&lt;/Q&gt;&lt;R&gt;1&lt;/R&gt;&lt;C&gt;1&lt;/C&gt;&lt;D xsi:type="xsd:double"&gt;0.16586769&lt;/D&gt;&lt;/FQL&gt;&lt;FQL&gt;&lt;Q&gt;SPY^FMA_PCT_ABOVE_MAVG(200,0,,,,"PORTAGG")&lt;/Q&gt;&lt;R&gt;1&lt;/R&gt;&lt;C&gt;1&lt;/C&gt;&lt;D xsi:type="xsd:double"&gt;78.2435129740519&lt;/D&gt;&lt;/FQL&gt;&lt;FQL&gt;&lt;Q&gt;URTH^PERCENT_CHANGE(FMA_EPS(+1,0,,,,"PORTAGG","MEAN"),FMA_EPS(+1,-3AM,,,,"PORTAGG","MEAN"))&lt;/Q&gt;&lt;R&gt;1&lt;/R&gt;&lt;C&gt;1&lt;/C&gt;&lt;D xsi:type="xsd:double"&gt;-1.16826436500507&lt;/D&gt;&lt;/FQL&gt;&lt;FQL&gt;&lt;Q&gt;VGK^FG_TOTAL_RETURNC(0,-3AM)&lt;/Q&gt;&lt;R&gt;1&lt;/R&gt;&lt;C&gt;1&lt;/C&gt;&lt;D xsi:type="xsd:double"&gt;5.4651737&lt;/D&gt;&lt;/FQL&gt;&lt;FQL&gt;&lt;Q&gt;USDITL^STD(FG_PRICE_CHANGE(0,-3AY,M))&lt;/Q&gt;&lt;R&gt;1&lt;/R&gt;&lt;C&gt;1&lt;/C&gt;&lt;D xsi:type="xsd:double"&gt;2.22271940521832&lt;/D&gt;&lt;/FQL&gt;&lt;FQL&gt;&lt;Q&gt;USDNZD^STD(FG_PRICE_CHANGE(0,-3AY,M))&lt;/Q&gt;&lt;R&gt;1&lt;/R&gt;&lt;C&gt;1&lt;/C&gt;&lt;D xsi:type="xsd:double"&gt;3.49434304497674&lt;/D&gt;&lt;/FQL&gt;&lt;FQL&gt;&lt;Q&gt;EWG^P_PRICE_RETURNS_PR('52W',2,-10AY,0,AM)&lt;/Q&gt;&lt;R&gt;121&lt;/R&gt;&lt;C&gt;1&lt;/C&gt;&lt;D xsi:type="xsd:double"&gt;29.102266&lt;/D&gt;&lt;D xsi:type="xsd:double"&gt;26.32345&lt;/D&gt;&lt;D xsi:type="xsd:double"&gt;24.071371&lt;/D&gt;&lt;D xsi:type="xsd:double"&gt;32.593227&lt;/D&gt;&lt;D xsi:type="xsd:double"&gt;9.600949&lt;/D&gt;&lt;D xsi:type="xsd:double"&gt;14.710522&lt;/D&gt;&lt;D xsi:type="xsd:double"&gt;-1.3759732&lt;/D&gt;&lt;D xsi:type="xsd:double"&gt;-6.58406&lt;/D&gt;&lt;D xsi:type="xsd:double"&gt;-2.2691429&lt;/D&gt;&lt;D xsi:type="xsd:double"&gt;-9.494901&lt;/D&gt;&lt;D xsi:type="xsd:double"&gt;-0.678277&lt;/D&gt;&lt;D xsi:type="xsd:double"&gt;-4.1408834&lt;/D&gt;&lt;D xsi:type="xsd:double"&gt;-1.9275844&lt;/D&gt;&lt;D xsi:type="xsd:double"&gt;-2.7819932&lt;/D&gt;&lt;D xsi:type="xsd:double"&gt;-6.2819777&lt;/D&gt;&lt;D xsi:type="xsd:double"&gt;-9.212196&lt;/D&gt;&lt;D xsi:type="xsd:double"&gt;0.88648796&lt;/D&gt;&lt;D xsi:type="xsd:double"&gt;-10.846418&lt;/D&gt;&lt;D xsi:type="xsd:double"&gt;-6.742507&lt;/D&gt;&lt;D xsi:type="xsd:double"&gt;1.6219258&lt;/D&gt;&lt;D xsi:type="xsd:double"&gt;-3.8689137&lt;/D&gt;&lt;D xsi:type="xsd:double"&gt;-4.678959&lt;/D&gt;&lt;D xsi:type="xsd:double"&gt;-14.831072&lt;/D&gt;&lt;D xsi:type="xsd:double"&gt;-15.070605&lt;/D&gt;&lt;D xsi:type="xsd:double"&gt;-14.801168&lt;/D&gt;&lt;D xsi:type="xsd:double"&gt;-12.754554&lt;/D&gt;&lt;D xsi:type="xsd:double"&gt;-10.647946&lt;/D&gt;&lt;D xsi:type="xsd:double"&gt;-12.140441&lt;/D&gt;&lt;D xsi:type="xsd:double"&gt;-9.13471&lt;/D&gt;&lt;D xsi:type="xsd:double"&gt;4.3566823&lt;/D&gt;&lt;D xsi:type="xsd:double"&gt;8.280766&lt;/D&gt;&lt;D xsi:type="xsd:double"&gt;-3.9027572&lt;/D&gt;&lt;D xsi:type="xsd:double"&gt;-5.549103&lt;/D&gt;&lt;D xsi:type="xsd:double"&gt;6.8748593&lt;/D&gt;&lt;D xsi:type="xsd:double"&gt;17.315186&lt;/D&gt;&lt;D xsi:type="xsd:double"&gt;17.252659&lt;/D&gt;&lt;D xsi:type="xsd:double"&gt;15.898585&lt;/D&gt;&lt;D xsi:type="xsd:double"&gt;21.236504&lt;/D&gt;&lt;D xsi:type="xsd:double"&gt;24.889278&lt;/D&gt;&lt;D xsi:type="xsd:double"&gt;28.070091&lt;/D&gt;&lt;D xsi:type="xsd:double"&gt;25.200676&lt;/D&gt;&lt;D xsi:type="xsd:double"&gt;19.625902&lt;/D&gt;&lt;D xsi:type="xsd:double"&gt;26.04233&lt;/D&gt;&lt;D xsi:type="xsd:double"&gt;34.221397&lt;/D&gt;&lt;D xsi:type="xsd:double"&gt;36.279&lt;/D&gt;&lt;D xsi:type="xsd:double"&gt;30.26706&lt;/D&gt;&lt;D xsi:type="xsd:double"&gt;25.431501&lt;/D&gt;&lt;D xsi:type="xsd:double"&gt;17.11582&lt;/D&gt;&lt;D xsi:type="xsd:double"&gt;13.197268&lt;/D&gt;&lt;D xsi:type="xsd:double"&gt;10.335505&lt;/D&gt;&lt;D xsi:type="xsd:double"&gt;3.1723619&lt;/D&gt;&lt;D xsi:type="xsd:double"&gt;1.4526725&lt;/D&gt;&lt;D xsi:type="xsd:double"&gt;1.9751787&lt;/D&gt;&lt;D xsi:type="xsd:double"&gt;-0.52205324&lt;/D&gt;&lt;D xsi:type="xsd:double"&gt;-6.8420053&lt;/D&gt;&lt;D xsi:type="xsd:double"&gt;-14.858067&lt;/D&gt;&lt;D xsi:type="xsd:double"&gt;-17.762262&lt;/D&gt;&lt;D xsi:type="xsd:double"&gt;-22.36032&lt;/D&gt;&lt;D xsi:type="xsd:double"&gt;-18.879044&lt;/D&gt;&lt;D xsi:type="xsd:double"&gt;-11.880427&lt;/D&gt;&lt;D xsi:type="xsd:double"&gt;-10.170096&lt;/D&gt;&lt;D xsi:type="xsd:double"&gt;-9.247065&lt;/D&gt;&lt;D xsi:type="xsd:double"&gt;-11.415821&lt;/D&gt;&lt;D xsi:type="xsd:double"&gt;-2.6142836&lt;/D&gt;&lt;D xsi:type="xsd:double"&gt;-10.987127&lt;/D&gt;&lt;D xsi:type="xsd:double"&gt;-8.774209&lt;/D&gt;&lt;D xsi:type="xsd:double"&gt;-7.82271&lt;/D&gt;&lt;D xsi:type="xsd:double"&gt;7.5116158&lt;/D&gt;&lt;D xsi:type="xsd:double"&gt;12.518156&lt;/D&gt;&lt;D xsi:type="xsd:double"&gt;21.277916&lt;/D&gt;&lt;D xsi:type="xsd:double"&gt;11.474824&lt;/D&gt;&lt;D xsi:type="xsd:double"&gt;1.8022776&lt;/D&gt;&lt;D xsi:type="xsd:double"&gt;-24.767273&lt;/D&gt;&lt;D xsi:type="xsd:double"&gt;-18.659157&lt;/D&gt;&lt;D xsi:type="xsd:double"&gt;3.631854&lt;/D&gt;&lt;D xsi:type="xsd:double"&gt;-1.0038435&lt;/D&gt;&lt;D xsi:type="xsd:double"&gt;10.491812&lt;/D&gt;&lt;D xsi:type="xsd:double"&gt;13.644671&lt;/D&gt;&lt;D xsi:type="xsd:double"&gt;13.1447315&lt;/D&gt;&lt;D xsi:type="xsd:double"&gt;-3.0934036&lt;/D&gt;&lt;D xsi:type="xsd:double"&gt;8.499122&lt;/D&gt;&lt;D xsi:type="xsd:double"&gt;12.264717&lt;/D&gt;&lt;D xsi:type="xsd:double"&gt;14.164829&lt;/D&gt;&lt;D xsi:type="xsd:double"&gt;21.217144&lt;/D&gt;&lt;D xsi:type="xsd:double"&gt;70.44282&lt;/D&gt;&lt;D xsi:type="xsd:double"&gt;52.045334&lt;/D&gt;&lt;D xsi:type="xsd:double"&gt;32.85301&lt;/D&gt;&lt;D xsi:type="xsd:double"&gt;29.986143&lt;/D&gt;&lt;D xsi:type="xsd:double"&gt;23.50545&lt;/D&gt;&lt;D xsi:type="xsd:double"&gt;20.918476&lt;/D&gt;&lt;D xsi:type="xsd:double"&gt;15.3719425&lt;/D&gt;&lt;D xsi:type="xsd:double"&gt;27.50659&lt;/D&gt;&lt;D xsi:type="xsd:double"&gt;5.602193&lt;/D&gt;&lt;D xsi:type="xsd:double"&gt;6.087601&lt;/D&gt;&lt;D xsi:type="xsd:double"&gt;1.0309815&lt;/D&gt;&lt;D xsi:type="xsd:double"&gt;-17.34298&lt;/D&gt;&lt;D xsi:type="xsd:double"&gt;-13.58589&lt;/D&gt;&lt;D xsi:type="xsd:double"&gt;-19.527&lt;/D&gt;&lt;D xsi:type="xsd:double"&gt;-21.924717&lt;/D&gt;&lt;D xsi:type="xsd:double"&gt;-30.947208&lt;/D&gt;&lt;D xsi:type="xsd:double"&gt;-28.574562&lt;/D&gt;&lt;D xsi:type="xsd:double"&gt;-36.91226&lt;/D&gt;&lt;D xsi:type="xsd:double"&gt;-32.289516&lt;/D&gt;&lt;D xsi:type="xsd:double"&gt;-32.795994&lt;/D&gt;&lt;D xsi:type="xsd:double"&gt;-16.462332&lt;/D&gt;&lt;D xsi:type="xsd:double"&gt;-19.786913&lt;/D&gt;&lt;D xsi:type="xsd:double"&gt;-8.610535&lt;/D&gt;&lt;D xsi:type="xsd:double"&gt;5.312836&lt;/D&gt;&lt;D xsi:type="xsd:double"&gt;3.34301&lt;/D&gt;&lt;D xsi:type="xsd:double"&gt;12.235176&lt;/D&gt;&lt;D xsi:type="xsd:double"&gt;6.553054&lt;/D&gt;&lt;D xsi:type="xsd:double"&gt;26.880014&lt;/D&gt;&lt;D xsi:type="xsd:double"&gt;21.452105&lt;/D&gt;&lt;D xsi:type="xsd:double"&gt;31.744062&lt;/D&gt;&lt;D xsi:type="xsd:double"&gt;24.0803&lt;/D&gt;&lt;D xsi:type="xsd:double"&gt;27.078379&lt;/D&gt;&lt;D xsi:type="xsd:double"&gt;14.360178&lt;/D&gt;&lt;D xsi:type="xsd:double"&gt;15.30224&lt;/D&gt;&lt;D xsi:type="xsd:double"&gt;4.0325284&lt;/D&gt;&lt;D xsi:type="xsd:double"&gt;13.0116825&lt;/D&gt;&lt;D xsi:type="xsd:double"&gt;12.467098&lt;/D&gt;&lt;/FQL&gt;&lt;FQL&gt;&lt;Q&gt;ENZL^FMA_DIV_YLD(NTMA,-10AY,0,AM,"PORTAGG","MEANR")&lt;/Q&gt;&lt;R&gt;121&lt;/R&gt;&lt;C&gt;1&lt;/C&gt;&lt;D xsi:type="xsd:double"&gt;4.08956779228058&lt;/D&gt;&lt;D xsi:type="xsd:double"&gt;4.02334072565347&lt;/D&gt;&lt;D xsi:type="xsd:double"&gt;4.22459215842641&lt;/D&gt;&lt;D xsi:type="xsd:double"&gt;4.421391511775&lt;/D&gt;&lt;D xsi:type="xsd:double"&gt;4.52226183423207&lt;/D&gt;&lt;D xsi:type="xsd:double"&gt;4.55382978474397&lt;/D&gt;&lt;D xsi:type="xsd:double"&gt;4.6018441958213&lt;/D&gt;&lt;D xsi:type="xsd:double"&gt;4.47990058818705&lt;/D&gt;&lt;D xsi:type="xsd:double"&gt;4.50759642453152&lt;/D&gt;&lt;D xsi:type="xsd:double"&gt;4.43586796347832&lt;/D&gt;&lt;D xsi:type="xsd:double"&gt;4.29396463405057&lt;/D&gt;&lt;D xsi:type="xsd:double"&gt;4.27869395824602&lt;/D&gt;&lt;D xsi:type="xsd:double"&gt;4.4138014957123&lt;/D&gt;&lt;D xsi:type="xsd:double"&gt;4.47980108278334&lt;/D&gt;&lt;D xsi:type="xsd:double"&gt;4.42013617145957&lt;/D&gt;&lt;D xsi:type="xsd:double"&gt;4.61186719416915&lt;/D&gt;&lt;D xsi:type="xsd:double"&gt;4.53940046707195&lt;/D&gt;&lt;D xsi:type="xsd:double"&gt;5.22260074814821&lt;/D&gt;&lt;D xsi:type="xsd:double"&gt;5.29837676602734&lt;/D&gt;&lt;D xsi:type="xsd:double"&gt;4.84257685862867&lt;/D&gt;&lt;D xsi:type="xsd:double"&gt;4.78887374216258&lt;/D&gt;&lt;D xsi:type="xsd:double"&gt;4.73019526883236&lt;/D&gt;&lt;D xsi:type="xsd:double"&gt;4.88158054383727&lt;/D&gt;&lt;D xsi:type="xsd:double"&gt;4.73556904345562&lt;/D&gt;&lt;D xsi:type="xsd:double"&gt;4.55408948144109&lt;/D&gt;&lt;D xsi:type="xsd:double"&gt;4.57543464845833&lt;/D&gt;&lt;D xsi:type="xsd:double"&gt;4.32438540893238&lt;/D&gt;&lt;D xsi:type="xsd:double"&gt;4.39813902459698&lt;/D&gt;&lt;D xsi:type="xsd:double"&gt;4.17563823313295&lt;/D&gt;&lt;D xsi:type="xsd:double"&gt;4.19990245517957&lt;/D&gt;&lt;D xsi:type="xsd:double"&gt;4.31175282565325&lt;/D&gt;&lt;D xsi:type="xsd:double"&gt;4.75554800541407&lt;/D&gt;&lt;D xsi:type="xsd:double"&gt;4.57716127993359&lt;/D&gt;&lt;D xsi:type="xsd:double"&gt;4.58549512298602&lt;/D&gt;&lt;D xsi:type="xsd:double"&gt;4.48771596543018&lt;/D&gt;&lt;D xsi:type="xsd:double"&gt;4.53853881969885&lt;/D&gt;&lt;D xsi:type="xsd:double"&gt;4.54873372882403&lt;/D&gt;&lt;D xsi:type="xsd:double"&gt;4.49209203792424&lt;/D&gt;&lt;D xsi:type="xsd:double"&gt;4.41186765273181&lt;/D&gt;&lt;D xsi:type="xsd:double"&gt;4.40722247995424&lt;/D&gt;&lt;D xsi:type="xsd:double"&gt;4.36176346834037&lt;/D&gt;&lt;D xsi:type="xsd:double"&gt;4.38776912924581&lt;/D&gt;&lt;D xsi:type="xsd:double"&gt;4.41232287093179&lt;/D&gt;&lt;D xsi:type="xsd:double"&gt;4.40757024033168&lt;/D&gt;&lt;D xsi:type="xsd:double"&gt;4.34107064650019&lt;/D&gt;&lt;D xsi:type="xsd:double"&gt;4.18763419493342&lt;/D&gt;&lt;D xsi:type="xsd:double"&gt;4.19229139119894&lt;/D&gt;&lt;D xsi:type="xsd:double"&gt;4.28903646170116&lt;/D&gt;&lt;D xsi:type="xsd:double"&gt;4.27968682036714&lt;/D&gt;&lt;D xsi:type="xsd:double"&gt;4.2158892253854&lt;/D&gt;&lt;D xsi:type="xsd:double"&gt;4.17116088116122&lt;/D&gt;&lt;D xsi:type="xsd:double"&gt;4.0145683088214&lt;/D&gt;&lt;D xsi:type="xsd:double"&gt;4.14032000134658&lt;/D&gt;&lt;D xsi:type="xsd:double"&gt;3.91706862281149&lt;/D&gt;&lt;D xsi:type="xsd:double"&gt;4.03406067041509&lt;/D&gt;&lt;D xsi:type="xsd:double"&gt;4.2119740238095&lt;/D&gt;&lt;D xsi:type="xsd:double"&gt;4.11557429556026&lt;/D&gt;&lt;D xsi:type="xsd:double"&gt;4.19553378891551&lt;/D&gt;&lt;D xsi:type="xsd:double"&gt;4.10946320305568&lt;/D&gt;&lt;D xsi:type="xsd:double"&gt;3.88870717429911&lt;/D&gt;&lt;D xsi:type="xsd:double"&gt;3.74390326733271&lt;/D&gt;&lt;D xsi:type="xsd:double"&gt;3.69585971302899&lt;/D&gt;&lt;D xsi:type="xsd:double"&gt;3.78151995234376&lt;/D&gt;&lt;D xsi:type="xsd:double"&gt;3.55098170069715&lt;/D&gt;&lt;D xsi:type="xsd:double"&gt;3.40664928809239&lt;/D&gt;&lt;D xsi:type="xsd:double"&gt;3.3041253025852&lt;/D&gt;&lt;D xsi:type="xsd:double"&gt;3.34766372956525&lt;/D&gt;&lt;D xsi:type="xsd:double"&gt;3.36990445776179&lt;/D&gt;&lt;D xsi:type="xsd:double"&gt;3.26626182715798&lt;/D&gt;&lt;D xsi:type="xsd:double"&gt;3.1561350172961&lt;/D&gt;&lt;D xsi:type="xsd:double"&gt;3.15622527611433&lt;/D&gt;&lt;D xsi:type="xsd:double"&gt;3.12781087423419&lt;/D&gt;&lt;D xsi:type="xsd:double"&gt;3.19252120161163&lt;/D&gt;&lt;D xsi:type="xsd:double"&gt;2.70658803564104&lt;/D&gt;&lt;D xsi:type="xsd:double"&gt;2.54012925470259&lt;/D&gt;&lt;D xsi:type="xsd:double"&gt;2.471428962794&lt;/D&gt;&lt;D xsi:type="xsd:double"&gt;2.36539162375371&lt;/D&gt;&lt;D xsi:type="xsd:double"&gt;2.39305419610162&lt;/D&gt;&lt;D xsi:type="xsd:double"&gt;2.45194195042328&lt;/D&gt;&lt;D xsi:type="xsd:double"&gt;2.40976755305971&lt;/D&gt;&lt;D xsi:type="xsd:double"&gt;2.41401243720251&lt;/D&gt;&lt;D xsi:type="xsd:double"&gt;2.41413886685847&lt;/D&gt;&lt;D xsi:type="xsd:double"&gt;2.50407364765072&lt;/D&gt;&lt;D xsi:type="xsd:double"&gt;2.61719421892369&lt;/D&gt;&lt;D xsi:type="xsd:double"&gt;2.59658834852817&lt;/D&gt;&lt;D xsi:type="xsd:double"&gt;2.55863974543965&lt;/D&gt;&lt;D xsi:type="xsd:double"&gt;2.6873857162312&lt;/D&gt;&lt;D xsi:type="xsd:double"&gt;2.62741353935943&lt;/D&gt;&lt;D xsi:type="xsd:double"&gt;2.61640257026835&lt;/D&gt;&lt;D xsi:type="xsd:double"&gt;2.56673108457664&lt;/D&gt;&lt;D xsi:type="xsd:double"&gt;2.60829846330772&lt;/D&gt;&lt;D xsi:type="xsd:double"&gt;2.68488414758767&lt;/D&gt;&lt;D xsi:type="xsd:double"&gt;2.79989558787856&lt;/D&gt;&lt;D xsi:type="xsd:double"&gt;2.77221804995814&lt;/D&gt;&lt;D xsi:type="xsd:double"&gt;2.9508850358634&lt;/D&gt;&lt;D xsi:type="xsd:double"&gt;3.00709853716239&lt;/D&gt;&lt;D xsi:type="xsd:double"&gt;3.08426673508552&lt;/D&gt;&lt;D xsi:type="xsd:double"&gt;3.09803528603333&lt;/D&gt;&lt;D xsi:type="xsd:double"&gt;3.20359566457096&lt;/D&gt;&lt;D xsi:type="xsd:double"&gt;3.4094977645468&lt;/D&gt;&lt;D xsi:type="xsd:double"&gt;3.18936434001033&lt;/D&gt;&lt;D xsi:type="xsd:double"&gt;3.197503068986&lt;/D&gt;&lt;D xsi:type="xsd:double"&gt;3.41395046271797&lt;/D&gt;&lt;D xsi:type="xsd:double"&gt;3.40484138922669&lt;/D&gt;&lt;D xsi:type="xsd:double"&gt;3.3885573622714&lt;/D&gt;&lt;D xsi:type="xsd:double"&gt;3.43536594976744&lt;/D&gt;&lt;D xsi:type="xsd:double"&gt;3.27893814915574&lt;/D&gt;&lt;D xsi:type="xsd:double"&gt;3.39166294302606&lt;/D&gt;&lt;D xsi:type="xsd:double"&gt;3.39496645294891&lt;/D&gt;&lt;D xsi:type="xsd:double"&gt;3.40701420995227&lt;/D&gt;&lt;D xsi:type="xsd:double"&gt;3.4176437566001&lt;/D&gt;&lt;D xsi:type="xsd:double"&gt;3.41446789241457&lt;/D&gt;&lt;D xsi:type="xsd:double"&gt;3.44632996458741&lt;/D&gt;&lt;D xsi:type="xsd:double"&gt;3.30749301857006&lt;/D&gt;&lt;D xsi:type="xsd:double"&gt;3.44789914814076&lt;/D&gt;&lt;D xsi:type="xsd:double"&gt;3.47318267410976&lt;/D&gt;&lt;D xsi:type="xsd:double"&gt;3.13538169034232&lt;/D&gt;&lt;D xsi:type="xsd:double"&gt;2.98910365953439&lt;/D&gt;&lt;D xsi:type="xsd:double"&gt;2.98201763322357&lt;/D&gt;&lt;D xsi:type="xsd:double"&gt;2.77763087663516&lt;/D&gt;&lt;D xsi:type="xsd:double"&gt;2.76541941820657&lt;/D&gt;&lt;/FQL&gt;&lt;FQL&gt;&lt;Q&gt;DDR3512M-FDS^FG_PRICE(0)/MAX(FG_PRICE(0,-1AY))&lt;/Q&gt;&lt;R&gt;1&lt;/R&gt;&lt;C&gt;1&lt;/C&gt;&lt;D xsi:type="xsd:double"&gt;0.848931322569592&lt;/D&gt;&lt;/FQL&gt;&lt;FQL&gt;&lt;Q&gt;NI-FDS^FG_PRICE_CHANGE(0,-6AM)&lt;/Q&gt;&lt;R&gt;1&lt;/R&gt;&lt;C&gt;1&lt;/C&gt;&lt;D xsi:type="xsd:double"&gt;-7.36559139784946&lt;/D&gt;&lt;/FQL&gt;&lt;FQL&gt;&lt;Q&gt;BRENT-FDS^MAX(FG_PRICE(0,-5AY))&lt;/Q&gt;&lt;R&gt;1&lt;/R&gt;&lt;C&gt;1&lt;/C&gt;&lt;D xsi:type="xsd:double"&gt;140.85&lt;/D&gt;&lt;/FQL&gt;&lt;FQL&gt;&lt;Q&gt;EWJ^FG_TOTAL_RETURNC(0,-6AM)&lt;/Q&gt;&lt;R&gt;1&lt;/R&gt;&lt;C&gt;1&lt;/C&gt;&lt;D xsi:type="xsd:double"&gt;21.625053&lt;/D&gt;&lt;/FQL&gt;&lt;FQL&gt;&lt;Q&gt;QQQ^P_PRICE(0)/P_PRICE_HIGH_PR(0,,,USD,,,"PRICE","INTRA","52W")&lt;/Q&gt;&lt;R&gt;1&lt;/R&gt;&lt;C&gt;1&lt;/C&gt;&lt;D xsi:type="xsd:double"&gt;0.9688432&lt;/D&gt;&lt;/FQL&gt;&lt;FQL&gt;&lt;Q&gt;QQQ^FMA_COS_DOWN("EPS","1M",+1,0,,,"PORTAGG","MEANR")&lt;/Q&gt;&lt;R&gt;1&lt;/R&gt;&lt;C&gt;1&lt;/C&gt;&lt;D xsi:type="xsd:double"&gt;27&lt;/D&gt;&lt;/FQL&gt;&lt;FQL&gt;&lt;Q&gt;TRYCH10Y-FDS^FG_YIELD_NAME&lt;/Q&gt;&lt;R&gt;1&lt;/R&gt;&lt;C&gt;1&lt;/C&gt;&lt;D xsi:type="xsd:string"&gt;Treasury - Switzerland Benchmark Bond 10Y&lt;/D&gt;&lt;/FQL&gt;&lt;FQL&gt;&lt;Q&gt;REFEUREFI-FDS^(SUBARRAY(NOT_NA(NO_REPEAT_F(FG_YIELD(NOW,-10AY,D))),0,1)-SUBARRAY(NOT_NA(NO_REPEAT_F(FG_YIELD(NOW,-10AY,D))),1,1))*100&lt;/Q&gt;&lt;R&gt;1&lt;/R&gt;&lt;C&gt;1&lt;/C&gt;&lt;D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xsi:type="xsd:double"&gt;25&lt;/D&gt;&lt;/FQL&gt;&lt;FQL&gt;&lt;Q&gt;TRYNL10Y-FDS^FG_YIELD(0,,,,"YTM")&lt;/Q&gt;&lt;R&gt;1&lt;/R&gt;&lt;C&gt;1&lt;/C&gt;&lt;D xsi:type="xsd:double"&gt;2.653&lt;/D&gt;&lt;/FQL&gt;&lt;FQL&gt;&lt;Q&gt;TRYNZ10Y-FDS^FG_YIELD(0,,,,"YTM")&lt;/Q&gt;&lt;R&gt;1&lt;/R&gt;&lt;C&gt;1&lt;/C&gt;&lt;D xsi:type="xsd:double"&gt;4.6541&lt;/D&gt;&lt;/FQL&gt;&lt;FQL&gt;&lt;Q&gt;VWO^FG_PE(0)&lt;/Q&gt;&lt;R&gt;1&lt;/R&gt;&lt;C&gt;1&lt;/C&gt;&lt;D xsi:type="xsd:double"&gt;13.8764634594074&lt;/D&gt;&lt;/FQL&gt;&lt;FQL&gt;&lt;Q&gt;SPY^FMA_PE(LTM,0,,,"PORTAGG","MEANR")&lt;/Q&gt;&lt;R&gt;1&lt;/R&gt;&lt;C&gt;1&lt;/C&gt;&lt;D xsi:type="xsd:double"&gt;25.7985879385621&lt;/D&gt;&lt;/FQL&gt;&lt;FQL&gt;&lt;Q&gt;EWC^FG_FCF_YIELD_NTM(0)&lt;/Q&gt;&lt;R&gt;1&lt;/R&gt;&lt;C&gt;1&lt;/C&gt;&lt;D xsi:type="xsd:double"&gt;5.03372753558792&lt;/D&gt;&lt;/FQL&gt;&lt;FQL&gt;&lt;Q&gt;VGK^FG_TOTAL_RETURNC(0,-1AM)&lt;/Q&gt;&lt;R&gt;1&lt;/R&gt;&lt;C&gt;1&lt;/C&gt;&lt;D xsi:type="xsd:double"&gt;1.948595&lt;/D&gt;&lt;/FQL&gt;&lt;FQL&gt;&lt;Q&gt;GLD^P_PRICE(0)/P_PRICE_HIGH_PR(0,,,USD,,,"PRICE","INTRA","52W")&lt;/Q&gt;&lt;R&gt;1&lt;/R&gt;&lt;C&gt;1&lt;/C&gt;&lt;D xsi:type="xsd:double"&gt;0.9909581&lt;/D&gt;&lt;/FQL&gt;&lt;FQL&gt;&lt;Q&gt;EWI^FG_ROE(0)&lt;/Q&gt;&lt;R&gt;1&lt;/R&gt;&lt;C&gt;1&lt;/C&gt;&lt;D xsi:type="xsd:double"&gt;13.3049481481239&lt;/D&gt;&lt;/FQL&gt;&lt;FQL&gt;&lt;Q&gt;TRYUS10Y-FDS^PCTCHG(FG_YIELD(0,,,,"YTM"),FG_YIELD(-1AM,,,,"YTM"))&lt;/Q&gt;&lt;R&gt;1&lt;/R&gt;&lt;C&gt;1&lt;/C&gt;&lt;D xsi:type="xsd:double"&gt;2.0493367&lt;/D&gt;&lt;/FQL&gt;&lt;FQL&gt;&lt;Q&gt;EWN^FMA_EVAL_EBIT(LTMA,NOW,NOW,M,"PORTAGG","MEANR")&lt;/Q&gt;&lt;R&gt;1&lt;/R&gt;&lt;C&gt;1&lt;/C&gt;&lt;D xsi:type="xsd:double"&gt;22.3146023889316&lt;/D&gt;&lt;/FQL&gt;&lt;FQL&gt;&lt;Q&gt;EWL^FMA_PE(NTMA,0,,,"PORTAGG","MEANR")&lt;/Q&gt;&lt;R&gt;1&lt;/R&gt;&lt;C&gt;1&lt;/C&gt;&lt;D xsi:type="xsd:double"&gt;17.4129977844879&lt;/D&gt;&lt;/FQL&gt;&lt;FQL&gt;&lt;Q&gt;EWC^FMA_DIV_YLD(NTMA,NOW,NOW,M,"PORTAGG","MEANR")&lt;/Q&gt;&lt;R&gt;1&lt;/R&gt;&lt;C&gt;1&lt;/C&gt;&lt;D xsi:type="xsd:double"&gt;3.10692325273597&lt;/D&gt;&lt;/FQL&gt;&lt;FQL&gt;&lt;Q&gt;DUMMY^ECON_EXPR_DATA('FDS_ECON[NTCPMIMFGSA@SE]',03/2024,,M)&lt;/Q&gt;&lt;R&gt;0&lt;/R&gt;&lt;C&gt;0&lt;/C&gt;&lt;/FQL&gt;&lt;FQL&gt;&lt;Q&gt;TLT^FG_TOTAL_RETURNC(0,-6AM)&lt;/Q&gt;&lt;R&gt;1&lt;/R&gt;&lt;C&gt;1&lt;/C&gt;&lt;D xsi:type="xsd:double"&gt;9.529102&lt;/D&gt;&lt;/FQL&gt;&lt;FQL&gt;&lt;Q&gt;URTH^FMA_COS_DOWN("EPS","1M",+1,0,,,"PORTAGG","MEANR")&lt;/Q&gt;&lt;R&gt;1&lt;/R&gt;&lt;C&gt;1&lt;/C&gt;&lt;D xsi:type="xsd:double"&gt;536&lt;/D&gt;&lt;/FQL&gt;&lt;FQL&gt;&lt;Q&gt;EWL^JULIAN(FMA_DIV_YLD(NTMA,NOW,NOW,M,"PORTAGG","MEANR").DATES)&lt;/Q&gt;&lt;R&gt;1&lt;/R&gt;&lt;C&gt;1&lt;/C&gt;&lt;D xsi:type="xsd:long"&gt;45379&lt;/D&gt;&lt;/FQL&gt;&lt;FQL&gt;&lt;Q&gt;EWI^FG_PRICE_MAVG(0,,,,30)&lt;/Q&gt;&lt;R&gt;1&lt;/R&gt;&lt;C&gt;1&lt;/C&gt;&lt;D xsi:type="xsd:double"&gt;36.83&lt;/D&gt;&lt;/FQL&gt;&lt;FQL&gt;&lt;Q&gt;TRYCA10Y-FDS^PCTCHG(FG_YIELD(0,,,,"YTM"),FG_YIELD(-1AM,,,,"YTM"))&lt;/Q&gt;&lt;R&gt;1&lt;/R&gt;&lt;C&gt;1&lt;/C&gt;&lt;D xsi:type="xsd:double"&gt;3.1616488&lt;/D&gt;&lt;/FQL&gt;&lt;FQL&gt;&lt;Q&gt;EWG^FMA_EPS(NTMA,-20AY,0,CY,,"PORTAGG","MEANR")&lt;/Q&gt;&lt;R&gt;20&lt;/R&gt;&lt;C&gt;1&lt;/C&gt;&lt;D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xsi:type="xsd:double"&gt;1.97990608176048&lt;/D&gt;&lt;D xsi:type="xsd:double"&gt;2.44949512523756&lt;/D&gt;&lt;D xsi:type="xsd:double"&gt;2.36388795150729&lt;/D&gt;&lt;D xsi:type="xsd:double"&gt;2.65680492825543&lt;/D&gt;&lt;/FQL&gt;&lt;FQL&gt;&lt;Q&gt;EWD^P_PRICE(0)/P_PRICE_HIGH_PR(0,,,USD,,,"PRICE","INTRA","52W")&lt;/Q&gt;&lt;R&gt;1&lt;/R&gt;&lt;C&gt;1&lt;/C&gt;&lt;D xsi:type="xsd:double"&gt;0.9581328&lt;/D&gt;&lt;/FQL&gt;&lt;FQL&gt;&lt;Q&gt;EWD^FMA_COS_DOWN("EPS","1M",+1,0,,,"PORTAGG","MEANR")&lt;/Q&gt;&lt;R&gt;1&lt;/R&gt;&lt;C&gt;1&lt;/C&gt;&lt;D xsi:type="xsd:double"&gt;13&lt;/D&gt;&lt;/FQL&gt;&lt;FQL&gt;&lt;Q&gt;EWG^FG_FCF_YIELD_NTM(0)&lt;/Q&gt;&lt;R&gt;1&lt;/R&gt;&lt;C&gt;1&lt;/C&gt;&lt;D xsi:type="xsd:double"&gt;6.04076073007603&lt;/D&gt;&lt;/FQL&gt;&lt;FQL&gt;&lt;Q&gt;USDJPY^STD(FG_PRICE_CHANGE(0,-1AY,AM))&lt;/Q&gt;&lt;R&gt;1&lt;/R&gt;&lt;C&gt;1&lt;/C&gt;&lt;D xsi:type="xsd:double"&gt;2.33291724122423&lt;/D&gt;&lt;/FQL&gt;&lt;FQL&gt;&lt;Q&gt;SPY^FG_PRICE_MAVG(0,,,,60)&lt;/Q&gt;&lt;R&gt;1&lt;/R&gt;&lt;C&gt;1&lt;/C&gt;&lt;D xsi:type="xsd:double"&gt;501.52335&lt;/D&gt;&lt;/FQL&gt;&lt;FQL&gt;&lt;Q&gt;ENZL^FG_PRICE_MAVG(0,,,,200)&lt;/Q&gt;&lt;R&gt;1&lt;/R&gt;&lt;C&gt;1&lt;/C&gt;&lt;D xsi:type="xsd:double"&gt;46.058037&lt;/D&gt;&lt;/FQL&gt;&lt;FQL&gt;&lt;Q&gt;EWJ^PERCENT_CHANGE(FMA_EPS(+1,0,,,,"PORTAGG","MEAN"),FMA_EPS(+1,-1AM,,,,"PORTAGG","MEAN"))&lt;/Q&gt;&lt;R&gt;1&lt;/R&gt;&lt;C&gt;1&lt;/C&gt;&lt;D xsi:type="xsd:double"&gt;1.88359578975572&lt;/D&gt;&lt;/FQL&gt;&lt;FQL&gt;&lt;Q&gt;EWN^PERCENT_CHANGE(FMA_EPS(+1,0,,,,"PORTAGG","MEAN"),FMA_EPS(+1,-3AM,,,,"PORTAGG","MEAN"))&lt;/Q&gt;&lt;R&gt;1&lt;/R&gt;&lt;C&gt;1&lt;/C&gt;&lt;D xsi:type="xsd:double"&gt;0.82963347019367&lt;/D&gt;&lt;/FQL&gt;&lt;FQL&gt;&lt;Q&gt;QQQ^PERCENT_CHANGE(FMA_EPS(+1,0,,,,"PORTAGG","MEAN"),FMA_EPS(+1,-3AM,,,,"PORTAGG","MEAN"))&lt;/Q&gt;&lt;R&gt;1&lt;/R&gt;&lt;C&gt;1&lt;/C&gt;&lt;D xsi:type="xsd:double"&gt;0.266608218884664&lt;/D&gt;&lt;/FQL&gt;&lt;FQL&gt;&lt;Q&gt;EWA^FG_TOTAL_RETURNC(0,-6AM)&lt;/Q&gt;&lt;R&gt;1&lt;/R&gt;&lt;C&gt;1&lt;/C&gt;&lt;D xsi:type="xsd:double"&gt;19.298279&lt;/D&gt;&lt;/FQL&gt;&lt;FQL&gt;&lt;Q&gt;ENZL^FMA_COS_UP("EPS","1M",+1,0,,,"PORTAGG","MEANR")&lt;/Q&gt;&lt;R&gt;1&lt;/R&gt;&lt;C&gt;1&lt;/C&gt;&lt;D xsi:type="xsd:double"&gt;4&lt;/D&gt;&lt;/FQL&gt;&lt;FQL&gt;&lt;Q&gt;GLD^FG_TOTAL_RETURNC(0,-6AM)&lt;/Q&gt;&lt;R&gt;1&lt;/R&gt;&lt;C&gt;1&lt;/C&gt;&lt;D xsi:type="xsd:double"&gt;25.056171&lt;/D&gt;&lt;/FQL&gt;&lt;FQL&gt;&lt;Q&gt;TLT^FG_TOTAL_RETURNC(0,-3AM)&lt;/Q&gt;&lt;R&gt;1&lt;/R&gt;&lt;C&gt;1&lt;/C&gt;&lt;D xsi:type="xsd:double"&gt;-3.7461877&lt;/D&gt;&lt;/FQL&gt;&lt;FQL&gt;&lt;Q&gt;EWQ^FG_FCF_YIELD_NTM(0)&lt;/Q&gt;&lt;R&gt;1&lt;/R&gt;&lt;C&gt;1&lt;/C&gt;&lt;D xsi:type="xsd:double"&gt;5.53763730830221&lt;/D&gt;&lt;/FQL&gt;&lt;FQL&gt;&lt;Q&gt;USDCAD^FG_PRICE_CHANGE(0,-6AM)&lt;/Q&gt;&lt;R&gt;1&lt;/R&gt;&lt;C&gt;1&lt;/C&gt;&lt;D xsi:type="xsd:double"&gt;-2.0835578&lt;/D&gt;&lt;/FQL&gt;&lt;FQL&gt;&lt;Q&gt;DUMMY^ECON_EXPR_DATA('FDS_ECON[NTCPMIMFGSA@NL]',03/2024,,M)&lt;/Q&gt;&lt;R&gt;1&lt;/R&gt;&lt;C&gt;1&lt;/C&gt;&lt;D xsi:type="xsd:double"&gt;49.698322&lt;/D&gt;&lt;/FQL&gt;&lt;FQL&gt;&lt;Q&gt;CAGDPY@SE^EE_ACTUAL_ANNUAL(MED,0)&lt;/Q&gt;&lt;R&gt;1&lt;/R&gt;&lt;C&gt;1&lt;/C&gt;&lt;D xsi:type="xsd:double"&gt;6.76905401199225&lt;/D&gt;&lt;/FQL&gt;&lt;FQL&gt;&lt;Q&gt;USDITL^STD(FG_PRICE_CHANGE(0,-1AY,AM))&lt;/Q&gt;&lt;R&gt;1&lt;/R&gt;&lt;C&gt;1&lt;/C&gt;&lt;D xsi:type="xsd:double"&gt;1.91073331543413&lt;/D&gt;&lt;/FQL&gt;&lt;FQL&gt;&lt;Q&gt;USDNZD^STD(FG_PRICE_CHANGE(0,-1AY,AM))&lt;/Q&gt;&lt;R&gt;1&lt;/R&gt;&lt;C&gt;1&lt;/C&gt;&lt;D xsi:type="xsd:double"&gt;2.04748538554669&lt;/D&gt;&lt;/FQL&gt;&lt;FQL&gt;&lt;Q&gt;EWC^P_PRICE_RETURNS_PR('52W',2,-10AY,0,AM)&lt;/Q&gt;&lt;R&gt;121&lt;/R&gt;&lt;C&gt;1&lt;/C&gt;&lt;D xsi:type="xsd:double"&gt;10.432541&lt;/D&gt;&lt;D xsi:type="xsd:double"&gt;12.745869&lt;/D&gt;&lt;D xsi:type="xsd:double"&gt;13.546478&lt;/D&gt;&lt;D xsi:type="xsd:double"&gt;27.272224&lt;/D&gt;&lt;D xsi:type="xsd:double"&gt;18.551327&lt;/D&gt;&lt;D xsi:type="xsd:double"&gt;20.838022&lt;/D&gt;&lt;D xsi:type="xsd:double"&gt;9.735859&lt;/D&gt;&lt;D xsi:type="xsd:double"&gt;1.00981&lt;/D&gt;&lt;D xsi:type="xsd:double"&gt;5.2304745&lt;/D&gt;&lt;D xsi:type="xsd:double"&gt;1.180768&lt;/D&gt;&lt;D xsi:type="xsd:double"&gt;1.0248303&lt;/D&gt;&lt;D xsi:type="xsd:double"&gt;-2.5491416&lt;/D&gt;&lt;D xsi:type="xsd:double"&gt;-5.4311695&lt;/D&gt;&lt;D xsi:type="xsd:double"&gt;-2.2017598&lt;/D&gt;&lt;D xsi:type="xsd:double"&gt;-8.2230625&lt;/D&gt;&lt;D xsi:type="xsd:double"&gt;-15.785461&lt;/D&gt;&lt;D xsi:type="xsd:double"&gt;-19.010645&lt;/D&gt;&lt;D xsi:type="xsd:double"&gt;-27.210014&lt;/D&gt;&lt;D xsi:type="xsd:double"&gt;-21.478992&lt;/D&gt;&lt;D xsi:type="xsd:double"&gt;-15.639472&lt;/D&gt;&lt;D xsi:type="xsd:double"&gt;-19.893826&lt;/D&gt;&lt;D xsi:type="xsd:double"&gt;-24.562103&lt;/D&gt;&lt;D xsi:type="xsd:double"&gt;-20.604647&lt;/D&gt;&lt;D xsi:type="xsd:double"&gt;-17.161304&lt;/D&gt;&lt;D xsi:type="xsd:double"&gt;-13.794129999999999&lt;/D&gt;&lt;D xsi:type="xsd:double"&gt;-15.865517&lt;/D&gt;&lt;D xsi:type="xsd:double"&gt;-8.655209&lt;/D&gt;&lt;D xsi:type="xsd:double"&gt;-4.4914007&lt;/D&gt;&lt;D xsi:type="xsd:double"&gt;1.0770559&lt;/D&gt;&lt;D xsi:type="xsd:double"&gt;12.184143&lt;/D&gt;&lt;D xsi:type="xsd:double"&gt;10.388589&lt;/D&gt;&lt;D xsi:type="xsd:double"&gt;6.210375&lt;/D&gt;&lt;D xsi:type="xsd:double"&gt;15.108955&lt;/D&gt;&lt;D xsi:type="xsd:double"&gt;28.46458&lt;/D&gt;&lt;D xsi:type="xsd:double"&gt;32.828667&lt;/D&gt;&lt;D xsi:type="xsd:double"&gt;22.034157&lt;/D&gt;&lt;D xsi:type="xsd:double"&gt;17.342054&lt;/D&gt;&lt;D xsi:type="xsd:double"&gt;8.753693&lt;/D&gt;&lt;D xsi:type="xsd:double"&gt;8.957493&lt;/D&gt;&lt;D xsi:type="xsd:double"&gt;10.485638&lt;/D&gt;&lt;D xsi:type="xsd:double"&gt;12.5300045&lt;/D&gt;&lt;D xsi:type="xsd:double"&gt;12.299013&lt;/D&gt;&lt;D xsi:type="xsd:double"&gt;17.492437&lt;/D&gt;&lt;D xsi:type="xsd:double"&gt;18.242287&lt;/D&gt;&lt;D xsi:type="xsd:double"&gt;13.401354&lt;/D&gt;&lt;D xsi:type="xsd:double"&gt;15.443826&lt;/D&gt;&lt;D xsi:type="xsd:double"&gt;8.843601&lt;/D&gt;&lt;D xsi:type="xsd:double"&gt;5.1779985&lt;/D&gt;&lt;D xsi:type="xsd:double"&gt;4.205477&lt;/D&gt;&lt;D xsi:type="xsd:double"&gt;12.007177&lt;/D&gt;&lt;D xsi:type="xsd:double"&gt;9.249437&lt;/D&gt;&lt;D xsi:type="xsd:double"&gt;7.7688813&lt;/D&gt;&lt;D xsi:type="xsd:double"&gt;7.4887037&lt;/D&gt;&lt;D xsi:type="xsd:double"&gt;2.8838158&lt;/D&gt;&lt;D xsi:type="xsd:double"&gt;0.6470442&lt;/D&gt;&lt;D xsi:type="xsd:double"&gt;-5.7732344&lt;/D&gt;&lt;D xsi:type="xsd:double"&gt;-7.595891&lt;/D&gt;&lt;D xsi:type="xsd:double"&gt;-16.434938&lt;/D&gt;&lt;D xsi:type="xsd:double"&gt;-3.7465394&lt;/D&gt;&lt;D xsi:type="xsd:double"&gt;3.1156063&lt;/D&gt;&lt;D xsi:type="xsd:double"&gt;4.798007&lt;/D&gt;&lt;D xsi:type="xsd:double"&gt;3.4659624&lt;/D&gt;&lt;D xsi:type="xsd:double"&gt;1.0996699&lt;/D&gt;&lt;D xsi:type="xsd:double"&gt;4.6184063&lt;/D&gt;&lt;D xsi:type="xsd:double"&gt;-1.407367&lt;/D&gt;&lt;D xsi:type="xsd:double"&gt;2.5257468&lt;/D&gt;&lt;D xsi:type="xsd:double"&gt;1.1324883&lt;/D&gt;&lt;D xsi:type="xsd:double"&gt;12.190378&lt;/D&gt;&lt;D xsi:type="xsd:double"&gt;14.200628&lt;/D&gt;&lt;D xsi:type="xsd:double"&gt;26.936483&lt;/D&gt;&lt;D xsi:type="xsd:double"&gt;12.819481&lt;/D&gt;&lt;D xsi:type="xsd:double"&gt;4.807341&lt;/D&gt;&lt;D xsi:type="xsd:double"&gt;-23.353922&lt;/D&gt;&lt;D xsi:type="xsd:double"&gt;-13.670069&lt;/D&gt;&lt;D xsi:type="xsd:double"&gt;-3.2618105&lt;/D&gt;&lt;D xsi:type="xsd:double"&gt;-7.2576103&lt;/D&gt;&lt;D xsi:type="xsd:double"&gt;1.2970209&lt;/D&gt;&lt;D xsi:type="xsd:double"&gt;1.9932866&lt;/D&gt;&lt;D xsi:type="xs</t>
        </r>
      </text>
    </comment>
    <comment ref="A9" authorId="0" shapeId="0" xr:uid="{947B87B1-3A56-4D79-AB79-A5507189B979}">
      <text>
        <r>
          <rPr>
            <b/>
            <sz val="9"/>
            <color indexed="81"/>
            <rFont val="Tahoma"/>
            <charset val="1"/>
          </rPr>
          <t>d:double"&gt;0.38648844&lt;/D&gt;&lt;D xsi:type="xsd:double"&gt;-3.561014&lt;/D&gt;&lt;D xsi:type="xsd:double"&gt;8.997655&lt;/D&gt;&lt;D xsi:type="xsd:double"&gt;6.0762763&lt;/D&gt;&lt;D xsi:type="xsd:double"&gt;8.098173&lt;/D&gt;&lt;D xsi:type="xsd:double"&gt;17.752039&lt;/D&gt;&lt;D xsi:type="xsd:double"&gt;70.401955&lt;/D&gt;&lt;D xsi:type="xsd:double"&gt;52.595043&lt;/D&gt;&lt;D xsi:type="xsd:double"&gt;48.584152&lt;/D&gt;&lt;D xsi:type="xsd:double"&gt;47.161137&lt;/D&gt;&lt;D xsi:type="xsd:double"&gt;36.432194&lt;/D&gt;&lt;D xsi:type="xsd:double"&gt;36.525787&lt;/D&gt;&lt;D xsi:type="xsd:double"&gt;35.574078&lt;/D&gt;&lt;D xsi:type="xsd:double"&gt;45.878746&lt;/D&gt;&lt;D xsi:type="xsd:double"&gt;22.632526&lt;/D&gt;&lt;D xsi:type="xsd:double"&gt;25.799751&lt;/D&gt;&lt;D xsi:type="xsd:double"&gt;23.34894&lt;/D&gt;&lt;D xsi:type="xsd:double"&gt;20.377445&lt;/D&gt;&lt;D xsi:type="xsd:double"&gt;19.512272&lt;/D&gt;&lt;D xsi:type="xsd:double"&gt;9.159064&lt;/D&gt;&lt;D xsi:type="xsd:double"&gt;2.078998&lt;/D&gt;&lt;D xsi:type="xsd:double"&gt;-7.686311&lt;/D&gt;&lt;D xsi:type="xsd:double"&gt;-4.124534&lt;/D&gt;&lt;D xsi:type="xsd:double"&gt;-9.653205&lt;/D&gt;&lt;D xsi:type="xsd:double"&gt;-8.002329&lt;/D&gt;&lt;D xsi:type="xsd:double"&gt;-13.730043&lt;/D&gt;&lt;D xsi:type="xsd:double"&gt;-4.2606235&lt;/D&gt;&lt;D xsi:type="xsd:double"&gt;-11.088496&lt;/D&gt;&lt;D xsi:type="xsd:double"&gt;-4.907775&lt;/D&gt;&lt;D xsi:type="xsd:double"&gt;-7.3590994&lt;/D&gt;&lt;D xsi:type="xsd:double"&gt;-12.632931&lt;/D&gt;&lt;D xsi:type="xsd:double"&gt;-7.9038086&lt;/D&gt;&lt;D xsi:type="xsd:double"&gt;-8.755046&lt;/D&gt;&lt;D xsi:type="xsd:double"&gt;5.9775352&lt;/D&gt;&lt;D xsi:type="xsd:double"&gt;2.1331072&lt;/D&gt;&lt;D xsi:type="xsd:double"&gt;7.3082805&lt;/D&gt;&lt;D xsi:type="xsd:double"&gt;-0.08945465&lt;/D&gt;&lt;D xsi:type="xsd:double"&gt;7.1118116&lt;/D&gt;&lt;D xsi:type="xsd:double"&gt;2.8053522&lt;/D&gt;&lt;D xsi:type="xsd:double"&gt;11.697662&lt;/D&gt;&lt;D xsi:type="xsd:double"&gt;4.2808414&lt;/D&gt;&lt;D xsi:type="xsd:double"&gt;8.796215&lt;/D&gt;&lt;D xsi:type="xsd:double"&gt;12.150717&lt;/D&gt;&lt;/FQL&gt;&lt;FQL&gt;&lt;Q&gt;ENZL^JULIAN(FMA_DIV_YLD(NTMA,-10AY,0,AM,"PORTAGG","MEANR").DATES)&lt;/Q&gt;&lt;R&gt;121&lt;/R&gt;&lt;C&gt;1&lt;/C&gt;&lt;D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xsi:type="xsd:long"&gt;45355&lt;/D&gt;&lt;D xsi:type="xsd:long"&gt;45385&lt;/D&gt;&lt;/FQL&gt;&lt;FQL&gt;&lt;Q&gt;DDR3512M-FDS^FG_PRICE_CHANGE(0,-1AY)&lt;/Q&gt;&lt;R&gt;1&lt;/R&gt;&lt;C&gt;1&lt;/C&gt;&lt;D xsi:type="xsd:double"&gt;-15.1068677430408&lt;/D&gt;&lt;/FQL&gt;&lt;FQL&gt;&lt;Q&gt;PLATI-FDS^FG_PRICE(0)/MAX(FG_PRICE(0,-1AY))&lt;/Q&gt;&lt;R&gt;1&lt;/R&gt;&lt;C&gt;1&lt;/C&gt;&lt;D xsi:type="xsd:double"&gt;0.828193832599119&lt;/D&gt;&lt;/FQL&gt;&lt;FQL&gt;&lt;Q&gt;BRENT-FDS^FG_PRICE_CHANGE(0,-6AM)&lt;/Q&gt;&lt;R&gt;1&lt;/R&gt;&lt;C&gt;1&lt;/C&gt;&lt;D xsi:type="xsd:double"&gt;-8.21039127645927&lt;/D&gt;&lt;/FQL&gt;&lt;FQL&gt;&lt;Q&gt;QQQ^FMA_COS_UP("EPS","1M",+1,0,,,"PORTAGG","MEANR")&lt;/Q&gt;&lt;R&gt;1&lt;/R&gt;&lt;C&gt;1&lt;/C&gt;&lt;D xsi:type="xsd:double"&gt;39&lt;/D&gt;&lt;/FQL&gt;&lt;FQL&gt;&lt;Q&gt;TRYJP10Y-FDS^FG_YIELD_NAME&lt;/Q&gt;&lt;R&gt;1&lt;/R&gt;&lt;C&gt;1&lt;/C&gt;&lt;D xsi:type="xsd:string"&gt;Japan Benchmark Bond - 10 Year&lt;/D&gt;&lt;/FQL&gt;&lt;FQL&gt;&lt;Q&gt;TRYNL10Y-FDS^FG_YIELD_NAME&lt;/Q&gt;&lt;R&gt;1&lt;/R&gt;&lt;C&gt;1&lt;/C&gt;&lt;D xsi:type="xsd:string"&gt;Netherlands Benchmark Bond - 10 Year&lt;/D&gt;&lt;/FQL&gt;&lt;FQL&gt;&lt;Q&gt;VWO^JULIAN(FMA_DIV_YLD(NTMA,NOW,NOW,M,"PORTAGG","MEANR").DATES)&lt;/Q&gt;&lt;R&gt;1&lt;/R&gt;&lt;C&gt;1&lt;/C&gt;&lt;D xsi:type="xsd:long"&gt;45351&lt;/D&gt;&lt;/FQL&gt;&lt;FQL&gt;&lt;Q&gt;SPY^JULIAN(FMA_DIV_YLD(NTMA,NOW,NOW,M,"PORTAGG","MEANR").DATES)&lt;/Q&gt;&lt;R&gt;1&lt;/R&gt;&lt;C&gt;1&lt;/C&gt;&lt;D xsi:type="xsd:long"&gt;45379&lt;/D&gt;&lt;/FQL&gt;&lt;FQL&gt;&lt;Q&gt;EWC^FMA_PE(NTMA,0,,,"PORTAGG","MEANR")&lt;/Q&gt;&lt;R&gt;1&lt;/R&gt;&lt;C&gt;1&lt;/C&gt;&lt;D xsi:type="xsd:double"&gt;14.5638721906357&lt;/D&gt;&lt;/FQL&gt;&lt;FQL&gt;&lt;Q&gt;TLT^P_PRICE(0)/P_PRICE_HIGH_PR(0,,,USD,,,"PRICE","INTRA","52W")&lt;/Q&gt;&lt;R&gt;1&lt;/R&gt;&lt;C&gt;1&lt;/C&gt;&lt;D xsi:type="xsd:double"&gt;0.8512905&lt;/D&gt;&lt;/FQL&gt;&lt;FQL&gt;&lt;Q&gt;EWN^PERCENT_CHANGE(FMA_EPS(+1,0,,,,"PORTAGG","MEAN"),FMA_EPS(+1,-1AM,,,,"PORTAGG","MEAN"))&lt;/Q&gt;&lt;R&gt;1&lt;/R&gt;&lt;C&gt;1&lt;/C&gt;&lt;D xsi:type="xsd:double"&gt;-0.0870743861834556&lt;/D&gt;&lt;/FQL&gt;&lt;FQL&gt;&lt;Q&gt;QQQ^FMA_PCT_ABOVE_MAVG(200,0,,,,"PORTAGG")&lt;/Q&gt;&lt;R&gt;1&lt;/R&gt;&lt;C&gt;1&lt;/C&gt;&lt;D xsi:type="xsd:double"&gt;66.6666666666667&lt;/D&gt;&lt;/FQL&gt;&lt;FQL&gt;&lt;Q&gt;EWA^FG_TOTAL_RETURNC(0,-3AM)&lt;/Q&gt;&lt;R&gt;1&lt;/R&gt;&lt;C&gt;1&lt;/C&gt;&lt;D xsi:type="xsd:double"&gt;2.5608778&lt;/D&gt;&lt;/FQL&gt;&lt;FQL&gt;&lt;Q&gt;TRYDE10Y-FDS^FG_YIELD_NAME&lt;/Q&gt;&lt;R&gt;1&lt;/R&gt;&lt;C&gt;1&lt;/C&gt;&lt;D xsi:type="xsd:string"&gt;Germany Benchmark Bond - 10 Year&lt;/D&gt;&lt;/FQL&gt;&lt;FQL&gt;&lt;Q&gt;VGK^FMA_EVAL_EBITDA(NTMA,0,,,"PORTAGG","MEANR")&lt;/Q&gt;&lt;R&gt;1&lt;/R&gt;&lt;C&gt;1&lt;/C&gt;&lt;D xsi:type="xsd:double"&gt;8.81663370451126&lt;/D&gt;&lt;/FQL&gt;&lt;FQL&gt;&lt;Q&gt;EWC^FMA_PE(LTM,0,,,"PORTAGG","MEANR")&lt;/Q&gt;&lt;R&gt;1&lt;/R&gt;&lt;C&gt;1&lt;/C&gt;&lt;D xsi:type="xsd:double"&gt;16.9481291423337&lt;/D&gt;&lt;/FQL&gt;&lt;FQL&gt;&lt;Q&gt;GLD^FG_TOTAL_RETURNC(0,-3AM)&lt;/Q&gt;&lt;R&gt;1&lt;/R&gt;&lt;C&gt;1&lt;/C&gt;&lt;D xsi:type="xsd:double"&gt;11.726177&lt;/D&gt;&lt;/FQL&gt;&lt;FQL&gt;&lt;Q&gt;TRYFR10Y-FDS^FG_YIELD(0,,,,"YTM")&lt;/Q&gt;&lt;R&gt;1&lt;/R&gt;&lt;C&gt;1&lt;/C&gt;&lt;D xsi:type="xsd:double"&gt;2.857&lt;/D&gt;&lt;/FQL&gt;&lt;FQL&gt;&lt;Q&gt;VGK^FG_FCF_YIELD_NTM(0)&lt;/Q&gt;&lt;R&gt;1&lt;/R&gt;&lt;C&gt;1&lt;/C&gt;&lt;D xsi:type="xsd:double"&gt;5.44587448216539&lt;/D&gt;&lt;/FQL&gt;&lt;FQL&gt;&lt;Q&gt;TRYPH10Y-FDS^FG_YIELD(-10AY,0,Y,,"YTM")&lt;/Q&gt;&lt;R&gt;10&lt;/R&gt;&lt;C&gt;1&lt;/C&gt;&lt;D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xsi:type="xsd:double"&gt;6.0028777&lt;/D&gt;&lt;/FQL&gt;&lt;FQL&gt;&lt;Q&gt;USDJPY^FG_PRICE_CHANGE(0,-6AM)&lt;/Q&gt;&lt;R&gt;1&lt;/R&gt;&lt;C&gt;1&lt;/C&gt;&lt;D xsi:type="xsd:double"&gt;1.8193364&lt;/D&gt;&lt;/FQL&gt;&lt;FQL&gt;&lt;Q&gt;SPY^FG_PRICE_MAVG(0,,,,30)&lt;/Q&gt;&lt;R&gt;1&lt;/R&gt;&lt;C&gt;1&lt;/C&gt;&lt;D xsi:type="xsd:double"&gt;514.3597&lt;/D&gt;&lt;/FQL&gt;&lt;FQL&gt;&lt;Q&gt;ENZL^FG_PRICE_MAVG(0,,,,60)&lt;/Q&gt;&lt;R&gt;1&lt;/R&gt;&lt;C&gt;1&lt;/C&gt;&lt;D xsi:type="xsd:double"&gt;45.92729&lt;/D&gt;&lt;/FQL&gt;&lt;FQL&gt;&lt;Q&gt;DUMMY^ECON_EXPR_DATA('FDS_ECON[NTCPMIMFGSA@IT]',03/2024,,M)&lt;/Q&gt;&lt;R&gt;1&lt;/R&gt;&lt;C&gt;1&lt;/C&gt;&lt;D xsi:type="xsd:double"&gt;50.388508&lt;/D&gt;&lt;/FQL&gt;&lt;FQL&gt;&lt;Q&gt;URTH^FG_TOTAL_RETURNC(0,-12AM)&lt;/Q&gt;&lt;R&gt;1&lt;/R&gt;&lt;C&gt;1&lt;/C&gt;&lt;D xsi:type="xsd:double"&gt;23.022402&lt;/D&gt;&lt;/FQL&gt;&lt;FQL&gt;&lt;Q&gt;EWD^FG_ROE(0)&lt;/Q&gt;&lt;R&gt;1&lt;/R&gt;&lt;C&gt;1&lt;/C&gt;&lt;D xsi:type="xsd:double"&gt;16.089092752547&lt;/D&gt;&lt;/FQL&gt;&lt;FQL&gt;&lt;Q&gt;TRYGB10Y-FDS^PCTCHG(FG_YIELD(0,,,,"YTM"),FG_YIELD(-3AM,,,,"YTM"))&lt;/Q&gt;&lt;R&gt;1&lt;/R&gt;&lt;C&gt;1&lt;/C&gt;&lt;D xsi:type="xsd:double"&gt;8.11758&lt;/D&gt;&lt;/FQL&gt;&lt;FQL&gt;&lt;Q&gt;EWN^FMA_EVAL_EBITDA(NTMA,0,,,"PORTAGG","MEANR")&lt;/Q&gt;&lt;R&gt;1&lt;/R&gt;&lt;C&gt;1&lt;/C&gt;&lt;D xsi:type="xsd:double"&gt;12.694801166012&lt;/D&gt;&lt;/FQL&gt;&lt;FQL&gt;&lt;Q&gt;EWL^FMA_PE(LTM,0,,,"PORTAGG","MEANR")&lt;/Q&gt;&lt;R&gt;1&lt;/R&gt;&lt;C&gt;1&lt;/C&gt;&lt;D xsi:type="xsd:double"&gt;15.123385118176&lt;/D&gt;&lt;/FQL&gt;&lt;FQL&gt;&lt;Q&gt;VGK^FMA_PCT_ABOVE_MAVG(200,0,,,,"PORTAGG")&lt;/Q&gt;&lt;R&gt;1&lt;/R&gt;&lt;C&gt;1&lt;/C&gt;&lt;D xsi:type="xsd:double"&gt;58.4313725490196&lt;/D&gt;&lt;/FQL&gt;&lt;FQL&gt;&lt;Q&gt;EWU^SIZE(FG_CONSTITUENTS)&lt;/Q&gt;&lt;R&gt;1&lt;/R&gt;&lt;C&gt;1&lt;/C&gt;&lt;D xsi:type="xsd:long"&gt;85&lt;/D&gt;&lt;/FQL&gt;&lt;FQL&gt;&lt;Q&gt;TRYGB10Y-FDS^PCTCHG(FG_YIELD(0,,,,"YTM"),FG_YIELD(-1AM,,,,"YTM"))&lt;/Q&gt;&lt;R&gt;1&lt;/R&gt;&lt;C&gt;1&lt;/C&gt;&lt;D xsi:type="xsd:double"&gt;-5.3364887&lt;/D&gt;&lt;/FQL&gt;&lt;FQL&gt;&lt;Q&gt;CC_IT^IMF_IFS_RCPI_Q(0)&lt;/Q&gt;&lt;R&gt;0&lt;/R&gt;&lt;C&gt;0&lt;/C&gt;&lt;/FQL&gt;&lt;FQL&gt;&lt;Q&gt;QQQ^FMA_EVAL_EBIT(LTMA,NOW,NOW,M,"PORTAGG","MEANR")&lt;/Q&gt;&lt;R&gt;1&lt;/R&gt;&lt;C&gt;1&lt;/C&gt;&lt;D xsi:type="xsd:double"&gt;24.8021456849371&lt;/D&gt;&lt;/FQL&gt;&lt;FQL&gt;&lt;Q&gt;EWC^JULIAN(FMA_DIV_YLD(NTMA,NOW,NOW,M,"PORTAGG","MEANR").DATES)&lt;/Q&gt;&lt;R&gt;1&lt;/R&gt;&lt;C&gt;1&lt;/C&gt;&lt;D xsi:type="xsd:long"&gt;45379&lt;/D&gt;&lt;/FQL&gt;&lt;FQL&gt;&lt;Q&gt;EWI^FMA_DIV_YLD(NTMA,NOW,NOW,M,"PORTAGG","MEANR")&lt;/Q&gt;&lt;R&gt;1&lt;/R&gt;&lt;C&gt;1&lt;/C&gt;&lt;D xsi:type="xsd:double"&gt;5.07522241707554&lt;/D&gt;&lt;/FQL&gt;&lt;FQL&gt;&lt;Q&gt;CAGDPY@NL^EE_ACTUAL_ANNUAL(MED,+1)&lt;/Q&gt;&lt;R&gt;1&lt;/R&gt;&lt;C&gt;1&lt;/C&gt;&lt;D xsi:type="xsd:double"&gt;8.4&lt;/D&gt;&lt;/FQL&gt;&lt;FQL&gt;&lt;Q&gt;USDITL^FG_PRICE_CHANGE(0,-6AM)&lt;/Q&gt;&lt;R&gt;1&lt;/R&gt;&lt;C&gt;1&lt;/C&gt;&lt;D xsi:type="xsd:double"&gt;-3.4550905&lt;/D&gt;&lt;/FQL&gt;&lt;FQL&gt;&lt;Q&gt;USDNZD^FG_PRICE_CHANGE(0,-6AM)&lt;/Q&gt;&lt;R&gt;1&lt;/R&gt;&lt;C&gt;1&lt;/C&gt;&lt;D xsi:type="xsd:double"&gt;-2.5244176&lt;/D&gt;&lt;/FQL&gt;&lt;FQL&gt;&lt;Q&gt;EWA^P_PRICE_RETURNS_PR('52W',2,-10AY,0,AM)&lt;/Q&gt;&lt;R&gt;121&lt;/R&gt;&lt;C&gt;1&lt;/C&gt;&lt;D xsi:type="xsd:double"&gt;1.6517997&lt;/D&gt;&lt;D xsi:type="xsd:double"&gt;-0.17859936&lt;/D&gt;&lt;D xsi:type="xsd:double"&gt;11.803877&lt;/D&gt;&lt;D xsi:type="xsd:double"&gt;24.479712&lt;/D&gt;&lt;D xsi:type="xsd:double"&gt;18.001223&lt;/D&gt;&lt;D xsi:type="xsd:double"&gt;15.764093&lt;/D&gt;&lt;D xsi:type="xsd:double"&gt;-1.6106427&lt;/D&gt;&lt;D xsi:type="xsd:double"&gt;-2.4518847&lt;/D&gt;&lt;D xsi:type="xsd:double"&gt;-1.9176424&lt;/D&gt;&lt;D xsi:type="xsd:double"&gt;-4.2111754&lt;/D&gt;&lt;D xsi:type="xsd:double"&gt;2.504325&lt;/D&gt;&lt;D xsi:type="xsd:double"&gt;-1.6208589&lt;/D&gt;&lt;D xsi:type="xsd:double"&gt;-7.1191072&lt;/D&gt;&lt;D xsi:type="xsd:double"&gt;-6.6057324&lt;/D&gt;&lt;D xsi:type="xsd:double"&gt;-13.72115&lt;/D&gt;&lt;D xsi:type="xsd:double"&gt;-14.640504&lt;/D&gt;&lt;D xsi:type="xsd:double"&gt;-15.93287&lt;/D&gt;&lt;D xsi:type="xsd:double"&gt;-31.9309&lt;/D&gt;&lt;D xsi:type="xsd:double"&gt;-19.851887&lt;/D&gt;&lt;D xsi:type="xsd:double"&gt;-19.89538&lt;/D&gt;&lt;D xsi:type="xsd:double"&gt;-12.89196&lt;/D&gt;&lt;D xsi:type="xsd:double"&gt;-10.913807&lt;/D&gt;&lt;D xsi:type="xsd:double"&gt;-18.246496&lt;/D&gt;&lt;D xsi:type="xsd:double"&gt;-14.942569&lt;/D&gt;&lt;D xsi:type="xsd:double"&gt;-13.134087&lt;/D&gt;&lt;D xsi:type="xsd:double"&gt;-12.211114&lt;/D&gt;&lt;D xsi:type="xsd:double"&gt;-7.23322&lt;/D&gt;&lt;D xsi:type="xsd:double"&gt;-4.1840973&lt;/D&gt;&lt;D xsi:type="xsd:double"&gt;2.1245122&lt;/D&gt;&lt;D xsi:type="xsd:double"&gt;16.572071&lt;/D&gt;&lt;D xsi:type="xsd:double"&gt;18.702257&lt;/D&gt;&lt;D xsi:type="xsd:double"&gt;9.245718&lt;/D&gt;&lt;D xsi:type="xsd:double"&gt;11.01048&lt;/D&gt;&lt;D xsi:type="xsd:double"&gt;16.10179&lt;/D&gt;&lt;D xsi:type="xsd:double"&gt;29.576897&lt;/D&gt;&lt;D xsi:type="xsd:double"&gt;22.263348&lt;/D&gt;&lt;D xsi:type="xsd:double"&gt;23.461746&lt;/D&gt;&lt;D xsi:type="xsd:double"&gt;17.359234&lt;/D&gt;&lt;D xsi:type="xsd:double"&gt;17.368757&lt;/D&gt;&lt;D xsi:type="xsd:double"&gt;15.886378&lt;/D&gt;&lt;D xsi:type="xsd:double"&gt;14.530647&lt;/D&gt;&lt;D xsi:type="xsd:double"&gt;17.78332&lt;/D&gt;&lt;D xsi:type="xsd:double"&gt;12.707853&lt;/D&gt;&lt;D xsi:type="xsd:double"&gt;19.525564&lt;/D&gt;&lt;D xsi:type="xsd:double"&gt;15.125334&lt;/D&gt;&lt;D xsi:type="xsd:double"&gt;18.325603&lt;/D&gt;&lt;D xsi:type="xsd:double"&gt;14.181746&lt;/D&gt;&lt;D xsi:type="xsd:double"&gt;8.483934&lt;/D&gt;&lt;D xsi:type="xsd:double"&gt;2.6655793&lt;/D&gt;&lt;D xsi:type="xsd:double"&gt;8.189785&lt;/D&gt;&lt;D xsi:type="xsd:double"&gt;10.211266&lt;/D&gt;&lt;D xsi:type="xsd:double"&gt;8.581138&lt;/D&gt;&lt;D xsi:type="xsd:double"&gt;5.347359&lt;/D&gt;&lt;D xsi:type="xsd:double"&gt;1.8112302&lt;/D&gt;&lt;D xsi:type="xsd:double"&gt;1.0028839&lt;/D&gt;&lt;D xsi:type="xsd:double"&gt;-5.0801573&lt;/D&gt;&lt;D xsi:type="xsd:double"&gt;-5.243933&lt;/D&gt;&lt;D xsi:type="xsd:double"&gt;-11.772644&lt;/D&gt;&lt;D xsi:type="xsd:double"&gt;-6.6702127&lt;/D&gt;&lt;D xsi:type="xsd:double"&gt;-0.72155&lt;/D&gt;&lt;D xsi:type="xsd:double"&gt;3.9209604&lt;/D&gt;&lt;D xsi:type="xsd:double"&gt;1.8324375&lt;/D&gt;&lt;D xsi:type="xsd:double"&gt;2.092445&lt;/D&gt;&lt;D xsi:type="xsd:double"&gt;7.58754&lt;/D&gt;&lt;D xsi:type="xsd:double"&gt;3.8296342&lt;/D&gt;&lt;D xsi:type="xsd:double"&gt;3.9319515&lt;/D&gt;&lt;D xsi:type="xsd:double"&gt;7.159722&lt;/D&gt;&lt;D xsi:type="xsd:double"&gt;15.1681185&lt;/D&gt;&lt;D xsi:type="xsd:double"&gt;15.81223&lt;/D&gt;&lt;D xsi:type="xsd:double"&gt;23.516106&lt;/D&gt;&lt;D xsi:type="xsd:double"&gt;13.974047&lt;/D&gt;&lt;D xsi:type="xsd:double"&gt;1.3978362&lt;/D&gt;&lt;D xsi:type="xsd:double"&gt;-29.292292&lt;/D&gt;&lt;D xsi:type="xsd:double"&gt;-21.043856&lt;/D&gt;&lt;D xsi:type="xsd:double"&gt;-6.5898476&lt;/D&gt;&lt;D xsi:type="xsd:double"&gt;-8.731431&lt;/D&gt;&lt;D xsi:type="xsd:double"&gt;-5.2544775&lt;/D&gt;&lt;D xsi:type="xsd:double"&gt;-3.7026525&lt;/D&gt;&lt;D xsi:type="xsd:double"&gt;-4.2097807&lt;/D&gt;&lt;D xsi:type="xsd:double"&gt;-6.342536&lt;/D&gt;&lt;D xsi:type="xsd:double"&gt;8.43389&lt;/D&gt;&lt;D xsi:type="xsd:double"&gt;9.303045&lt;/D&gt;&lt;D xsi:type="xsd:double"&gt;10.684454&lt;/D&gt;&lt;D xsi:type="xsd:double"&gt;23.186886&lt;/D&gt;&lt;D xsi:type="xsd:double"&gt;71.34552&lt;/D&gt;&lt;D xsi:type="xsd:double"&gt;61.05533&lt;/D&gt;&lt;D xsi:type="xsd:double"&gt;41.666805&lt;/D&gt;&lt;D xsi:type="xsd:double"&gt;34.843563&lt;/D&gt;&lt;D xsi:type="xsd:double"&gt;31.591928&lt;/D&gt;&lt;D xsi:type="xsd:double"&gt;32.059715&lt;/D&gt;&lt;D xsi:type="xsd:double"&gt;29.041218&lt;/D&gt;&lt;D xsi:type="xsd:double"&gt;30.69415&lt;/D&gt;&lt;D xsi:type="xsd:double"&gt;6.367135&lt;/D&gt;&lt;D xsi:type="xsd:double"&gt;10.424399&lt;/D&gt;&lt;D xsi:type="xsd:double"&gt;-1.0750234&lt;/D&gt;&lt;D xsi:type="xsd:double"&gt;4.1222334&lt;/D&gt;&lt;D xsi:type="xsd:double"&gt;12.407219&lt;/D&gt;&lt;D xsi:type="xsd:double"&gt;2.3065686&lt;/D&gt;&lt;D xsi:type="xsd:double"&gt;-2.556628&lt;/D&gt;&lt;D xsi:type="xsd:double"&gt;-12.843555&lt;/D&gt;&lt;D xsi:type="xsd:double"&gt;-7.7774343&lt;/D&gt;&lt;D xsi:type="xsd:double"&gt;-11.771387&lt;/D&gt;&lt;D xsi:type="xsd:double"&gt;-10.988736&lt;/D&gt;&lt;D xsi:type="xsd:double"&gt;-13.027495&lt;/D&gt;&lt;D xsi:type="xsd:double"&gt;2.5674105&lt;/D&gt;&lt;D xsi:type="xsd:double"&gt;-6.091082&lt;/D&gt;&lt;D xsi:type="xsd:double"&gt;12.050533&lt;/D&gt;&lt;D xsi:type="xsd:double"&gt;1.271224&lt;/D&gt;&lt;D xsi:type="xsd:double"&gt;-9.438539&lt;/D&gt;&lt;D xsi:type="xsd:double"&gt;-6.079352&lt;/D&gt;&lt;D xsi:type="xsd:double"&gt;-5.7606754&lt;/D&gt;&lt;D xsi:type="xsd:double"&gt;11.562956&lt;/D&gt;&lt;D xsi:type="xsd:double"&gt;3.4651756&lt;/D&gt;&lt;D xsi:type="xsd:double"&gt;6.2711596&lt;/D&gt;&lt;D xsi:type="xsd:double"&gt;4.0863276&lt;/D&gt;&lt;D xsi:type="xsd:double"&gt;11.39791&lt;/D&gt;&lt;D xsi:type="xsd:double"&gt;-0.99794865&lt;/D&gt;&lt;D xsi:type="xsd:double"&gt;9.846079&lt;/D&gt;&lt;D xsi:type="xsd:double"&gt;-1.597786&lt;/D&gt;&lt;D xsi:type="xsd:double"&gt;6.381047&lt;/D&gt;&lt;D xsi:type="xsd:double"&gt;9.739197&lt;/D&gt;&lt;/FQL&gt;&lt;FQL&gt;&lt;Q&gt;EWI^FMA_PE(NTMA,-10AY,0,AM,"PORTAGG","MEANR")&lt;/Q&gt;&lt;R&gt;121&lt;/R&gt;&lt;C&gt;1&lt;/C&gt;&lt;D xsi:type="xsd:double"&gt;14.2212595021542&lt;/D&gt;&lt;D xsi:type="xsd:double"&gt;14.0708482211635&lt;/D&gt;&lt;D xsi:type="xsd:double"&gt;14.1716625503396&lt;/D&gt;&lt;D xsi:type="xsd:double"&gt;14.7785325321067&lt;/D&gt;&lt;D xsi:type="xsd:double"&gt;13.6396566259806&lt;/D&gt;&lt;D xsi:type="xsd:double"&gt;14.3796105072559&lt;/D&gt;&lt;D xsi:type="xsd:double"&gt;13.2073275393212&lt;/D&gt;&lt;D xsi:type="xsd:double"&gt;12.301998011983&lt;/D&gt;&lt;D xsi:type="xsd:double"&gt;12.8090566763635&lt;/D&gt;&lt;D xsi:type="xsd:double"&gt;12.3465411669524&lt;/D&gt;&lt;D xsi:type="xsd:double"&gt;14.2793109121398&lt;/D&gt;&lt;D xsi:type="xsd:double"&gt;15.2610265141404&lt;/D&gt;&lt;D xsi:type="xsd:double"&gt;15.9388310177707&lt;/D&gt;&lt;D xsi:type="xsd:double"&gt;15.8914442549752&lt;/D&gt;&lt;D xsi:type="xsd:double"&gt;15.5045082139394&lt;/D&gt;&lt;D xsi:type="xsd:double"&gt;14.8304003267738&lt;/D&gt;&lt;D xsi:type="xsd:double"&gt;15.3796391842502&lt;/D&gt;&lt;D xsi:type="xsd:double"&gt;14.0801466921182&lt;/D&gt;&lt;D xsi:type="xsd:double"&gt;13.9538705482463&lt;/D&gt;&lt;D xsi:type="xsd:double"&gt;14.7557754064176&lt;/D&gt;&lt;D xsi:type="xsd:double"&gt;14.5402042731772&lt;/D&gt;&lt;D xsi:type="xsd:double"&gt;13.9620651057295&lt;/D&gt;&lt;D xsi:type="xsd:double"&gt;12.4521091193606&lt;/D&gt;&lt;D xsi:type="xsd:double"&gt;13.2250057853165&lt;/D&gt;&lt;D xsi:type="xsd:double"&gt;12.7500448691093&lt;/D&gt;&lt;D xsi:type="xsd:double"&gt;12.9121217132276&lt;/D&gt;&lt;D xsi:type="xsd:double"&gt;12.7778702479836&lt;/D&gt;&lt;D xsi:type="xsd:double"&gt;11.8557083830139&lt;/D&gt;&lt;D xsi:type="xsd:double"&gt;12.0914013738476&lt;/D&gt;&lt;D xsi:type="xsd:double"&gt;12.5206266110849&lt;/D&gt;&lt;D xsi:type="xsd:double"&gt;11.6898816711743&lt;/D&gt;&lt;D xsi:type="xsd:double"&gt;11.4746380817115&lt;/D&gt;&lt;D xsi:type="xsd:double"&gt;12.014925970761&lt;/D&gt;&lt;D xsi:type="xsd:double"&gt;13.7198633185164&lt;/D&gt;&lt;D xsi:type="xsd:double"&gt;12.9864369833174&lt;/D&gt;&lt;D xsi:type="xsd:double"&gt;13.3715242527145&lt;/D&gt;&lt;D xsi:type="xsd:double"&gt;13.5088662528605&lt;/D&gt;&lt;D xsi:type="xsd:double"&gt;13.7067949014255&lt;/D&gt;&lt;D xsi:type="xsd:double"&gt;13.3007485007019&lt;/D&gt;&lt;D xsi:type="xsd:double"&gt;13.2911156316648&lt;/D&gt;&lt;D xsi:type="xsd:double"&gt;13.5749941714021&lt;/D&gt;&lt;D xsi:type="xsd:double"&gt;13.3394042700422&lt;/D&gt;&lt;D xsi:type="xsd:double"&gt;13.5974383722529&lt;/D&gt;&lt;D xsi:type="xsd:double"&gt;13.7293486959989&lt;/D&gt;&lt;D xsi:type="xsd:double"&gt;13.4160196237327&lt;/D&gt;&lt;D xsi:type="xsd:double"&gt;13.2546031444468&lt;/D&gt;&lt;D xsi:type="xsd:double"&gt;13.0654642426309&lt;/D&gt;&lt;D xsi:type="xsd:double"&gt;12.3046923683967&lt;/D&gt;&lt;D xsi:type="xsd:double"&gt;12.4075853450745&lt;/D&gt;&lt;D xsi:type="xsd:double"&gt;13.2173491316891&lt;/D&gt;&lt;D xsi:type="xsd:double"&gt;11.7130393439483&lt;/D&gt;&lt;D xsi:type="xsd:double"&gt;11.4468033693622&lt;/D&gt;&lt;D xsi:type="xsd:double"&gt;11.3942858634379&lt;/D&gt;&lt;D xsi:type="xsd:double"&gt;10.6164346981033&lt;/D&gt;&lt;D xsi:type="xsd:double"&gt;10.5721799142306&lt;/D&gt;&lt;D xsi:type="xsd:double"&gt;9.94002956158159&lt;/D&gt;&lt;D xsi:type="xsd:double"&gt;9.60087780931526&lt;/D&gt;&lt;D xsi:type="xsd:double"&gt;9.42590620139115&lt;/D&gt;&lt;D xsi:type="xsd:double"&gt;9.90666269821955&lt;/D&gt;&lt;D xsi:type="xsd:double"&gt;10.4786916959104&lt;/D&gt;&lt;D xsi:type="xsd:double"&gt;10.923163395018&lt;/D&gt;&lt;D xsi:type="xsd:double"&gt;10.8935892251122&lt;/D&gt;&lt;D xsi:type="xsd:double"&gt;9.95473517348031&lt;/D&gt;&lt;D xsi:type="xsd:double"&gt;10.8047167214337&lt;/D&gt;&lt;D xsi:type="xsd:double"&gt;10.3747233306414&lt;/D&gt;&lt;D xsi:type="xsd:double"&gt;10.6711153335973&lt;/D&gt;&lt;D xsi:type="xsd:double"&gt;10.4737335321711&lt;/D&gt;&lt;D xsi:type="xsd:double"&gt;11.3452837013623&lt;/D&gt;&lt;D xsi:type="xsd:double"&gt;11.15020385013&lt;/D&gt;&lt;D xsi:type="xsd:double"&gt;11.4631351033453&lt;/D&gt;&lt;D xsi:type="xsd:double"&gt;11.4889814663776&lt;/D&gt;&lt;D xsi:type="xsd:double"&gt;10.5287998030365&lt;/D&gt;&lt;D xsi:type="xsd:double"&gt;9.5976681545152&lt;/D&gt;&lt;D xsi:type="xsd:double"&gt;12.9695299896013&lt;/D&gt;&lt;D xsi:type="xsd:double"&gt;17.6544194630382&lt;/D&gt;&lt;D xsi:type="xsd:double"&gt;17.9760991754632&lt;/D&gt;&lt;D xsi:type="xsd:double"&gt;16.491571431043&lt;/D&gt;&lt;D xsi:type="xsd:double"&gt;15.5007221673687&lt;/D&gt;&lt;D xsi:type="xsd:double"&gt;14.5590336185972&lt;/D&gt;&lt;D xsi:type="xsd:double"&gt;14.0379655693388&lt;/D&gt;&lt;D xsi:type="xsd:double"&gt;15.1804070132994&lt;/D&gt;&lt;D xsi:type="xsd:double"&gt;14.7743712672419&lt;/D&gt;&lt;D xsi:type="xsd:double"&gt;14.0779901231629&lt;/D&gt;&lt;D xsi:type="xsd:double"&gt;13.5098077828441&lt;/D&gt;&lt;D xsi:type="xsd:double"&gt;14.0471705125076&lt;/D&gt;&lt;D xsi:type="xsd:double"&gt;13.3022681019328&lt;/D&gt;&lt;D xsi:type="xsd:double"&gt;13.7319688728286&lt;/D&gt;&lt;D xsi:type="xsd:double"&gt;13.4337090345574&lt;/D&gt;&lt;D xsi:type="xsd:double"&gt;12.1118347771608&lt;/D&gt;&lt;D xsi:type="xsd:double"&gt;11.9288059196513&lt;/D&gt;&lt;D xsi:type="xsd:double"&gt;11.511751906207&lt;/D&gt;&lt;D xsi:type="xsd:double"&gt;11.7955687332937&lt;/D&gt;&lt;D xsi:type="xsd:double"&gt;10.6649134370866&lt;/D&gt;&lt;D xsi:type="xsd:double"&gt;11.3657601300363&lt;/D&gt;&lt;D xsi:type="xsd:double"&gt;10.5799456219617&lt;/D&gt;&lt;D xsi:type="xsd:double"&gt;8.93157367124482&lt;/D&gt;&lt;D xsi:type="xsd:double"&gt;9.75084099637307&lt;/D&gt;&lt;D xsi:type="xsd:double"&gt;9.17668325792174&lt;/D&gt;&lt;D xsi:type="xsd:double"&gt;8.76345679183419&lt;/D&gt;&lt;D xsi:type="xsd:double"&gt;7.70345533018875&lt;/D&gt;&lt;D xsi:type="xsd:double"&gt;7.7403876802686&lt;/D&gt;&lt;D xsi:type="xsd:double"&gt;7.64077774858365&lt;/D&gt;&lt;D xsi:type="xsd:double"&gt;7.5368975923427&lt;/D&gt;&lt;D xsi:type="xsd:double"&gt;8.07487083045603&lt;/D&gt;&lt;D xsi:type="xsd:double"&gt;7.88857804052585&lt;/D&gt;&lt;D xsi:type="xsd:double"&gt;7.9419834681083&lt;/D&gt;&lt;D xsi:type="xsd:double"&gt;8.41203256935796&lt;/D&gt;&lt;D xsi:type="xsd:double"&gt;8.7761051157398&lt;/D&gt;&lt;D xsi:type="xsd:double"&gt;8.49656591540779&lt;/D&gt;&lt;D xsi:type="xsd:double"&gt;8.33684161500357&lt;/D&gt;&lt;D xsi:type="xsd:double"&gt;8.54537760711136&lt;/D&gt;&lt;D xsi:type="xsd:double"&gt;8.84448989022233&lt;/D&gt;&lt;D xsi:type="xsd:double"&gt;8.38897770850312&lt;/D&gt;&lt;D xsi:type="xsd:double"&gt;8.48261079696335&lt;/D&gt;&lt;D xsi:type="xsd:double"&gt;8.00782357711585&lt;/D&gt;&lt;D xsi:type="xsd:double"&gt;8.16804802574917&lt;/D&gt;&lt;D xsi:type="xsd:double"&gt;8.6681648777691&lt;/D&gt;&lt;D xsi:type="xsd:double"&gt;8.94995350182723&lt;/D&gt;&lt;D xsi:type="xsd:double"&gt;9.00388375619441&lt;/D&gt;&lt;D xsi:type="xsd:double"&gt;9.31661856958183&lt;/D&gt;&lt;D xsi:type="xsd:double"&gt;9.74082517073586&lt;/D&gt;&lt;/FQL&gt;&lt;FQL&gt;&lt;Q&gt;DDR3512M-FDS^FG_PRICE_CHANGE(0,-6AM)&lt;/Q&gt;&lt;R&gt;1&lt;/R&gt;&lt;C&gt;1&lt;/C&gt;&lt;D xsi:type="xsd:double"&gt;-3.96211269416613&lt;/D&gt;&lt;/FQL&gt;&lt;FQL&gt;&lt;Q&gt;PLATI-FDS^FG_PRICE_CHANGE(0,-1AY)&lt;/Q&gt;&lt;R&gt;1&lt;/R&gt;&lt;C&gt;1&lt;/C&gt;&lt;D xsi:type="xsd:double"&gt;-7.66208251473477&lt;/D&gt;&lt;/FQL&gt;&lt;FQL&gt;&lt;Q&gt;COPP-FDS^FG_PRICE(0)/MAX(FG_PRICE(0,-1AY))&lt;/Q&gt;&lt;R&gt;1&lt;/R&gt;&lt;C&gt;1&lt;/C&gt;&lt;D xsi:type="xsd:double"&gt;1&lt;/D&gt;&lt;/FQL&gt;&lt;FQL&gt;&lt;Q&gt;ENZL^FG_PRICE_MAVG(0,,,,30)&lt;/Q&gt;&lt;R&gt;1&lt;/R&gt;&lt;C&gt;1&lt;/C&gt;&lt;D xsi:type="xsd:double"&gt;45.468914&lt;/D&gt;&lt;/FQL&gt;&lt;FQL&gt;&lt;Q&gt;URTH^P_PRICE(0)/P_PRICE_LOW_PR(0,,,USD,,,"PRICE","INTRA","52W")-1&lt;/Q&gt;&lt;R&gt;1&lt;/R&gt;&lt;C&gt;1&lt;/C&gt;&lt;D xsi:type="xsd:double"&gt;0.24062777&lt;/D&gt;&lt;/FQL&gt;&lt;FQL&gt;&lt;Q&gt;EWI^FG_TOTAL_RETURNC(0,-6AM)&lt;/Q&gt;&lt;R&gt;1&lt;/R&gt;&lt;C&gt;1&lt;/C&gt;&lt;D xsi:type="xsd:double"&gt;27.341557&lt;/D&gt;&lt;/FQL&gt;&lt;FQL&gt;&lt;Q&gt;EWN^FMA_PCT_ABOVE_MAVG(200,0,,,,"PORTAGG")&lt;/Q&gt;&lt;R&gt;1&lt;/R&gt;&lt;C&gt;1&lt;/C&gt;&lt;D xsi:type="xsd:double"&gt;62.962962962963&lt;/D&gt;&lt;/FQL&gt;&lt;FQL&gt;&lt;Q&gt;EWU^FG_TOTAL_RETURNC(0,-12AM)&lt;/Q&gt;&lt;R&gt;1&lt;/R&gt;&lt;C&gt;1&lt;/C&gt;&lt;D xsi:type="xsd:double"&gt;8.564365&lt;/D&gt;&lt;/FQL&gt;&lt;FQL&gt;&lt;Q&gt;EWA^FG_TOTAL_RETURNC(0,-1AM)&lt;/Q&gt;&lt;R&gt;1&lt;/R&gt;&lt;C&gt;1&lt;/C&gt;&lt;D xsi:type="xsd:double"&gt;1.7069101&lt;/D&gt;&lt;/FQL&gt;&lt;FQL&gt;&lt;Q&gt;VWO^FMA_COS_UP("EPS","1M",+1,0,,,"PORTAGG","MEANR")&lt;/Q&gt;&lt;R&gt;1&lt;/R&gt;&lt;C&gt;1&lt;/C&gt;&lt;D xsi:type="xsd:double"&gt;724&lt;/D&gt;&lt;/FQL&gt;&lt;FQL&gt;&lt;Q&gt;EWN^FG_ROE(0)&lt;/Q&gt;&lt;R&gt;1&lt;/R&gt;&lt;C&gt;1&lt;/C&gt;&lt;D xsi:type="xsd:double"&gt;9.60341928129243&lt;/D&gt;&lt;/FQL&gt;&lt;FQL&gt;&lt;Q&gt;TRYCA10Y-FDS^FG_YIELD_NAME&lt;/Q&gt;&lt;R&gt;1&lt;/R&gt;&lt;C&gt;1&lt;/C&gt;&lt;D xsi:type="xsd:string"&gt;Canada Benchmark Bond - 10 Year&lt;/D&gt;&lt;/FQL&gt;&lt;FQL&gt;&lt;Q&gt;VGK^FMA_DIV_YLD(NTMA,NOW,NOW,M,"PORTAGG","MEANR")&lt;/Q&gt;&lt;R&gt;1&lt;/R&gt;&lt;C&gt;1&lt;/C&gt;&lt;D xsi:type="xsd:double"&gt;3.58691570365969&lt;/D&gt;&lt;/FQL&gt;&lt;FQL&gt;&lt;Q&gt;EWN^FG_FCF_YIELD_NTM(0)&lt;/Q&gt;&lt;R&gt;1&lt;/R&gt;&lt;C&gt;1&lt;/C&gt;&lt;D xsi:type="xsd:double"&gt;3.86369549252587&lt;/D&gt;&lt;/FQL&gt;&lt;FQL&gt;&lt;Q&gt;EWA^FMA_EVAL_EBIT(LTMA,NOW,NOW,M,"PORTAGG","MEANR")&lt;/Q&gt;&lt;R&gt;1&lt;/R&gt;&lt;C&gt;1&lt;/C&gt;&lt;D xsi:type="xsd:double"&gt;12.4430506058536&lt;/D&gt;&lt;/FQL&gt;&lt;FQL&gt;&lt;Q&gt;TLT^FG_TOTAL_RETURNC(0,-1AM)&lt;/Q&gt;&lt;R&gt;1&lt;/R&gt;&lt;C&gt;1&lt;/C&gt;&lt;D xsi:type="xsd:double"&gt;-1.1660457&lt;/D&gt;&lt;/FQL&gt;&lt;FQL&gt;&lt;Q&gt;GLD^FG_TOTAL_RETURNC(0,-1AM)&lt;/Q&gt;&lt;R&gt;1&lt;/R&gt;&lt;C&gt;1&lt;/C&gt;&lt;D xsi:type="xsd:double"&gt;7.9128623&lt;/D&gt;&lt;/FQL&gt;&lt;FQL&gt;&lt;Q&gt;EWA^FG_ROE(0)&lt;/Q&gt;&lt;R&gt;1&lt;/R&gt;&lt;C&gt;1&lt;/C&gt;&lt;D xsi:type="xsd:double"&gt;12.8660004597465&lt;/D&gt;&lt;/FQL&gt;&lt;FQL&gt;&lt;Q&gt;TRYIT10Y-FDS^PCTCHG(FG_YIELD(0,,,,"YTM"),FG_YIELD(-3AM,,,,"YTM"))&lt;/Q&gt;&lt;R&gt;1&lt;/R&gt;&lt;C&gt;1&lt;/C&gt;&lt;D xsi:type="xsd:double"&gt;-2.8083956&lt;/D&gt;&lt;/FQL&gt;&lt;FQL&gt;&lt;Q&gt;USDGBP^STD(FG_PRICE_CHANGE(0,-1AY,AM))&lt;/Q&gt;&lt;R&gt;1&lt;/R&gt;&lt;C&gt;1&lt;/C&gt;&lt;D xsi:type="xsd:double"&gt;1.99438808226442&lt;/D&gt;&lt;/FQL&gt;&lt;FQL&gt;&lt;Q&gt;EWJ^FMA_EPS(NTMA,-20AY,0,CY,,"PORTAGG","MEANR")&lt;/Q&gt;&lt;R&gt;20&lt;/R&gt;&lt;C&gt;1&lt;/C&gt;&lt;D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xsi:type="xsd:double"&gt;4.07638230954429&lt;/D&gt;&lt;D xsi:type="xsd:double"&gt;3.67789541888801&lt;/D&gt;&lt;D xsi:type="xsd:double"&gt;4.61613856406357&lt;/D&gt;&lt;D xsi:type="xsd:double"&gt;4.46089542599279&lt;/D&gt;&lt;D xsi:type="xsd:double"&gt;4.56547558451215&lt;/D&gt;&lt;/FQL&gt;&lt;FQL&gt;&lt;Q&gt;CPALM-FDS^FG_PRICE_CHANGE(0,-6AM)&lt;/Q&gt;&lt;R&gt;1&lt;/R&gt;&lt;C&gt;1&lt;/C&gt;&lt;D xsi:type="xsd:double"&gt;25.5348326933626&lt;/D&gt;&lt;/FQL&gt;&lt;FQL&gt;&lt;Q&gt;TRYGB10Y-FDS^FG_YIELD_NAME&lt;/Q&gt;&lt;R&gt;1&lt;/R&gt;&lt;C&gt;1&lt;/C&gt;&lt;D xsi:type="xsd:string"&gt;United Kingdom Benchmark Bond - 10 Year&lt;/D&gt;&lt;/FQL&gt;&lt;FQL&gt;&lt;Q&gt;EWD^FMA_PE(LTMA,-10AY,0,AM,"PORTAGG","MEANR")&lt;/Q&gt;&lt;R&gt;121&lt;/R&gt;&lt;C&gt;1&lt;/C&gt;&lt;D xsi:type="xsd:double"&gt;15.3798180919709&lt;/D&gt;&lt;D xsi:type="xsd:double"&gt;15.4457277166589&lt;/D&gt;&lt;D xsi:type="xsd:double"&gt;15.739347939926&lt;/D&gt;&lt;D xsi:type="xsd:double"&gt;15.9551548654774&lt;/D&gt;&lt;D xsi:type="xsd:double"&gt;15.8355760500575&lt;/D&gt;&lt;D xsi:type="xsd:double"&gt;15.9221746553735&lt;/D&gt;&lt;D xsi:type="xsd:double"&gt;15.7984597954535&lt;/D&gt;&lt;D xsi:type="xsd:double"&gt;16.5002996588234&lt;/D&gt;&lt;D xsi:type="xsd:double"&gt;17.230893150017&lt;/D&gt;&lt;D xsi:type="xsd:double"&gt;17.5611304283267&lt;/D&gt;&lt;D xsi:type="xsd:double"&gt;18.7306595236697&lt;/D&gt;&lt;D xsi:type="xsd:double"&gt;20.2058847364245&lt;/D&gt;&lt;D xsi:type="xsd:double"&gt;19.9577239367745&lt;/D&gt;&lt;D xsi:type="xsd:double"&gt;19.2326555199115&lt;/D&gt;&lt;D xsi:type="xsd:double"&gt;19.150692837615&lt;/D&gt;&lt;D xsi:type="xsd:double"&gt;18.5594823200711&lt;/D&gt;&lt;D xsi:type="xsd:double"&gt;18.4234555013061&lt;/D&gt;&lt;D xsi:type="xsd:double"&gt;17.1706881063775&lt;/D&gt;&lt;D xsi:type="xsd:double"&gt;16.4681325303132&lt;/D&gt;&lt;D xsi:type="xsd:double"&gt;17.4446667488981&lt;/D&gt;&lt;D xsi:type="xsd:double"&gt;16.8085658844358&lt;/D&gt;&lt;D xsi:type="xsd:double"&gt;15.450058104013&lt;/D&gt;&lt;D xsi:type="xsd:double"&gt;14.8076271088276&lt;/D&gt;&lt;D xsi:type="xsd:double"&gt;15.6493999203538&lt;/D&gt;&lt;D xsi:type="xsd:double"&gt;15.5552695103873&lt;/D&gt;&lt;D xsi:type="xsd:double"&gt;15.5074650500016&lt;/D&gt;&lt;D xsi:type="xsd:double"&gt;15.4832213384227&lt;/D&gt;&lt;D xsi:type="xsd:double"&gt;15.4538294040505&lt;/D&gt;&lt;D xsi:type="xsd:double"&gt;15.7000002003564&lt;/D&gt;&lt;D xsi:type="xsd:double"&gt;16.2003736307799&lt;/D&gt;&lt;D xsi:type="xsd:double"&gt;16.606433066163&lt;/D&gt;&lt;D xsi:type="xsd:double"&gt;16.5204798150493&lt;/D&gt;&lt;D xsi:type="xsd:double"&gt;17.3004395096195&lt;/D&gt;&lt;D xsi:type="xsd:double"&gt;18.3459614003345&lt;/D&gt;&lt;D xsi:type="xsd:double"&gt;17.317713288186&lt;/D&gt;&lt;D xsi:type="xsd:double"&gt;17.4512606454946&lt;/D&gt;&lt;D xsi:type="xsd:double"&gt;17.5472795163147&lt;/D&gt;&lt;D xsi:type="xsd:double"&gt;17.6820533787236&lt;/D&gt;&lt;D xsi:type="xsd:double"&gt;18.1528829143027&lt;/D&gt;&lt;D xsi:type="xsd:double"&gt;17.6072549666568&lt;/D&gt;&lt;D xsi:type="xsd:double"&gt;17.0737358104253&lt;/D&gt;&lt;D xsi:type="xsd:double"&gt;16.9755886646677&lt;/D&gt;&lt;D xsi:type="xsd:double"&gt;17.8543199534358&lt;/D&gt;&lt;D xsi:type="xsd:double"&gt;18.5544382013791&lt;/D&gt;&lt;D xsi:type="xsd:double"&gt;18.1084189134506&lt;/D&gt;&lt;D xsi:type="xsd:double"&gt;18.1977190468129&lt;/D&gt;&lt;D xsi:type="xsd:double"&gt;18.7371641814784&lt;/D&gt;&lt;D xsi:type="xsd:double"&gt;16.8815747774007&lt;/D&gt;&lt;D xsi:type="xsd:double"&gt;16.7003927546224&lt;/D&gt;&lt;D xsi:type="xsd:double"&gt;16.7673617804807&lt;/D&gt;&lt;D xsi:type="xsd:double"&gt;16.6057942513812&lt;/D&gt;&lt;D xsi:type="xsd:double"&gt;16.3719159528033&lt;/D&gt;&lt;D xsi:type="xsd:double"&gt;16.5915548331113&lt;/D&gt;&lt;D xsi:type="xsd:double"&gt;16.748752323118&lt;/D&gt;&lt;D xsi:type="xsd:double"&gt;16.8242164943209&lt;/D&gt;&lt;D xsi:type="xsd:double"&gt;15.4743853477997&lt;/D&gt;&lt;D xsi:type="xsd:double"&gt;14.7477333239919&lt;/D&gt;&lt;D xsi:type="xsd:double"&gt;14.0807560582387&lt;/D&gt;&lt;D xsi:type="xsd:double"&gt;16.2360867570493&lt;/D&gt;&lt;D xsi:type="xsd:double"&gt;18.1413254465354&lt;/D&gt;&lt;D xsi:type="xsd:double"&gt;17.8975620199403&lt;/D&gt;&lt;D xsi:type="xsd:double"&gt;17.8458656942351&lt;/D&gt;&lt;D xsi:type="xsd:double"&gt;17.0206295644761&lt;/D&gt;&lt;D xsi:type="xsd:double"&gt;17.2219803572401&lt;/D&gt;&lt;D xsi:type="xsd:double"&gt;16.602151412974&lt;/D&gt;&lt;D xsi:type="xsd:double"&gt;15.9032969831556&lt;/D&gt;&lt;D xsi:type="xsd:double"&gt;16.0615937473674&lt;/D&gt;&lt;D xsi:type="xsd:double"&gt;17.0926881905473&lt;/D&gt;&lt;D xsi:type="xsd:double"&gt;15.8071957858691&lt;/D&gt;&lt;D xsi:type="xsd:double"&gt;16.3304978701501&lt;/D&gt;&lt;D xsi:type="xsd:double"&gt;14.2536553446641&lt;/D&gt;&lt;D xsi:type="xsd:double"&gt;12.9753017465392&lt;/D&gt;&lt;D xsi:type="xsd:double"&gt;13.0287293315988&lt;/D&gt;&lt;D xsi:type="xsd:double"&gt;14.758706366445&lt;/D&gt;&lt;D xsi:type="xsd:double"&gt;16.4453890852946&lt;/D&gt;&lt;D xsi:type="xsd:double"&gt;17.5640069723943&lt;/D&gt;&lt;D xsi:type="xsd:double"&gt;17.1731466304469&lt;/D&gt;&lt;D xsi:type="xsd:double"&gt;17.2284508791936&lt;/D&gt;&lt;D xsi:type="xsd:double"&gt;18.0136853420958&lt;/D&gt;&lt;D xsi:type="xsd:double"&gt;15.6753382238687&lt;/D&gt;&lt;D xsi:type="xsd:double"&gt;17.1069520176661&lt;/D&gt;&lt;D xsi:type="xsd:double"&gt;18.1121546218433&lt;/D&gt;&lt;D xsi:type="xsd:double"&gt;18.0343889978083&lt;/D&gt;&lt;D xsi:type="xsd:double"&gt;17.6859858665392&lt;/D&gt;&lt;D xsi:type="xsd:double"&gt;18.1673704623605&lt;/D&gt;&lt;D xsi:type="xsd:double"&gt;17.4105700913147&lt;/D&gt;&lt;D xsi:type="xsd:double"&gt;17.8751875310426&lt;/D&gt;&lt;D xsi:type="xsd:double"&gt;18.0061697759588&lt;/D&gt;&lt;D xsi:type="xsd:double"&gt;17.6230205409879&lt;/D&gt;&lt;D xsi:type="xsd:double"&gt;17.5730624658363&lt;/D&gt;&lt;D xsi:type="xsd:double"&gt;16.811243580916&lt;/D&gt;&lt;D xsi:type="xsd:double"&gt;16.6826493212292&lt;/D&gt;&lt;D xsi:type="xsd:double"&gt;16.1153719487788&lt;/D&gt;&lt;D xsi:type="xsd:double"&gt;17.1512450897425&lt;/D&gt;&lt;D xsi:type="xsd:double"&gt;12.2284218628565&lt;/D&gt;&lt;D xsi:type="xsd:double"&gt;11.5152950085135&lt;/D&gt;&lt;D xsi:type="xsd:double"&gt;12.1681805238753&lt;/D&gt;&lt;D xsi:type="xsd:double"&gt;12.1913369461408&lt;/D&gt;&lt;D xsi:type="xsd:double"&gt;13.8630577199966&lt;/D&gt;&lt;D xsi:type="xsd:double"&gt;13.3069347106137&lt;/D&gt;&lt;D xsi:type="xsd:double"&gt;14.6692892492176&lt;/D&gt;&lt;D xsi:type="xsd:double"&gt;14.4771349899775&lt;/D&gt;&lt;D xsi:type="xsd:double"&gt;14.9465290510846&lt;/D&gt;&lt;D xsi:type="xsd:double"&gt;13.5804089871011&lt;/D&gt;&lt;D xsi:type="xsd:double"&gt;14.5317646598554&lt;/D&gt;&lt;D xsi:type="xsd:double"&gt;15.9798805202751&lt;/D&gt;&lt;D xsi:type="xsd:double"&gt;27.3012639592114&lt;/D&gt;&lt;D xsi:type="xsd:double"&gt;25.5878672523704&lt;/D&gt;&lt;D xsi:type="xsd:double"&gt;24.2816104656906&lt;/D&gt;&lt;D xsi:type="xsd:double"&gt;23.1207611768837&lt;/D&gt;&lt;D xsi:type="xsd:double"&gt;22.008261131145&lt;/D&gt;&lt;D xsi:type="xsd:double"&gt;20.7749189327177&lt;/D&gt;&lt;D xsi:type="xsd:double"&gt;19.2345647996501&lt;/D&gt;&lt;D xsi:type="xsd:double"&gt;17.9375657942862&lt;/D&gt;&lt;D xsi:type="xsd:double"&gt;16.3321204170141&lt;/D&gt;&lt;D xsi:type="xsd:double"&gt;15.9296627065828&lt;/D&gt;&lt;D xsi:type="xsd:double"&gt;17.4884177535718&lt;/D&gt;&lt;D xsi:type="xsd:double"&gt;17.4733838526807&lt;/D&gt;&lt;D xsi:type="xsd:double"&gt;15.2414895529794&lt;/D&gt;&lt;D xsi:type="xsd:double"&gt;15.9438690911167&lt;/D&gt;&lt;D xsi:type="xsd:double"&gt;16.0445922192266&lt;/D&gt;&lt;/FQL&gt;&lt;FQL&gt;&lt;Q&gt;SPY^FG_TOTAL_RETURNC(0,-6AM)&lt;/Q&gt;&lt;R&gt;1&lt;/R&gt;&lt;C&gt;1&lt;/C&gt;&lt;D xsi:type="xsd:double"&gt;21.689188&lt;/D&gt;&lt;/FQL&gt;&lt;FQL&gt;&lt;Q&gt;TRYJP10Y-FDS^FG_YIELD(0,,,,"YTM")&lt;/Q&gt;&lt;R&gt;1&lt;/R&gt;&lt;C&gt;1&lt;/C&gt;&lt;D xsi:type="xsd:double"&gt;0.7705&lt;/D&gt;&lt;/FQL&gt;&lt;FQL&gt;&lt;Q&gt;CAGDPY@NL^EE_ACTUAL_ANNUAL(MED,0)&lt;/Q&gt;&lt;R&gt;1&lt;/R&gt;&lt;C&gt;1&lt;/C&gt;&lt;D xsi:type="xsd:double"&gt;10.0892019550425&lt;/D&gt;&lt;/FQL&gt;&lt;FQL&gt;&lt;Q&gt;USDJPY^FG_PRICE_CHANGE(0,-1AM)&lt;/Q&gt;&lt;R&gt;1&lt;/R&gt;&lt;C&gt;1&lt;/C&gt;&lt;D xsi:type="xsd:double"&gt;0.7774353&lt;/D&gt;&lt;/FQL&gt;&lt;FQL&gt;&lt;Q&gt;ENZL^P_PRICE_RETURNS_PR('52W',2,-10AY,0,AM)&lt;/Q&gt;&lt;R&gt;121&lt;/R&gt;&lt;C&gt;1&lt;/C&gt;&lt;D xsi:type="xsd:double"&gt;17.150486&lt;/D&gt;&lt;D xsi:type="xsd:double"&gt;16.83098&lt;/D&gt;&lt;D xsi:type="xsd:double"&gt;22.31548&lt;/D&gt;&lt;D xsi:type="xsd:double"&gt;30.837477&lt;/D&gt;&lt;D xsi:type="xsd:double"&gt;19.778835&lt;/D&gt;&lt;D xsi:type="xsd:double"&gt;19.730007&lt;/D&gt;&lt;D xsi:type="xsd:double"&gt;3.2989383&lt;/D&gt;&lt;D xsi:type="xsd:double"&gt;4.091513&lt;/D&gt;&lt;D xsi:type="xsd:double"&gt;12.038898&lt;/D&gt;&lt;D xsi:type="xsd:double"&gt;12.037039&lt;/D&gt;&lt;D xsi:type="xsd:double"&gt;9.210003&lt;/D&gt;&lt;D xsi:type="xsd:double"&gt;5.862677&lt;/D&gt;&lt;D xsi:type="xsd:double"&gt;0.28384924&lt;/D&gt;&lt;D xsi:type="xsd:double"&gt;-3.0759811&lt;/D&gt;&lt;D xsi:type="xsd:double"&gt;-2.936387&lt;/D&gt;&lt;D xsi:type="xsd:double"&gt;-12.836796&lt;/D&gt;&lt;D xsi:type="xsd:double"&gt;-9.511447&lt;/D&gt;&lt;D xsi:type="xsd:double"&gt;-18.822788&lt;/D&gt;&lt;D xsi:type="xsd:double"&gt;-12.216579&lt;/D&gt;&lt;D xsi:type="xsd:double"&gt;-4.7795057&lt;/D&gt;&lt;D xsi:type="xsd:double"&gt;-3.8832843&lt;/D&gt;&lt;D xsi:type="xsd:double"&gt;-1.8617272&lt;/D&gt;&lt;D xsi:type="xsd:double"&gt;-4.463917&lt;/D&gt;&lt;D xsi:type="xsd:double"&gt;-2.192074&lt;/D&gt;&lt;D xsi:type="xsd:double"&gt;5.016458&lt;/D&gt;&lt;D xsi:type="xsd:double"&gt;7.2190166&lt;/D&gt;&lt;D xsi:type="xsd:double"&gt;16.923582&lt;/D&gt;&lt;D xsi:type="xsd:double"&gt;28.644062&lt;/D&gt;&lt;D xsi:type="xsd:double"&gt;37.555813&lt;/D&gt;&lt;D xsi:type="xsd:double"&gt;54.73617&lt;/D&gt;&lt;D xsi:type="xsd:double"&gt;47.15737&lt;/D&gt;&lt;D xsi:type="xsd:double"&gt;21.719158&lt;/D&gt;&lt;D xsi:type="xsd:double"&gt;21.443928&lt;/D&gt;&lt;D xsi:type="xsd:double"&gt;14.096558&lt;/D&gt;&lt;D xsi:type="xsd:double"&gt;27.463282&lt;/D&gt;&lt;D xsi:type="xsd:double"&gt;17.188692&lt;/D&gt;&lt;D xsi:type="xsd:double"&gt;9.827339&lt;/D&gt;&lt;D xsi:type="xsd:double"&gt;7.509804&lt;/D&gt;&lt;D xsi:type="xsd:double"&gt;12.160254&lt;/D&gt;&lt;D xsi:type="xsd:double"&gt;11.530256&lt;/D&gt;&lt;D xsi:type="xsd:double"&gt;8.658624&lt;/D&gt;&lt;D xsi:type="xsd:double"&gt;3.5515904&lt;/D&gt;&lt;D xsi:type="xsd:double"&gt;7.081735&lt;/D&gt;&lt;D xsi:type="xsd:double"&gt;11.770832&lt;/D&gt;&lt;D xsi:type="xsd:double"&gt;12.457013&lt;/D&gt;&lt;D xsi:type="xsd:double"&gt;23.917734&lt;/D&gt;&lt;D xsi:type="xsd:double"&gt;17.842329&lt;/D&gt;&lt;D xsi:type="xsd:double"&gt;19.512165&lt;/D&gt;&lt;D xsi:type="xsd:double"&gt;21.34074&lt;/D&gt;&lt;D xsi:type="xsd:double"&gt;18.918526&lt;/D&gt;&lt;D xsi:type="xsd:double"&gt;12.546301&lt;/D&gt;&lt;D xsi:type="xsd:double"&gt;9.683716&lt;/D&gt;&lt;D xsi:type="xsd:double"&gt;3.1799197&lt;/D&gt;&lt;D xsi:type="xsd:double"&gt;8.676159&lt;/D&gt;&lt;D xsi:type="xsd:double"&gt;4.2794466&lt;/D&gt;&lt;D xsi:type="xsd:double"&gt;4.338491&lt;/D&gt;&lt;D xsi:type="xsd:double"&gt;9.537161&lt;/D&gt;&lt;D xsi:type="xsd:double"&gt;-0.55550337&lt;/D&gt;&lt;D xsi:type="xsd:double"&gt;2.2238493&lt;/D&gt;&lt;D xsi:type="xsd:double"&gt;6.2977552&lt;/D&gt;&lt;D xsi:type="xsd:double"&gt;8.569729&lt;/D&gt;&lt;D xsi:type="xsd:double"&gt;11.211443&lt;/D&gt;&lt;D xsi:type="xsd:double"&gt;7.591808&lt;/D&gt;&lt;D xsi:type="xsd:double"&gt;14.625942&lt;/D&gt;&lt;D xsi:type="xsd:double"&gt;17.511045&lt;/D&gt;&lt;D xsi:type="xsd:double"&gt;14.007938&lt;/D&gt;&lt;D xsi:type="xsd:double"&gt;15.398109&lt;/D&gt;&lt;D xsi:type="xsd:double"&gt;18.587149&lt;/D&gt;&lt;D xsi:type="xsd:double"&gt;21.198225&lt;/D&gt;&lt;D xsi:type="xsd:double"&gt;30.63575&lt;/D&gt;&lt;D xsi:type="xsd:double"&gt;20.254648&lt;/D&gt;&lt;D xsi:type="xsd</t>
        </r>
      </text>
    </comment>
    <comment ref="A10" authorId="0" shapeId="0" xr:uid="{408ACBDF-F046-4A7F-B44B-442917910917}">
      <text>
        <r>
          <rPr>
            <b/>
            <sz val="9"/>
            <color indexed="81"/>
            <rFont val="Tahoma"/>
            <charset val="1"/>
          </rPr>
          <t>:double"&gt;14.272904&lt;/D&gt;&lt;D xsi:type="xsd:double"&gt;-12.056404&lt;/D&gt;&lt;D xsi:type="xsd:double"&gt;-3.0038893&lt;/D&gt;&lt;D xsi:type="xsd:double"&gt;11.837411&lt;/D&gt;&lt;D xsi:type="xsd:double"&gt;10.6545925&lt;/D&gt;&lt;D xsi:type="xsd:double"&gt;12.263048&lt;/D&gt;&lt;D xsi:type="xsd:double"&gt;14.080179&lt;/D&gt;&lt;D xsi:type="xsd:double"&gt;16.166342&lt;/D&gt;&lt;D xsi:type="xsd:double"&gt;18.331087&lt;/D&gt;&lt;D xsi:type="xsd:double"&gt;20.438362&lt;/D&gt;&lt;D xsi:type="xsd:double"&gt;20.568966&lt;/D&gt;&lt;D xsi:type="xsd:double"&gt;22.484947&lt;/D&gt;&lt;D xsi:type="xsd:double"&gt;15.000868&lt;/D&gt;&lt;D xsi:type="xsd:double"&gt;42.820213&lt;/D&gt;&lt;D xsi:type="xsd:double"&gt;36.067116&lt;/D&gt;&lt;D xsi:type="xsd:double"&gt;16.183472&lt;/D&gt;&lt;D xsi:type="xsd:double"&gt;9.935581&lt;/D&gt;&lt;D xsi:type="xsd:double"&gt;7.1643233&lt;/D&gt;&lt;D xsi:type="xsd:double"&gt;11.862826&lt;/D&gt;&lt;D xsi:type="xsd:double"&gt;9.759402&lt;/D&gt;&lt;D xsi:type="xsd:double"&gt;5.466783&lt;/D&gt;&lt;D xsi:type="xsd:double"&gt;-10.549808&lt;/D&gt;&lt;D xsi:type="xsd:double"&gt;-10.612231&lt;/D&gt;&lt;D xsi:type="xsd:double"&gt;-18.412853&lt;/D&gt;&lt;D xsi:type="xsd:double"&gt;-7.857114&lt;/D&gt;&lt;D xsi:type="xsd:double"&gt;-8.8708105&lt;/D&gt;&lt;D xsi:type="xsd:double"&gt;-20.595497&lt;/D&gt;&lt;D xsi:type="xsd:double"&gt;-18.559015&lt;/D&gt;&lt;D xsi:type="xsd:double"&gt;-25.094341&lt;/D&gt;&lt;D xsi:type="xsd:double"&gt;-18.496973&lt;/D&gt;&lt;D xsi:type="xsd:double"&gt;-25.261963&lt;/D&gt;&lt;D xsi:type="xsd:double"&gt;-30.241371&lt;/D&gt;&lt;D xsi:type="xsd:double"&gt;-27.123564&lt;/D&gt;&lt;D xsi:type="xsd:double"&gt;-13.168865&lt;/D&gt;&lt;D xsi:type="xsd:double"&gt;-15.83479&lt;/D&gt;&lt;D xsi:type="xsd:double"&gt;-2.5783718&lt;/D&gt;&lt;D xsi:type="xsd:double"&gt;-7.9734683&lt;/D&gt;&lt;D xsi:type="xsd:double"&gt;-7.849926&lt;/D&gt;&lt;D xsi:type="xsd:double"&gt;1.4854908&lt;/D&gt;&lt;D xsi:type="xsd:double"&gt;0.87914467&lt;/D&gt;&lt;D xsi:type="xsd:double"&gt;12.314892&lt;/D&gt;&lt;D xsi:type="xsd:double"&gt;-0.4055202&lt;/D&gt;&lt;D xsi:type="xsd:double"&gt;-0.37047267&lt;/D&gt;&lt;D xsi:type="xsd:double"&gt;4.5149803&lt;/D&gt;&lt;D xsi:type="xsd:double"&gt;5.0468206&lt;/D&gt;&lt;D xsi:type="xsd:double"&gt;-6.069231&lt;/D&gt;&lt;D xsi:type="xsd:double"&gt;-0.2176106&lt;/D&gt;&lt;D xsi:type="xsd:double"&gt;-10.102999&lt;/D&gt;&lt;D xsi:type="xsd:double"&gt;-6.575328&lt;/D&gt;&lt;D xsi:type="xsd:double"&gt;-7.1061015&lt;/D&gt;&lt;/FQL&gt;&lt;FQL&gt;&lt;Q&gt;EWD^FMA_PE(NTMA,-10AY,0,AM,"PORTAGG","MEANR")&lt;/Q&gt;&lt;R&gt;121&lt;/R&gt;&lt;C&gt;1&lt;/C&gt;&lt;D xsi:type="xsd:double"&gt;15.9093508116535&lt;/D&gt;&lt;D xsi:type="xsd:double"&gt;15.6444081505704&lt;/D&gt;&lt;D xsi:type="xsd:double"&gt;15.853796393959&lt;/D&gt;&lt;D xsi:type="xsd:double"&gt;15.8493885641385&lt;/D&gt;&lt;D xsi:type="xsd:double"&gt;15.163305978966&lt;/D&gt;&lt;D xsi:type="xsd:double"&gt;14.7973149005033&lt;/D&gt;&lt;D xsi:type="xsd:double"&gt;14.3306098956464&lt;/D&gt;&lt;D xsi:type="xsd:double"&gt;15.1379904937799&lt;/D&gt;&lt;D xsi:type="xsd:double"&gt;15.56812668895&lt;/D&gt;&lt;D xsi:type="xsd:double"&gt;15.580527381065&lt;/D&gt;&lt;D xsi:type="xsd:double"&gt;16.2558739834123&lt;/D&gt;&lt;D xsi:type="xsd:double"&gt;17.0672706736385&lt;/D&gt;&lt;D xsi:type="xsd:double"&gt;17.0216798453716&lt;/D&gt;&lt;D xsi:type="xsd:double"&gt;15.8770949216739&lt;/D&gt;&lt;D xsi:type="xsd:double"&gt;16.2381145879512&lt;/D&gt;&lt;D xsi:type="xsd:double"&gt;15.5856786497829&lt;/D&gt;&lt;D xsi:type="xsd:double"&gt;15.8974078514511&lt;/D&gt;&lt;D xsi:type="xsd:double"&gt;14.5337713870876&lt;/D&gt;&lt;D xsi:type="xsd:double"&gt;14.1462302046591&lt;/D&gt;&lt;D xsi:type="xsd:double"&gt;15.7638695124564&lt;/D&gt;&lt;D xsi:type="xsd:double"&gt;15.301358425341&lt;/D&gt;&lt;D xsi:type="xsd:double"&gt;14.4413252976912&lt;/D&gt;&lt;D xsi:type="xsd:double"&gt;14.62021722787&lt;/D&gt;&lt;D xsi:type="xsd:double"&gt;15.5575452499885&lt;/D&gt;&lt;D xsi:type="xsd:double"&gt;15.0125542245811&lt;/D&gt;&lt;D xsi:type="xsd:double"&gt;14.8024286787735&lt;/D&gt;&lt;D xsi:type="xsd:double"&gt;14.7761017947686&lt;/D&gt;&lt;D xsi:type="xsd:double"&gt;14.6967790020612&lt;/D&gt;&lt;D xsi:type="xsd:double"&gt;14.9968884719293&lt;/D&gt;&lt;D xsi:type="xsd:double"&gt;15.6461650170137&lt;/D&gt;&lt;D xsi:type="xsd:double"&gt;15.9178033902776&lt;/D&gt;&lt;D xsi:type="xsd:double"&gt;15.466357740438&lt;/D&gt;&lt;D xsi:type="xsd:double"&gt;15.958798335709&lt;/D&gt;&lt;D xsi:type="xsd:double"&gt;16.5733138338338&lt;/D&gt;&lt;D xsi:type="xsd:double"&gt;16.5227064130977&lt;/D&gt;&lt;D xsi:type="xsd:double"&gt;16.488603046213&lt;/D&gt;&lt;D xsi:type="xsd:double"&gt;16.9128482510411&lt;/D&gt;&lt;D xsi:type="xsd:double"&gt;17.1818242004973&lt;/D&gt;&lt;D xsi:type="xsd:double"&gt;18.0717772891166&lt;/D&gt;&lt;D xsi:type="xsd:double"&gt;16.6697160211889&lt;/D&gt;&lt;D xsi:type="xsd:double"&gt;16.1106291583542&lt;/D&gt;&lt;D xsi:type="xsd:double"&gt;15.965060274012&lt;/D&gt;&lt;D xsi:type="xsd:double"&gt;16.9648734783742&lt;/D&gt;&lt;D xsi:type="xsd:double"&gt;17.3618010522557&lt;/D&gt;&lt;D xsi:type="xsd:double"&gt;16.6024346262441&lt;/D&gt;&lt;D xsi:type="xsd:double"&gt;16.3783030690931&lt;/D&gt;&lt;D xsi:type="xsd:double"&gt;16.4732815841935&lt;/D&gt;&lt;D xsi:type="xsd:double"&gt;15.7541759072653&lt;/D&gt;&lt;D xsi:type="xsd:double"&gt;15.35327676715&lt;/D&gt;&lt;D xsi:type="xsd:double"&gt;15.820382466456&lt;/D&gt;&lt;D xsi:type="xsd:double"&gt;15.5265204930381&lt;/D&gt;&lt;D xsi:type="xsd:double"&gt;15.1698699116889&lt;/D&gt;&lt;D xsi:type="xsd:double"&gt;15.564368026137&lt;/D&gt;&lt;D xsi:type="xsd:double"&gt;15.7660969941905&lt;/D&gt;&lt;D xsi:type="xsd:double"&gt;15.7656655373605&lt;/D&gt;&lt;D xsi:type="xsd:double"&gt;14.6065068232269&lt;/D&gt;&lt;D xsi:type="xsd:double"&gt;14.0917756118493&lt;/D&gt;&lt;D xsi:type="xsd:double"&gt;13.6203556981464&lt;/D&gt;&lt;D xsi:type="xsd:double"&gt;14.2367223706847&lt;/D&gt;&lt;D xsi:type="xsd:double"&gt;14.9217633132031&lt;/D&gt;&lt;D xsi:type="xsd:double"&gt;15.1447966534783&lt;/D&gt;&lt;D xsi:type="xsd:double"&gt;15.6580016634076&lt;/D&gt;&lt;D xsi:type="xsd:double"&gt;14.2765890235674&lt;/D&gt;&lt;D xsi:type="xsd:double"&gt;15.2217776892763&lt;/D&gt;&lt;D xsi:type="xsd:double"&gt;14.5782762926816&lt;/D&gt;&lt;D xsi:type="xsd:double"&gt;13.9464444869873&lt;/D&gt;&lt;D xsi:type="xsd:double"&gt;14.5253212411624&lt;/D&gt;&lt;D xsi:type="xsd:double"&gt;16.0299800937763&lt;/D&gt;&lt;D xsi:type="xsd:double"&gt;15.5720624395908&lt;/D&gt;&lt;D xsi:type="xsd:double"&gt;16.235378578864&lt;/D&gt;&lt;D xsi:type="xsd:double"&gt;16.469778927253&lt;/D&gt;&lt;D xsi:type="xsd:double"&gt;15.3606499794055&lt;/D&gt;&lt;D xsi:type="xsd:double"&gt;14.2429722245466&lt;/D&gt;&lt;D xsi:type="xsd:double"&gt;17.3068552138749&lt;/D&gt;&lt;D xsi:type="xsd:double"&gt;19.6086735305681&lt;/D&gt;&lt;D xsi:type="xsd:double"&gt;19.6962540659764&lt;/D&gt;&lt;D xsi:type="xsd:double"&gt;18.4478824296414&lt;/D&gt;&lt;D xsi:type="xsd:double"&gt;17.9733323421819&lt;/D&gt;&lt;D xsi:type="xsd:double"&gt;18.1470522982212&lt;/D&gt;&lt;D xsi:type="xsd:double"&gt;16.3306391505959&lt;/D&gt;&lt;D xsi:type="xsd:double"&gt;17.3762930348252&lt;/D&gt;&lt;D xsi:type="xsd:double"&gt;18.1626013908034&lt;/D&gt;&lt;D xsi:type="xsd:double"&gt;19.0206051108383&lt;/D&gt;&lt;D xsi:type="xsd:double"&gt;19.2398142909215&lt;/D&gt;&lt;D xsi:type="xsd:double"&gt;20.27506424948&lt;/D&gt;&lt;D xsi:type="xsd:double"&gt;17.7102748503045&lt;/D&gt;&lt;D xsi:type="xsd:double"&gt;18.6787387457973&lt;/D&gt;&lt;D xsi:type="xsd:double"&gt;18.6967714074991&lt;/D&gt;&lt;D xsi:type="xsd:double"&gt;18.6593898065095&lt;/D&gt;&lt;D xsi:type="xsd:double"&gt;18.6210488187677&lt;/D&gt;&lt;D xsi:type="xsd:double"&gt;17.6172395938232&lt;/D&gt;&lt;D xsi:type="xsd:double"&gt;18.5761582939348&lt;/D&gt;&lt;D xsi:type="xsd:double"&gt;18.3813314276853&lt;/D&gt;&lt;D xsi:type="xsd:double"&gt;18.8499718747031&lt;/D&gt;&lt;D xsi:type="xsd:double"&gt;16.3173333593777&lt;/D&gt;&lt;D xsi:type="xsd:double"&gt;14.0150025829956&lt;/D&gt;&lt;D xsi:type="xsd:double"&gt;15.3836944817878&lt;/D&gt;&lt;D xsi:type="xsd:double"&gt;14.1800480710316&lt;/D&gt;&lt;D xsi:type="xsd:double"&gt;16.2081109790291&lt;/D&gt;&lt;D xsi:type="xsd:double"&gt;14.1175287451597&lt;/D&gt;&lt;D xsi:type="xsd:double"&gt;15.1150235832609&lt;/D&gt;&lt;D xsi:type="xsd:double"&gt;13.9407915066379&lt;/D&gt;&lt;D xsi:type="xsd:double"&gt;13.6457375071227&lt;/D&gt;&lt;D xsi:type="xsd:double"&gt;12.6298503995159&lt;/D&gt;&lt;D xsi:type="xsd:double"&gt;13.2020134169641&lt;/D&gt;&lt;D xsi:type="xsd:double"&gt;13.0640349409698&lt;/D&gt;&lt;D xsi:type="xsd:double"&gt;14.5470690149429&lt;/D&gt;&lt;D xsi:type="xsd:double"&gt;14.2596382623585&lt;/D&gt;&lt;D xsi:type="xsd:double"&gt;13.7710976725235&lt;/D&gt;&lt;D xsi:type="xsd:double"&gt;13.5747628533147&lt;/D&gt;&lt;D xsi:type="xsd:double"&gt;13.6792109597076&lt;/D&gt;&lt;D xsi:type="xsd:double"&gt;13.5505958218221&lt;/D&gt;&lt;D xsi:type="xsd:double"&gt;13.1148555256884&lt;/D&gt;&lt;D xsi:type="xsd:double"&gt;12.9963127778167&lt;/D&gt;&lt;D xsi:type="xsd:double"&gt;12.6074397672099&lt;/D&gt;&lt;D xsi:type="xsd:double"&gt;12.8675068537968&lt;/D&gt;&lt;D xsi:type="xsd:double"&gt;14.67838682751&lt;/D&gt;&lt;D xsi:type="xsd:double"&gt;15.3592789493714&lt;/D&gt;&lt;D xsi:type="xsd:double"&gt;15.6426811464277&lt;/D&gt;&lt;D xsi:type="xsd:double"&gt;16.2959084605393&lt;/D&gt;&lt;D xsi:type="xsd:double"&gt;16.3743618059798&lt;/D&gt;&lt;/FQL&gt;&lt;FQL&gt;&lt;Q&gt;DDR3512M-FDS^FG_PRICE_CHANGE(0,-3AM)&lt;/Q&gt;&lt;R&gt;1&lt;/R&gt;&lt;C&gt;1&lt;/C&gt;&lt;D xsi:type="xsd:double"&gt;-1.8451865865834&lt;/D&gt;&lt;/FQL&gt;&lt;FQL&gt;&lt;Q&gt;PLATI-FDS^FG_PRICE_CHANGE(0,-6AM)&lt;/Q&gt;&lt;R&gt;1&lt;/R&gt;&lt;C&gt;1&lt;/C&gt;&lt;D xsi:type="xsd:double"&gt;6.93970420932879&lt;/D&gt;&lt;/FQL&gt;&lt;FQL&gt;&lt;Q&gt;COPP-FDS^FG_PRICE_CHANGE(0,-1AY)&lt;/Q&gt;&lt;R&gt;1&lt;/R&gt;&lt;C&gt;1&lt;/C&gt;&lt;D xsi:type="xsd:double"&gt;6.60223421614159&lt;/D&gt;&lt;/FQL&gt;&lt;FQL&gt;&lt;Q&gt;QQQ^FG_PRICE_MAVG(0,,,,200)&lt;/Q&gt;&lt;R&gt;1&lt;/R&gt;&lt;C&gt;1&lt;/C&gt;&lt;D xsi:type="xsd:double"&gt;392.362&lt;/D&gt;&lt;/FQL&gt;&lt;FQL&gt;&lt;Q&gt;EWU^FMA_COS_DOWN("EPS","1M",+1,0,,,"PORTAGG","MEANR")&lt;/Q&gt;&lt;R&gt;1&lt;/R&gt;&lt;C&gt;1&lt;/C&gt;&lt;D xsi:type="xsd:double"&gt;38&lt;/D&gt;&lt;/FQL&gt;&lt;FQL&gt;&lt;Q&gt;TRYCH10Y-FDS^PCTCHG(FG_YIELD(0,,,,"YTM"),FG_YIELD(-1AM,,,,"YTM"))&lt;/Q&gt;&lt;R&gt;1&lt;/R&gt;&lt;C&gt;1&lt;/C&gt;&lt;D xsi:type="xsd:double"&gt;-8.02548&lt;/D&gt;&lt;/FQL&gt;&lt;FQL&gt;&lt;Q&gt;TRYFR10Y-FDS^FG_YIELD_NAME&lt;/Q&gt;&lt;R&gt;1&lt;/R&gt;&lt;C&gt;1&lt;/C&gt;&lt;D xsi:type="xsd:string"&gt;France Benchmark Bond - 10 Year&lt;/D&gt;&lt;/FQL&gt;&lt;FQL&gt;&lt;Q&gt;CC_SE^IMF_IFS_RCPI_Q(0)&lt;/Q&gt;&lt;R&gt;0&lt;/R&gt;&lt;C&gt;0&lt;/C&gt;&lt;/FQL&gt;&lt;FQL&gt;&lt;Q&gt;VGK^FG_PE_NTM(0,,,90,0)&lt;/Q&gt;&lt;R&gt;1&lt;/R&gt;&lt;C&gt;1&lt;/C&gt;&lt;D xsi:type="xsd:double"&gt;13.197261195963&lt;/D&gt;&lt;/FQL&gt;&lt;FQL&gt;&lt;Q&gt;QQQ^FMA_EVAL_EBITDA(NTMA,0,,,"PORTAGG","MEANR")&lt;/Q&gt;&lt;R&gt;1&lt;/R&gt;&lt;C&gt;1&lt;/C&gt;&lt;D xsi:type="xsd:double"&gt;15.9910991679896&lt;/D&gt;&lt;/FQL&gt;&lt;FQL&gt;&lt;Q&gt;EWJ^FMA_EVAL_EBIT(LTMA,NOW,NOW,M,"PORTAGG","MEANR")&lt;/Q&gt;&lt;R&gt;1&lt;/R&gt;&lt;C&gt;1&lt;/C&gt;&lt;D xsi:type="xsd:double"&gt;18.1571800711343&lt;/D&gt;&lt;/FQL&gt;&lt;FQL&gt;&lt;Q&gt;DUMMY^ECON_EXPR_DATA('FDS_ECON[NTCPMIMFGSA@EME]',12/2023,,Q)&lt;/Q&gt;&lt;R&gt;1&lt;/R&gt;&lt;C&gt;1&lt;/C&gt;&lt;D xsi:type="xsd:double"&gt;50.624123&lt;/D&gt;&lt;/FQL&gt;&lt;FQL&gt;&lt;Q&gt;USO^P_PRICE(0)/P_PRICE_HIGH_PR(0,,,USD,,,"PRICE","INTRA","52W")&lt;/Q&gt;&lt;R&gt;1&lt;/R&gt;&lt;C&gt;1&lt;/C&gt;&lt;D xsi:type="xsd:double"&gt;0.98775357&lt;/D&gt;&lt;/FQL&gt;&lt;FQL&gt;&lt;Q&gt;EWU^FMA_EVAL_EBITDA(NTMA,0,,,"PORTAGG","MEANR")&lt;/Q&gt;&lt;R&gt;1&lt;/R&gt;&lt;C&gt;1&lt;/C&gt;&lt;D xsi:type="xsd:double"&gt;7.47183886571848&lt;/D&gt;&lt;/FQL&gt;&lt;FQL&gt;&lt;Q&gt;EWG^FMA_EVAL_EBIT(LTMA,NOW,NOW,M,"PORTAGG","MEANR")&lt;/Q&gt;&lt;R&gt;1&lt;/R&gt;&lt;C&gt;1&lt;/C&gt;&lt;D xsi:type="xsd:double"&gt;13.3191447868824&lt;/D&gt;&lt;/FQL&gt;&lt;FQL&gt;&lt;Q&gt;URTH^PERCENT_CHANGE(FMA_EPS(+1,0,,,,"PORTAGG","MEAN"),FMA_EPS(+1,-1AM,,,,"PORTAGG","MEAN"))&lt;/Q&gt;&lt;R&gt;1&lt;/R&gt;&lt;C&gt;1&lt;/C&gt;&lt;D xsi:type="xsd:double"&gt;0.074723921059138&lt;/D&gt;&lt;/FQL&gt;&lt;FQL&gt;&lt;Q&gt;USDANG^STD(FG_PRICE_CHANGE(0,-1AY,AM))&lt;/Q&gt;&lt;R&gt;1&lt;/R&gt;&lt;C&gt;1&lt;/C&gt;&lt;D xsi:type="xsd:double"&gt;0&lt;/D&gt;&lt;/FQL&gt;&lt;FQL&gt;&lt;Q&gt;EWQ^FMA_EVAL_EBITDA(NTMA,0,,,"PORTAGG","MEANR")&lt;/Q&gt;&lt;R&gt;1&lt;/R&gt;&lt;C&gt;1&lt;/C&gt;&lt;D xsi:type="xsd:double"&gt;9.36142366916741&lt;/D&gt;&lt;/FQL&gt;&lt;FQL&gt;&lt;Q&gt;DBA^FG_TOTAL_RETURNC(0,-3AM)&lt;/Q&gt;&lt;R&gt;1&lt;/R&gt;&lt;C&gt;1&lt;/C&gt;&lt;D xsi:type="xsd:double"&gt;19.691122&lt;/D&gt;&lt;/FQL&gt;&lt;FQL&gt;&lt;Q&gt;VWO^FG_TOTAL_RETURNC(0,-1AM)&lt;/Q&gt;&lt;R&gt;1&lt;/R&gt;&lt;C&gt;1&lt;/C&gt;&lt;D xsi:type="xsd:double"&gt;1.5189886&lt;/D&gt;&lt;/FQL&gt;&lt;FQL&gt;&lt;Q&gt;FXI^SIZE(FG_CONSTITUENTS)&lt;/Q&gt;&lt;R&gt;1&lt;/R&gt;&lt;C&gt;1&lt;/C&gt;&lt;D xsi:type="xsd:long"&gt;51&lt;/D&gt;&lt;/FQL&gt;&lt;FQL&gt;&lt;Q&gt;TRYCN10Y-FDS^FG_YIELD(-10AY,0,Y,,"YTM")&lt;/Q&gt;&lt;R&gt;10&lt;/R&gt;&lt;C&gt;1&lt;/C&gt;&lt;D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xsi:type="xsd:double"&gt;2.574&lt;/D&gt;&lt;/FQL&gt;&lt;FQL&gt;&lt;Q&gt;USDITL^FG_PRICE_CHANGE(0,-1AM)&lt;/Q&gt;&lt;R&gt;1&lt;/R&gt;&lt;C&gt;1&lt;/C&gt;&lt;D xsi:type="xsd:double"&gt;-0.041401386&lt;/D&gt;&lt;/FQL&gt;&lt;FQL&gt;&lt;Q&gt;USDNZD^FG_PRICE_CHANGE(0,-1AM)&lt;/Q&gt;&lt;R&gt;1&lt;/R&gt;&lt;C&gt;1&lt;/C&gt;&lt;D xsi:type="xsd:double"&gt;0.9518266&lt;/D&gt;&lt;/FQL&gt;&lt;FQL&gt;&lt;Q&gt;URTH^P_PRICE(0)/P_PRICE_HIGH_PR(0,,,USD,,,"PRICE","INTRA","52W")&lt;/Q&gt;&lt;R&gt;1&lt;/R&gt;&lt;C&gt;1&lt;/C&gt;&lt;D xsi:type="xsd:double"&gt;0.980095&lt;/D&gt;&lt;/FQL&gt;&lt;FQL&gt;&lt;Q&gt;EWI^FG_TOTAL_RETURNC(0,-1AM)&lt;/Q&gt;&lt;R&gt;1&lt;/R&gt;&lt;C&gt;1&lt;/C&gt;&lt;D xsi:type="xsd:double"&gt;3.1737328&lt;/D&gt;&lt;/FQL&gt;&lt;FQL&gt;&lt;Q&gt;EWQ^FG_TOTAL_RETURNC(0,-12AM)&lt;/Q&gt;&lt;R&gt;1&lt;/R&gt;&lt;C&gt;1&lt;/C&gt;&lt;D xsi:type="xsd:double"&gt;9.653997&lt;/D&gt;&lt;/FQL&gt;&lt;FQL&gt;&lt;Q&gt;EWU^P_PRICE(0)/P_PRICE_LOW_PR(0,,,USD,,,"PRICE","INTRA","52W")-1&lt;/Q&gt;&lt;R&gt;1&lt;/R&gt;&lt;C&gt;1&lt;/C&gt;&lt;D xsi:type="xsd:double"&gt;0.12906432&lt;/D&gt;&lt;/FQL&gt;&lt;FQL&gt;&lt;Q&gt;EWA^PERCENT_CHANGE(FMA_EPS(+1,0,,,,"PORTAGG","MEAN"),FMA_EPS(+1,-3AM,,,,"PORTAGG","MEAN"))&lt;/Q&gt;&lt;R&gt;1&lt;/R&gt;&lt;C&gt;1&lt;/C&gt;&lt;D xsi:type="xsd:double"&gt;-0.0480701966627781&lt;/D&gt;&lt;/FQL&gt;&lt;FQL&gt;&lt;Q&gt;VGK^FMA_COS_DOWN("EPS","1M",+1,0,,,"PORTAGG","MEANR")&lt;/Q&gt;&lt;R&gt;1&lt;/R&gt;&lt;C&gt;1&lt;/C&gt;&lt;D xsi:type="xsd:double"&gt;558&lt;/D&gt;&lt;/FQL&gt;&lt;FQL&gt;&lt;Q&gt;EWQ^FG_ROE(0)&lt;/Q&gt;&lt;R&gt;1&lt;/R&gt;&lt;C&gt;1&lt;/C&gt;&lt;D xsi:type="xsd:double"&gt;12.8395372170296&lt;/D&gt;&lt;/FQL&gt;&lt;FQL&gt;&lt;Q&gt;REFCATARG-FDS^(SUBARRAY(NOT_NA(NO_REPEAT_F(FG_YIELD(NOW,-10AY,D))),0,1)-SUBARRAY(NOT_NA(NO_REPEAT_F(FG_YIELD(NOW,-10AY,D))),1,1))*100&lt;/Q&gt;&lt;R&gt;1&lt;/R&gt;&lt;C&gt;1&lt;/C&gt;&lt;D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xsi:type="xsd:double"&gt;25&lt;/D&gt;&lt;/FQL&gt;&lt;FQL&gt;&lt;Q&gt;CC_NL^IMF_IFS_RCPI_Q(0)&lt;/Q&gt;&lt;R&gt;0&lt;/R&gt;&lt;C&gt;0&lt;/C&gt;&lt;/FQL&gt;&lt;FQL&gt;&lt;Q&gt;EWN^FMA_DIV_YLD(NTMA,NOW,NOW,M,"PORTAGG","MEANR")&lt;/Q&gt;&lt;R&gt;1&lt;/R&gt;&lt;C&gt;1&lt;/C&gt;&lt;D xsi:type="xsd:double"&gt;2.51696007967442&lt;/D&gt;&lt;/FQL&gt;&lt;FQL&gt;&lt;Q&gt;EWJ^FMA_EVAL_EBITDA(NTMA,0,,,"PORTAGG","MEANR")&lt;/Q&gt;&lt;R&gt;1&lt;/R&gt;&lt;C&gt;1&lt;/C&gt;&lt;D xsi:type="xsd:double"&gt;10.7105239775199&lt;/D&gt;&lt;/FQL&gt;&lt;FQL&gt;&lt;Q&gt;EWA^FMA_EVAL_EBITDA(NTMA,0,,,"PORTAGG","MEANR")&lt;/Q&gt;&lt;R&gt;1&lt;/R&gt;&lt;C&gt;1&lt;/C&gt;&lt;D xsi:type="xsd:double"&gt;8.62903880582066&lt;/D&gt;&lt;/FQL&gt;&lt;FQL&gt;&lt;Q&gt;USO^FG_TOTAL_RETURNC(0,-6AM)&lt;/Q&gt;&lt;R&gt;1&lt;/R&gt;&lt;C&gt;1&lt;/C&gt;&lt;D xsi:type="xsd:double"&gt;8.837152&lt;/D&gt;&lt;/FQL&gt;&lt;FQL&gt;&lt;Q&gt;SPY^P_PRICE(0)/P_PRICE_HIGH_PR(0,,,USD,,,"PRICE","INTRA","52W")&lt;/Q&gt;&lt;R&gt;1&lt;/R&gt;&lt;C&gt;1&lt;/C&gt;&lt;D xsi:type="xsd:double"&gt;0.9780027&lt;/D&gt;&lt;/FQL&gt;&lt;FQL&gt;&lt;Q&gt;EWJ^FMA_PE(NTMA,0,,,"PORTAGG","MEANR")&lt;/Q&gt;&lt;R&gt;1&lt;/R&gt;&lt;C&gt;1&lt;/C&gt;&lt;D xsi:type="xsd:double"&gt;15.514730653461&lt;/D&gt;&lt;/FQL&gt;&lt;FQL&gt;&lt;Q&gt;DBA^FG_TOTAL_RETURNC(0,-6AM)&lt;/Q&gt;&lt;R&gt;1&lt;/R&gt;&lt;C&gt;1&lt;/C&gt;&lt;D xsi:type="xsd:double"&gt;21.637737&lt;/D&gt;&lt;/FQL&gt;&lt;FQL&gt;&lt;Q&gt;EWJ^FG_PRICE_MAVG(0,,,,200)&lt;/Q&gt;&lt;R&gt;1&lt;/R&gt;&lt;C&gt;1&lt;/C&gt;&lt;D xsi:type="xsd:double"&gt;63.5592&lt;/D&gt;&lt;/FQL&gt;&lt;FQL&gt;&lt;Q&gt;ENZL^FG_TOTAL_RETURNC(0,-6AM)&lt;/Q&gt;&lt;R&gt;1&lt;/R&gt;&lt;C&gt;1&lt;/C&gt;&lt;D xsi:type="xsd:double"&gt;5.3427696&lt;/D&gt;&lt;/FQL&gt;&lt;FQL&gt;&lt;Q&gt;EWU^FG_FCF_YIELD_NTM(0)&lt;/Q&gt;&lt;R&gt;1&lt;/R&gt;&lt;C&gt;1&lt;/C&gt;&lt;D xsi:type="xsd:double"&gt;6.13025339918515&lt;/D&gt;&lt;/FQL&gt;&lt;FQL&gt;&lt;Q&gt;CAGDPY@DE^EE_ACTUAL_ANNUAL(MED,0)&lt;/Q&gt;&lt;R&gt;1&lt;/R&gt;&lt;C&gt;1&lt;/C&gt;&lt;D xsi:type="xsd:double"&gt;6.01260398456499&lt;/D&gt;&lt;/FQL&gt;&lt;FQL&gt;&lt;Q&gt;EWU^PERCENT_CHANGE(FMA_EPS(+1,0,,,,"PORTAGG","MEAN"),FMA_EPS(+1,-3AM,,,,"PORTAGG","MEAN"))&lt;/Q&gt;&lt;R&gt;1&lt;/R&gt;&lt;C&gt;1&lt;/C&gt;&lt;D xsi:type="xsd:double"&gt;-2.50734165921287&lt;/D&gt;&lt;/FQL&gt;&lt;FQL&gt;&lt;Q&gt;ENZL^PERCENT_CHANGE(FMA_EPS(+1,0,,,,"PORTAGG","MEAN"),FMA_EPS(+1,-1AM,,,,"PORTAGG","MEAN"))&lt;/Q&gt;&lt;R&gt;1&lt;/R&gt;&lt;C&gt;1&lt;/C&gt;&lt;D xsi:type="xsd:double"&gt;-2.19165331063824&lt;/D&gt;&lt;/FQL&gt;&lt;FQL&gt;&lt;Q&gt;EWG^FMA_EVAL_EBITDA(NTMA,0,,,"PORTAGG","MEANR")&lt;/Q&gt;&lt;R&gt;1&lt;/R&gt;&lt;C&gt;1&lt;/C&gt;&lt;D xsi:type="xsd:double"&gt;8.52317624461542&lt;/D&gt;&lt;/FQL&gt;&lt;FQL&gt;&lt;Q&gt;ENZL^FG_TOTAL_RETURNC(-10AY,0,AM)&lt;/Q&gt;&lt;R&gt;121&lt;/R&gt;&lt;C&gt;1&lt;/C&gt;&lt;D xsi:type="xsd:double"&gt;3.2574058&lt;/D&gt;&lt;D xsi:type="xsd:double"&gt;3.7950635&lt;/D&gt;&lt;D xsi:type="xsd:double"&gt;-4.798901&lt;/D&gt;&lt;D xsi:type="xsd:double"&gt;4.2865157&lt;/D&gt;&lt;D xsi:type="xsd:double"&gt;-5.1565886&lt;/D&gt;&lt;D xsi:type="xsd:double"&gt;0.47169924&lt;/D&gt;&lt;D xsi:type="xsd:double"&gt;-5.3867044&lt;/D&gt;&lt;D xsi:type="xsd:double"&gt;4.0480494&lt;/D&gt;&lt;D xsi:type="xsd:double"&gt;1.6014099&lt;/D&gt;&lt;D xsi:type="xsd:double"&gt;0.65152645&lt;/D&gt;&lt;D xsi:type="xsd:double"&gt;-0.47944188&lt;/D&gt;&lt;D xsi:type="xsd:double"&gt;4.2089224&lt;/D&gt;&lt;D xsi:type="xsd:double"&gt;-2.0681202&lt;/D&gt;&lt;D xsi:type="xsd:double"&gt;0.19875765&lt;/D&gt;&lt;D xsi:type="xsd:double"&gt;-4.6617928&lt;/D&gt;&lt;D xsi:type="xsd:double"&gt;-6.8306627&lt;/D&gt;&lt;D xsi:type="xsd:double"&gt;-1.030916&lt;/D&gt;&lt;D xsi:type="xsd:double"&gt;-9.866905&lt;/D&gt;&lt;D xsi:type="xsd:double"&gt;3.5955071&lt;/D&gt;&lt;D xsi:type="xsd:double"&gt;11.465764&lt;/D&gt;&lt;D xsi:type="xsd:double"&gt;2.557683&lt;/D&gt;&lt;D xsi:type="xsd:double"&gt;2.768457&lt;/D&gt;&lt;D xsi:type="xsd:double"&gt;-3.1182766&lt;/D&gt;&lt;D xsi:type="xsd:double"&gt;6.6870093&lt;/D&gt;&lt;D xsi:type="xsd:double"&gt;5.1495433&lt;/D&gt;&lt;D xsi:type="xsd:double"&gt;2.3002744&lt;/D&gt;&lt;D xsi:type="xsd:double"&gt;4.3278575&lt;/D&gt;&lt;D xsi:type="xsd:double"&gt;1.8619895&lt;/D&gt;&lt;D xsi:type="xsd:double"&gt;6.1290264&lt;/D&gt;&lt;D xsi:type="xsd:double"&gt;3.278327&lt;/D&gt;&lt;D xsi:type="xsd:double"&gt;-3.279382&lt;/D&gt;&lt;D xsi:type="xsd:double"&gt;-7.8026533&lt;/D&gt;&lt;D xsi:type="xsd:double"&gt;0.49505234&lt;/D&gt;&lt;D xsi:type="xsd:double"&gt;-1.6901791&lt;/D&gt;&lt;D xsi:type="xsd:double"&gt;7.7511787&lt;/D&gt;&lt;D xsi:type="xsd:double"&gt;-3.5509825&lt;/D&gt;&lt;D xsi:type="xsd:double"&gt;0.66509247&lt;/D&gt;&lt;D xsi:type="xsd:double"&gt;0.14157295&lt;/D&gt;&lt;D xsi:type="xsd:double"&gt;6.4443946&lt;/D&gt;&lt;D xsi:type="xsd:double"&gt;3.570068&lt;/D&gt;&lt;D xsi:type="xsd:double"&gt;3.3964753&lt;/D&gt;&lt;D xsi:type="xsd:double"&gt;-2.5689662&lt;/D&gt;&lt;D xsi:type="xsd:double"&gt;1.0373831&lt;/D&gt;&lt;D xsi:type="xsd:double"&gt;-2.6310146&lt;/D&gt;&lt;D xsi:type="xsd:double"&gt;-0.065904856&lt;/D&gt;&lt;D xsi:type="xsd:double"&gt;8.328772&lt;/D&gt;&lt;D xsi:type="xsd:double"&gt;1.3650417&lt;/D&gt;&lt;D xsi:type="xsd:double"&gt;-0.67332983&lt;/D&gt;&lt;D xsi:type="xsd:double"&gt;1.7460942&lt;/D&gt;&lt;D xsi:type="xsd:double"&gt;-1.8574536&lt;/D&gt;&lt;D xsi:type="xsd:double"&gt;0.7405877&lt;/D&gt;&lt;D xsi:type="xsd:double"&gt;0.9357929&lt;/D&gt;&lt;D xsi:type="xsd:double"&gt;-2.3863375&lt;/D&gt;&lt;D xsi:type="xsd:double"&gt;2.2549987&lt;/D&gt;&lt;D xsi:type="xsd:double"&gt;-3.0502856&lt;/D&gt;&lt;D xsi:type="xsd:double"&gt;-2.0408154&lt;/D&gt;&lt;D xsi:type="xsd:double"&gt;4.340279&lt;/D&gt;&lt;D xsi:type="xsd:double"&gt;-1.6525507&lt;/D&gt;&lt;D xsi:type="xsd:double"&gt;4.1980624&lt;/D&gt;&lt;D xsi:type="xsd:double"&gt;3.285122&lt;/D&gt;&lt;D xsi:type="xsd:double"&gt;3.9207816&lt;/D&gt;&lt;D xsi:type="xsd:double"&gt;0.09624958&lt;/D&gt;&lt;D xsi:type="xsd:double"&gt;-2.1153808&lt;/D&gt;&lt;D xsi:type="xsd:double"&gt;7.5347543&lt;/D&gt;&lt;D xsi:type="xsd:double"&gt;0.40801764&lt;/D&gt;&lt;D xsi:type="xsd:double"&gt;-1.1267126&lt;/D&gt;&lt;D xsi:type="xsd:double"&gt;-1.8681109&lt;/D&gt;&lt;D xsi:type="xsd:double"&gt;0.66628456&lt;/D&gt;&lt;D xsi:type="xsd:double"&gt;6.6376686&lt;/D&gt;&lt;D xsi:type="xsd:double"&gt;3.9060473&lt;/D&gt;&lt;D xsi:type="xsd:double"&gt;-2.143979&lt;/D&gt;&lt;D xsi:type="xsd:double"&gt;-1.8525124&lt;/D&gt;&lt;D xsi:type="xsd:double"&gt;-19.453716&lt;/D&gt;&lt;D xsi:type="xsd:double"&gt;9.618986&lt;/D&gt;&lt;D xsi:type="xsd:double"&gt;12.86186&lt;/D&gt;&lt;D xsi:type="xsd:double"&gt;4.9372435&lt;/D&gt;&lt;D xsi:type="xsd:double"&gt;3.2849908&lt;/D&gt;&lt;D xsi:type="xsd:double"&gt;0.47369003&lt;/D&gt;&lt;D xsi:type="xsd:double"&gt;-1.7285764&lt;/D&gt;&lt;D xsi:type="xsd:double"&gt;4.269111&lt;/D&gt;&lt;D xsi:type="xsd:double"&gt;8.536696&lt;/D&gt;&lt;D xsi:type="xsd:double"&gt;4.018724&lt;/D&gt;&lt;D xsi:type="xsd:double"&gt;-0.58892965&lt;/D&gt;&lt;D xsi:type="xsd:double"&gt;-7.8495207&lt;/D&gt;&lt;D xsi:type="xsd:double"&gt;0.2089262&lt;/D&gt;&lt;D xsi:type="xsd:double"&gt;4.2502046&lt;/D&gt;&lt;D xsi:type="xsd:double"&gt;-3.6307693&lt;/D&gt;&lt;D xsi:type="xsd:double"&gt;-0.705868&lt;/D&gt;&lt;D xsi:type="xsd:double"&gt;0.68137646&lt;/D&gt;&lt;D xsi:type="xsd:double"&gt;4.3667316&lt;/D&gt;&lt;D xsi:type="xsd:double"&gt;-3.103286&lt;/D&gt;&lt;D xsi:type="xsd:double"&gt;0.1912117&lt;/D&gt;&lt;D xsi:type="xsd:double"&gt;-7.6812983&lt;/D&gt;&lt;D xsi:type="xsd:double"&gt;3.6479712&lt;/D&gt;&lt;D xsi:type="xsd:double"&gt;-9.264255&lt;/D&gt;&lt;D xsi:type="xsd:double"&gt;4.0729046&lt;/D&gt;&lt;D xsi:type="xsd:double"&gt;-0.89349747&lt;/D&gt;&lt;D xsi:type="xsd:double"&gt;-9.162641&lt;/D&gt;&lt;D xsi:type="xsd:double"&gt;-2.8948903&lt;/D&gt;&lt;D xsi:type="xsd:double"&gt;-8.27806&lt;/D&gt;&lt;D xsi:type="xsd:double"&gt;11.025942&lt;/D&gt;&lt;D xsi:type="xsd:double"&gt;-4.8131647&lt;/D&gt;&lt;D xsi:type="xsd:double"&gt;-9.0676365&lt;/D&gt;&lt;D xsi:type="xsd:double"&gt;4.6691775&lt;/D&gt;&lt;D xsi:type="xsd:double"&gt;11.947989&lt;/D&gt;&lt;D xsi:type="xsd:double"&gt;-1.2857795&lt;/D&gt;&lt;D xsi:type="xsd:double"&gt;5.788827&lt;/D&gt;&lt;D xsi:type="xsd:double"&gt;-4.1425824&lt;/D&gt;&lt;D xsi:type="xsd:double"&gt;1.045227&lt;/D&gt;&lt;D xsi:type="xsd:double"&gt;0.03978014&lt;/D&gt;&lt;D xsi:type="xsd:double"&gt;-2.8633952&lt;/D&gt;&lt;D xsi:type="xsd:double"&gt;1.476562&lt;/D&gt;&lt;D xsi:type="xsd:double"&gt;-1.5484989&lt;/D&gt;&lt;D xsi:type="xsd:double"&gt;-5.8360934&lt;/D&gt;&lt;D xsi:type="xsd:double"&gt;-3.5384655&lt;/D&gt;&lt;D xsi:type="xsd:double"&gt;0.95694065&lt;/D&gt;&lt;D xsi:type="xsd:double"&gt;4.3105364&lt;/D&gt;&lt;D xsi:type="xsd:double"&gt;4.8638344&lt;/D&gt;&lt;D xsi:type="xsd:double"&gt;-2.5063157&lt;/D&gt;&lt;D xsi:type="xsd:double"&gt;-2.6139557&lt;/D&gt;&lt;D xsi:type="xsd:double"&gt;0.4711628&lt;/D&gt;&lt;/FQL&gt;&lt;FQL&gt;&lt;Q&gt;CC_AU^IMF_IFS_RCPI_Q(0)&lt;/Q&gt;&lt;R&gt;0&lt;/R&gt;&lt;C&gt;0&lt;/C&gt;&lt;/FQL&gt;&lt;FQL&gt;&lt;Q&gt;EWN^FMA_PE(NTMA,-10AY,0,AM,"PORTAGG","MEANR")&lt;/Q&gt;&lt;R&gt;121&lt;/R&gt;&lt;C&gt;1&lt;/C&gt;&lt;D xsi:type="xsd:double"&gt;14.418707515667&lt;/D&gt;&lt;D xsi:type="xsd:double"&gt;14.0451316802475&lt;/D&gt;&lt;D xsi:type="xsd:double"&gt;14.3800567280407&lt;/D&gt;&lt;D xsi:type="xsd:double"&gt;14.7610889154335&lt;/D&gt;&lt;D xsi:type="xsd:double"&gt;13.7294911063854&lt;/D&gt;&lt;D xsi:type="xsd:double"&gt;14.7653683477746&lt;/D&gt;&lt;D xsi:type="xsd:double"&gt;14.3962121736047&lt;/D&gt;&lt;D xsi:type="xsd:double"&gt;14.4135973072754&lt;/D&gt;&lt;D xsi:type="xsd:double"&gt;15.0439316831914&lt;/D&gt;&lt;D xsi:type="xsd:double"&gt;14.7415881880381&lt;/D&gt;&lt;D xsi:type="xsd:double"&gt;15.7019018979136&lt;/D&gt;&lt;D xsi:type="xsd:double"&gt;17.0136250070939&lt;/D&gt;&lt;D xsi:type="xsd:double"&gt;17.2941740768059&lt;/D&gt;&lt;D xsi:type="xsd:double"&gt;16.9538857876576&lt;/D&gt;&lt;D xsi:type="xsd:double"&gt;16.7297485233588&lt;/D&gt;&lt;D xsi:type="xsd:double"&gt;16.3203363371118&lt;/D&gt;&lt;D xsi:type="xsd:double"&gt;16.9682422223256&lt;/D&gt;&lt;D xsi:type="xsd:double"&gt;14.6664536541852&lt;/D&gt;&lt;D xsi:type="xsd:double"&gt;14.3419530965628&lt;/D&gt;&lt;D xsi:type="xsd:double"&gt;16.078528391647&lt;/D&gt;&lt;D xsi:type="xsd:double"&gt;15.7565480733989&lt;/D&gt;&lt;D xsi:type="xsd:double"&gt;15.0388291543828&lt;/D&gt;&lt;D xsi:type="xsd:double"&gt;14.6044140747346&lt;/D&gt;&lt;D xsi:type="xsd:double"&gt;15.1896219004673&lt;/D&gt;&lt;D xsi:type="xsd:double"&gt;15.1561427806192&lt;/D&gt;&lt;D xsi:type="xsd:double"&gt;14.603579269761&lt;/D&gt;&lt;D xsi:type="xsd:double"&gt;15.0861469584859&lt;/D&gt;&lt;D xsi:type="xsd:double"&gt;14.211112750831&lt;/D&gt;&lt;D xsi:type="xsd:double"&gt;14.5524481630844&lt;/D&gt;&lt;D xsi:type="xsd:double"&gt;15.3407069268504&lt;/D&gt;&lt;D xsi:type="xsd:double"&gt;15.0830307082648&lt;/D&gt;&lt;D xsi:type="xsd:double"&gt;14.2561430437559&lt;/D&gt;&lt;D xsi:type="xsd:double"&gt;14.2262921960439&lt;/D&gt;&lt;D xsi:type="xsd:double"&gt;15.1317023246567&lt;/D&gt;&lt;D xsi:type="xsd:double"&gt;15.1490347352061&lt;/D&gt;&lt;D xsi:type="xsd:double"&gt;15.8009171850079&lt;/D&gt;&lt;D xsi:type="xsd:double"&gt;16.0042483804641&lt;/D&gt;&lt;D xsi:type="xsd:double"&gt;16.6083855987058&lt;/D&gt;&lt;D xsi:type="xsd:double"&gt;16.396469374385&lt;/D&gt;&lt;D xsi:type="xsd:double"&gt;15.7501055642313&lt;/D&gt;&lt;D xsi:type="xsd:double"&gt;16.0716205213413&lt;/D&gt;&lt;D xsi:type="xsd:double"&gt;15.6909424418986&lt;/D&gt;&lt;D xsi:type="xsd:double"&gt;16.1080941462545&lt;/D&gt;&lt;D xsi:type="xsd:double"&gt;16.421423660795&lt;/D&gt;&lt;D xsi:type="xsd:double"&gt;15.8832519495267&lt;/D&gt;&lt;D xsi:type="xsd:double"&gt;16.1081624498857&lt;/D&gt;&lt;D xsi:type="xsd:double"&gt;16.011029812542&lt;/D&gt;&lt;D xsi:type="xsd:double"&gt;15.1871700478783&lt;/D&gt;&lt;D xsi:type="xsd:double"&gt;15.2429707910015&lt;/D&gt;&lt;D xsi:type="xsd:double"&gt;15.6208701701628&lt;/D&gt;&lt;D xsi:type="xsd:double"&gt;15.8205115180746&lt;/D&gt;&lt;D xsi:type="xsd:double"&gt;15.4454391834472&lt;/D&gt;&lt;D xsi:type="xsd:double"&gt;15.9445439213679&lt;/D&gt;&lt;D xsi:type="xsd:double"&gt;15.497601097526&lt;/D&gt;&lt;D xsi:type="xsd:double"&gt;14.7537683106234&lt;/D&gt;&lt;D xsi:type="xsd:double"&gt;14.2175372558626&lt;/D&gt;&lt;D xsi:type="xsd:double"&gt;14.1374857249048&lt;/D&gt;&lt;D xsi:type="xsd:double"&gt;13.120370306583&lt;/D&gt;&lt;D xsi:type="xsd:double"&gt;14.2087512348359&lt;/D&gt;&lt;D xsi:type="xsd:double"&gt;15.0009042817828&lt;/D&gt;&lt;D xsi:type="xsd:double"&gt;15.5192273397544&lt;/D&gt;&lt;D xsi:type="xsd:double"&gt;15.7858604141071&lt;/D&gt;&lt;D xsi:type="xsd:double"&gt;14.9799713441675&lt;/D&gt;&lt;D xsi:type="xsd:double"&gt;15.7382749530245&lt;/D&gt;&lt;D xsi:type="xsd:double"&gt;15.3613052878032&lt;/D&gt;&lt;D xsi:type="xsd:double"&gt;15.6661311663915&lt;/D&gt;&lt;D xsi:type="xsd:double"&gt;15.9062927151525&lt;/D&gt;&lt;D xsi:type="xsd:double"&gt;16.4612623214344&lt;/D&gt;&lt;D xsi:type="xsd:double"&gt;16.53655627522&lt;/D&gt;&lt;D xsi:type="xsd:double"&gt;17.1873998153889&lt;/D&gt;&lt;D xsi:type="xsd:double"&gt;17.3116125540237&lt;/D&gt;&lt;D xsi:type="xsd:double"&gt;16.2725019714599&lt;/D&gt;&lt;D xsi:type="xsd:double"&gt;14.0657699374322&lt;/D&gt;&lt;D xsi:type="xsd:double"&gt;16.7837318948459&lt;/D&gt;&lt;D xsi:type="xsd:double"&gt;19.3582961816099&lt;/D&gt;&lt;D xsi:type="xsd:double"&gt;19.8346728837101&lt;/D&gt;&lt;D xsi:type="xsd:double"&gt;19.8699556901521&lt;/D&gt;&lt;D xsi:type="xsd:double"&gt;19.1851884180544&lt;/D&gt;&lt;D xsi:type="xsd:double"&gt;19.4526676632613&lt;/D&gt;&lt;D xsi:type="xsd:double"&gt;19.5392742750028&lt;/D&gt;&lt;D xsi:type="xsd:double"&gt;20.5535144995925&lt;/D&gt;&lt;D xsi:type="xsd:double"&gt;20.7947347911555&lt;/D&gt;&lt;D xsi:type="xsd:double"&gt;21.7830216283646&lt;/D&gt;&lt;D xsi:type="xsd:double"&gt;20.9576466091829&lt;/D&gt;&lt;D xsi:type="xsd:double"&gt;22.7386617085589&lt;/D&gt;&lt;D xsi:type="xsd:double"&gt;21.2908190435194&lt;/D&gt;&lt;D xsi:type="xsd:double"&gt;21.3284086523289&lt;/D&gt;&lt;D xsi:type="xsd:double"&gt;21.3058755207648&lt;/D&gt;&lt;D xsi:type="xsd:double"&gt;21.7471664019874&lt;/D&gt;&lt;D xsi:type="xsd:double"&gt;21.9478951637422&lt;/D&gt;&lt;D xsi:type="xsd:double"&gt;19.8970361525138&lt;/D&gt;&lt;D xsi:type="xsd:double"&gt;21.6208439913169&lt;/D&gt;&lt;D xsi:type="xsd:double"&gt;19.773992773068&lt;/D&gt;&lt;D xsi:type="xsd:double"&gt;20.6173908746817&lt;/D&gt;&lt;D xsi:type="xsd:double"&gt;18.2609067744502&lt;/D&gt;&lt;D xsi:type="xsd:double"&gt;16.2720875388512&lt;/D&gt;&lt;D xsi:type="xsd:double"&gt;18.5916895804458&lt;/D&gt;&lt;D xsi:type="xsd:double"&gt;16.8180125893736&lt;/D&gt;&lt;D xsi:type="xsd:double"&gt;17.2274205339076&lt;/D&gt;&lt;D xsi:type="xsd:double"&gt;15.8399376892068&lt;/D&gt;&lt;D xsi:type="xsd:double"&gt;18.1562179065952&lt;/D&gt;&lt;D xsi:type="xsd:double"&gt;15.9523177472139&lt;/D&gt;&lt;D xsi:type="xsd:double"&gt;15.2188563796483&lt;/D&gt;&lt;D xsi:type="xsd:double"&gt;14.9663822434631&lt;/D&gt;&lt;D xsi:type="xsd:double"&gt;16.4611003122291&lt;/D&gt;&lt;D xsi:type="xsd:double"&gt;16.1219242527655&lt;/D&gt;&lt;D xsi:type="xsd:double"&gt;17.3668687115047&lt;/D&gt;&lt;D xsi:type="xsd:double"&gt;16.7098726092205&lt;/D&gt;&lt;D xsi:type="xsd:double"&gt;16.4467508226458&lt;/D&gt;&lt;D xsi:type="xsd:double"&gt;15.5564599446876&lt;/D&gt;&lt;D xsi:type="xsd:double"&gt;15.7493170433063&lt;/D&gt;&lt;D xsi:type="xsd:double"&gt;15.9315641469897&lt;/D&gt;&lt;D xsi:type="xsd:double"&gt;15.672465387952&lt;/D&gt;&lt;D xsi:type="xsd:double"&gt;14.7321958642112&lt;/D&gt;&lt;D xsi:type="xsd:double"&gt;13.4061208050897&lt;/D&gt;&lt;D xsi:type="xsd:double"&gt;13.892861480338&lt;/D&gt;&lt;D xsi:type="xsd:double"&gt;14.596409800095&lt;/D&gt;&lt;D xsi:type="xsd:double"&gt;14.7398749071124&lt;/D&gt;&lt;D xsi:type="xsd:double"&gt;15.7826981798186&lt;/D&gt;&lt;D xsi:type="xsd:double"&gt;16.066389275882&lt;/D&gt;&lt;D xsi:type="xsd:double"&gt;16.2980432109986&lt;/D&gt;&lt;/FQL&gt;&lt;FQL&gt;&lt;Q&gt;DDR3512M-FDS^FG_PRICE_CHANGE(0,-1AM)&lt;/Q&gt;&lt;R&gt;1&lt;/R&gt;&lt;C&gt;1&lt;/C&gt;&lt;D xsi:type="xsd:double"&gt;-1.04229007222739&lt;/D&gt;&lt;/FQL&gt;&lt;FQL&gt;&lt;Q&gt;PLATI-FDS^FG_PRICE_CHANGE(0,-3AM)&lt;/Q&gt;&lt;R&gt;1&lt;/R&gt;&lt;C&gt;1&lt;/C&gt;&lt;D xsi:type="xsd:double"&gt;-3.58974358974359&lt;/D&gt;&lt;/FQL&gt;&lt;FQL&gt;&lt;Q&gt;COPP-FDS^FG_PRICE_CHANGE(0,-6AM)&lt;/Q&gt;&lt;R&gt;1&lt;/R&gt;&lt;C&gt;1&lt;/C&gt;&lt;D xsi:type="xsd:double"&gt;18.4849330357143&lt;/D&gt;&lt;/FQL&gt;&lt;FQL&gt;&lt;Q&gt;QQQ^FG_PRICE(0)&lt;/Q&gt;&lt;R&gt;1&lt;/R&gt;&lt;C&gt;1&lt;/C&gt;&lt;D xsi:type="xsd:double"&gt;435.34&lt;/D&gt;&lt;/FQL&gt;&lt;FQL&gt;&lt;Q&gt;EWU^FMA_COS_UP("EPS","1M",+1,0,,,"PORTAGG","MEANR")&lt;/Q&gt;&lt;R&gt;1&lt;/R&gt;&lt;C&gt;1&lt;/C&gt;&lt;D xsi:type="xsd:double"&gt;38&lt;/D&gt;&lt;/FQL&gt;&lt;FQL&gt;&lt;Q&gt;REFCATARG-FDS^FG_YIELD(NOW,,,0)&lt;/Q&gt;&lt;R&gt;1&lt;/R&gt;&lt;C&gt;1&lt;/C&gt;&lt;D xsi:type="xsd:double"&gt;5&lt;/D&gt;&lt;/FQL&gt;&lt;FQL&gt;&lt;Q&gt;TRYJP10Y-FDS^PCTCHG(FG_YIELD(0,,,,"YTM"),FG_YIELD(-3AM,,,,"YTM"))&lt;/Q&gt;&lt;R&gt;1&lt;/R&gt;&lt;C&gt;1&lt;/C&gt;&lt;D xsi:type="xsd:double"&gt;25.182783&lt;/D&gt;&lt;/FQL&gt;&lt;FQL&gt;&lt;Q&gt;VGK^FG_PE(0)&lt;/Q&gt;&lt;R&gt;1&lt;/R&gt;&lt;C&gt;1&lt;/C&gt;&lt;D xsi:type="xsd:double"&gt;12.7837027837717&lt;/D&gt;&lt;/FQL&gt;&lt;FQL&gt;&lt;Q&gt;QQQ^FG_FCF_YIELD_NTM(0)&lt;/Q&gt;&lt;R&gt;1&lt;/R&gt;&lt;C&gt;1&lt;/C&gt;&lt;D xsi:type="xsd:double"&gt;3.73245206594583&lt;/D&gt;&lt;/FQL&gt;&lt;FQL&gt;&lt;Q&gt;EWJ^FG_FCF_YIELD_NTM(0)&lt;/Q&gt;&lt;R&gt;1&lt;/R&gt;&lt;C&gt;1&lt;/C&gt;&lt;D xsi:type="xsd:double"&gt;4.10364234560562&lt;/D&gt;&lt;/FQL&gt;&lt;FQL&gt;&lt;Q&gt;VGK^JULIAN(FMA_DIV_YLD(NTMA,NOW,NOW,M,"PORTAGG","MEANR").DATES)&lt;/Q&gt;&lt;R&gt;1&lt;/R&gt;&lt;C&gt;1&lt;/C&gt;&lt;D xsi:type="xsd:long"&gt;45351&lt;/D&gt;&lt;/FQL&gt;&lt;FQL&gt;&lt;Q&gt;EWJ^FG_PRICE_MAVG(0,,,,60)&lt;/Q&gt;&lt;R&gt;1&lt;/R&gt;&lt;C&gt;1&lt;/C&gt;&lt;D xsi:type="xsd:double"&gt;68.29933&lt;/D&gt;&lt;/FQL&gt;&lt;FQL&gt;&lt;Q&gt;TRYIT10Y-FDS^FG_YIELD_NAME&lt;/Q&gt;&lt;R&gt;1&lt;/R&gt;&lt;C&gt;1&lt;/C&gt;&lt;D xsi:type="xsd:string"&gt;Italy Benchmark Bond - 10 Year&lt;/D&gt;&lt;/FQL&gt;&lt;FQL&gt;&lt;Q&gt;CAGDPY@FR^EE_ACTUAL_ANNUAL(MED,0)&lt;/Q&gt;&lt;R&gt;1&lt;/R&gt;&lt;C&gt;1&lt;/C&gt;&lt;D xsi:type="xsd:double"&gt;-1.20455654888099&lt;/D&gt;&lt;/FQL&gt;&lt;FQL&gt;&lt;Q&gt;USDEUR^FG_PRICE_CHANGE(0,-1AY)&lt;/Q&gt;&lt;R&gt;1&lt;/R&gt;&lt;C&gt;1&lt;/C&gt;&lt;D xsi:type="xsd:double"&gt;0.93393326&lt;/D&gt;&lt;/FQL&gt;&lt;FQL&gt;&lt;Q&gt;USDNZD^FG_COMPANY_NAME&lt;/Q&gt;&lt;R&gt;1&lt;/R&gt;&lt;C&gt;1&lt;/C&gt;&lt;D xsi:type="xsd:string"&gt;New Zealand Dollar per U.S. Dollar&lt;/D&gt;&lt;/FQL&gt;&lt;FQL&gt;&lt;Q&gt;EWI^FG_TOTAL_RETURNC(-10AY,0,AM)&lt;/Q&gt;&lt;R&gt;121&lt;/R&gt;&lt;C&gt;1&lt;/C&gt;&lt;D xsi:type="xsd:double"&gt;7.3538184&lt;/D&gt;&lt;D xsi:type="xsd:double"&gt;0.84222555&lt;/D&gt;&lt;D xsi:type="xsd:double"&gt;-1.6703725&lt;/D&gt;&lt;D xsi:type="xsd:double"&gt;1.9749284&lt;/D&gt;&lt;D xsi:type="xsd:double"&gt;-7.4887395&lt;/D&gt;&lt;D xsi:type="xsd:double"&gt;-0.24346113&lt;/D&gt;&lt;D xsi:type="xsd:double"&gt;-7.8706446&lt;/D&gt;&lt;D xsi:type="xsd:double"&gt;-5.0993385&lt;/D&gt;&lt;D xsi:type="xsd:double"&gt;1.3258934&lt;/D&gt;&lt;D xsi:type="xsd:double"&gt;-5.477089&lt;/D&gt;&lt;D xsi:type="xsd:double"&gt;2.6412249&lt;/D&gt;&lt;D xsi:type="xsd:double"&gt;4.5032144&lt;/D&gt;&lt;D xsi:type="xsd:double"&gt;3.2831788&lt;/D&gt;&lt;D xsi:type="xsd:double"&gt;2.1854281&lt;/D&gt;&lt;D xsi:type="xsd:double"&gt;1.6850233&lt;/D&gt;&lt;D xsi:type="xsd:double"&gt;-2.8431296&lt;/D&gt;&lt;D xsi:type="xsd:double"&gt;2.3364544&lt;/D&gt;&lt;D xsi:type="xsd:double"&gt;-6.5883875&lt;/D&gt;&lt;D xsi:type="xsd:double"&gt;2.4441361&lt;/D&gt;&lt;D xsi:type="xsd:double"&gt;-0.6816685&lt;/D&gt;&lt;D xsi:type="xsd:double"&gt;-0.34316778&lt;/D&gt;&lt;D xsi:type="xsd:double"&gt;-6.467533&lt;/D&gt;&lt;D xsi:type="xsd:double"&gt;-13.146234&lt;/D&gt;&lt;D xsi:type="xsd:double"&gt;1.6156435&lt;/D&gt;&lt;D xsi:type="xsd:double"&gt;-0.5857706&lt;/D&gt;&lt;D xsi:type="xsd:double"&gt;3.1144738&lt;/D&gt;&lt;D xsi:type="xsd:double"&gt;-1.6326487&lt;/D&gt;&lt;D xsi:type="xsd:double"&gt;-7.64913&lt;/D&gt;&lt;D xsi:type="xsd:double"&gt;-0.4621029&lt;/D&gt;&lt;D xsi:type="xsd:double"&gt;6.499529&lt;/D&gt;&lt;D xsi:type="xsd:double"&gt;-5.405402&lt;/D&gt;&lt;D xsi:type="xsd:double"&gt;-0.27650595&lt;/D&gt;&lt;D xsi:type="xsd:double"&gt;2.2643209&lt;/D&gt;&lt;D xsi:type="xsd:double"&gt;12.460661&lt;/D&gt;&lt;D xsi:type="xsd:double"&gt;-1.4598548&lt;/D&gt;&lt;D xsi:type="xsd:double"&gt;0.94650984&lt;/D&gt;&lt;D xsi:type="xsd:double"&gt;3.9951086&lt;/D&gt;&lt;D xsi:type="xsd:double"&gt;7.4480534&lt;/D&gt;&lt;D xsi:type="xsd:double"&gt;3.4294128&lt;/D&gt;&lt;D xsi:type="xsd:double"&gt;0.74261427&lt;/D&gt;&lt;D xsi:type="xsd:double"&gt;7.985747&lt;/D&gt;&lt;D xsi:type="xsd:double"&gt;0.46219826&lt;/D&gt;&lt;D xsi:type="xsd:double"&gt;1.1830449&lt;/D&gt;&lt;D xsi:type="xsd:double"&gt;1.3965487&lt;/D&gt;&lt;D xsi:type="xsd:double"&gt;-1.2171686&lt;/D&gt;&lt;D xsi:type="xsd:double"&gt;2.8014183&lt;/D&gt;&lt;D xsi:type="xsd:double"&gt;5.2965403&lt;/D&gt;&lt;D xsi:type="xsd:double"&gt;-5.0903616&lt;/D&gt;&lt;D xsi:type="xsd:double"&gt;2.5388837&lt;/D&gt;&lt;D xsi:type="xsd:double"&gt;5.199635&lt;/D&gt;&lt;D xsi:type="xsd:double"&gt;-10.826719&lt;/D&gt;&lt;D xsi:type="xsd:double"&gt;-1.7426908&lt;/D&gt;&lt;D xsi:type="xsd:double"&gt;-0.37969947&lt;/D&gt;&lt;D xsi:type="xsd:double"&gt;-4.712409&lt;/D&gt;&lt;D xsi:type="xsd:double"&gt;-0.6181836&lt;/D&gt;&lt;D xsi:type="xsd:double"&gt;-5.7446003&lt;/D&gt;&lt;D xsi:type="xsd:double"&gt;-2.4068356&lt;/D&gt;&lt;D xsi:type="xsd:double"&gt;0.3109932&lt;/D&gt;&lt;D xsi:type="xsd:double"&gt;4.9799204&lt;/D&gt;&lt;D xsi:type="xsd:double"&gt;3.7107944&lt;/D&gt;&lt;D xsi:type="xsd:double"&gt;3.9468765&lt;/D&gt;&lt;D xsi:type="xsd:double"&gt;-0.14194846&lt;/D&gt;&lt;D xsi:type="xsd:double"&gt;-4.584217&lt;/D&gt;&lt;D xsi:type="xsd:double"&gt;8.991135&lt;/D&gt;&lt;D xsi:type="xsd:double"&gt;-5.127299&lt;/D&gt;&lt;D xsi:type="xsd:double"&gt;2.4599314&lt;/D&gt;&lt;D xsi:type="xsd:double"&gt;-1.9643485999999999&lt;/D&gt;&lt;D xsi:type="xsd:double"&gt;9.499073&lt;/D&gt;&lt;D xsi:type="xsd:double"&gt;-2.0332098&lt;/D&gt;&lt;D xsi:type="xsd:double"&gt;2.716422&lt;/D&gt;&lt;D xsi:type="xsd:double"&gt;-0.23736954&lt;/D&gt;&lt;D xsi:type="xsd:double"&gt;-6.016314&lt;/D&gt;&lt;D xsi:type="xsd:double"&gt;-29.150087&lt;/D&gt;&lt;D xsi:type="xsd:double"&gt;4.951501&lt;/D&gt;&lt;D xsi:type="xsd:double"&gt;19.795715&lt;/D&gt;&lt;D xsi:type="xsd:double"&gt;0.8410573&lt;/D&gt;&lt;D xsi:type="xsd:double"&gt;3.9056182&lt;/D&gt;&lt;D xsi:type="xsd:double"&gt;0&lt;/D&gt;&lt;D xsi:type="xsd:double"&gt;-4.189515&lt;/D&gt;&lt;D xsi:type="xsd:double"&gt;0.36779642&lt;/D&gt;&lt;D xsi:type="xsd:double"&gt;19.096088&lt;/D&gt;&lt;D xsi:type="xsd:double"&gt;2.2737026&lt;/D&gt;&lt;D xsi:type="xsd:double"&gt;0.8763075&lt;/D&gt;&lt;D xsi:type="xsd:double"&gt;-0.13364553&lt;/D&gt;&lt;D xsi:type="xsd:double"&gt;6.457007&lt;/D&gt;&lt;D xsi:type="xsd:double"&gt;-1.037085&lt;/D&gt;&lt;D xsi:type="xsd:double"&gt;8.320105&lt;/D&gt;&lt;D xsi:type="xsd:double"&gt;-3.4692883&lt;/D&gt;&lt;D xsi:type="xsd:double"&gt;0.030744076&lt;/D&gt;&lt;D xsi:type="xsd:double"&gt;1.7516851&lt;/D&gt;&lt;D xsi:type="xsd:double"&gt;-4.2283354&lt;/D&gt;&lt;D xsi:type="xsd:double"&gt;7.4424505&lt;/D&gt;&lt;D xsi:type="xsd:double"&gt;-7.279128&lt;/D&gt;&lt;D xsi:type="xsd:double"&gt;7.588315&lt;/D&gt;&lt;D xsi:type="xsd:double"&gt;-2.417183&lt;/D&gt;&lt;D xsi:type="xsd:double"&gt;-18.715595&lt;/D&gt;&lt;D xsi:type="xsd:double"&gt;12.151993&lt;/D&gt;&lt;D xsi:type="xsd:double"&gt;-5.3002357&lt;/D&gt;&lt;D xsi:type="xsd:double"&gt;0.4250884&lt;/D&gt;&lt;D xsi:type="xsd:double"&gt;-11.981976&lt;/D&gt;&lt;D xsi:type="xsd:double"&gt;1.9826531&lt;/D&gt;&lt;D xsi:type="xsd:double"&gt;-7.614422&lt;/D&gt;&lt;D xsi:type="xsd:double"&gt;1.6221046&lt;/D&gt;&lt;D xsi:type="xsd:double"&gt;7.8516006&lt;/D&gt;&lt;D xsi:type="xsd:double"&gt;11.839998&lt;/D&gt;&lt;D xsi:type="xsd:double"&gt;1.6126037&lt;/D&gt;&lt;D xsi:type="xsd:double"&gt;7.359767&lt;/D&gt;&lt;D xsi:type="xsd:double"&gt;2.5291204&lt;/D&gt;&lt;D xsi:type="xsd:double"&gt;-0.5517721&lt;/D&gt;&lt;D xsi:type="xsd:double"&gt;1.8603086&lt;/D&gt;&lt;D xsi:type="xsd:double"&gt;-1.3777614&lt;/D&gt;&lt;D xsi:type="xsd:double"&gt;6.3148737&lt;/D&gt;&lt;D xsi:type="xsd:double"&gt;0.5948663&lt;/D&gt;&lt;D xsi:type="xsd:double"&gt;-0.9025872&lt;/D&gt;&lt;D xsi:type="xsd:double"&gt;-7.44347&lt;/D&gt;&lt;D xsi:type="xsd:double"&gt;6.345439&lt;/D&gt;&lt;D xsi:type="xsd:double"&gt;5.392468&lt;/D&gt;&lt;D xsi:type="xsd:double"&gt;2.8558016&lt;/D&gt;&lt;D xsi:type="xsd:double"&gt;0.23845434&lt;/D&gt;&lt;D xsi:type="xsd:double"&gt;6.8093896&lt;/D&gt;&lt;D xsi:type="xsd:double"&gt;3.1737328&lt;/D&gt;&lt;/FQL&gt;&lt;FQL&gt;&lt;Q&gt;FXI^FG_TOTAL_RETURNC(0,-12AM)&lt;/Q&gt;&lt;R&gt;1&lt;/R&gt;&lt;C&gt;1&lt;/C&gt;&lt;D xsi:type="xsd:double"&gt;-14.229697&lt;/D&gt;&lt;/FQL&gt;&lt;FQL&gt;&lt;Q&gt;URTH^FG_TOTAL_RETURNC(0,-6AM)&lt;/Q&gt;&lt;R&gt;1&lt;/R&gt;&lt;C&gt;1&lt;/C&gt;&lt;D xsi:type="xsd:double"&gt;20.95312&lt;/D&gt;&lt;/FQL&gt;&lt;FQL&gt;&lt;Q&gt;EWI^PERCENT_CHANGE(FMA_EPS(+1,0,,,,"PORTAGG","MEAN"),FMA_EPS(+1,-3AM,,,,"PORTAGG","MEAN"))&lt;/Q&gt;&lt;R&gt;1&lt;/R&gt;&lt;C&gt;1&lt;/C&gt;&lt;D xsi:type="xsd:double"&gt;1.83311398993487&lt;/D&gt;&lt;/FQL&gt;&lt;FQL&gt;&lt;Q&gt;EWQ^P_PRICE(0)/P_PRICE_LOW_PR(0,,,USD,,,"PRICE","INTRA","52W")-1&lt;/Q&gt;&lt;R&gt;1&lt;/R&gt;&lt;C&gt;1&lt;/C&gt;&lt;D xsi:type="xsd:double"&gt;0.21093285&lt;/D&gt;&lt;/FQL&gt;&lt;FQL&gt;&lt;Q&gt;EWU^P_PRICE(0)/P_PRICE_HIGH_PR(0,,,USD,,,"PRICE","INTRA","52W")&lt;/Q&gt;&lt;R&gt;1&lt;/R&gt;&lt;C&gt;1&lt;/C&gt;&lt;D xsi:type="xsd:double"&gt;0.98564255&lt;/D&gt;&lt;/FQL&gt;&lt;FQL&gt;&lt;Q&gt;EWG^P_PRICE(0)/P_PRICE_HIGH_PR(0,,,USD,,,"PRICE","INTRA","52W")&lt;/Q&gt;&lt;R&gt;1&lt;/R&gt;&lt;C&gt;1&lt;/C&gt;&lt;D xsi:type="xsd:double"&gt;0.98123246&lt;/D&gt;&lt;/FQL&gt;&lt;FQL&gt;&lt;Q&gt;EWA^PERCENT_CHANGE(FMA_EPS(+1,0,,,,"PORTAGG","MEAN"),FMA_EPS(+1,-1AM,,,,"PORTAGG","MEAN"))&lt;/Q&gt;&lt;R&gt;1&lt;/R&gt;&lt;C&gt;1&lt;/C&gt;&lt;D xsi:type="xsd:double"&gt;1.96229351400412&lt;/D&gt;&lt;/FQL&gt;&lt;FQL&gt;&lt;Q&gt;VGK^FMA_COS_UP("EPS","1M",+1,0,,,"PORTAGG","MEANR")&lt;/Q&gt;&lt;R&gt;1&lt;/R&gt;&lt;C&gt;1&lt;/C&gt;&lt;D xsi:type="xsd:double"&gt;421&lt;/D&gt;&lt;/FQL&gt;&lt;FQL&gt;&lt;Q&gt;SPY^FG_ROE(0)&lt;/Q&gt;&lt;R&gt;1&lt;/R&gt;&lt;C&gt;1&lt;/C&gt;&lt;D xsi:type="xsd:double"&gt;18.0463937280968&lt;/D&gt;&lt;/FQL&gt;&lt;FQL&gt;&lt;Q&gt;CC_FR^IMF_IFS_RCPI_Q(0)&lt;/Q&gt;&lt;R&gt;0&lt;/R&gt;&lt;C&gt;0&lt;/C&gt;&lt;/FQL&gt;&lt;FQL&gt;&lt;Q&gt;EWN^FMA_PE(NTMA,0,,,"PORTAGG","MEANR")&lt;/Q&gt;&lt;R&gt;1&lt;/R&gt;&lt;C&gt;1&lt;/C&gt;&lt;D xsi:type="xsd:double"&gt;16.2980432109986&lt;/D&gt;&lt;/FQL&gt;&lt;FQL&gt;&lt;Q&gt;EWJ^FMA_DIV_YLD(NTMA,NOW,NOW,M,"PORTAGG","MEANR")&lt;/Q&gt;&lt;R&gt;1&lt;/R&gt;&lt;C&gt;1&lt;/C&gt;&lt;D xsi:type="xsd:double"&gt;2.15743515502352&lt;/D&gt;&lt;/FQL&gt;&lt;FQL&gt;&lt;Q&gt;EWA^FG_FCF_YIELD_NTM(0)&lt;/Q&gt;&lt;R&gt;1&lt;/R&gt;&lt;C&gt;1&lt;/C&gt;&lt;D xsi:type="xsd:double"&gt;4.86275677756686&lt;/D&gt;&lt;/FQL&gt;&lt;FQL&gt;&lt;Q&gt;USO^FG_TOTAL_RETURNC(0,-3AM)&lt;/Q&gt;&lt;R&gt;1&lt;/R&gt;&lt;C&gt;1&lt;/C&gt;&lt;D xsi:type="xsd:double"&gt;21.755207&lt;/D&gt;&lt;/FQL&gt;&lt;FQL&gt;&lt;Q&gt;REFCATARG-FDS^PROPER_NAME(0,,,"SECURITY","NAME")&lt;/Q&gt;&lt;R&gt;1&lt;/R&gt;&lt;C&gt;1&lt;/C&gt;&lt;D xsi:type="xsd:string"&gt;Canada Target Rate&lt;/D&gt;&lt;/FQL&gt;&lt;FQL&gt;&lt;Q&gt;TRYJP10Y-FDS^PCTCHG(FG_YIELD(0,,,,"YTM"),FG_YIELD(-1AM,,,,"YTM"))&lt;/Q&gt;&lt;R&gt;1&lt;/R&gt;&lt;C&gt;1&lt;/C&gt;&lt;D xsi:type="xsd:double"&gt;8.292342&lt;/D&gt;&lt;/FQL&gt;&lt;FQL&gt;&lt;Q&gt;TRYUS10Y-FDS^FG_YIELD_NAME&lt;/Q&gt;&lt;R&gt;1&lt;/R&gt;&lt;C&gt;1&lt;/C&gt;&lt;D xsi:type="xsd:string"&gt;US Benchmark Bond - 10 Year&lt;/D&gt;&lt;/FQL&gt;&lt;FQL&gt;&lt;Q&gt;QQQ^FMA_DIV_YLD(NTMA,NOW,NOW,M,"PORTAGG","MEANR")&lt;/Q&gt;&lt;R&gt;1&lt;/R&gt;&lt;C&gt;1&lt;/C&gt;&lt;D xsi:type="xsd:double"&gt;0.883015287844022&lt;/D&gt;&lt;/FQL&gt;&lt;FQL&gt;&lt;Q&gt;EWI^FG_PRICE_MAVG(0,,,,60)&lt;/Q&gt;&lt;R&gt;1&lt;/R&gt;&lt;C&gt;1&lt;/C&gt;&lt;D xsi:type="xsd:double"&gt;35.277&lt;/D&gt;&lt;/FQL&gt;&lt;FQL&gt;&lt;Q&gt;TRYCA10Y-FDS^PCTCHG(FG_YIELD(0,,,,"YTM"),FG_YIELD(-3AM,,,,"YTM"))&lt;/Q&gt;&lt;R&gt;1&lt;/R&gt;&lt;C&gt;1&lt;/C&gt;&lt;D xsi:type="xsd:double"&gt;10.227695&lt;/D&gt;&lt;/FQL&gt;&lt;FQL&gt;&lt;Q&gt;EWI^FG_FCF_YIELD_NTM(0)&lt;/Q&gt;&lt;R&gt;1&lt;/R&gt;&lt;C&gt;1&lt;/C&gt;&lt;D xsi:type="xsd:double"&gt;6.27000483068772&lt;/D&gt;&lt;/FQL&gt;&lt;FQL&gt;&lt;Q&gt;EWA^FMA_ROE(NTMA,-20AY,NOW,FY,"PORTAGG","MEANR")&lt;/Q&gt;&lt;R&gt;20&lt;/R&gt;&lt;C&gt;1&lt;/C&gt;&lt;D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</t>
        </r>
      </text>
    </comment>
    <comment ref="A11" authorId="0" shapeId="0" xr:uid="{8AC029E5-C291-427D-B321-46B0D50734AC}">
      <text>
        <r>
          <rPr>
            <b/>
            <sz val="9"/>
            <color indexed="81"/>
            <rFont val="Tahoma"/>
            <charset val="1"/>
          </rPr>
          <t>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xsi:type="xsd:double"&gt;13.2261379950135&lt;/D&gt;&lt;/FQL&gt;&lt;FQL&gt;&lt;Q&gt;USDCAD^STD(FG_PRICE_CHANGE(0,-1AY,AM))&lt;/Q&gt;&lt;R&gt;1&lt;/R&gt;&lt;C&gt;1&lt;/C&gt;&lt;D xsi:type="xsd:double"&gt;1.22982214217785&lt;/D&gt;&lt;/FQL&gt;&lt;FQL&gt;&lt;Q&gt;EWA^FG_TOTAL_RETURNC(-10AY,0,AM)&lt;/Q&gt;&lt;R&gt;121&lt;/R&gt;&lt;C&gt;1&lt;/C&gt;&lt;D xsi:type="xsd:double"&gt;3.0652761&lt;/D&gt;&lt;D xsi:type="xsd:double"&gt;1.4677525&lt;/D&gt;&lt;D xsi:type="xsd:double"&gt;-0.07613301&lt;/D&gt;&lt;D xsi:type="xsd:double"&gt;2.6272655&lt;/D&gt;&lt;D xsi:type="xsd:double"&gt;-0.037682056&lt;/D&gt;&lt;D xsi:type="xsd:double"&gt;2.7139068&lt;/D&gt;&lt;D xsi:type="xsd:double"&gt;-11.853212&lt;/D&gt;&lt;D xsi:type="xsd:double"&gt;4.371357&lt;/D&gt;&lt;D xsi:type="xsd:double"&gt;-6.1029077&lt;/D&gt;&lt;D xsi:type="xsd:double"&gt;-3.0665815&lt;/D&gt;&lt;D xsi:type="xsd:double"&gt;2.8506756&lt;/D&gt;&lt;D xsi:type="xsd:double"&gt;3.7395477&lt;/D&gt;&lt;D xsi:type="xsd:double"&gt;-2.5445282&lt;/D&gt;&lt;D xsi:type="xsd:double"&gt;1.8711925&lt;/D&gt;&lt;D xsi:type="xsd:double"&gt;-7.6890173&lt;/D&gt;&lt;D xsi:type="xsd:double"&gt;1.380682&lt;/D&gt;&lt;D xsi:type="xsd:double"&gt;-1.4025211&lt;/D&gt;&lt;D xsi:type="xsd:double"&gt;-16.83262&lt;/D&gt;&lt;D xsi:type="xsd:double"&gt;4.0478826&lt;/D&gt;&lt;D xsi:type="xsd:double"&gt;4.0547967&lt;/D&gt;&lt;D xsi:type="xsd:double"&gt;2.1063685&lt;/D&gt;&lt;D xsi:type="xsd:double"&gt;-0.86529255&lt;/D&gt;&lt;D xsi:type="xsd:double"&gt;-5.614978&lt;/D&gt;&lt;D xsi:type="xsd:double"&gt;7.9320073&lt;/D&gt;&lt;D xsi:type="xsd:double"&gt;-0.4724443&lt;/D&gt;&lt;D xsi:type="xsd:double"&gt;2.953589&lt;/D&gt;&lt;D xsi:type="xsd:double"&gt;0.6147504&lt;/D&gt;&lt;D xsi:type="xsd:double"&gt;0.90146065&lt;/D&gt;&lt;D xsi:type="xsd:double"&gt;5.731821&lt;/D&gt;&lt;D xsi:type="xsd:double"&gt;-1.5488863&lt;/D&gt;&lt;D xsi:type="xsd:double"&gt;2.1632314&lt;/D&gt;&lt;D xsi:type="xsd:double"&gt;-4.234844&lt;/D&gt;&lt;D xsi:type="xsd:double"&gt;3.9698482&lt;/D&gt;&lt;D xsi:type="xsd:double"&gt;3.4679055&lt;/D&gt;&lt;D xsi:type="xsd:double"&gt;3.5491586&lt;/D&gt;&lt;D xsi:type="xsd:double"&gt;1.8063903&lt;/D&gt;&lt;D xsi:type="xsd:double"&gt;2.2747993&lt;/D&gt;&lt;D xsi:type="xsd:double"&gt;-2.135229&lt;/D&gt;&lt;D xsi:type="xsd:double"&gt;-1.272732&lt;/D&gt;&lt;D xsi:type="xsd:double"&gt;1.5399814&lt;/D&gt;&lt;D xsi:type="xsd:double"&gt;4.4949055&lt;/D&gt;&lt;D xsi:type="xsd:double"&gt;1.1973381&lt;/D&gt;&lt;D xsi:type="xsd:double"&gt;-2.1910608&lt;/D&gt;&lt;D xsi:type="xsd:double"&gt;2.3745537&lt;/D&gt;&lt;D xsi:type="xsd:double"&gt;-0.65645576&lt;/D&gt;&lt;D xsi:type="xsd:double"&gt;6.3441157&lt;/D&gt;&lt;D xsi:type="xsd:double"&gt;-0.16977787&lt;/D&gt;&lt;D xsi:type="xsd:double"&gt;-3.316331&lt;/D&gt;&lt;D xsi:type="xsd:double"&gt;-3.07827&lt;/D&gt;&lt;D xsi:type="xsd:double"&gt;3.1306624&lt;/D&gt;&lt;D xsi:type="xsd:double"&gt;0.5719304&lt;/D&gt;&lt;D xsi:type="xsd:double"&gt;0.03812313&lt;/D&gt;&lt;D xsi:type="xsd:double"&gt;1.2929082&lt;/D&gt;&lt;D xsi:type="xsd:double"&gt;-2.1126747&lt;/D&gt;&lt;D xsi:type="xsd:double"&gt;-2.9676259&lt;/D&gt;&lt;D xsi:type="xsd:double"&gt;-3.2437503&lt;/D&gt;&lt;D xsi:type="xsd:double"&gt;-1.3888836&lt;/D&gt;&lt;D xsi:type="xsd:double"&gt;-0.9830177&lt;/D&gt;&lt;D xsi:type="xsd:double"&gt;5.603671&lt;/D&gt;&lt;D xsi:type="xsd:double"&gt;2.8461218&lt;/D&gt;&lt;D xsi:type="xsd:double"&gt;1.4540315&lt;/D&gt;&lt;D xsi:type="xsd:double"&gt;0.92464685&lt;/D&gt;&lt;D xsi:type="xsd:double"&gt;0.9619832&lt;/D&gt;&lt;D xsi:type="xsd:double"&gt;5.42264&lt;/D&gt;&lt;D xsi:type="xsd:double"&gt;-2.5032938&lt;/D&gt;&lt;D xsi:type="xsd:double"&gt;-1.7567635&lt;/D&gt;&lt;D xsi:type="xsd:double"&gt;0.045847893&lt;/D&gt;&lt;D xsi:type="xsd:double"&gt;3.9871693&lt;/D&gt;&lt;D xsi:type="xsd:double"&gt;-0.83737373&lt;/D&gt;&lt;D xsi:type="xsd:double"&gt;1.9992352&lt;/D&gt;&lt;D xsi:type="xsd:double"&gt;0.888896&lt;/D&gt;&lt;D xsi:type="xsd:double"&gt;-8.502203&lt;/D&gt;&lt;D xsi:type="xsd:double"&gt;-28.59894&lt;/D&gt;&lt;D xsi:type="xsd:double"&gt;11.665535&lt;/D&gt;&lt;D xsi:type="xsd:double"&gt;19.444454&lt;/D&gt;&lt;D xsi:type="xsd:double"&gt;1.7390013&lt;/D&gt;&lt;D xsi:type="xsd:double"&gt;2.471006&lt;/D&gt;&lt;D xsi:type="xsd:double"&gt;-0.14763474&lt;/D&gt;&lt;D xsi:type="xsd:double"&gt;-2.16856&lt;/D&gt;&lt;D xsi:type="xsd:double"&gt;3.4256935&lt;/D&gt;&lt;D xsi:type="xsd:double"&gt;14.807594&lt;/D&gt;&lt;D xsi:type="xsd:double"&gt;2.8168201&lt;/D&gt;&lt;D xsi:type="xsd:double"&gt;2.1639585&lt;/D&gt;&lt;D xsi:type="xsd:double"&gt;1.8329978&lt;/D&gt;&lt;D xsi:type="xsd:double"&gt;0.5199909&lt;/D&gt;&lt;D xsi:type="xsd:double"&gt;3.700757&lt;/D&gt;&lt;D xsi:type="xsd:double"&gt;5.0652385&lt;/D&gt;&lt;D xsi:type="xsd:double"&gt;-3.1611502&lt;/D&gt;&lt;D xsi:type="xsd:double"&gt;0&lt;/D&gt;&lt;D xsi:type="xsd:double"&gt;1.4914036&lt;/D&gt;&lt;D xsi:type="xsd:double"&gt;-5.6141734&lt;/D&gt;&lt;D xsi:type="xsd:double"&gt;4.750502&lt;/D&gt;&lt;D xsi:type="xsd:double"&gt;-7.3551836&lt;/D&gt;&lt;D xsi:type="xsd:double"&gt;7.652104&lt;/D&gt;&lt;D xsi:type="xsd:double"&gt;-8.4752445&lt;/D&gt;&lt;D xsi:type="xsd:double"&gt;7.183039&lt;/D&gt;&lt;D xsi:type="xsd:double"&gt;8.518362&lt;/D&gt;&lt;D xsi:type="xsd:double"&gt;-5.6175528&lt;/D&gt;&lt;D xsi:type="xsd:double"&gt;-1.5372515&lt;/D&gt;&lt;D xsi:type="xsd:double"&gt;-12.84486&lt;/D&gt;&lt;D xsi:type="xsd:double"&gt;6.8753004&lt;/D&gt;&lt;D xsi:type="xsd:double"&gt;-3.4161508&lt;/D&gt;&lt;D xsi:type="xsd:double"&gt;-4.2719364&lt;/D&gt;&lt;D xsi:type="xsd:double"&gt;2.3512483&lt;/D&gt;&lt;D xsi:type="xsd:double"&gt;10.829819&lt;/D&gt;&lt;D xsi:type="xsd:double"&gt;-2.8345406&lt;/D&gt;&lt;D xsi:type="xsd:double"&gt;8.780491&lt;/D&gt;&lt;D xsi:type="xsd:double"&gt;-4.2804775&lt;/D&gt;&lt;D xsi:type="xsd:double"&gt;-1.4054537&lt;/D&gt;&lt;D xsi:type="xsd:double"&gt;-2.1166325&lt;/D&gt;&lt;D xsi:type="xsd:double"&gt;0.22064447&lt;/D&gt;&lt;D xsi:type="xsd:double"&gt;1.710701&lt;/D&gt;&lt;D xsi:type="xsd:double"&gt;-0.8822262&lt;/D&gt;&lt;D xsi:type="xsd:double"&gt;-0.9790778&lt;/D&gt;&lt;D xsi:type="xsd:double"&gt;-6.067419&lt;/D&gt;&lt;D xsi:type="xsd:double"&gt;4.3540716&lt;/D&gt;&lt;D xsi:type="xsd:double"&gt;3.3929348&lt;/D&gt;&lt;D xsi:type="xsd:double"&gt;7.8083158&lt;/D&gt;&lt;D xsi:type="xsd:double"&gt;-0.92359185&lt;/D&gt;&lt;D xsi:type="xsd:double"&gt;1.7796636&lt;/D&gt;&lt;D xsi:type="xsd:double"&gt;1.7069101&lt;/D&gt;&lt;/FQL&gt;&lt;FQL&gt;&lt;Q&gt;REFFFUND-FDS^(SUBARRAY(NOT_NA(NO_REPEAT_F(FG_YIELD(NOW,-10AY,D))),0,1)-SUBARRAY(NOT_NA(NO_REPEAT_F(FG_YIELD(NOW,-10AY,D))),1,1))*100&lt;/Q&gt;&lt;R&gt;1&lt;/R&gt;&lt;C&gt;1&lt;/C&gt;&lt;D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xsi:type="xsd:double"&gt;25&lt;/D&gt;&lt;/FQL&gt;&lt;FQL&gt;&lt;Q&gt;TRYIT10Y-FDS^PCTCHG(FG_YIELD(0,,,,"YTM"),FG_YIELD(-1AM,,,,"YTM"))&lt;/Q&gt;&lt;R&gt;1&lt;/R&gt;&lt;C&gt;1&lt;/C&gt;&lt;D xsi:type="xsd:double"&gt;-3.5928147&lt;/D&gt;&lt;/FQL&gt;&lt;FQL&gt;&lt;Q&gt;W-FDS^FG_PRICE(0)/MAX(FG_PRICE(0,-1AY))&lt;/Q&gt;&lt;R&gt;1&lt;/R&gt;&lt;C&gt;1&lt;/C&gt;&lt;D xsi:type="xsd:double"&gt;0.731667214731996&lt;/D&gt;&lt;/FQL&gt;&lt;FQL&gt;&lt;Q&gt;TRYCA10Y-FDS^FG_YIELD(-10AY,0,Y,,"YTM")&lt;/Q&gt;&lt;R&gt;10&lt;/R&gt;&lt;C&gt;1&lt;/C&gt;&lt;D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xsi:type="xsd:double"&gt;3.0987&lt;/D&gt;&lt;/FQL&gt;&lt;FQL&gt;&lt;Q&gt;USDSEK^FG_PRICE_CHANGE(0,-1AY)&lt;/Q&gt;&lt;R&gt;1&lt;/R&gt;&lt;C&gt;1&lt;/C&gt;&lt;D xsi:type="xsd:double"&gt;2.9776454&lt;/D&gt;&lt;/FQL&gt;&lt;FQL&gt;&lt;Q&gt;DDR3512M-FDS^FG_PRICE_MAVG(0,,,,30)&lt;/Q&gt;&lt;R&gt;1&lt;/R&gt;&lt;C&gt;1&lt;/C&gt;&lt;D xsi:type="xsd:double"&gt;0.9644781&lt;/D&gt;&lt;/FQL&gt;&lt;FQL&gt;&lt;Q&gt;PLATI-FDS^FG_PRICE_CHANGE(0,-1AM)&lt;/Q&gt;&lt;R&gt;1&lt;/R&gt;&lt;C&gt;1&lt;/C&gt;&lt;D xsi:type="xsd:double"&gt;5.1454138702461&lt;/D&gt;&lt;/FQL&gt;&lt;FQL&gt;&lt;Q&gt;COPP-FDS^FG_PRICE_CHANGE(0,-3AM)&lt;/Q&gt;&lt;R&gt;1&lt;/R&gt;&lt;C&gt;1&lt;/C&gt;&lt;D xsi:type="xsd:double"&gt;10.8457321848082&lt;/D&gt;&lt;/FQL&gt;&lt;FQL&gt;&lt;Q&gt;EWL^FG_PRICE_MAVG(0,,,,60)&lt;/Q&gt;&lt;R&gt;1&lt;/R&gt;&lt;C&gt;1&lt;/C&gt;&lt;D xsi:type="xsd:double"&gt;47.3185&lt;/D&gt;&lt;/FQL&gt;&lt;FQL&gt;&lt;Q&gt;EWL^SIZE(FG_CONSTITUENTS)&lt;/Q&gt;&lt;R&gt;1&lt;/R&gt;&lt;C&gt;1&lt;/C&gt;&lt;D xsi:type="xsd:long"&gt;46&lt;/D&gt;&lt;/FQL&gt;&lt;FQL&gt;&lt;Q&gt;EWI^FMA_PE(LTMA,-10AY,0,AM,"PORTAGG","MEANR")&lt;/Q&gt;&lt;R&gt;121&lt;/R&gt;&lt;C&gt;1&lt;/C&gt;&lt;D xsi:type="xsd:double"&gt;17.4136802869271&lt;/D&gt;&lt;D xsi:type="xsd:double"&gt;17.1929215138145&lt;/D&gt;&lt;D xsi:type="xsd:double"&gt;17.167262290833&lt;/D&gt;&lt;D xsi:type="xsd:double"&gt;17.6402971957018&lt;/D&gt;&lt;D xsi:type="xsd:double"&gt;17.0263482508288&lt;/D&gt;&lt;D xsi:type="xsd:double"&gt;18.1398171913731&lt;/D&gt;&lt;D xsi:type="xsd:double"&gt;17.2120704446378&lt;/D&gt;&lt;D xsi:type="xsd:double"&gt;16.7255895343347&lt;/D&gt;&lt;D xsi:type="xsd:double"&gt;18.6482594777937&lt;/D&gt;&lt;D xsi:type="xsd:double"&gt;18.3466638170294&lt;/D&gt;&lt;D xsi:type="xsd:double"&gt;24.2183373091815&lt;/D&gt;&lt;D xsi:type="xsd:double"&gt;44.8432743982694&lt;/D&gt;&lt;D xsi:type="xsd:double"&gt;42.2802481730877&lt;/D&gt;&lt;D xsi:type="xsd:double"&gt;39.3568245312479&lt;/D&gt;&lt;D xsi:type="xsd:double"&gt;36.3499319294915&lt;/D&gt;&lt;D xsi:type="xsd:double"&gt;33.483948253963&lt;/D&gt;&lt;D xsi:type="xsd:double"&gt;30.9211640184065&lt;/D&gt;&lt;D xsi:type="xsd:double"&gt;27.2539900020776&lt;/D&gt;&lt;D xsi:type="xsd:double"&gt;24.8459512457413&lt;/D&gt;&lt;D xsi:type="xsd:double"&gt;23.0628788383285&lt;/D&gt;&lt;D xsi:type="xsd:double"&gt;20.6936266018261&lt;/D&gt;&lt;D xsi:type="xsd:double"&gt;17.6395720178285&lt;/D&gt;&lt;D xsi:type="xsd:double"&gt;14.4505925252191&lt;/D&gt;&lt;D xsi:type="xsd:double"&gt;15.4230131530954&lt;/D&gt;&lt;D xsi:type="xsd:double"&gt;15.1690932607388&lt;/D&gt;&lt;D xsi:type="xsd:double"&gt;15.0923711033051&lt;/D&gt;&lt;D xsi:type="xsd:double"&gt;14.9456084735528&lt;/D&gt;&lt;D xsi:type="xsd:double"&gt;14.4259968433632&lt;/D&gt;&lt;D xsi:type="xsd:double"&gt;14.5008630084656&lt;/D&gt;&lt;D xsi:type="xsd:double"&gt;15.1038076396175&lt;/D&gt;&lt;D xsi:type="xsd:double"&gt;14.5934601676255&lt;/D&gt;&lt;D xsi:type="xsd:double"&gt;14.3428184222674&lt;/D&gt;&lt;D xsi:type="xsd:double"&gt;14.4867861339462&lt;/D&gt;&lt;D xsi:type="xsd:double"&gt;28.0415530750573&lt;/D&gt;&lt;D xsi:type="xsd:double"&gt;20.4174498420508&lt;/D&gt;&lt;D xsi:type="xsd:double"&gt;85.3564615635191&lt;/D&gt;&lt;D xsi:type="xsd:double"&gt;77.870542433568&lt;/D&gt;&lt;D xsi:type="xsd:double"&gt;70.9460323769124&lt;/D&gt;&lt;D xsi:type="xsd:double"&gt;64.0285620945993&lt;/D&gt;&lt;D xsi:type="xsd:double"&gt;56.8092072651158&lt;/D&gt;&lt;D xsi:type="xsd:double"&gt;49.538256012373&lt;/D&gt;&lt;D xsi:type="xsd:double"&gt;42.9328744031754&lt;/D&gt;&lt;D xsi:type="xsd:double"&gt;35.5006667970594&lt;/D&gt;&lt;D xsi:type="xsd:double"&gt;28.8236970843374&lt;/D&gt;&lt;D xsi:type="xsd:double"&gt;21.7201860754476&lt;/D&gt;&lt;D xsi:type="xsd:double"&gt;15.4249303358665&lt;/D&gt;&lt;D xsi:type="xsd:double"&gt;15.4206696166956&lt;/D&gt;&lt;D xsi:type="xsd:double"&gt;14.1696212278114&lt;/D&gt;&lt;D xsi:type="xsd:double"&gt;14.0440537018873&lt;/D&gt;&lt;D xsi:type="xsd:double"&gt;14.2418853683048&lt;/D&gt;&lt;D xsi:type="xsd:double"&gt;13.5744665710781&lt;/D&gt;&lt;D xsi:type="xsd:double"&gt;13.3079904494722&lt;/D&gt;&lt;D xsi:type="xsd:double"&gt;13.1387089321782&lt;/D&gt;&lt;D xsi:type="xsd:double"&gt;12.4545973487094&lt;/D&gt;&lt;D xsi:type="xsd:double"&gt;12.2482589104941&lt;/D&gt;&lt;D xsi:type="xsd:double"&gt;11.5501657389104&lt;/D&gt;&lt;D xsi:type="xsd:double"&gt;11.1176283029121&lt;/D&gt;&lt;D xsi:type="xsd:double"&gt;10.7065671091417&lt;/D&gt;&lt;D xsi:type="xsd:double"&gt;11.0560606052493&lt;/D&gt;&lt;D xsi:type="xsd:double"&gt;11.2886251924667&lt;/D&gt;&lt;D xsi:type="xsd:double"&gt;11.351685085385&lt;/D&gt;&lt;D xsi:type="xsd:double"&gt;11.34433898976&lt;/D&gt;&lt;D xsi:type="xsd:double"&gt;10.9137950638932&lt;/D&gt;&lt;D xsi:type="xsd:double"&gt;11.2832911384678&lt;/D&gt;&lt;D xsi:type="xsd:double"&gt;11.0615612962911&lt;/D&gt;&lt;D xsi:type="xsd:double"&gt;11.2117209537195&lt;/D&gt;&lt;D xsi:type="xsd:double"&gt;11.0771423928189&lt;/D&gt;&lt;D xsi:type="xsd:double"&gt;11.9543291147804&lt;/D&gt;&lt;D xsi:type="xsd:double"&gt;11.7878181703357&lt;/D&gt;&lt;D xsi:type="xsd:double"&gt;12.1860381147651&lt;/D&gt;&lt;D xsi:type="xsd:double"&gt;12.2272469555023&lt;/D&gt;&lt;D xsi:type="xsd:double"&gt;11.3447655393459&lt;/D&gt;&lt;D xsi:type="xsd:double"&gt;11.0870115154984&lt;/D&gt;&lt;D xsi:type="xsd:double"&gt;12.5056925735503&lt;/D&gt;&lt;D xsi:type="xsd:double"&gt;15.4744214974493&lt;/D&gt;&lt;D xsi:type="xsd:double"&gt;17.0037692368536&lt;/D&gt;&lt;D xsi:type="xsd:double"&gt;17.2864082655253&lt;/D&gt;&lt;D xsi:type="xsd:double"&gt;17.7000312946623&lt;/D&gt;&lt;D xsi:type="xsd:double"&gt;18.115127925755&lt;/D&gt;&lt;D xsi:type="xsd:double"&gt;19.3439730311474&lt;/D&gt;&lt;D xsi:type="xsd:double"&gt;22.3904884468905&lt;/D&gt;&lt;D xsi:type="xsd:double"&gt;23.3391437226529&lt;/D&gt;&lt;D xsi:type="xsd:double"&gt;21.1660835060948&lt;/D&gt;&lt;D xsi:type="xsd:double"&gt;20.2001063640676&lt;/D&gt;&lt;D xsi:type="xsd:double"&gt;19.7895671723476&lt;/D&gt;&lt;D xsi:type="xsd:double"&gt;18.9801405331032&lt;/D&gt;&lt;D xsi:type="xsd:double"&gt;18.585789715606&lt;/D&gt;&lt;D xsi:type="xsd:double"&gt;17.9766484038761&lt;/D&gt;&lt;D xsi:type="xsd:double"&gt;16.3805223733927&lt;/D&gt;&lt;D xsi:type="xsd:double"&gt;15.5697007485226&lt;/D&gt;&lt;D xsi:type="xsd:double"&gt;14.5149528671049&lt;/D&gt;&lt;D xsi:type="xsd:double"&gt;14.1118136499835&lt;/D&gt;&lt;D xsi:type="xsd:double"&gt;12.2946929957655&lt;/D&gt;&lt;D xsi:type="xsd:double"&gt;12.4145580059855&lt;/D&gt;&lt;D xsi:type="xsd:double"&gt;11.7158048150002&lt;/D&gt;&lt;D xsi:type="xsd:double"&gt;10.4791778418614&lt;/D&gt;&lt;D xsi:type="xsd:double"&gt;10.5554692981079&lt;/D&gt;&lt;D xsi:type="xsd:double"&gt;10.2924894859238&lt;/D&gt;&lt;D xsi:type="xsd:double"&gt;9.96986201910191&lt;/D&gt;&lt;D xsi:type="xsd:double"&gt;9.32052182494765&lt;/D&gt;&lt;D xsi:type="xsd:double"&gt;8.95826626404019&lt;/D&gt;&lt;D xsi:type="xsd:double"&gt;8.51641207644438&lt;/D&gt;&lt;D xsi:type="xsd:double"&gt;8.23697527373468&lt;/D&gt;&lt;D xsi:type="xsd:double"&gt;8.25302799110711&lt;/D&gt;&lt;D xsi:type="xsd:double"&gt;7.88335706991699&lt;/D&gt;&lt;D xsi:type="xsd:double"&gt;7.71634292428465&lt;/D&gt;&lt;D xsi:type="xsd:double"&gt;8.18862995108811&lt;/D&gt;&lt;D xsi:type="xsd:double"&gt;8.32077859114348&lt;/D&gt;&lt;D xsi:type="xsd:double"&gt;8.31104891949933&lt;/D&gt;&lt;D xsi:type="xsd:double"&gt;8.2853168655711&lt;/D&gt;&lt;D xsi:type="xsd:double"&gt;8.41175433140411&lt;/D&gt;&lt;D xsi:type="xsd:double"&gt;8.63358897342958&lt;/D&gt;&lt;D xsi:type="xsd:double"&gt;8.30455360663595&lt;/D&gt;&lt;D xsi:type="xsd:double"&gt;8.38806422040202&lt;/D&gt;&lt;D xsi:type="xsd:double"&gt;8.07695085520218&lt;/D&gt;&lt;D xsi:type="xsd:double"&gt;8.20324246667842&lt;/D&gt;&lt;D xsi:type="xsd:double"&gt;8.64204564075223&lt;/D&gt;&lt;D xsi:type="xsd:double"&gt;8.89382637498702&lt;/D&gt;&lt;D xsi:type="xsd:double"&gt;9.08446825995504&lt;/D&gt;&lt;D xsi:type="xsd:double"&gt;9.35679874968615&lt;/D&gt;&lt;D xsi:type="xsd:double"&gt;9.47450214537586&lt;/D&gt;&lt;/FQL&gt;&lt;FQL&gt;&lt;Q&gt;TIOS-FDS^MAX(FG_PRICE(0,-5AY))&lt;/Q&gt;&lt;R&gt;1&lt;/R&gt;&lt;C&gt;1&lt;/C&gt;&lt;D xsi:type="xsd:double"&gt;219.77&lt;/D&gt;&lt;/FQL&gt;&lt;FQL&gt;&lt;Q&gt;EWD^SIZE(FG_CONSTITUENTS)&lt;/Q&gt;&lt;R&gt;1&lt;/R&gt;&lt;C&gt;1&lt;/C&gt;&lt;D xsi:type="xsd:long"&gt;44&lt;/D&gt;&lt;/FQL&gt;&lt;FQL&gt;&lt;Q&gt;EWU^FMA_DIV_YLD(NTMA,NOW,NOW,M,"PORTAGG","MEANR")&lt;/Q&gt;&lt;R&gt;1&lt;/R&gt;&lt;C&gt;1&lt;/C&gt;&lt;D xsi:type="xsd:double"&gt;4.02579456389544&lt;/D&gt;&lt;/FQL&gt;&lt;FQL&gt;&lt;Q&gt;VWO^P_PRICE(0)/P_PRICE_LOW_PR(0,,,USD,,,"PRICE","INTRA","52W")-1&lt;/Q&gt;&lt;R&gt;1&lt;/R&gt;&lt;C&gt;1&lt;/C&gt;&lt;D xsi:type="xsd:double"&gt;0.12107861&lt;/D&gt;&lt;/FQL&gt;&lt;FQL&gt;&lt;Q&gt;USDANG^FG_PRICE_CHANGE(0,-6AM)&lt;/Q&gt;&lt;R&gt;1&lt;/R&gt;&lt;C&gt;1&lt;/C&gt;&lt;D xsi:type="xsd:double"&gt;0&lt;/D&gt;&lt;/FQL&gt;&lt;FQL&gt;&lt;Q&gt;TIOS-FDS^FG_PRICE_CHANGE(0,-6AM)&lt;/Q&gt;&lt;R&gt;1&lt;/R&gt;&lt;C&gt;1&lt;/C&gt;&lt;D xsi:type="xsd:double"&gt;-15.3689739896636&lt;/D&gt;&lt;/FQL&gt;&lt;FQL&gt;&lt;Q&gt;EWU^PERCENT_CHANGE(FMA_EPS(+1,0,,,,"PORTAGG","MEAN"),FMA_EPS(+1,-1AM,,,,"PORTAGG","MEAN"))&lt;/Q&gt;&lt;R&gt;1&lt;/R&gt;&lt;C&gt;1&lt;/C&gt;&lt;D xsi:type="xsd:double"&gt;0.309978804183697&lt;/D&gt;&lt;/FQL&gt;&lt;FQL&gt;&lt;Q&gt;EWI^FMA_ROE(NTMA,-20AY,NOW,FY,"PORTAGG","MEANR")&lt;/Q&gt;&lt;R&gt;20&lt;/R&gt;&lt;C&gt;1&lt;/C&gt;&lt;D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xsi:type="xsd:double"&gt;13.3572177464321&lt;/D&gt;&lt;/FQL&gt;&lt;FQL&gt;&lt;Q&gt;USDEUR^FG_PRICE(0)&lt;/Q&gt;&lt;R&gt;1&lt;/R&gt;&lt;C&gt;1&lt;/C&gt;&lt;D xsi:type="xsd:double"&gt;0.9201325&lt;/D&gt;&lt;/FQL&gt;&lt;FQL&gt;&lt;Q&gt;QQQ^FMA_EPS(NTMA,-20AY,0,CY,,"PORTAGG","MEANR")&lt;/Q&gt;&lt;R&gt;20&lt;/R&gt;&lt;C&gt;1&lt;/C&gt;&lt;D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xsi:type="xsd:double"&gt;16.3242202004236&lt;/D&gt;&lt;/FQL&gt;&lt;FQL&gt;&lt;Q&gt;EWQ^FG_TOTAL_RETURNC(-10AY,0,AM)&lt;/Q&gt;&lt;R&gt;121&lt;/R&gt;&lt;C&gt;1&lt;/C&gt;&lt;D xsi:type="xsd:double"&gt;1.6591787&lt;/D&gt;&lt;D xsi:type="xsd:double"&gt;1.8361092&lt;/D&gt;&lt;D xsi:type="xsd:double"&gt;0.16694069&lt;/D&gt;&lt;D xsi:type="xsd:double"&gt;-0.11857748&lt;/D&gt;&lt;D xsi:type="xsd:double"&gt;-6.9846687&lt;/D&gt;&lt;D xsi:type="xsd:double"&gt;1.8315077&lt;/D&gt;&lt;D xsi:type="xsd:double"&gt;-7.5899243&lt;/D&gt;&lt;D xsi:type="xsd:double"&gt;-2.3355424&lt;/D&gt;&lt;D xsi:type="xsd:double"&gt;3.7863731&lt;/D&gt;&lt;D xsi:type="xsd:double"&gt;-5.0007286&lt;/D&gt;&lt;D xsi:type="xsd:double"&gt;3.8336039&lt;/D&gt;&lt;D xsi:type="xsd:double"&gt;2.7494192&lt;/D&gt;&lt;D xsi:type="xsd:double"&gt;1.5290499&lt;/D&gt;&lt;D xsi:type="xsd:double"&gt;2.9367447&lt;/D&gt;&lt;D xsi:type="xsd:double"&gt;-0.658375&lt;/D&gt;&lt;D xsi:type="xsd:double"&gt;-3.437686&lt;/D&gt;&lt;D xsi:type="xsd:double"&gt;3.7999153&lt;/D&gt;&lt;D xsi:type="xsd:double"&gt;-9.637653&lt;/D&gt;&lt;D xsi:type="xsd:double"&gt;1.2401819&lt;/D&gt;&lt;D xsi:type="xsd:double"&gt;5.553293&lt;/D&gt;&lt;D xsi:type="xsd:double"&gt;-2.9400408&lt;/D&gt;&lt;D xsi:type="xsd:double"&gt;-4.716933&lt;/D&gt;&lt;D xsi:type="xsd:double"&gt;-3.1066298&lt;/D&gt;&lt;D xsi:type="xsd:double"&gt;2.3830175&lt;/D&gt;&lt;D xsi:type="xsd:double"&gt;1.4811754&lt;/D&gt;&lt;D xsi:type="xsd:double"&gt;1.2927532&lt;/D&gt;&lt;D xsi:type="xsd:double"&gt;2.3466468&lt;/D&gt;&lt;D xsi:type="xsd:double"&gt;-5.5503902&lt;/D&gt;&lt;D xsi:type="xsd:double"&gt;2.359116&lt;/D&gt;&lt;D xsi:type="xsd:double"&gt;4.438746&lt;/D&gt;&lt;D xsi:type="xsd:double"&gt;-1.3485909&lt;/D&gt;&lt;D xsi:type="xsd:double"&gt;-2.526921&lt;/D&gt;&lt;D xsi:type="xsd:double"&gt;-0.59499145&lt;/D&gt;&lt;D xsi:type="xsd:double"&gt;6.5380216&lt;/D&gt;&lt;D xsi:type="xsd:double"&gt;1.5706778&lt;/D&gt;&lt;D xsi:type="xsd:double"&gt;1.5860438&lt;/D&gt;&lt;D xsi:type="xsd:double"&gt;3.3177137&lt;/D&gt;&lt;D xsi:type="xsd:double"&gt;9.406877&lt;/D&gt;&lt;D xsi:type="xsd:double"&gt;3.2458544&lt;/D&gt;&lt;D xsi:type="xsd:double"&gt;-2.1837354&lt;/D&gt;&lt;D xsi:type="xsd:double"&gt;4.1391373&lt;/D&gt;&lt;D xsi:type="xsd:double"&gt;-0.4676044&lt;/D&gt;&lt;D xsi:type="xsd:double"&gt;3.7248373&lt;/D&gt;&lt;D xsi:type="xsd:double"&gt;1.42349&lt;/D&gt;&lt;D xsi:type="xsd:double"&gt;-0.31898022&lt;/D&gt;&lt;D xsi:type="xsd:double"&gt;2.5507927&lt;/D&gt;&lt;D xsi:type="xsd:double"&gt;1.9405246&lt;/D&gt;&lt;D xsi:type="xsd:double"&gt;-3.6843657&lt;/D&gt;&lt;D xsi:type="xsd:double"&gt;0.12750626&lt;/D&gt;&lt;D xsi:type="xsd:double"&gt;4.043305&lt;/D&gt;&lt;D xsi:type="xsd:double"&gt;-1.5605927&lt;/D&gt;&lt;D xsi:type="xsd:double"&gt;-3.2740653&lt;/D&gt;&lt;D xsi:type="xsd:double"&gt;2.985561&lt;/D&gt;&lt;D xsi:type="xsd:double"&gt;-2.3574352&lt;/D&gt;&lt;D xsi:type="xsd:double"&gt;0.26100874&lt;/D&gt;&lt;D xsi:type="xsd:double"&gt;-6.3130436&lt;/D&gt;&lt;D xsi:type="xsd:double"&gt;-3.9597154&lt;/D&gt;&lt;D xsi:type="xsd:double"&gt;-3.318715&lt;/D&gt;&lt;D xsi:type="xsd:double"&gt;6.1255097&lt;/D&gt;&lt;D xsi:type="xsd:double"&gt;4.4971704&lt;/D&gt;&lt;D xsi:type="xsd:double"&gt;2.2704124&lt;/D&gt;&lt;D xsi:type="xsd:double"&gt;1.7892599&lt;/D&gt;&lt;D xsi:type="xsd:double"&gt;-3.6783814&lt;/D&gt;&lt;D xsi:type="xsd:double"&gt;7.2589397&lt;/D&gt;&lt;D xsi:type="xsd:double"&gt;-5.779785&lt;/D&gt;&lt;D xsi:type="xsd:double"&gt;2.193284&lt;/D&gt;&lt;D xsi:type="xsd:double"&gt;-1.0731041&lt;/D&gt;&lt;D xsi:type="xsd:double"&gt;7.1525455&lt;/D&gt;&lt;D xsi:type="xsd:double"&gt;-0.6643474&lt;/D&gt;&lt;D xsi:type="xsd:double"&gt;4.0427566&lt;/D&gt;&lt;D xsi:type="xsd:double"&gt;-1.9018352&lt;/D&gt;&lt;D xsi:type="xsd:double"&gt;-5.4409027&lt;/D&gt;&lt;D xsi:type="xsd:double"&gt;-27.744705&lt;/D&gt;&lt;D xsi:type="xsd:double"&gt;8.787191&lt;/D&gt;&lt;D xsi:type="xsd:double"&gt;18.300379&lt;/D&gt;&lt;D xsi:type="xsd:double"&gt;-0.34888387&lt;/D&gt;&lt;D xsi:type="xsd:double"&gt;2.8735638&lt;/D&gt;&lt;D xsi:type="xsd:double"&gt;2.339387&lt;/D&gt;&lt;D xsi:type="xsd:double"&gt;-4.1282835&lt;/D&gt;&lt;D xsi:type="xsd:double"&gt;1.2099624&lt;/D&gt;&lt;D xsi:type="xsd:double"&gt;18.389584&lt;/D&gt;&lt;D xsi:type="xsd:double"&gt;0.37561655&lt;/D&gt;&lt;D xsi:type="xsd:double"&gt;-1.2191474&lt;/D&gt;&lt;D xsi:type="xsd:double"&gt;2.5888085&lt;/D&gt;&lt;D xsi:type="xsd:double"&gt;3.8438916&lt;/D&gt;&lt;D xsi:type="xsd:double"&gt;4.4927955&lt;/D&gt;&lt;D xsi:type="xsd:double"&gt;6.0302854&lt;/D&gt;&lt;D xsi:type="xsd:double"&gt;-1.822859&lt;/D&gt;&lt;D xsi:type="xsd:double"&gt;2.04885&lt;/D&gt;&lt;D xsi:type="xsd:double"&gt;0.46331882&lt;/D&gt;&lt;D xsi:type="xsd:double"&gt;-4.2018948&lt;/D&gt;&lt;D xsi:type="xsd:double"&gt;7.247925&lt;/D&gt;&lt;D xsi:type="xsd:double"&gt;-5.7107153&lt;/D&gt;&lt;D xsi:type="xsd:double"&gt;7.3325515&lt;/D&gt;&lt;D xsi:type="xsd:double"&gt;-3.2160044&lt;/D&gt;&lt;D xsi:type="xsd:double"&gt;-16.457355&lt;/D&gt;&lt;D xsi:type="xsd:double"&gt;11.713112&lt;/D&gt;&lt;D xsi:type="xsd:double"&gt;-5.270529&lt;/D&gt;&lt;D xsi:type="xsd:double"&gt;1.6572833&lt;/D&gt;&lt;D xsi:type="xsd:double"&gt;-9.757966&lt;/D&gt;&lt;D xsi:type="xsd:double"&gt;6.5426826&lt;/D&gt;&lt;D xsi:type="xsd:double"&gt;-9.756863&lt;/D&gt;&lt;D xsi:type="xsd:double"&gt;-0.13816953&lt;/D&gt;&lt;D xsi:type="xsd:double"&gt;6.2608123&lt;/D&gt;&lt;D xsi:type="xsd:double"&gt;10.937511&lt;/D&gt;&lt;D xsi:type="xsd:double"&gt;1.1557937&lt;/D&gt;&lt;D xsi:type="xsd:double"&gt;8.151388&lt;/D&gt;&lt;D xsi:type="xsd:double"&gt;0.43069124&lt;/D&gt;&lt;D xsi:type="xsd:double"&gt;2.5194287&lt;/D&gt;&lt;D xsi:type="xsd:double"&gt;1.6209126&lt;/D&gt;&lt;D xsi:type="xsd:double"&gt;-2.752763&lt;/D&gt;&lt;D xsi:type="xsd:double"&gt;3.8854837&lt;/D&gt;&lt;D xsi:type="xsd:double"&gt;-0.8851886&lt;/D&gt;&lt;D xsi:type="xsd:double"&gt;-1.6811132&lt;/D&gt;&lt;D xsi:type="xsd:double"&gt;-6.9195805&lt;/D&gt;&lt;D xsi:type="xsd:double"&gt;2.324915&lt;/D&gt;&lt;D xsi:type="xsd:double"&gt;5.329585&lt;/D&gt;&lt;D xsi:type="xsd:double"&gt;2.4472237&lt;/D&gt;&lt;D xsi:type="xsd:double"&gt;0.99424124&lt;/D&gt;&lt;D xsi:type="xsd:double"&gt;4.5854926&lt;/D&gt;&lt;D xsi:type="xsd:double"&gt;0.96606016&lt;/D&gt;&lt;/FQL&gt;&lt;FQL&gt;&lt;Q&gt;SPY^FMA_PE(NTMA,-10AY,0,AM,"PORTAGG","MEANR")&lt;/Q&gt;&lt;R&gt;121&lt;/R&gt;&lt;C&gt;1&lt;/C&gt;&lt;D xsi:type="xsd:double"&gt;15.0036798254437&lt;/D&gt;&lt;D xsi:type="xsd:double"&gt;14.9807407222394&lt;/D&gt;&lt;D xsi:type="xsd:double"&gt;15.2064681803441&lt;/D&gt;&lt;D xsi:type="xsd:double"&gt;15.5382568404618&lt;/D&gt;&lt;D xsi:type="xsd:double"&gt;14.9505229649943&lt;/D&gt;&lt;D xsi:type="xsd:double"&gt;15.2883371364133&lt;/D&gt;&lt;D xsi:type="xsd:double"&gt;14.9925693310257&lt;/D&gt;&lt;D xsi:type="xsd:double"&gt;15.4304658501201&lt;/D&gt;&lt;D xsi:type="xsd:double"&gt;15.9120558211944&lt;/D&gt;&lt;D xsi:type="xsd:double"&gt;15.96244162404&lt;/D&gt;&lt;D xsi:type="xsd:double"&gt;16.419523643282&lt;/D&gt;&lt;D xsi:type="xsd:double"&gt;16.8445898768855&lt;/D&gt;&lt;D xsi:type="xsd:double"&gt;16.4721081381795&lt;/D&gt;&lt;D xsi:type="xsd:double"&gt;16.7400919944104&lt;/D&gt;&lt;D xsi:type="xsd:double"&gt;16.4352487804838&lt;/D&gt;&lt;D xsi:type="xsd:double"&gt;16.2167847939528&lt;/D&gt;&lt;D xsi:type="xsd:double"&gt;16.3437954395583&lt;/D&gt;&lt;D xsi:type="xsd:double"&gt;14.9541919634132&lt;/D&gt;&lt;D xsi:type="xsd:double"&gt;15.211116793077&lt;/D&gt;&lt;D xsi:type="xsd:double"&gt;16.4782347854965&lt;/D&gt;&lt;D xsi:type="xsd:double"&gt;16.3317084868427&lt;/D&gt;&lt;D xsi:type="xsd:double"&gt;15.7336892964021&lt;/D&gt;&lt;D xsi:type="xsd:double"&gt;15.5099438140132&lt;/D&gt;&lt;D xsi:type="xsd:double"&gt;15.5167363536305&lt;/D&gt;&lt;D xsi:type="xsd:double"&gt;16.5004635460184&lt;/D&gt;&lt;D xsi:type="xsd:double"&gt;16.5226770167304&lt;/D&gt;&lt;D xsi:type="xsd:double"&gt;16.5924966240686&lt;/D&gt;&lt;D xsi:type="xsd:double"&gt;16.5274762929012&lt;/D&gt;&lt;D xsi:type="xsd:double"&gt;16.8656648362178&lt;/D&gt;&lt;D xsi:type="xsd:double"&gt;16.8353987793995&lt;/D&gt;&lt;D xsi:type="xsd:double"&gt;16.4998967636805&lt;/D&gt;&lt;D xsi:type="xsd:double"&gt;15.9314009319239&lt;/D&gt;&lt;D xsi:type="xsd:double"&gt;16.6187304749981&lt;/D&gt;&lt;D xsi:type="xsd:double"&gt;17.0303746810917&lt;/D&gt;&lt;D xsi:type="xsd:double"&gt;17.2007565377716&lt;/D&gt;&lt;D xsi:type="xsd:double"&gt;17.7918478206949&lt;/D&gt;&lt;D xsi:type="xsd:double"&gt;17.4639972744766&lt;/D&gt;&lt;D xsi:type="xsd:double"&gt;17.4587066309205&lt;/D&gt;&lt;D xsi:type="xsd:double"&gt;17.6699845483287&lt;/D&gt;&lt;D xsi:type="xsd:double"&gt;17.4455862424405&lt;/D&gt;&lt;D xsi:type="xsd:double"&gt;17.6558176903749&lt;/D&gt;&lt;D xsi:type="xsd:double"&gt;17.5139583604644&lt;/D&gt;&lt;D xsi:type="xsd:double"&gt;17.8379081913369&lt;/D&gt;&lt;D xsi:type="xsd:double"&gt;17.9873893505642&lt;/D&gt;&lt;D xsi:type="xsd:double"&gt;18.1571857761639&lt;/D&gt;&lt;D xsi:type="xsd:double"&gt;18.3154461217802&lt;/D&gt;&lt;D xsi:type="xsd:double"&gt;17.4567931643708&lt;/D&gt;&lt;D xsi:type="xsd:double"&gt;16.7186294157627&lt;/D&gt;&lt;D xsi:type="xsd:double"&gt;16.3280272953488&lt;/D&gt;&lt;D xsi:type="xsd:double"&gt;16.1223922939324&lt;/D&gt;&lt;D xsi:type="xsd:double"&gt;16.4087371116787&lt;/D&gt;&lt;D xsi:type="xsd:double"&gt;16.0711269701908&lt;/D&gt;&lt;D xsi:type="xsd:double"&gt;16.5791208014203&lt;/D&gt;&lt;D xsi:type="xsd:double"&gt;16.7607783211991&lt;/D&gt;&lt;D xsi:type="xsd:double"&gt;16.671085837805&lt;/D&gt;&lt;D xsi:type="xsd:double"&gt;15.5692950591314&lt;/D&gt;&lt;D xsi:type="xsd:double"&gt;15.3892957579238&lt;/D&gt;&lt;D xsi:type="xsd:double"&gt;14.6350443624539&lt;/D&gt;&lt;D xsi:type="xsd:double"&gt;15.8762635240394&lt;/D&gt;&lt;D xsi:type="xsd:double"&gt;16.252931096535&lt;/D&gt;&lt;D xsi:type="xsd:double"&gt;16.666795849669&lt;/D&gt;&lt;D xsi:type="xsd:double"&gt;16.9075550983813&lt;/D&gt;&lt;D xsi:type="xsd:double"&gt;15.9698054644912&lt;/D&gt;&lt;D xsi:type="xsd:double"&gt;17.0327146443678&lt;/D&gt;&lt;D xsi:type="xsd:double"&gt;16.6709137094355&lt;/D&gt;&lt;D xsi:type="xsd:double"&gt;16.6108563879746&lt;/D&gt;&lt;D xsi:type="xsd:double"&gt;16.6653498832325&lt;/D&gt;&lt;D xsi:type="xsd:double"&gt;17.3870584792154&lt;/D&gt;&lt;D xsi:type="xsd:double"&gt;17.5343593589442&lt;/D&gt;&lt;D xsi:type="xsd:double"&gt;18.1724915476857&lt;/D&gt;&lt;D xsi:type="xsd:double"&gt;18.4834496156811&lt;/D&gt;&lt;D xsi:type="xsd:double"&gt;17.5874518717321&lt;/D&gt;&lt;D xsi:type="xsd:double"&gt;15.4180480970188&lt;/D&gt;&lt;D xsi:type="xsd:double"&gt;19.999822307605&lt;/D&gt;&lt;D xsi:type="xsd:double"&gt;22.0669850815238&lt;/D&gt;&lt;D xsi:type="xsd:double"&gt;21.8574690588211&lt;/D&gt;&lt;D xsi:type="xsd:double"&gt;22.0884749415615&lt;/D&gt;&lt;D xsi:type="xsd:double"&gt;22.3261297564245&lt;/D&gt;&lt;D xsi:type="xsd:double"&gt;21.4003531923702&lt;/D&gt;&lt;D xsi:type="xsd:double"&gt;21.2031608925507&lt;/D&gt;&lt;D xsi:type="xsd:double"&gt;22.1794538856595&lt;/D&gt;&lt;D xsi:type="xsd:double"&gt;22.0492725045469&lt;/D&gt;&lt;D xsi:type="xsd:double"&gt;22.022198041053&lt;/D&gt;&lt;D xsi:type="xsd:double"&gt;21.0903797761979&lt;/D&gt;&lt;D xsi:type="xsd:double"&gt;22.0589709510955&lt;/D&gt;&lt;D xsi:type="xsd:double"&gt;21.4638449954084&lt;/D&gt;&lt;D xsi:type="xsd:double"&gt;21.3090132011364&lt;/D&gt;&lt;D xsi:type="xsd:double"&gt;21.597814954101&lt;/D&gt;&lt;D xsi:type="xsd:double"&gt;20.9404897488347&lt;/D&gt;&lt;D xsi:type="xsd:double"&gt;21.258220302118&lt;/D&gt;&lt;D xsi:type="xsd:double"&gt;20.0572081581019&lt;/D&gt;&lt;D xsi:type="xsd:double"&gt;21.4073820940544&lt;/D&gt;&lt;D xsi:type="xsd:double"&gt;20.5408751254626&lt;/D&gt;&lt;D xsi:type="xsd:double"&gt;21.4082658500728&lt;/D&gt;&lt;D xsi:type="xsd:double"&gt;19.8436416213826&lt;/D&gt;&lt;D xsi:type="xsd:double"&gt;18.865333277317&lt;/D&gt;&lt;D xsi:type="xsd:double"&gt;19.6380280569451&lt;/D&gt;&lt;D xsi:type="xsd:double"&gt;18.2256782201333&lt;/D&gt;&lt;D xsi:type="xsd:double"&gt;17.2386117637114&lt;/D&gt;&lt;D xsi:type="xsd:double"&gt;15.988573265514&lt;/D&gt;&lt;D xsi:type="xsd:double"&gt;17.5024227661006&lt;/D&gt;&lt;D xsi:type="xsd:double"&gt;16.5188618625139&lt;/D&gt;&lt;D xsi:type="xsd:double"&gt;16.0133603658122&lt;/D&gt;&lt;D xsi:type="xsd:double"&gt;16.3241398996726&lt;/D&gt;&lt;D xsi:type="xsd:double"&gt;17.6013199948381&lt;/D&gt;&lt;D xsi:type="xsd:double"&gt;16.7289155368749&lt;/D&gt;&lt;D xsi:type="xsd:double"&gt;18.26518449747&lt;/D&gt;&lt;D xsi:type="xsd:double"&gt;17.8078986273988&lt;/D&gt;&lt;D xsi:type="xsd:double"&gt;18.0363742458752&lt;/D&gt;&lt;D xsi:type="xsd:double"&gt;17.6902479454212&lt;/D&gt;&lt;D xsi:type="xsd:double"&gt;18.4680712082897&lt;/D&gt;&lt;D xsi:type="xsd:double"&gt;19.1503059900812&lt;/D&gt;&lt;D xsi:type="xsd:double"&gt;19.0187881886579&lt;/D&gt;&lt;D xsi:type="xsd:double"&gt;18.8957730853784&lt;/D&gt;&lt;D xsi:type="xsd:double"&gt;17.7461473547081&lt;/D&gt;&lt;D xsi:type="xsd:double"&gt;18.0599930011731&lt;/D&gt;&lt;D xsi:type="xsd:double"&gt;18.7312631996273&lt;/D&gt;&lt;D xsi:type="xsd:double"&gt;19.172157772039&lt;/D&gt;&lt;D xsi:type="xsd:double"&gt;20.1878665802841&lt;/D&gt;&lt;D xsi:type="xsd:double"&gt;20.6120886778182&lt;/D&gt;&lt;D xsi:type="xsd:double"&gt;20.7390737185929&lt;/D&gt;&lt;/FQL&gt;&lt;FQL&gt;&lt;Q&gt;URTH^FG_TOTAL_RETURNC(0,-3AM)&lt;/Q&gt;&lt;R&gt;1&lt;/R&gt;&lt;C&gt;1&lt;/C&gt;&lt;D xsi:type="xsd:double"&gt;8.875286&lt;/D&gt;&lt;/FQL&gt;&lt;FQL&gt;&lt;Q&gt;EWI^PERCENT_CHANGE(FMA_EPS(+1,0,,,,"PORTAGG","MEAN"),FMA_EPS(+1,-1AM,,,,"PORTAGG","MEAN"))&lt;/Q&gt;&lt;R&gt;1&lt;/R&gt;&lt;C&gt;1&lt;/C&gt;&lt;D xsi:type="xsd:double"&gt;-0.252264816633948&lt;/D&gt;&lt;/FQL&gt;&lt;FQL&gt;&lt;Q&gt;EWQ^P_PRICE(0)/P_PRICE_HIGH_PR(0,,,USD,,,"PRICE","INTRA","52W")&lt;/Q&gt;&lt;R&gt;1&lt;/R&gt;&lt;C&gt;1&lt;/C&gt;&lt;D xsi:type="xsd:double"&gt;0.9733731&lt;/D&gt;&lt;/FQL&gt;&lt;FQL&gt;&lt;Q&gt;EWU^FG_TOTAL_RETURNC(0,-6AM)&lt;/Q&gt;&lt;R&gt;1&lt;/R&gt;&lt;C&gt;1&lt;/C&gt;&lt;D xsi:type="xsd:double"&gt;12.810826&lt;/D&gt;&lt;/FQL&gt;&lt;FQL&gt;&lt;Q&gt;EWG^FG_TOTAL_RETURNC(0,-3AM)&lt;/Q&gt;&lt;R&gt;1&lt;/R&gt;&lt;C&gt;1&lt;/C&gt;&lt;D xsi:type="xsd:double"&gt;8.060622&lt;/D&gt;&lt;/FQL&gt;&lt;FQL&gt;&lt;Q&gt;EWA^FMA_PCT_ABOVE_MAVG(200,0,,,,"PORTAGG")&lt;/Q&gt;&lt;R&gt;1&lt;/R&gt;&lt;C&gt;1&lt;/C&gt;&lt;D xsi:type="xsd:double"&gt;76.271186440678&lt;/D&gt;&lt;/FQL&gt;&lt;FQL&gt;&lt;Q&gt;EWI^SIZE(FG_CONSTITUENTS)&lt;/Q&gt;&lt;R&gt;1&lt;/R&gt;&lt;C&gt;1&lt;/C&gt;&lt;D xsi:type="xsd:long"&gt;26&lt;/D&gt;&lt;/FQL&gt;&lt;FQL&gt;&lt;Q&gt;QQQ^FG_ROE(0)&lt;/Q&gt;&lt;R&gt;1&lt;/R&gt;&lt;C&gt;1&lt;/C&gt;&lt;D xsi:type="xsd:double"&gt;21.5947331803331&lt;/D&gt;&lt;/FQL&gt;&lt;FQL&gt;&lt;Q&gt;REFAUCASH-FDS^PROPER_NAME(0,,,"SECURITY","NAME")&lt;/Q&gt;&lt;R&gt;1&lt;/R&gt;&lt;C&gt;1&lt;/C&gt;&lt;D xsi:type="xsd:string"&gt;Australia Target Cash Rate&lt;/D&gt;&lt;/FQL&gt;&lt;FQL&gt;&lt;Q&gt;CC_GB^IMF_IFS_RCPI_Q(0)&lt;/Q&gt;&lt;R&gt;0&lt;/R&gt;&lt;C&gt;0&lt;/C&gt;&lt;/FQL&gt;&lt;FQL&gt;&lt;Q&gt;EWN^FMA_PE(LTM,0,,,"PORTAGG","MEANR")&lt;/Q&gt;&lt;R&gt;1&lt;/R&gt;&lt;C&gt;1&lt;/C&gt;&lt;D xsi:type="xsd:double"&gt;23.8662778345888&lt;/D&gt;&lt;/FQL&gt;&lt;FQL&gt;&lt;Q&gt;QQQ^FMA_PE(NTMA,0,,,"PORTAGG","MEANR")&lt;/Q&gt;&lt;R&gt;1&lt;/R&gt;&lt;C&gt;1&lt;/C&gt;&lt;D xsi:type="xsd:double"&gt;25.5641652190276&lt;/D&gt;&lt;/FQL&gt;&lt;FQL&gt;&lt;Q&gt;EWJ^FMA_PE(LTM,0,,,"PORTAGG","MEANR")&lt;/Q&gt;&lt;R&gt;1&lt;/R&gt;&lt;C&gt;1&lt;/C&gt;&lt;D xsi:type="xsd:double"&gt;16.0363268023275&lt;/D&gt;&lt;/FQL&gt;&lt;FQL&gt;&lt;Q&gt;EWA^FMA_DIV_YLD(NTMA,NOW,NOW,M,"PORTAGG","MEANR")&lt;/Q&gt;&lt;R&gt;1&lt;/R&gt;&lt;C&gt;1&lt;/C&gt;&lt;D xsi:type="xsd:double"&gt;3.89931195372357&lt;/D&gt;&lt;/FQL&gt;&lt;FQL&gt;&lt;Q&gt;USO^FG_TOTAL_RETURNC(0,-1AM)&lt;/Q&gt;&lt;R&gt;1&lt;/R&gt;&lt;C&gt;1&lt;/C&gt;&lt;D xsi:type="xsd:double"&gt;11.160648&lt;/D&gt;&lt;/FQL&gt;&lt;FQL&gt;&lt;Q&gt;SPY^FG_TOTAL_RETURNC(0,-3AM)&lt;/Q&gt;&lt;R&gt;1&lt;/R&gt;&lt;C&gt;1&lt;/C&gt;&lt;D xsi:type="xsd:double"&gt;10.1427555&lt;/D&gt;&lt;/FQL&gt;&lt;FQL&gt;&lt;Q&gt;REFNZOCR-FDS^(SUBARRAY(NOT_NA(NO_REPEAT_F(FG_YIELD(NOW,-10AY,D))),0,1)-SUBARRAY(NOT_NA(NO_REPEAT_F(FG_YIELD(NOW,-10AY,D))),1,1))*100&lt;/Q&gt;&lt;R&gt;1&lt;/R&gt;&lt;C&gt;1&lt;/C&gt;&lt;D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xsi:type="xsd:double"&gt;25&lt;/D&gt;&lt;/FQL&gt;&lt;FQL&gt;&lt;Q&gt;TRYDE10Y-FDS^PCTCHG(FG_YIELD(0,,,,"YTM"),FG_YIELD(-3AM,,,,"YTM"))&lt;/Q&gt;&lt;R&gt;1&lt;/R&gt;&lt;C&gt;1&lt;/C&gt;&lt;D xsi:type="xsd:double"&gt;11.189801&lt;/D&gt;&lt;/FQL&gt;&lt;FQL&gt;&lt;Q&gt;CPALM-FDS^MAX(FG_PRICE(0,-5AY))&lt;/Q&gt;&lt;R&gt;1&lt;/R&gt;&lt;C&gt;1&lt;/C&gt;&lt;D xsi:type="xsd:double"&gt;8163&lt;/D&gt;&lt;/FQL&gt;&lt;FQL&gt;&lt;Q&gt;EWD^FG_TOTAL_RETURNC(0,-12AM)&lt;/Q&gt;&lt;R&gt;1&lt;/R&gt;&lt;C&gt;1&lt;/C&gt;&lt;D xsi:type="xsd:double"&gt;13.975763&lt;/D&gt;&lt;/FQL&gt;&lt;FQL&gt;&lt;Q&gt;EWU^FG_TOTAL_RETURNC(0,-1AM)&lt;/Q&gt;&lt;R&gt;1&lt;/R&gt;&lt;C&gt;1&lt;/C&gt;&lt;D xsi:type="xsd:double"&gt;3.6867738&lt;/D&gt;&lt;/FQL&gt;&lt;FQL&gt;&lt;Q&gt;ENZL^P_PRICE(0)/P_PRICE_LOW_PR(0,,,USD,,,"PRICE","INTRA","52W")-1&lt;/Q&gt;&lt;R&gt;1&lt;/R&gt;&lt;C&gt;1&lt;/C&gt;&lt;D xsi:type="xsd:double"&gt;0.10388219&lt;/D&gt;&lt;/FQL&gt;&lt;FQL&gt;&lt;Q&gt;EWI^FMA_COS_UP("EPS","1M",+1,0,,,"PORTAGG","MEANR")&lt;/Q&gt;&lt;R&gt;1&lt;/R&gt;&lt;C&gt;1&lt;/C&gt;&lt;D xsi:type="xsd:double"&gt;13&lt;/D&gt;&lt;/FQL&gt;&lt;FQL&gt;&lt;Q&gt;EWG^FMA_COS_DOWN("EPS","1M",+1,0,,,"PORTAGG","MEANR")&lt;/Q&gt;&lt;R&gt;1&lt;/R&gt;&lt;C&gt;1&lt;/C&gt;&lt;D xsi:type="xsd:double"&gt;27&lt;/D&gt;&lt;/FQL&gt;&lt;FQL&gt;&lt;Q&gt;EWC^FG_ROE(0)&lt;/Q&gt;&lt;R&gt;1&lt;/R&gt;&lt;C&gt;1&lt;/C&gt;&lt;D xsi:type="xsd:double"&gt;11.2512280201329&lt;/D&gt;&lt;/FQL&gt;&lt;FQL&gt;&lt;Q&gt;TRYGB10Y-FDS^FG_YIELD(0,,,,"YTM")&lt;/Q&gt;&lt;R&gt;1&lt;/R&gt;&lt;C&gt;1&lt;/C&gt;&lt;D xsi:type="xsd:double"&gt;4.009&lt;/D&gt;&lt;/FQL&gt;&lt;FQL&gt;&lt;Q&gt;CC_DE^IMF_IFS_RCPI_Q(0)&lt;/Q&gt;&lt;R&gt;0&lt;/R&gt;&lt;C&gt;0&lt;/C&gt;&lt;/FQL&gt;&lt;FQL&gt;&lt;Q&gt;EWA^FMA_PE(LTM,0,,,"PORTAGG","MEANR")&lt;/Q&gt;&lt;R&gt;1&lt;/R&gt;&lt;C&gt;1&lt;/C&gt;&lt;D xsi:type="xsd:double"&gt;18.2411431194671&lt;/D&gt;&lt;/FQL&gt;&lt;FQL&gt;&lt;Q&gt;EWD^FMA_ROE(NTMA,-20AY,NOW,FY,"PORTAGG","MEANR")&lt;/Q&gt;&lt;R&gt;20&lt;/R&gt;&lt;C&gt;1&lt;/C&gt;&lt;D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xsi:type="xsd:double"&gt;13.411796827237&lt;/D&gt;&lt;D xsi:type="xsd:double"&gt;11.9070326866152&lt;/D&gt;&lt;D xsi:type="xsd:double"&gt;15.3602779627681&lt;/D&gt;&lt;D xsi:type="xsd:double"&gt;14.6912945486843&lt;/D&gt;&lt;D xsi:type="xsd:double"&gt;15.3680505982123&lt;/D&gt;&lt;/FQL&gt;&lt;FQL&gt;&lt;Q&gt;TRYGB10Y-FDS^FG_YIELD(-10AY,0,Y,,"YTM")&lt;/Q&gt;&lt;R&gt;10&lt;/R&gt;&lt;C&gt;1&lt;/C&gt;&lt;D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xsi:type="xsd:double"&gt;3.534&lt;/D&gt;&lt;/FQL&gt;&lt;FQL&gt;&lt;Q&gt;CAGDPY@JP^EE_ACTUAL_ANNUAL(MED,+1)&lt;/Q&gt;&lt;R&gt;1&lt;/R&gt;&lt;C&gt;1&lt;/C&gt;&lt;D xsi:type="xsd:double"&gt;3.5&lt;/D&gt;&lt;/FQL&gt;&lt;FQL&gt;&lt;Q&gt;USDSEK^FG_PRICE(0)&lt;/Q&gt;&lt;R&gt;1&lt;/R&gt;&lt;C&gt;1&lt;/C&gt;&lt;D xsi:type="xsd:double"&gt;10.57045&lt;/D&gt;&lt;/FQL&gt;&lt;FQL&gt;&lt;Q&gt;PLATI-FDS^FG_PRICE_MAVG(0,,,,30)&lt;/Q&gt;&lt;R&gt;1&lt;/R&gt;&lt;C&gt;1&lt;/C&gt;&lt;D xsi:type="xsd:double"&gt;913.9&lt;/D&gt;&lt;/FQL&gt;&lt;FQL&gt;&lt;Q&gt;COPP-FDS^FG_PRICE_CHANGE(0,-1AM)&lt;/Q&gt;&lt;R&gt;1&lt;/R&gt;&lt;C&gt;1&lt;/C&gt;&lt;D xsi:type="xsd:double"&gt;10.2414330218069&lt;/D&gt;&lt;/FQL&gt;&lt;FQL&gt;&lt;Q&gt;EWL^FG_PRICE_MAVG(0,,,,30)&lt;/Q&gt;&lt;R&gt;1&lt;/R&gt;&lt;C&gt;1&lt;/C&gt;&lt;D xsi:type="xsd:double"&gt;47.507668&lt;/D&gt;&lt;/FQL&gt;&lt;FQL&gt;&lt;Q&gt;FXI^P_PRICE(0)/P_PRICE_HIGH_PR(0,,,USD,,,"PRICE","INTRA","52W")&lt;/Q&gt;&lt;R&gt;1&lt;/R&gt;&lt;C&gt;1&lt;/C&gt;&lt;D xsi:type="xsd:double"&gt;0.79633266&lt;/D&gt;&lt;/FQL&gt;&lt;FQL&gt;&lt;Q&gt;EWQ^FG_TOTAL_RETURNC(0,-3AM)&lt;/Q&gt;&lt;R&gt;1&lt;/R&gt;&lt;C&gt;1&lt;/C&gt;&lt;D xsi:type="xsd:double"&gt;6.645727&lt;/D&gt;&lt;/FQL&gt;&lt;FQL&gt;&lt;Q&gt;EWL^FMA_COS_DOWN("EPS","1M",+1,0,,,"PORTAGG","MEANR")&lt;/Q&gt;&lt;R&gt;1&lt;/R&gt;&lt;C&gt;1&lt;/C&gt;&lt;D xsi:type="xsd:double"&gt;24&lt;/D&gt;&lt;/FQL&gt;&lt;FQL&gt;&lt;Q&gt;EWU^FG_ROE(0)&lt;/Q&gt;&lt;R&gt;1&lt;/R&gt;&lt;C&gt;1&lt;/C&gt;&lt;D xsi:type="xsd:double"&gt;17.0275139438471&lt;/D&gt;&lt;/FQL&gt;&lt;FQL&gt;&lt;Q&gt;CC_CH^IMF_IFS_RCPI_Q(0)&lt;/Q&gt;&lt;R&gt;0&lt;/R&gt;&lt;C&gt;0&lt;/C&gt;&lt;/FQL&gt;&lt;FQL&gt;&lt;Q&gt;EWI^FMA_EVAL_EBIT(LTMA,NOW,NOW,M,"PORTAGG","MEANR")&lt;/Q&gt;&lt;R&gt;1&lt;/R&gt;&lt;C&gt;1&lt;/C&gt;&lt;D xsi:type="xsd:double"&gt;11.1484476470994&lt;/D&gt;&lt;/FQL&gt;&lt;FQL&gt;&lt;Q&gt;TRYTR7Y-FDS^FG_YIELD(-10AY,0,Y,,"YTM")&lt;/Q&gt;&lt;R&gt;10&lt;/R&gt;&lt;C&gt;1&lt;/C&gt;&lt;D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xsi:type="xsd:double"&gt;21.984322&lt;/D&gt;&lt;/FQL&gt;&lt;FQL&gt;&lt;Q&gt;CAGDPY@CA^EE_ACTUAL_ANNUAL(MED,+1)&lt;/Q&gt;&lt;R&gt;1&lt;/R&gt;&lt;C&gt;1&lt;/C&gt;&lt;D xsi:type="xsd:double"&gt;-0.6&lt;/D&gt;&lt;/FQL&gt;&lt;FQL&gt;&lt;Q&gt;TIPSCL10Y-FDS^FG_YIELD(-10AY,0,Y,,"YTM")&lt;/Q&gt;&lt;R&gt;10&lt;/R&gt;&lt;C&gt;1&lt;/C&gt;&lt;D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xsi:type="xsd:double"&gt;5.3314&lt;/D&gt;&lt;/FQL&gt;&lt;FQL&gt;&lt;Q&gt;USDEUR^FG_COMPANY_NAME&lt;/Q&gt;&lt;R&gt;1&lt;/R&gt;&lt;C&gt;1&lt;/C&gt;&lt;D xsi:type="xsd:string"&gt;Euro per U.S. Dollar&lt;/D&gt;&lt;/FQL&gt;&lt;FQL&gt;&lt;Q&gt;EWU^FMA_EPS(NTMA,-20AY,0,CY,,"PORTAGG","MEANR")&lt;/Q&gt;&lt;R&gt;20&lt;/R&gt;&lt;C&gt;1&lt;/C&gt;&lt;D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</t>
        </r>
      </text>
    </comment>
    <comment ref="A12" authorId="0" shapeId="0" xr:uid="{FB943A75-F811-42CA-A21E-A2C99E9242FC}">
      <text>
        <r>
          <rPr>
            <b/>
            <sz val="9"/>
            <color indexed="81"/>
            <rFont val="Tahoma"/>
            <charset val="1"/>
          </rPr>
          <t>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xsi:type="xsd:double"&gt;2.53485794961448&lt;/D&gt;&lt;D xsi:type="xsd:double"&gt;2.03463841368045&lt;/D&gt;&lt;D xsi:type="xsd:double"&gt;2.71427224666172&lt;/D&gt;&lt;D xsi:type="xsd:double"&gt;3.12760120843659&lt;/D&gt;&lt;D xsi:type="xsd:double"&gt;3.00523278574567&lt;/D&gt;&lt;/FQL&gt;&lt;FQL&gt;&lt;Q&gt;EWG^FG_TOTAL_RETURNC(-10AY,0,AM)&lt;/Q&gt;&lt;R&gt;121&lt;/R&gt;&lt;C&gt;1&lt;/C&gt;&lt;D xsi:type="xsd:double"&gt;0.09582043&lt;/D&gt;&lt;D xsi:type="xsd:double"&gt;0.38288832&lt;/D&gt;&lt;D xsi:type="xsd:double"&gt;1.5893221&lt;/D&gt;&lt;D xsi:type="xsd:double"&gt;1.1873722&lt;/D&gt;&lt;D xsi:type="xsd:double"&gt;-9.2744465&lt;/D&gt;&lt;D xsi:type="xsd:double"&gt;1.4951348&lt;/D&gt;&lt;D xsi:type="xsd:double"&gt;-7.3997917&lt;/D&gt;&lt;D xsi:type="xsd:double"&gt;-0.5549431&lt;/D&gt;&lt;D xsi:type="xsd:double"&gt;6.0267925&lt;/D&gt;&lt;D xsi:type="xsd:double"&gt;-4.2806983&lt;/D&gt;&lt;D xsi:type="xsd:double"&gt;5.351901&lt;/D&gt;&lt;D xsi:type="xsd:double"&gt;2.3660421&lt;/D&gt;&lt;D xsi:type="xsd:double"&gt;3.0931354&lt;/D&gt;&lt;D xsi:type="xsd:double"&gt;-1.1539757&lt;/D&gt;&lt;D xsi:type="xsd:double"&gt;-2.0680428&lt;/D&gt;&lt;D xsi:type="xsd:double"&gt;-2.8731287&lt;/D&gt;&lt;D xsi:type="xsd:double"&gt;1.7481208&lt;/D&gt;&lt;D xsi:type="xsd:double"&gt;-10.3085575&lt;/D&gt;&lt;D xsi:type="xsd:double"&gt;-2.8146982&lt;/D&gt;&lt;D xsi:type="xsd:double"&gt;8.00482&lt;/D&gt;&lt;D xsi:type="xsd:double"&gt;0.2979517&lt;/D&gt;&lt;D xsi:type="xsd:double"&gt;-5.0872684&lt;/D&gt;&lt;D xsi:type="xsd:double"&gt;-5.868542&lt;/D&gt;&lt;D xsi:type="xsd:double"&gt;2.0781398&lt;/D&gt;&lt;D xsi:type="xsd:double"&gt;3.420198&lt;/D&gt;&lt;D xsi:type="xsd:double"&gt;1.2204647&lt;/D&gt;&lt;D xsi:type="xsd:double"&gt;1.5947223&lt;/D&gt;&lt;D xsi:type="xsd:double"&gt;-5.413061&lt;/D&gt;&lt;D xsi:type="xsd:double"&gt;4.8921943&lt;/D&gt;&lt;D xsi:type="xsd:double"&gt;4.9011946&lt;/D&gt;&lt;D xsi:type="xsd:double"&gt;-0.979656&lt;/D&gt;&lt;D xsi:type="xsd:double"&gt;-4.147643&lt;/D&gt;&lt;D xsi:type="xsd:double"&gt;-1.7864287&lt;/D&gt;&lt;D xsi:type="xsd:double"&gt;7.797742&lt;/D&gt;&lt;D xsi:type="xsd:double"&gt;3.713429&lt;/D&gt;&lt;D xsi:type="xsd:double"&gt;1.2296557&lt;/D&gt;&lt;D xsi:type="xsd:double"&gt;2.6437998&lt;/D&gt;&lt;D xsi:type="xsd:double"&gt;5.8823586&lt;/D&gt;&lt;D xsi:type="xsd:double"&gt;4.174888&lt;/D&gt;&lt;D xsi:type="xsd:double"&gt;-2.55633&lt;/D&gt;&lt;D xsi:type="xsd:double"&gt;2.5420904&lt;/D&gt;&lt;D xsi:type="xsd:double"&gt;-0.6761074&lt;/D&gt;&lt;D xsi:type="xsd:double"&gt;5.28363&lt;/D&gt;&lt;D xsi:type="xsd:double"&gt;2.8017282&lt;/D&gt;&lt;D xsi:type="xsd:double"&gt;-0.98831654&lt;/D&gt;&lt;D xsi:type="xsd:double"&gt;3.042233&lt;/D&gt;&lt;D xsi:type="xsd:double"&gt;-0.3531456&lt;/D&gt;&lt;D xsi:type="xsd:double"&gt;-6.054342&lt;/D&gt;&lt;D xsi:type="xsd:double"&gt;0.03143549&lt;/D&gt;&lt;D xsi:type="xsd:double"&gt;3.2055378&lt;/D&gt;&lt;D xsi:type="xsd:double"&gt;-2.5883079&lt;/D&gt;&lt;D xsi:type="xsd:double"&gt;-4.1805387&lt;/D&gt;&lt;D xsi:type="xsd:double"&gt;2.5392532&lt;/D&gt;&lt;D xsi:type="xsd:double"&gt;-2.6067138&lt;/D&gt;&lt;D xsi:type="xsd:double"&gt;-1.4051497&lt;/D&gt;&lt;D xsi:type="xsd:double"&gt;-5.73464&lt;/D&gt;&lt;D xsi:type="xsd:double"&gt;-4.679632&lt;/D&gt;&lt;D xsi:type="xsd:double"&gt;-2.7190328&lt;/D&gt;&lt;D xsi:type="xsd:double"&gt;4.114902&lt;/D&gt;&lt;D xsi:type="xsd:double"&gt;2.0507097&lt;/D&gt;&lt;D xsi:type="xsd:double"&gt;1.9729614&lt;/D&gt;&lt;D xsi:type="xsd:double"&gt;3.7262678&lt;/D&gt;&lt;D xsi:type="xsd:double"&gt;-4.421419&lt;/D&gt;&lt;D xsi:type="xsd:double"&gt;5.339873&lt;/D&gt;&lt;D xsi:type="xsd:double"&gt;-6.5209746&lt;/D&gt;&lt;D xsi:type="xsd:double"&gt;0.0754118&lt;/D&gt;&lt;D xsi:type="xsd:double"&gt;-0.37679076&lt;/D&gt;&lt;D xsi:type="xsd:double"&gt;9.94705&lt;/D&gt;&lt;D xsi:type="xsd:double"&gt;-0.2407968&lt;/D&gt;&lt;D xsi:type="xsd:double"&gt;1.0689616&lt;/D&gt;&lt;D xsi:type="xsd:double"&gt;-0.71647763&lt;/D&gt;&lt;D xsi:type="xsd:double"&gt;-6.8041205&lt;/D&gt;&lt;D xsi:type="xsd:double"&gt;-24.668144&lt;/D&gt;&lt;D xsi:type="xsd:double"&gt;12.187958&lt;/D&gt;&lt;D xsi:type="xsd:double"&gt;21.771383&lt;/D&gt;&lt;D xsi:type="xsd:double"&gt;-0.18804073&lt;/D&gt;&lt;D xsi:type="xsd:double"&gt;5.186796&lt;/D&gt;&lt;D xsi:type="xsd:double"&gt;2.9310346&lt;/D&gt;&lt;D xsi:type="xsd:double"&gt;-2.2780597&lt;/D&gt;&lt;D xsi:type="xsd:double"&gt;-4.4223547&lt;/D&gt;&lt;D xsi:type="xsd:double"&gt;11.692977&lt;/D&gt;&lt;D xsi:type="xsd:double"&gt;4.576683&lt;/D&gt;&lt;D xsi:type="xsd:double"&gt;0.96393824&lt;/D&gt;&lt;D xsi:type="xsd:double"&gt;-1.0471225&lt;/D&gt;&lt;D xsi:type="xsd:double"&gt;5.6644917&lt;/D&gt;&lt;D xsi:type="xsd:double"&gt;0.32401085&lt;/D&gt;&lt;D xsi:type="xsd:double"&gt;6.400466&lt;/D&gt;&lt;D xsi:type="xsd:double"&gt;-2.3419142&lt;/D&gt;&lt;D xsi:type="xsd:double"&gt;-0.0574708&lt;/D&gt;&lt;D xsi:type="xsd:double"&gt;0.9775758&lt;/D&gt;&lt;D xsi:type="xsd:double"&gt;-6.947607&lt;/D&gt;&lt;D xsi:type="xsd:double"&gt;5.63035&lt;/D&gt;&lt;D xsi:type="xsd:double"&gt;-7.821554&lt;/D&gt;&lt;D xsi:type="xsd:double"&gt;5.4297924&lt;/D&gt;&lt;D xsi:type="xsd:double"&gt;-3.8484633&lt;/D&gt;&lt;D xsi:type="xsd:double"&gt;-19.043154&lt;/D&gt;&lt;D xsi:type="xsd:double"&gt;10.467362&lt;/D&gt;&lt;D xsi:type="xsd:double"&gt;-6.573433&lt;/D&gt;&lt;D xsi:type="xsd:double"&gt;2.4326444&lt;/D&gt;&lt;D xsi:type="xsd:double"&gt;-13.255042&lt;/D&gt;&lt;D xsi:type="xsd:double"&gt;3.7342548&lt;/D&gt;&lt;D xsi:type="xsd:double"&gt;-10.632062&lt;/D&gt;&lt;D xsi:type="xsd:double"&gt;-0.32786727&lt;/D&gt;&lt;D xsi:type="xsd:double"&gt;4.840219&lt;/D&gt;&lt;D xsi:type="xsd:double"&gt;15.374279&lt;/D&gt;&lt;D xsi:type="xsd:double"&gt;0.538826&lt;/D&gt;&lt;D xsi:type="xsd:double"&gt;9.856976&lt;/D&gt;&lt;D xsi:type="xsd:double"&gt;-1.6889513&lt;/D&gt;&lt;D xsi:type="xsd:double"&gt;2.5769472&lt;/D&gt;&lt;D xsi:type="xsd:double"&gt;1.4654517&lt;/D&gt;&lt;D xsi:type="xsd:double"&gt;-1.6162276&lt;/D&gt;&lt;D xsi:type="xsd:double"&gt;2.0994544&lt;/D&gt;&lt;D xsi:type="xsd:double"&gt;-0.7034838&lt;/D&gt;&lt;D xsi:type="xsd:double"&gt;-2.1962404&lt;/D&gt;&lt;D xsi:type="xsd:double"&gt;-6.9540024&lt;/D&gt;&lt;D xsi:type="xsd:double"&gt;1.7905712&lt;/D&gt;&lt;D xsi:type="xsd:double"&gt;9.521985&lt;/D&gt;&lt;D xsi:type="xsd:double"&gt;1.3670325&lt;/D&gt;&lt;D xsi:type="xsd:double"&gt;0.6889343&lt;/D&gt;&lt;D xsi:type="xsd:double"&gt;5.1317096&lt;/D&gt;&lt;D xsi:type="xsd:double"&gt;2.0826578&lt;/D&gt;&lt;/FQL&gt;&lt;FQL&gt;&lt;Q&gt;EWL^FMA_PE(NTMA,-10AY,0,AM,"PORTAGG","MEANR")&lt;/Q&gt;&lt;R&gt;121&lt;/R&gt;&lt;C&gt;1&lt;/C&gt;&lt;D xsi:type="xsd:double"&gt;16.0827295839487&lt;/D&gt;&lt;D xsi:type="xsd:double"&gt;16.1890176135056&lt;/D&gt;&lt;D xsi:type="xsd:double"&gt;16.3312494359756&lt;/D&gt;&lt;D xsi:type="xsd:double"&gt;16.2902501563557&lt;/D&gt;&lt;D xsi:type="xsd:double"&gt;15.6444494198816&lt;/D&gt;&lt;D xsi:type="xsd:double"&gt;16.3233933019232&lt;/D&gt;&lt;D xsi:type="xsd:double"&gt;15.6369396707244&lt;/D&gt;&lt;D xsi:type="xsd:double"&gt;15.7499686745611&lt;/D&gt;&lt;D xsi:type="xsd:double"&gt;16.1132691477113&lt;/D&gt;&lt;D xsi:type="xsd:double"&gt;15.6550501907529&lt;/D&gt;&lt;D xsi:type="xsd:double"&gt;16.7774126146497&lt;/D&gt;&lt;D xsi:type="xsd:double"&gt;17.4604084112256&lt;/D&gt;&lt;D xsi:type="xsd:double"&gt;17.7000054458579&lt;/D&gt;&lt;D xsi:type="xsd:double"&gt;17.7629766214139&lt;/D&gt;&lt;D xsi:type="xsd:double"&gt;17.6709799497337&lt;/D&gt;&lt;D xsi:type="xsd:double"&gt;17.041634530551&lt;/D&gt;&lt;D xsi:type="xsd:double"&gt;17.8002882082395&lt;/D&gt;&lt;D xsi:type="xsd:double"&gt;16.2301395906278&lt;/D&gt;&lt;D xsi:type="xsd:double"&gt;16.0054315414928&lt;/D&gt;&lt;D xsi:type="xsd:double"&gt;17.0623573243898&lt;/D&gt;&lt;D xsi:type="xsd:double"&gt;16.8326321726504&lt;/D&gt;&lt;D xsi:type="xsd:double"&gt;16.5045089315243&lt;/D&gt;&lt;D xsi:type="xsd:double"&gt;16.1298041746557&lt;/D&gt;&lt;D xsi:type="xsd:double"&gt;16.5832884320209&lt;/D&gt;&lt;D xsi:type="xsd:double"&gt;16.3183453931268&lt;/D&gt;&lt;D xsi:type="xsd:double"&gt;16.3721829444146&lt;/D&gt;&lt;D xsi:type="xsd:double"&gt;17.0576555536762&lt;/D&gt;&lt;D xsi:type="xsd:double"&gt;16.895370900135&lt;/D&gt;&lt;D xsi:type="xsd:double"&gt;17.1290550773822&lt;/D&gt;&lt;D xsi:type="xsd:double"&gt;17.4419500342325&lt;/D&gt;&lt;D xsi:type="xsd:double"&gt;17.2311139046871&lt;/D&gt;&lt;D xsi:type="xsd:double"&gt;16.0822832120136&lt;/D&gt;&lt;D xsi:type="xsd:double"&gt;16.1562192824815&lt;/D&gt;&lt;D xsi:type="xsd:double"&gt;17.0152818502574&lt;/D&gt;&lt;D xsi:type="xsd:double"&gt;17.2049004017712&lt;/D&gt;&lt;D xsi:type="xsd:double"&gt;17.6434894956563&lt;/D&gt;&lt;D xsi:type="xsd:double"&gt;17.3673328520791&lt;/D&gt;&lt;D xsi:type="xsd:double"&gt;17.9660531629&lt;/D&gt;&lt;D xsi:type="xsd:double"&gt;18.2644958815692&lt;/D&gt;&lt;D xsi:type="xsd:double"&gt;17.8769566416458&lt;/D&gt;&lt;D xsi:type="xsd:double"&gt;17.9831562785605&lt;/D&gt;&lt;D xsi:type="xsd:double"&gt;17.4885502054535&lt;/D&gt;&lt;D xsi:type="xsd:double"&gt;17.9580905644998&lt;/D&gt;&lt;D xsi:type="xsd:double"&gt;17.9836230246756&lt;/D&gt;&lt;D xsi:type="xsd:double"&gt;17.6681605636221&lt;/D&gt;&lt;D xsi:type="xsd:double"&gt;17.8750241144717&lt;/D&gt;&lt;D xsi:type="xsd:double"&gt;17.3427588214935&lt;/D&gt;&lt;D xsi:type="xsd:double"&gt;16.0124396473691&lt;/D&gt;&lt;D xsi:type="xsd:double"&gt;15.7126215540154&lt;/D&gt;&lt;D xsi:type="xsd:double"&gt;16.1413610611255&lt;/D&gt;&lt;D xsi:type="xsd:double"&gt;15.7186109707989&lt;/D&gt;&lt;D xsi:type="xsd:double"&gt;15.6242358668332&lt;/D&gt;&lt;D xsi:type="xsd:double"&gt;16.3074694348589&lt;/D&gt;&lt;D xsi:type="xsd:double"&gt;15.9472185740361&lt;/D&gt;&lt;D xsi:type="xsd:double"&gt;15.9296578655331&lt;/D&gt;&lt;D xsi:type="xsd:double"&gt;15.7177625033584&lt;/D&gt;&lt;D xsi:type="xsd:double"&gt;15.6831125774657&lt;/D&gt;&lt;D xsi:type="xsd:double"&gt;14.7844400374552&lt;/D&gt;&lt;D xsi:type="xsd:double"&gt;15.5676157277344&lt;/D&gt;&lt;D xsi:type="xsd:double"&gt;16.3684196160835&lt;/D&gt;&lt;D xsi:type="xsd:double"&gt;16.7523047309905&lt;/D&gt;&lt;D xsi:type="xsd:double"&gt;16.8970832968054&lt;/D&gt;&lt;D xsi:type="xsd:double"&gt;16.6122526382002&lt;/D&gt;&lt;D xsi:type="xsd:double"&gt;17.3769096483735&lt;/D&gt;&lt;D xsi:type="xsd:double"&gt;16.9283003434567&lt;/D&gt;&lt;D xsi:type="xsd:double"&gt;17.0460625788036&lt;/D&gt;&lt;D xsi:type="xsd:double"&gt;16.7562358891189&lt;/D&gt;&lt;D xsi:type="xsd:double"&gt;17.5006364491964&lt;/D&gt;&lt;D xsi:type="xsd:double"&gt;17.3159466403618&lt;/D&gt;&lt;D xsi:type="xsd:double"&gt;17.9126715110934&lt;/D&gt;&lt;D xsi:type="xsd:double"&gt;18.0730501131879&lt;/D&gt;&lt;D xsi:type="xsd:double"&gt;17.251705423792&lt;/D&gt;&lt;D xsi:type="xsd:double"&gt;16.0373107608519&lt;/D&gt;&lt;D xsi:type="xsd:double"&gt;17.8845191868459&lt;/D&gt;&lt;D xsi:type="xsd:double"&gt;19.3919641829221&lt;/D&gt;&lt;D xsi:type="xsd:double"&gt;19.5197212042751&lt;/D&gt;&lt;D xsi:type="xsd:double"&gt;19.4673536016794&lt;/D&gt;&lt;D xsi:type="xsd:double"&gt;19.1309374611738&lt;/D&gt;&lt;D xsi:type="xsd:double"&gt;19.0512570908496&lt;/D&gt;&lt;D xsi:type="xsd:double"&gt;18.7378126342856&lt;/D&gt;&lt;D xsi:type="xsd:double"&gt;18.3906129479302&lt;/D&gt;&lt;D xsi:type="xsd:double"&gt;18.9411516777064&lt;/D&gt;&lt;D xsi:type="xsd:double"&gt;18.8034266989157&lt;/D&gt;&lt;D xsi:type="xsd:double"&gt;18.3547780215432&lt;/D&gt;&lt;D xsi:type="xsd:double"&gt;18.814076523045&lt;/D&gt;&lt;D xsi:type="xsd:double"&gt;18.7506297023134&lt;/D&gt;&lt;D xsi:type="xsd:double"&gt;19.6130224461203&lt;/D&gt;&lt;D xsi:type="xsd:double"&gt;19.751334170712&lt;/D&gt;&lt;D xsi:type="xsd:double"&gt;19.8377151239441&lt;/D&gt;&lt;D xsi:type="xsd:double"&gt;19.7512107895055&lt;/D&gt;&lt;D xsi:type="xsd:double"&gt;18.2211928143975&lt;/D&gt;&lt;D xsi:type="xsd:double"&gt;19.4097627127289&lt;/D&gt;&lt;D xsi:type="xsd:double"&gt;18.6773071446453&lt;/D&gt;&lt;D xsi:type="xsd:double"&gt;19.7856136131679&lt;/D&gt;&lt;D xsi:type="xsd:double"&gt;18.0722229904065&lt;/D&gt;&lt;D xsi:type="xsd:double"&gt;17.0992650655098&lt;/D&gt;&lt;D xsi:type="xsd:double"&gt;18.5606498338934&lt;/D&gt;&lt;D xsi:type="xsd:double"&gt;17.4354113924282&lt;/D&gt;&lt;D xsi:type="xsd:double"&gt;16.848724453765&lt;/D&gt;&lt;D xsi:type="xsd:double"&gt;15.7364674893585&lt;/D&gt;&lt;D xsi:type="xsd:double"&gt;16.9290751793585&lt;/D&gt;&lt;D xsi:type="xsd:double"&gt;16.1352721568786&lt;/D&gt;&lt;D xsi:type="xsd:double"&gt;15.441984771414&lt;/D&gt;&lt;D xsi:type="xsd:double"&gt;15.9973445308328&lt;/D&gt;&lt;D xsi:type="xsd:double"&gt;16.9119655449688&lt;/D&gt;&lt;D xsi:type="xsd:double"&gt;16.8370173497963&lt;/D&gt;&lt;D xsi:type="xsd:double"&gt;17.4203843768325&lt;/D&gt;&lt;D xsi:type="xsd:double"&gt;17.1475803498918&lt;/D&gt;&lt;D xsi:type="xsd:double"&gt;17.0917329457769&lt;/D&gt;&lt;D xsi:type="xsd:double"&gt;17.5710359145337&lt;/D&gt;&lt;D xsi:type="xsd:double"&gt;16.7714574837315&lt;/D&gt;&lt;D xsi:type="xsd:double"&gt;16.4010898701471&lt;/D&gt;&lt;D xsi:type="xsd:double"&gt;16.6317183808077&lt;/D&gt;&lt;D xsi:type="xsd:double"&gt;16.6075138478088&lt;/D&gt;&lt;D xsi:type="xsd:double"&gt;15.7821938861526&lt;/D&gt;&lt;D xsi:type="xsd:double"&gt;15.7718327202352&lt;/D&gt;&lt;D xsi:type="xsd:double"&gt;16.3950891911191&lt;/D&gt;&lt;D xsi:type="xsd:double"&gt;16.9202044563274&lt;/D&gt;&lt;D xsi:type="xsd:double"&gt;17.090775393833&lt;/D&gt;&lt;D xsi:type="xsd:double"&gt;17.4333525795966&lt;/D&gt;&lt;D xsi:type="xsd:double"&gt;17.4129977844879&lt;/D&gt;&lt;/FQL&gt;&lt;FQL&gt;&lt;Q&gt;WL-FDS^MAX(FG_PRICE(0,-5AY))&lt;/Q&gt;&lt;R&gt;1&lt;/R&gt;&lt;C&gt;1&lt;/C&gt;&lt;D xsi:type="xsd:double"&gt;763.4&lt;/D&gt;&lt;/FQL&gt;&lt;FQL&gt;&lt;Q&gt;URTH^FG_TOTAL_RETURNC(0,-1AM)&lt;/Q&gt;&lt;R&gt;1&lt;/R&gt;&lt;C&gt;1&lt;/C&gt;&lt;D xsi:type="xsd:double"&gt;0.65785646&lt;/D&gt;&lt;/FQL&gt;&lt;FQL&gt;&lt;Q&gt;EWI^FMA_PCT_ABOVE_MAVG(200,0,,,,"PORTAGG")&lt;/Q&gt;&lt;R&gt;1&lt;/R&gt;&lt;C&gt;1&lt;/C&gt;&lt;D xsi:type="xsd:double"&gt;68&lt;/D&gt;&lt;/FQL&gt;&lt;FQL&gt;&lt;Q&gt;EWQ^FMA_PCT_ABOVE_MAVG(200,0,,,,"PORTAGG")&lt;/Q&gt;&lt;R&gt;1&lt;/R&gt;&lt;C&gt;1&lt;/C&gt;&lt;D xsi:type="xsd:double"&gt;73.015873015873&lt;/D&gt;&lt;/FQL&gt;&lt;FQL&gt;&lt;Q&gt;EWU^FG_TOTAL_RETURNC(0,-3AM)&lt;/Q&gt;&lt;R&gt;1&lt;/R&gt;&lt;C&gt;1&lt;/C&gt;&lt;D xsi:type="xsd:double"&gt;3.6236286&lt;/D&gt;&lt;/FQL&gt;&lt;FQL&gt;&lt;Q&gt;EWG^FG_TOTAL_RETURNC(0,-1AM)&lt;/Q&gt;&lt;R&gt;1&lt;/R&gt;&lt;C&gt;1&lt;/C&gt;&lt;D xsi:type="xsd:double"&gt;2.0826578&lt;/D&gt;&lt;/FQL&gt;&lt;FQL&gt;&lt;Q&gt;ENZL^FG_TOTAL_RETURNC(0,-12AM)&lt;/Q&gt;&lt;R&gt;1&lt;/R&gt;&lt;C&gt;1&lt;/C&gt;&lt;D xsi:type="xsd:double"&gt;-7.1061015&lt;/D&gt;&lt;/FQL&gt;&lt;FQL&gt;&lt;Q&gt;EWI^FMA_COS_DOWN("EPS","1M",+1,0,,,"PORTAGG","MEANR")&lt;/Q&gt;&lt;R&gt;1&lt;/R&gt;&lt;C&gt;1&lt;/C&gt;&lt;D xsi:type="xsd:double"&gt;8&lt;/D&gt;&lt;/FQL&gt;&lt;FQL&gt;&lt;Q&gt;EWL^FMA_COS_UP("EPS","1M",+1,0,,,"PORTAGG","MEANR")&lt;/Q&gt;&lt;R&gt;1&lt;/R&gt;&lt;C&gt;1&lt;/C&gt;&lt;D xsi:type="xsd:double"&gt;19&lt;/D&gt;&lt;/FQL&gt;&lt;FQL&gt;&lt;Q&gt;CC_JP^IMF_IFS_RCPI_Q(0)&lt;/Q&gt;&lt;R&gt;0&lt;/R&gt;&lt;C&gt;0&lt;/C&gt;&lt;/FQL&gt;&lt;FQL&gt;&lt;Q&gt;EWN^JULIAN(FMA_DIV_YLD(NTMA,NOW,NOW,M,"PORTAGG","MEANR").DATES)&lt;/Q&gt;&lt;R&gt;1&lt;/R&gt;&lt;C&gt;1&lt;/C&gt;&lt;D xsi:type="xsd:long"&gt;45379&lt;/D&gt;&lt;/FQL&gt;&lt;FQL&gt;&lt;Q&gt;QQQ^FMA_PE(LTM,0,,,"PORTAGG","MEANR")&lt;/Q&gt;&lt;R&gt;1&lt;/R&gt;&lt;C&gt;1&lt;/C&gt;&lt;D xsi:type="xsd:double"&gt;33.7995031299617&lt;/D&gt;&lt;/FQL&gt;&lt;FQL&gt;&lt;Q&gt;EWJ^JULIAN(FMA_DIV_YLD(NTMA,NOW,NOW,M,"PORTAGG","MEANR").DATES)&lt;/Q&gt;&lt;R&gt;1&lt;/R&gt;&lt;C&gt;1&lt;/C&gt;&lt;D xsi:type="xsd:long"&gt;45379&lt;/D&gt;&lt;/FQL&gt;&lt;FQL&gt;&lt;Q&gt;EWA^FMA_PE(NTMA,0,,,"PORTAGG","MEANR")&lt;/Q&gt;&lt;R&gt;1&lt;/R&gt;&lt;C&gt;1&lt;/C&gt;&lt;D xsi:type="xsd:double"&gt;16.6093290040088&lt;/D&gt;&lt;/FQL&gt;&lt;FQL&gt;&lt;Q&gt;DBA^P_PRICE(0)/P_PRICE_HIGH_PR(0,,,USD,,,"PRICE","INTRA","52W")&lt;/Q&gt;&lt;R&gt;1&lt;/R&gt;&lt;C&gt;1&lt;/C&gt;&lt;D xsi:type="xsd:double"&gt;0.9866719&lt;/D&gt;&lt;/FQL&gt;&lt;FQL&gt;&lt;Q&gt;SPY^FG_TOTAL_RETURNC(0,-1AM)&lt;/Q&gt;&lt;R&gt;1&lt;/R&gt;&lt;C&gt;1&lt;/C&gt;&lt;D xsi:type="xsd:double"&gt;0.46360493&lt;/D&gt;&lt;/FQL&gt;&lt;FQL&gt;&lt;Q&gt;EWC^SIZE(FG_CONSTITUENTS)&lt;/Q&gt;&lt;R&gt;1&lt;/R&gt;&lt;C&gt;1&lt;/C&gt;&lt;D xsi:type="xsd:long"&gt;88&lt;/D&gt;&lt;/FQL&gt;&lt;FQL&gt;&lt;Q&gt;CC_CA^IMF_IFS_RCPI_Q(0)&lt;/Q&gt;&lt;R&gt;0&lt;/R&gt;&lt;C&gt;0&lt;/C&gt;&lt;/FQL&gt;&lt;FQL&gt;&lt;Q&gt;EWA^JULIAN(FMA_DIV_YLD(NTMA,NOW,NOW,M,"PORTAGG","MEANR").DATES)&lt;/Q&gt;&lt;R&gt;1&lt;/R&gt;&lt;C&gt;1&lt;/C&gt;&lt;D xsi:type="xsd:long"&gt;45379&lt;/D&gt;&lt;/FQL&gt;&lt;FQL&gt;&lt;Q&gt;EWN^FMA_ROE(NTMA,-20AY,NOW,FY,"PORTAGG","MEANR")&lt;/Q&gt;&lt;R&gt;20&lt;/R&gt;&lt;C&gt;1&lt;/C&gt;&lt;D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xsi:type="xsd:double"&gt;13.091763606586&lt;/D&gt;&lt;D xsi:type="xsd:double"&gt;9.77856565542044&lt;/D&gt;&lt;D xsi:type="xsd:double"&gt;10.8991459502058&lt;/D&gt;&lt;D xsi:type="xsd:double"&gt;12.0158891729577&lt;/D&gt;&lt;D xsi:type="xsd:double"&gt;12.7459856653599&lt;/D&gt;&lt;/FQL&gt;&lt;FQL&gt;&lt;Q&gt;CAGDPY@JP^EE_ACTUAL_ANNUAL(MED,0)&lt;/Q&gt;&lt;R&gt;1&lt;/R&gt;&lt;C&gt;1&lt;/C&gt;&lt;D xsi:type="xsd:double"&gt;3.55112124522863&lt;/D&gt;&lt;/FQL&gt;&lt;FQL&gt;&lt;Q&gt;COPP-FDS^FG_PRICE_MAVG(0,,,,30)&lt;/Q&gt;&lt;R&gt;1&lt;/R&gt;&lt;C&gt;1&lt;/C&gt;&lt;D xsi:type="xsd:double"&gt;3.9726834&lt;/D&gt;&lt;/FQL&gt;&lt;FQL&gt;&lt;Q&gt;EWI^FG_PRICE_MAVG(0,,,,200)&lt;/Q&gt;&lt;R&gt;1&lt;/R&gt;&lt;C&gt;1&lt;/C&gt;&lt;D xsi:type="xsd:double"&gt;32.862&lt;/D&gt;&lt;/FQL&gt;&lt;FQL&gt;&lt;Q&gt;EWL^FG_PRICE(0)&lt;/Q&gt;&lt;R&gt;1&lt;/R&gt;&lt;C&gt;1&lt;/C&gt;&lt;D xsi:type="xsd:double"&gt;46.87&lt;/D&gt;&lt;/FQL&gt;&lt;FQL&gt;&lt;Q&gt;FXI^FG_TOTAL_RETURNC(0,-1AM)&lt;/Q&gt;&lt;R&gt;1&lt;/R&gt;&lt;C&gt;1&lt;/C&gt;&lt;D xsi:type="xsd:double"&gt;3.976059&lt;/D&gt;&lt;/FQL&gt;&lt;FQL&gt;&lt;Q&gt;EWJ^SIZE(FG_CONSTITUENTS)&lt;/Q&gt;&lt;R&gt;1&lt;/R&gt;&lt;C&gt;1&lt;/C&gt;&lt;D xsi:type="xsd:long"&gt;219&lt;/D&gt;&lt;/FQL&gt;&lt;FQL&gt;&lt;Q&gt;EWL^FG_ROE(0)&lt;/Q&gt;&lt;R&gt;1&lt;/R&gt;&lt;C&gt;1&lt;/C&gt;&lt;D xsi:type="xsd:double"&gt;24.1721070916563&lt;/D&gt;&lt;/FQL&gt;&lt;FQL&gt;&lt;Q&gt;REFFFUND-FDS^FG_YIELD(NOW,,,0)&lt;/Q&gt;&lt;R&gt;1&lt;/R&gt;&lt;C&gt;1&lt;/C&gt;&lt;D xsi:type="xsd:double"&gt;5.5&lt;/D&gt;&lt;/FQL&gt;&lt;FQL&gt;&lt;Q&gt;REFNZOCR-FDS^PROPER_NAME(0,,,"SECURITY","NAME")&lt;/Q&gt;&lt;R&gt;1&lt;/R&gt;&lt;C&gt;1&lt;/C&gt;&lt;D xsi:type="xsd:string"&gt;New Zealand Official Cash Rate&lt;/D&gt;&lt;/FQL&gt;&lt;FQL&gt;&lt;Q&gt;TRYDE10Y-FDS^PCTCHG(FG_YIELD(0,,,,"YTM"),FG_YIELD(-1AM,,,,"YTM"))&lt;/Q&gt;&lt;R&gt;1&lt;/R&gt;&lt;C&gt;1&lt;/C&gt;&lt;D xsi:type="xsd:double"&gt;-2.079&lt;/D&gt;&lt;/FQL&gt;&lt;FQL&gt;&lt;Q&gt;EWI^FMA_EVAL_EBITDA(NTMA,0,,,"PORTAGG","MEANR")&lt;/Q&gt;&lt;R&gt;1&lt;/R&gt;&lt;C&gt;1&lt;/C&gt;&lt;D xsi:type="xsd:double"&gt;7.2504055882985&lt;/D&gt;&lt;/FQL&gt;&lt;FQL&gt;&lt;Q&gt;EWU^FMA_EVAL_EBIT(LTMA,NOW,NOW,M,"PORTAGG","MEANR")&lt;/Q&gt;&lt;R&gt;1&lt;/R&gt;&lt;C&gt;1&lt;/C&gt;&lt;D xsi:type="xsd:double"&gt;10.4900314249894&lt;/D&gt;&lt;/FQL&gt;&lt;FQL&gt;&lt;Q&gt;EWC^FMA_ROE(NTMA,-20AY,NOW,FY,"PORTAGG","MEANR")&lt;/Q&gt;&lt;R&gt;20&lt;/R&gt;&lt;C&gt;1&lt;/C&gt;&lt;D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xsi:type="xsd:double"&gt;13.1440312273413&lt;/D&gt;&lt;/FQL&gt;&lt;FQL&gt;&lt;Q&gt;TRYFR10Y-FDS^FG_YIELD(-10AY,0,Y,,"YTM")&lt;/Q&gt;&lt;R&gt;10&lt;/R&gt;&lt;C&gt;1&lt;/C&gt;&lt;D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xsi:type="xsd:double"&gt;2.534&lt;/D&gt;&lt;/FQL&gt;&lt;FQL&gt;&lt;Q&gt;USDANG^STD(FG_PRICE_CHANGE(0,-3AY,M))&lt;/Q&gt;&lt;R&gt;1&lt;/R&gt;&lt;C&gt;1&lt;/C&gt;&lt;D xsi:type="xsd:double"&gt;0.0414043666666667&lt;/D&gt;&lt;/FQL&gt;&lt;FQL&gt;&lt;Q&gt;USDGBP^STD(FG_PRICE_CHANGE(0,-3AY,M))&lt;/Q&gt;&lt;R&gt;1&lt;/R&gt;&lt;C&gt;1&lt;/C&gt;&lt;D xsi:type="xsd:double"&gt;2.40614321798816&lt;/D&gt;&lt;/FQL&gt;&lt;FQL&gt;&lt;Q&gt;USDCAD^STD(FG_PRICE_CHANGE(0,-3AY,M))&lt;/Q&gt;&lt;R&gt;1&lt;/R&gt;&lt;C&gt;1&lt;/C&gt;&lt;D xsi:type="xsd:double"&gt;1.87874814846935&lt;/D&gt;&lt;/FQL&gt;&lt;FQL&gt;&lt;Q&gt;EWL^FMA_EPS(NTMA,-20AY,0,CY,,"PORTAGG","MEANR")&lt;/Q&gt;&lt;R&gt;20&lt;/R&gt;&lt;C&gt;1&lt;/C&gt;&lt;D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xsi:type="xsd:double"&gt;2.36864078670768&lt;/D&gt;&lt;D xsi:type="xsd:double"&gt;2.66234515884581&lt;/D&gt;&lt;D xsi:type="xsd:double"&gt;2.58388720632297&lt;/D&gt;&lt;D xsi:type="xsd:double"&gt;2.86429657456778&lt;/D&gt;&lt;/FQL&gt;&lt;FQL&gt;&lt;Q&gt;EWC^FG_TOTAL_RETURNC(-10AY,0,AM)&lt;/Q&gt;&lt;R&gt;121&lt;/R&gt;&lt;C&gt;1&lt;/C&gt;&lt;D xsi:type="xsd:double"&gt;2.0869017&lt;/D&gt;&lt;D xsi:type="xsd:double"&gt;2.6474476&lt;/D&gt;&lt;D xsi:type="xsd:double"&gt;0.45707226&lt;/D&gt;&lt;D xsi:type="xsd:double"&gt;6.5368295&lt;/D&gt;&lt;D xsi:type="xsd:double"&gt;-1.536572&lt;/D&gt;&lt;D xsi:type="xsd:double"&gt;2.3720264&lt;/D&gt;&lt;D xsi:type="xsd:double"&gt;-7.7134132&lt;/D&gt;&lt;D xsi:type="xsd:double"&gt;-4.0634274&lt;/D&gt;&lt;D xsi:type="xsd:double"&gt;1.446271&lt;/D&gt;&lt;D xsi:type="xsd:double"&gt;-1.2688816&lt;/D&gt;&lt;D xsi:type="xsd:double"&gt;-4.67062&lt;/D&gt;&lt;D xsi:type="xsd:double"&gt;1.9744039&lt;/D&gt;&lt;D xsi:type="xsd:double"&gt;-0.9322345&lt;/D&gt;&lt;D xsi:type="xsd:double"&gt;6.152737&lt;/D&gt;&lt;D xsi:type="xsd:double"&gt;-5.727923&lt;/D&gt;&lt;D xsi:type="xsd:double"&gt;-2.6924253&lt;/D&gt;&lt;D xsi:type="xsd:double"&gt;-4.8689184&lt;/D&gt;&lt;D xsi:type="xsd:double"&gt;-7.992119&lt;/D&gt;&lt;D xsi:type="xsd:double"&gt;-0.08558035&lt;/D&gt;&lt;D xsi:type="xsd:double"&gt;2.6980639&lt;/D&gt;&lt;D xsi:type="xsd:double"&gt;-3.669721&lt;/D&gt;&lt;D xsi:type="xsd:double"&gt;-7.022542&lt;/D&gt;&lt;D xsi:type="xsd:double"&gt;0.33034086&lt;/D&gt;&lt;D xsi:type="xsd:double"&gt;6.396997&lt;/D&gt;&lt;D xsi:type="xsd:double"&gt;3.0946016&lt;/D&gt;&lt;D xsi:type="xsd:double"&gt;3.6020637&lt;/D&gt;&lt;D xsi:type="xsd:double"&gt;3.6837697&lt;/D&gt;&lt;D xsi:type="xsd:double"&gt;-0.09109974&lt;/D&gt;&lt;D xsi:type="xsd:double"&gt;1.20821&lt;/D&gt;&lt;D xsi:type="xsd:double"&gt;2.904904&lt;/D&gt;&lt;D xsi:type="xsd:double"&gt;-2.4361968&lt;/D&gt;&lt;D xsi:type="xsd:double"&gt;-1.189059&lt;/D&gt;&lt;D xsi:type="xsd:double"&gt;5.214596&lt;/D&gt;&lt;D xsi:type="xsd:double"&gt;2.962947&lt;/D&gt;&lt;D xsi:type="xsd:double"&gt;1.9820571&lt;/D&gt;&lt;D xsi:type="xsd:double"&gt;-1.576823&lt;/D&gt;&lt;D xsi:type="xsd:double"&gt;0.14902353&lt;/D&gt;&lt;D xsi:type="xsd:double"&gt;-3.9806545&lt;/D&gt;&lt;D xsi:type="xsd:double"&gt;2.0534754&lt;/D&gt;&lt;D xsi:type="xsd:double"&gt;3.1214356&lt;/D&gt;&lt;D xsi:type="xsd:double"&gt;3.0809164&lt;/D&gt;&lt;D xsi:type="xsd:double"&gt;1.224339&lt;/D&gt;&lt;D xsi:type="xsd:double"&gt;3.5574555&lt;/D&gt;&lt;D xsi:type="xsd:double"&gt;0&lt;/D&gt;&lt;D xsi:type="xsd:double"&gt;0.3435135&lt;/D&gt;&lt;D xsi:type="xsd:double"&gt;4.817426&lt;/D&gt;&lt;D xsi:type="xsd:double"&gt;-4.201126&lt;/D&gt;&lt;D xsi:type="xsd:double"&gt;-5.1104965&lt;/D&gt;&lt;D xsi:type="xsd:double"&gt;-0.18194914&lt;/D&gt;&lt;D xsi:type="xsd:double"&gt;3.2081604&lt;/D&gt;&lt;D xsi:type="xsd:double"&gt;-0.45920014&lt;/D&gt;&lt;D xsi:type="xsd:double"&gt;1.7239213&lt;/D&gt;&lt;D xsi:type="xsd:double"&gt;2.812934&lt;/D&gt;&lt;D xsi:type="xsd:double"&gt;-3.112173&lt;/D&gt;&lt;D xsi:type="xsd:double"&gt;1.3060331&lt;/D&gt;&lt;D xsi:type="xsd:double"&gt;-6.8292737&lt;/D&gt;&lt;D xsi:type="xsd:double"&gt;-1.1219144&lt;/D&gt;&lt;D xsi:type="xsd:double"&gt;-5.2090406&lt;/D&gt;&lt;D xsi:type="xsd:double"&gt;10.344828&lt;/D&gt;&lt;D xsi:type="xsd:double"&gt;1.6544104&lt;/D&gt;&lt;D xsi:type="xsd:double"&gt;1.4466524&lt;/D&gt;&lt;D xsi:type="xsd:double"&gt;1.1764646&lt;/D&gt;&lt;D xsi:type="xsd:double"&gt;-2.0436943&lt;/D&gt;&lt;D xsi:type="xsd:double"&gt;5.2643776&lt;/D&gt;&lt;D xsi:type="xsd:double"&gt;-3.241384&lt;/D&gt;&lt;D xsi:type="xsd:double"&gt;0.8909464&lt;/D&gt;&lt;D xsi:type="xsd:double"&gt;-0.070643425&lt;/D&gt;&lt;D xsi:type="xsd:double"&gt;3.358078&lt;/D&gt;&lt;D xsi:type="xsd:double"&gt;0.6497979&lt;/D&gt;&lt;D xsi:type="xsd:double"&gt;2.7121425&lt;/D&gt;&lt;D xsi:type="xsd:double"&gt;0.6034255&lt;/D&gt;&lt;D xsi:type="xsd:double"&gt;-5.5648146&lt;/D&gt;&lt;D xsi:type="xsd:double"&gt;-25.8645&lt;/D&gt;&lt;D xsi:type="xsd:double"&gt;14.040923&lt;/D&gt;&lt;D xsi:type="xsd:double"&gt;9.766281&lt;/D&gt;&lt;D xsi:type="xsd:double"&gt;0.046420097&lt;/D&gt;&lt;D xsi:type="xsd:double"&gt;6.6026926&lt;/D&gt;&lt;D xsi:type="xsd:double"&gt;1.5844345&lt;/D&gt;&lt;D xsi:type="xsd:double"&gt;-2.3750365&lt;/D&gt;&lt;D xsi:type="xsd:double"&gt;0.03629923&lt;/D&gt;&lt;D xsi:type="xsd:double"&gt;13.756811&lt;/D&gt;&lt;D xsi:type="xsd:double"&gt;-0.040763617&lt;/D&gt;&lt;D xsi:type="xsd:double"&gt;2.5210023&lt;/D&gt;&lt;D xsi:type="xsd:double"&gt;2.868855&lt;/D&gt;&lt;D xsi:type="xsd:double"&gt;6.159973&lt;/D&gt;&lt;D xsi:type="xsd:double"&gt;3.2043934&lt;/D&gt;&lt;D xsi:type="xsd:double"&gt;6.881118&lt;/D&gt;&lt;D xsi:type="xsd:double"&gt;-0.9117365&lt;/D&gt;&lt;D xsi:type="xsd:double"&gt;-1.1692882&lt;/D&gt;&lt;D xsi:type="xsd:double"&gt;2.4468899&lt;/D&gt;&lt;D xsi:type="xsd:double"&gt;-3.8057685&lt;/D&gt;&lt;D xsi:type="xsd:double"&gt;7.6398373&lt;/D&gt;&lt;D xsi:type="xsd:double"&gt;-5.804819&lt;/D&gt;&lt;D xsi:type="xsd:double"&gt;4.102075&lt;/D&gt;&lt;D xsi:type="xsd:double"&gt;0.52369833&lt;/D&gt;&lt;D xsi:type="xsd:double"&gt;0.3907323&lt;/D&gt;&lt;D xsi:type="xsd:double"&gt;5.396986&lt;/D&gt;&lt;D xsi:type="xsd:double"&gt;-5.7360888&lt;/D&gt;&lt;D xsi:type="xsd:double"&gt;-0.7051468&lt;/D&gt;&lt;D xsi:type="xsd:double"&gt;-9.800774&lt;/D&gt;&lt;D xsi:type="xsd:double"&gt;2.6439428&lt;/D&gt;&lt;D xsi:type="xsd:double"&gt;-3.6634207&lt;/D&gt;&lt;D xsi:type="xsd:double"&gt;-1.8419445&lt;/D&gt;&lt;D xsi:type="xsd:double"&gt;0.93824863&lt;/D&gt;&lt;D xsi:type="xsd:double"&gt;5.5472374&lt;/D&gt;&lt;D xsi:type="xsd:double"&gt;-4.2498293&lt;/D&gt;&lt;D xsi:type="xsd:double"&gt;6.9235325&lt;/D&gt;&lt;D xsi:type="xsd:double"&gt;-1.9144177&lt;/D&gt;&lt;D xsi:type="xsd:double"&gt;-0.3444314&lt;/D&gt;&lt;D xsi:type="xsd:double"&gt;-0.63364506&lt;/D&gt;&lt;D xsi:type="xsd:double"&gt;-0.17391443&lt;/D&gt;&lt;D xsi:type="xsd:double"&gt;3.242302&lt;/D&gt;&lt;D xsi:type="xsd:double"&gt;-1.0795474&lt;/D&gt;&lt;D xsi:type="xsd:double"&gt;0.31591654&lt;/D&gt;&lt;D xsi:type="xsd:double"&gt;-7.7870073&lt;/D&gt;&lt;D xsi:type="xsd:double"&gt;4.9363613&lt;/D&gt;&lt;D xsi:type="xsd:double"&gt;4.4674635&lt;/D&gt;&lt;D xsi:type="xsd:double"&gt;4.0322185&lt;/D&gt;&lt;D xsi:type="xsd:double"&gt;0.41390657&lt;/D&gt;&lt;D xsi:type="xsd:double"&gt;1.7312527&lt;/D&gt;&lt;D xsi:type="xsd:double"&gt;2.7282476&lt;/D&gt;&lt;/FQL&gt;&lt;FQL&gt;&lt;Q&gt;WL-FDS^FG_PRICE_CHANGE(0,-6AM)&lt;/Q&gt;&lt;R&gt;1&lt;/R&gt;&lt;C&gt;1&lt;/C&gt;&lt;D xsi:type="xsd:double"&gt;-5.859375&lt;/D&gt;&lt;/FQL&gt;&lt;FQL&gt;&lt;Q&gt;EWG^PERCENT_CHANGE(FMA_EPS(+1,0,,,,"PORTAGG","MEAN"),FMA_EPS(+1,-3AM,,,,"PORTAGG","MEAN"))&lt;/Q&gt;&lt;R&gt;1&lt;/R&gt;&lt;C&gt;1&lt;/C&gt;&lt;D xsi:type="xsd:double"&gt;-4.8652907082308&lt;/D&gt;&lt;/FQL&gt;&lt;FQL&gt;&lt;Q&gt;EWQ^FMA_EVAL_EBIT(LTMA,NOW,NOW,M,"PORTAGG","MEANR")&lt;/Q&gt;&lt;R&gt;1&lt;/R&gt;&lt;C&gt;1&lt;/C&gt;&lt;D xsi:type="xsd:double"&gt;13.2875959429452&lt;/D&gt;&lt;/FQL&gt;&lt;FQL&gt;&lt;Q&gt;EWD^P_PRICE(0)/P_PRICE_LOW_PR(0,,,USD,,,"PRICE","INTRA","52W")-1&lt;/Q&gt;&lt;R&gt;1&lt;/R&gt;&lt;C&gt;1&lt;/C&gt;&lt;D xsi:type="xsd:double"&gt;0.29770243&lt;/D&gt;&lt;/FQL&gt;&lt;FQL&gt;&lt;Q&gt;ENZL^FMA_ROE(NTMA,-20AY,NOW,FY,"PORTAGG","MEANR")&lt;/Q&gt;&lt;R&gt;20&lt;/R&gt;&lt;C&gt;1&lt;/C&gt;&lt;D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xsi:type="xsd:double"&gt;9.00253904617992&lt;/D&gt;&lt;D xsi:type="xsd:double"&gt;7.53156862543881&lt;/D&gt;&lt;D xsi:type="xsd:double"&gt;6.44334743186288&lt;/D&gt;&lt;D xsi:type="xsd:double"&gt;7.76803279215843&lt;/D&gt;&lt;D xsi:type="xsd:double"&gt;6.57934232869273&lt;/D&gt;&lt;/FQL&gt;&lt;FQL&gt;&lt;Q&gt;PASP-FDS^FG_PRICE_CHANGE(0,-1AY)&lt;/Q&gt;&lt;R&gt;1&lt;/R&gt;&lt;C&gt;1&lt;/C&gt;&lt;D xsi:type="xsd:double"&gt;-30.8724832214765&lt;/D&gt;&lt;/FQL&gt;&lt;FQL&gt;&lt;Q&gt;PASP-FDS^FG_PRICE(0)/MAX(FG_PRICE(0,-1AY))&lt;/Q&gt;&lt;R&gt;1&lt;/R&gt;&lt;C&gt;1&lt;/C&gt;&lt;D xsi:type="xsd:double"&gt;0.628048780487805&lt;/D&gt;&lt;/FQL&gt;&lt;FQL&gt;&lt;Q&gt;EWG^PERCENT_CHANGE(FMA_EPS(+1,0,,,,"PORTAGG","MEAN"),FMA_EPS(+1,-1AM,,,,"PORTAGG","MEAN"))&lt;/Q&gt;&lt;R&gt;1&lt;/R&gt;&lt;C&gt;1&lt;/C&gt;&lt;D xsi:type="xsd:double"&gt;-0.772373265038618&lt;/D&gt;&lt;/FQL&gt;&lt;FQL&gt;&lt;Q&gt;EWI^FMA_RBICS_REV_CURRENT(30, LOC, "PORTAGG")&lt;/Q&gt;&lt;R&gt;1&lt;/R&gt;&lt;C&gt;1&lt;/C&gt;&lt;D xsi:type="xsd:double"&gt;34.5462492743982&lt;/D&gt;&lt;/FQL&gt;&lt;FQL&gt;&lt;Q&gt;USDGBP^FG_PRICE_CHANGE(0,-6AM)&lt;/Q&gt;&lt;R&gt;1&lt;/R&gt;&lt;C&gt;1&lt;/C&gt;&lt;D xsi:type="xsd:double"&gt;-4.365158&lt;/D&gt;&lt;/FQL&gt;&lt;FQL&gt;&lt;Q&gt;EWG^FMA_PCT_ABOVE_MAVG(200,0,,,,"PORTAGG")&lt;/Q&gt;&lt;R&gt;1&lt;/R&gt;&lt;C&gt;1&lt;/C&gt;&lt;D xsi:type="xsd:double"&gt;78.9473684210526&lt;/D&gt;&lt;/FQL&gt;&lt;FQL&gt;&lt;Q&gt;EWC^FMA_COS_DOWN("EPS","1M",+1,0,,,"PORTAGG","MEANR")&lt;/Q&gt;&lt;R&gt;1&lt;/R&gt;&lt;C&gt;1&lt;/C&gt;&lt;D xsi:type="xsd:double"&gt;29&lt;/D&gt;&lt;/FQL&gt;&lt;FQL&gt;&lt;Q&gt;EWA^JULIAN(FMA_ROE(NTMA,-20AY,NOW,FY,"PORTAGG","MEANR").DATES)&lt;/Q&gt;&lt;R&gt;20&lt;/R&gt;&lt;C&gt;1&lt;/C&gt;&lt;D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xsi:type="xsd:long"&gt;45289&lt;/D&gt;&lt;/FQL&gt;&lt;FQL&gt;&lt;Q&gt;EWJ^FG_PRICE_MAVG(0,,,,30)&lt;/Q&gt;&lt;R&gt;1&lt;/R&gt;&lt;C&gt;1&lt;/C&gt;&lt;D xsi:type="xsd:double"&gt;70.27033&lt;/D&gt;&lt;/FQL&gt;&lt;FQL&gt;&lt;Q&gt;EWL^FG_TOTAL_RETURNC(0,-12AM)&lt;/Q&gt;&lt;R&gt;1&lt;/R&gt;&lt;C&gt;1&lt;/C&gt;&lt;D xsi:type="xsd:double"&gt;5.3003907&lt;/D&gt;&lt;/FQL&gt;&lt;FQL&gt;&lt;Q&gt;EWD^FMA_RBICS_REV_CURRENT(30, LOC, "PORTAGG")&lt;/Q&gt;&lt;R&gt;1&lt;/R&gt;&lt;C&gt;1&lt;/C&gt;&lt;D xsi:type="xsd:double"&gt;27.1998242779551&lt;/D&gt;&lt;/FQL&gt;&lt;FQL&gt;&lt;Q&gt;TRYSE10Y-FDS^FG_YIELD_NAME&lt;/Q&gt;&lt;R&gt;1&lt;/R&gt;&lt;C&gt;1&lt;/C&gt;&lt;D xsi:type="xsd:string"&gt;Sweden Benchmark Bond - 10 Year&lt;/D&gt;&lt;/FQL&gt;&lt;FQL&gt;&lt;Q&gt;REFGBBANK-FDS^FG_YIELD(NOW,,,0)&lt;/Q&gt;&lt;R&gt;1&lt;/R&gt;&lt;C&gt;1&lt;/C&gt;&lt;D xsi:type="xsd:double"&gt;5.25&lt;/D&gt;&lt;/FQL&gt;&lt;FQL&gt;&lt;Q&gt;TRYSE10Y-FDS^PCTCHG(FG_YIELD(0,,,,"YTM"),FG_YIELD(-3AM,,,,"YTM"))&lt;/Q&gt;&lt;R&gt;1&lt;/R&gt;&lt;C&gt;1&lt;/C&gt;&lt;D xsi:type="xsd:double"&gt;15.576475&lt;/D&gt;&lt;/FQL&gt;&lt;FQL&gt;&lt;Q&gt;TRYAU10Y-FDS^PCTCHG(FG_YIELD(0,,,,"YTM"),FG_YIELD(-3AM,,,,"YTM"))&lt;/Q&gt;&lt;R&gt;1&lt;/R&gt;&lt;C&gt;1&lt;/C&gt;&lt;D xsi:type="xsd:double"&gt;3.2608688&lt;/D&gt;&lt;/FQL&gt;&lt;FQL&gt;&lt;Q&gt;EWI^FMA_PE(NTMA,0,,,"PORTAGG","MEANR")&lt;/Q&gt;&lt;R&gt;1&lt;/R&gt;&lt;C&gt;1&lt;/C&gt;&lt;D xsi:type="xsd:double"&gt;9.74082517073586&lt;/D&gt;&lt;/FQL&gt;&lt;FQL&gt;&lt;Q&gt;EWQ^FMA_DIV_YLD(NTMA,NOW,NOW,M,"PORTAGG","MEANR")&lt;/Q&gt;&lt;R&gt;1&lt;/R&gt;&lt;C&gt;1&lt;/C&gt;&lt;D xsi:type="xsd:double"&gt;3.05390122394535&lt;/D&gt;&lt;/FQL&gt;&lt;FQL&gt;&lt;Q&gt;CAGDPY@CA^EE_ACTUAL_ANNUAL(MED,0)&lt;/Q&gt;&lt;R&gt;1&lt;/R&gt;&lt;C&gt;1&lt;/C&gt;&lt;D xsi:type="xsd:double"&gt;-0.614727995236974&lt;/D&gt;&lt;/FQL&gt;&lt;FQL&gt;&lt;Q&gt;EWC^FMA_EPS(NTMA,-20AY,0,CY,,"PORTAGG","MEANR")&lt;/Q&gt;&lt;R&gt;20&lt;/R&gt;&lt;C&gt;1&lt;/C&gt;&lt;D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xsi:type="xsd:double"&gt;2.68263358415049&lt;/D&gt;&lt;/FQL&gt;&lt;FQL&gt;&lt;Q&gt;ENZL^JULIAN(FG_TOTAL_RETURNC(-10AY,0,AM).DATES)&lt;/Q&gt;&lt;R&gt;121&lt;/R&gt;&lt;C&gt;1&lt;/C&gt;&lt;D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xsi:type="xsd:long"&gt;45355&lt;/D&gt;&lt;D xsi:type="xsd:long"&gt;45386&lt;/D&gt;&lt;/FQL&gt;&lt;FQL&gt;&lt;Q&gt;EWN^FMA_PE(LTMA,-10AY,0,AM,"PORTAGG","MEANR")&lt;/Q&gt;&lt;R&gt;121&lt;/R&gt;&lt;C&gt;1&lt;/C&gt;&lt;D xsi:type="xsd:double"&gt;17.2056200788441&lt;/D&gt;&lt;D xsi:type="xsd:double"&gt;16.8838582527278&lt;/D&gt;&lt;D xsi:type="xsd:double"&gt;16.8235213858037&lt;/D&gt;&lt;D xsi:type="xsd:double"&gt;16.9181601049196&lt;/D&gt;&lt;D xsi:type="xsd:double"&gt;16.2169115572302&lt;/D&gt;&lt;D xsi:type="xsd:double"&gt;16.834057766948&lt;/D&gt;&lt;D xsi:type="xsd:double"&gt;16.5766289696311&lt;/D&gt;&lt;D xsi:type="xsd:double"&gt;16.7210616152816&lt;/D&gt;&lt;D xsi:type="xsd:double"&gt;17.8924541093247&lt;/D&gt;&lt;D xsi:type="xsd:double"&gt;17.5290952437531&lt;/D&gt;&lt;D xsi:type="xsd:double"&gt;18.7344712361256&lt;/D&gt;&lt;D xsi:type="xsd:double"&gt;20.0957812711096&lt;/D&gt;&lt;D xsi:type="xsd:double"&gt;19.935824790479&lt;/D&gt;&lt;D xsi:type="xsd:double"&gt;19.6285502206523&lt;/D&gt;&lt;D xsi:type="xsd:double"&gt;19.3246866494914&lt;/D&gt;&lt;D xsi:type="xsd:double"&gt;18.9265659133696&lt;/D&gt;&lt;D xsi:type="xsd:double"&gt;19.1014813240055&lt;/D&gt;&lt;D xsi:type="xsd:double"&gt;17.2843428009239&lt;/D&gt;&lt;D xsi:type="xsd:double"&gt;16.6411710548961&lt;/D&gt;&lt;D xsi:type="xsd:double"&gt;17.5348300846867&lt;/D&gt;&lt;D xsi:type="xsd:double"&gt;17.5155796876613&lt;/D&gt;&lt;D xsi:type="xsd:double"&gt;16.4498228701346&lt;/D&gt;&lt;D xsi:type="xsd:double"&gt;15.889</t>
        </r>
      </text>
    </comment>
    <comment ref="A13" authorId="0" shapeId="0" xr:uid="{A0B9B91C-0E95-47E3-A0A3-B20DB0426C0D}">
      <text>
        <r>
          <rPr>
            <b/>
            <sz val="9"/>
            <color indexed="81"/>
            <rFont val="Tahoma"/>
            <charset val="1"/>
          </rPr>
          <t>2948026478&lt;/D&gt;&lt;D xsi:type="xsd:double"&gt;16.4170373863784&lt;/D&gt;&lt;D xsi:type="xsd:double"&gt;16.3473649918568&lt;/D&gt;&lt;D xsi:type="xsd:double"&gt;16.1147881827541&lt;/D&gt;&lt;D xsi:type="xsd:double"&gt;16.2764740674428&lt;/D&gt;&lt;D xsi:type="xsd:double"&gt;15.8183783091024&lt;/D&gt;&lt;D xsi:type="xsd:double"&gt;15.9595685661785&lt;/D&gt;&lt;D xsi:type="xsd:double"&gt;16.4169863010332&lt;/D&gt;&lt;D xsi:type="xsd:double"&gt;16.1890723871008&lt;/D&gt;&lt;D xsi:type="xsd:double"&gt;15.3777867010343&lt;/D&gt;&lt;D xsi:type="xsd:double"&gt;15.2558604741705&lt;/D&gt;&lt;D xsi:type="xsd:double"&gt;16.4021809222975&lt;/D&gt;&lt;D xsi:type="xsd:double"&gt;16.1696397085979&lt;/D&gt;&lt;D xsi:type="xsd:double"&gt;16.4546385533255&lt;/D&gt;&lt;D xsi:type="xsd:double"&gt;16.5017694481697&lt;/D&gt;&lt;D xsi:type="xsd:double"&gt;16.7629776928466&lt;/D&gt;&lt;D xsi:type="xsd:double"&gt;16.7707809086025&lt;/D&gt;&lt;D xsi:type="xsd:double"&gt;16.5334856240205&lt;/D&gt;&lt;D xsi:type="xsd:double"&gt;16.7746606403712&lt;/D&gt;&lt;D xsi:type="xsd:double"&gt;16.6016722981034&lt;/D&gt;&lt;D xsi:type="xsd:double"&gt;17.1125538458683&lt;/D&gt;&lt;D xsi:type="xsd:double"&gt;17.5878297905684&lt;/D&gt;&lt;D xsi:type="xsd:double"&gt;17.1006155851136&lt;/D&gt;&lt;D xsi:type="xsd:double"&gt;17.4306698863031&lt;/D&gt;&lt;D xsi:type="xsd:double"&gt;17.2807800920778&lt;/D&gt;&lt;D xsi:type="xsd:double"&gt;16.5897048139151&lt;/D&gt;&lt;D xsi:type="xsd:double"&gt;16.5130528133951&lt;/D&gt;&lt;D xsi:type="xsd:double"&gt;16.566287067404&lt;/D&gt;&lt;D xsi:type="xsd:double"&gt;16.637335723037&lt;/D&gt;&lt;D xsi:type="xsd:double"&gt;16.4887357336975&lt;/D&gt;&lt;D xsi:type="xsd:double"&gt;16.7994862466477&lt;/D&gt;&lt;D xsi:type="xsd:double"&gt;16.6189635431497&lt;/D&gt;&lt;D xsi:type="xsd:double"&gt;16.133444020899&lt;/D&gt;&lt;D xsi:type="xsd:double"&gt;15.666116999648&lt;/D&gt;&lt;D xsi:type="xsd:double"&gt;15.4249032423024&lt;/D&gt;&lt;D xsi:type="xsd:double"&gt;14.3128616096014&lt;/D&gt;&lt;D xsi:type="xsd:double"&gt;15.3180523676928&lt;/D&gt;&lt;D xsi:type="xsd:double"&gt;16.1578650892113&lt;/D&gt;&lt;D xsi:type="xsd:double"&gt;16.2419034776916&lt;/D&gt;&lt;D xsi:type="xsd:double"&gt;16.3605987307984&lt;/D&gt;&lt;D xsi:type="xsd:double"&gt;16.1004731296261&lt;/D&gt;&lt;D xsi:type="xsd:double"&gt;16.5162958997901&lt;/D&gt;&lt;D xsi:type="xsd:double"&gt;16.3989457147716&lt;/D&gt;&lt;D xsi:type="xsd:double"&gt;16.7533524600581&lt;/D&gt;&lt;D xsi:type="xsd:double"&gt;16.8626803337809&lt;/D&gt;&lt;D xsi:type="xsd:double"&gt;17.5885904009417&lt;/D&gt;&lt;D xsi:type="xsd:double"&gt;17.9455010420806&lt;/D&gt;&lt;D xsi:type="xsd:double"&gt;18.8462830856144&lt;/D&gt;&lt;D xsi:type="xsd:double"&gt;18.8959175108475&lt;/D&gt;&lt;D xsi:type="xsd:double"&gt;17.430287836028&lt;/D&gt;&lt;D xsi:type="xsd:double"&gt;16.8215824406111&lt;/D&gt;&lt;D xsi:type="xsd:double"&gt;17.6971353081969&lt;/D&gt;&lt;D xsi:type="xsd:double"&gt;19.0536401527187&lt;/D&gt;&lt;D xsi:type="xsd:double"&gt;19.7521423634253&lt;/D&gt;&lt;D xsi:type="xsd:double"&gt;20.5430020124204&lt;/D&gt;&lt;D xsi:type="xsd:double"&gt;21.0197924723028&lt;/D&gt;&lt;D xsi:type="xsd:double"&gt;22.1076455289848&lt;/D&gt;&lt;D xsi:type="xsd:double"&gt;22.6298388090165&lt;/D&gt;&lt;D xsi:type="xsd:double"&gt;25.9897044231452&lt;/D&gt;&lt;D xsi:type="xsd:double"&gt;27.3925840343331&lt;/D&gt;&lt;D xsi:type="xsd:double"&gt;28.4154492023603&lt;/D&gt;&lt;D xsi:type="xsd:double"&gt;28.7739830691593&lt;/D&gt;&lt;D xsi:type="xsd:double"&gt;28.6410002005665&lt;/D&gt;&lt;D xsi:type="xsd:double"&gt;27.6186372683411&lt;/D&gt;&lt;D xsi:type="xsd:double"&gt;27.0441754111053&lt;/D&gt;&lt;D xsi:type="xsd:double"&gt;26.5711067603107&lt;/D&gt;&lt;D xsi:type="xsd:double"&gt;26.3891180375501&lt;/D&gt;&lt;D xsi:type="xsd:double"&gt;25.9109212580272&lt;/D&gt;&lt;D xsi:type="xsd:double"&gt;23.7919687470165&lt;/D&gt;&lt;D xsi:type="xsd:double"&gt;24.962327564665&lt;/D&gt;&lt;D xsi:type="xsd:double"&gt;22.3955137058444&lt;/D&gt;&lt;D xsi:type="xsd:double"&gt;22.8250905142463&lt;/D&gt;&lt;D xsi:type="xsd:double"&gt;19.9167754364658&lt;/D&gt;&lt;D xsi:type="xsd:double"&gt;18.1190720782585&lt;/D&gt;&lt;D xsi:type="xsd:double"&gt;18.6442752064398&lt;/D&gt;&lt;D xsi:type="xsd:double"&gt;18.1797984189955&lt;/D&gt;&lt;D xsi:type="xsd:double"&gt;18.5384855498793&lt;/D&gt;&lt;D xsi:type="xsd:double"&gt;18.0143758074229&lt;/D&gt;&lt;D xsi:type="xsd:double"&gt;19.8521737913772&lt;/D&gt;&lt;D xsi:type="xsd:double"&gt;18.4443194389549&lt;/D&gt;&lt;D xsi:type="xsd:double"&gt;17.9172716472711&lt;/D&gt;&lt;D xsi:type="xsd:double"&gt;17.4139832992147&lt;/D&gt;&lt;D xsi:type="xsd:double"&gt;18.4499237314036&lt;/D&gt;&lt;D xsi:type="xsd:double"&gt;18.53401288316&lt;/D&gt;&lt;D xsi:type="xsd:double"&gt;19.8760856526515&lt;/D&gt;&lt;D xsi:type="xsd:double"&gt;20.6609920433194&lt;/D&gt;&lt;D xsi:type="xsd:double"&gt;20.2938476931012&lt;/D&gt;&lt;D xsi:type="xsd:double"&gt;19.6966158735077&lt;/D&gt;&lt;D xsi:type="xsd:double"&gt;19.4460044066019&lt;/D&gt;&lt;D xsi:type="xsd:double"&gt;19.2554152037535&lt;/D&gt;&lt;D xsi:type="xsd:double"&gt;18.7272124568945&lt;/D&gt;&lt;D xsi:type="xsd:double"&gt;17.8169818108069&lt;/D&gt;&lt;D xsi:type="xsd:double"&gt;16.4782586404079&lt;/D&gt;&lt;D xsi:type="xsd:double"&gt;16.2083595641338&lt;/D&gt;&lt;D xsi:type="xsd:double"&gt;16.3603096704394&lt;/D&gt;&lt;D xsi:type="xsd:double"&gt;16.2407313110526&lt;/D&gt;&lt;D xsi:type="xsd:double"&gt;17.4291781873608&lt;/D&gt;&lt;D xsi:type="xsd:double"&gt;18.5327745315843&lt;/D&gt;&lt;D xsi:type="xsd:double"&gt;18.4485625684187&lt;/D&gt;&lt;/FQL&gt;&lt;FQL&gt;&lt;Q&gt;PASP-FDS^FG_PRICE_CHANGE(0,-6AM)&lt;/Q&gt;&lt;R&gt;1&lt;/R&gt;&lt;C&gt;1&lt;/C&gt;&lt;D xsi:type="xsd:double"&gt;-13.4453781512605&lt;/D&gt;&lt;/FQL&gt;&lt;FQL&gt;&lt;Q&gt;W-FDS^FG_PRICE_CHANGE(0,-1AY)&lt;/Q&gt;&lt;R&gt;1&lt;/R&gt;&lt;C&gt;1&lt;/C&gt;&lt;D xsi:type="xsd:double"&gt;-19.5589298626175&lt;/D&gt;&lt;/FQL&gt;&lt;FQL&gt;&lt;Q&gt;EWD^FG_PRICE_MAVG(0,,,,200)&lt;/Q&gt;&lt;R&gt;1&lt;/R&gt;&lt;C&gt;1&lt;/C&gt;&lt;D xsi:type="xsd:double"&gt;35.9042&lt;/D&gt;&lt;/FQL&gt;&lt;FQL&gt;&lt;Q&gt;USDANG^FG_PRICE_CHANGE(0,-1AM)&lt;/Q&gt;&lt;R&gt;1&lt;/R&gt;&lt;C&gt;1&lt;/C&gt;&lt;D xsi:type="xsd:double"&gt;0&lt;/D&gt;&lt;/FQL&gt;&lt;FQL&gt;&lt;Q&gt;USDGBP^FG_PRICE_CHANGE(0,-1AM)&lt;/Q&gt;&lt;R&gt;1&lt;/R&gt;&lt;C&gt;1&lt;/C&gt;&lt;D xsi:type="xsd:double"&gt;0.23680925&lt;/D&gt;&lt;/FQL&gt;&lt;FQL&gt;&lt;Q&gt;USDCAD^FG_PRICE_CHANGE(0,-1AM)&lt;/Q&gt;&lt;R&gt;1&lt;/R&gt;&lt;C&gt;1&lt;/C&gt;&lt;D xsi:type="xsd:double"&gt;-0.553&lt;/D&gt;&lt;/FQL&gt;&lt;FQL&gt;&lt;Q&gt;EWN^FMA_RBICS_REV_CURRENT(30, LOC, "PORTAGG")&lt;/Q&gt;&lt;R&gt;1&lt;/R&gt;&lt;C&gt;1&lt;/C&gt;&lt;D xsi:type="xsd:double"&gt;24.7200394051191&lt;/D&gt;&lt;/FQL&gt;&lt;FQL&gt;&lt;Q&gt;TRYSE10Y-FDS^PCTCHG(FG_YIELD(0,,,,"YTM"),FG_YIELD(-1AM,,,,"YTM"))&lt;/Q&gt;&lt;R&gt;1&lt;/R&gt;&lt;C&gt;1&lt;/C&gt;&lt;D xsi:type="xsd:double"&gt;1.3201346&lt;/D&gt;&lt;/FQL&gt;&lt;FQL&gt;&lt;Q&gt;TRYAU10Y-FDS^PCTCHG(FG_YIELD(0,,,,"YTM"),FG_YIELD(-1AM,,,,"YTM"))&lt;/Q&gt;&lt;R&gt;1&lt;/R&gt;&lt;C&gt;1&lt;/C&gt;&lt;D xsi:type="xsd:double"&gt;1.8270355&lt;/D&gt;&lt;/FQL&gt;&lt;FQL&gt;&lt;Q&gt;EWI^FMA_PE(LTM,0,,,"PORTAGG","MEANR")&lt;/Q&gt;&lt;R&gt;1&lt;/R&gt;&lt;C&gt;1&lt;/C&gt;&lt;D xsi:type="xsd:double"&gt;10.6663807327059&lt;/D&gt;&lt;/FQL&gt;&lt;FQL&gt;&lt;Q&gt;EWQ^JULIAN(FMA_DIV_YLD(NTMA,NOW,NOW,M,"PORTAGG","MEANR").DATES)&lt;/Q&gt;&lt;R&gt;1&lt;/R&gt;&lt;C&gt;1&lt;/C&gt;&lt;D xsi:type="xsd:long"&gt;45379&lt;/D&gt;&lt;/FQL&gt;&lt;FQL&gt;&lt;Q&gt;EWI^FMA_DIV_YLD(NTMA,-10AY,0,AM,"PORTAGG","MEANR")&lt;/Q&gt;&lt;R&gt;121&lt;/R&gt;&lt;C&gt;1&lt;/C&gt;&lt;D xsi:type="xsd:double"&gt;3.30926893787696&lt;/D&gt;&lt;D xsi:type="xsd:double"&gt;3.39928141524999&lt;/D&gt;&lt;D xsi:type="xsd:double"&gt;3.48528032853387&lt;/D&gt;&lt;D xsi:type="xsd:double"&gt;3.27729158249929&lt;/D&gt;&lt;D xsi:type="xsd:double"&gt;3.5736755904708&lt;/D&gt;&lt;D xsi:type="xsd:double"&gt;3.45177240438227&lt;/D&gt;&lt;D xsi:type="xsd:double"&gt;3.77215895485406&lt;/D&gt;&lt;D xsi:type="xsd:double"&gt;4.04317460409273&lt;/D&gt;&lt;D xsi:type="xsd:double"&gt;3.9333828042141&lt;/D&gt;&lt;D xsi:type="xsd:double"&gt;4.06134587663002&lt;/D&gt;&lt;D xsi:type="xsd:double"&gt;3.71302426186281&lt;/D&gt;&lt;D xsi:type="xsd:double"&gt;3.4747231844366&lt;/D&gt;&lt;D xsi:type="xsd:double"&gt;3.13160358072627&lt;/D&gt;&lt;D xsi:type="xsd:double"&gt;3.17642927206668&lt;/D&gt;&lt;D xsi:type="xsd:double"&gt;3.22621512697682&lt;/D&gt;&lt;D xsi:type="xsd:double"&gt;3.32377782990653&lt;/D&gt;&lt;D xsi:type="xsd:double"&gt;3.13428444754805&lt;/D&gt;&lt;D xsi:type="xsd:double"&gt;3.44948068556542&lt;/D&gt;&lt;D xsi:type="xsd:double"&gt;3.69527891923271&lt;/D&gt;&lt;D xsi:type="xsd:double"&gt;3.58897157100036&lt;/D&gt;&lt;D xsi:type="xsd:double"&gt;3.66096458058875&lt;/D&gt;&lt;D xsi:type="xsd:double"&gt;3.98669495573291&lt;/D&gt;&lt;D xsi:type="xsd:double"&gt;4.596590763973&lt;/D&gt;&lt;D xsi:type="xsd:double"&gt;4.33356723923275&lt;/D&gt;&lt;D xsi:type="xsd:double"&gt;4.54007175959016&lt;/D&gt;&lt;D xsi:type="xsd:double"&gt;4.48137164756487&lt;/D&gt;&lt;D xsi:type="xsd:double"&gt;4.68068410809657&lt;/D&gt;&lt;D xsi:type="xsd:double"&gt;4.95911206174502&lt;/D&gt;&lt;D xsi:type="xsd:double"&gt;4.91814017915492&lt;/D&gt;&lt;D xsi:type="xsd:double"&gt;4.71141530882967&lt;/D&gt;&lt;D xsi:type="xsd:double"&gt;5.00691521203561&lt;/D&gt;&lt;D xsi:type="xsd:double"&gt;4.99690749768347&lt;/D&gt;&lt;D xsi:type="xsd:double"&gt;4.82374329909708&lt;/D&gt;&lt;D xsi:type="xsd:double"&gt;4.2301917276839&lt;/D&gt;&lt;D xsi:type="xsd:double"&gt;4.35626800212647&lt;/D&gt;&lt;D xsi:type="xsd:double"&gt;4.05990350477389&lt;/D&gt;&lt;D xsi:type="xsd:double"&gt;3.94959167643576&lt;/D&gt;&lt;D xsi:type="xsd:double"&gt;3.82008396977488&lt;/D&gt;&lt;D xsi:type="xsd:double"&gt;3.79358750966842&lt;/D&gt;&lt;D xsi:type="xsd:double"&gt;3.8099664237188&lt;/D&gt;&lt;D xsi:type="xsd:double"&gt;3.71121267419804&lt;/D&gt;&lt;D xsi:type="xsd:double"&gt;3.76365208942429&lt;/D&gt;&lt;D xsi:type="xsd:double"&gt;3.79765697442544&lt;/D&gt;&lt;D xsi:type="xsd:double"&gt;3.73841304676083&lt;/D&gt;&lt;D xsi:type="xsd:double"&gt;3.88694648558752&lt;/D&gt;&lt;D xsi:type="xsd:double"&gt;3.88799266176523&lt;/D&gt;&lt;D xsi:type="xsd:double"&gt;3.82342077337038&lt;/D&gt;&lt;D xsi:type="xsd:double"&gt;4.14334489179592&lt;/D&gt;&lt;D xsi:type="xsd:double"&gt;4.10841288033735&lt;/D&gt;&lt;D xsi:type="xsd:double"&gt;3.83974969635014&lt;/D&gt;&lt;D xsi:type="xsd:double"&gt;4.34169098146298&lt;/D&gt;&lt;D xsi:type="xsd:double"&gt;4.47343043111058&lt;/D&gt;&lt;D xsi:type="xsd:double"&gt;4.44232084193975&lt;/D&gt;&lt;D xsi:type="xsd:double"&gt;4.70037811611189&lt;/D&gt;&lt;D xsi:type="xsd:double"&gt;4.73246120410951&lt;/D&gt;&lt;D xsi:type="xsd:double"&gt;5.02846733666882&lt;/D&gt;&lt;D xsi:type="xsd:double"&gt;5.19517628278497&lt;/D&gt;&lt;D xsi:type="xsd:double"&gt;5.27869322700623&lt;/D&gt;&lt;D xsi:type="xsd:double"&gt;5.11681974427287&lt;/D&gt;&lt;D xsi:type="xsd:double"&gt;4.77931031272033&lt;/D&gt;&lt;D xsi:type="xsd:double"&gt;4.61716820005366&lt;/D&gt;&lt;D xsi:type="xsd:double"&gt;4.63412917957235&lt;/D&gt;&lt;D xsi:type="xsd:double"&gt;5.05348182511915&lt;/D&gt;&lt;D xsi:type="xsd:double"&gt;4.69711184705548&lt;/D&gt;&lt;D xsi:type="xsd:double"&gt;4.91040692672873&lt;/D&gt;&lt;D xsi:type="xsd:double"&gt;4.80096802997001&lt;/D&gt;&lt;D xsi:type="xsd:double"&gt;4.88007232021737&lt;/D&gt;&lt;D xsi:type="xsd:double"&gt;4.53844459767796&lt;/D&gt;&lt;D xsi:type="xsd:double"&gt;4.61144572897078&lt;/D&gt;&lt;D xsi:type="xsd:double"&gt;4.48424327475321&lt;/D&gt;&lt;D xsi:type="xsd:double"&gt;4.52036752261613&lt;/D&gt;&lt;D xsi:type="xsd:double"&gt;4.9629103012771&lt;/D&gt;&lt;D xsi:type="xsd:double"&gt;6.36779775197604&lt;/D&gt;&lt;D xsi:type="xsd:double"&gt;5.4635202648736&lt;/D&gt;&lt;D xsi:type="xsd:double"&gt;4.22838569929541&lt;/D&gt;&lt;D xsi:type="xsd:double"&gt;4.26315896223712&lt;/D&gt;&lt;D xsi:type="xsd:double"&gt;3.94921362535655&lt;/D&gt;&lt;D xsi:type="xsd:double"&gt;4.10458469206802&lt;/D&gt;&lt;D xsi:type="xsd:double"&gt;4.21280879446129&lt;/D&gt;&lt;D xsi:type="xsd:double"&gt;4.26945972065081&lt;/D&gt;&lt;D xsi:type="xsd:double"&gt;3.93680627810488&lt;/D&gt;&lt;D xsi:type="xsd:double"&gt;3.94015298222961&lt;/D&gt;&lt;D xsi:type="xsd:double"&gt;3.947679057397&lt;/D&gt;&lt;D xsi:type="xsd:double"&gt;4.21663810050874&lt;/D&gt;&lt;D xsi:type="xsd:double"&gt;3.99637371635555&lt;/D&gt;&lt;D xsi:type="xsd:double"&gt;4.22634899362961&lt;/D&gt;&lt;D xsi:type="xsd:double"&gt;4.0578080931421&lt;/D&gt;&lt;D xsi:type="xsd:double"&gt;4.1376130952578&lt;/D&gt;&lt;D xsi:type="xsd:double"&gt;4.36310396155263&lt;/D&gt;&lt;D xsi:type="xsd:double"&gt;4.4217926580871&lt;/D&gt;&lt;D xsi:type="xsd:double"&gt;4.58025893616935&lt;/D&gt;&lt;D xsi:type="xsd:double"&gt;4.32112627872643&lt;/D&gt;&lt;D xsi:type="xsd:double"&gt;4.75235358825796&lt;/D&gt;&lt;D xsi:type="xsd:double"&gt;4.51234283003352&lt;/D&gt;&lt;D xsi:type="xsd:double"&gt;4.8217482873472&lt;/D&gt;&lt;D xsi:type="xsd:double"&gt;5.65037610221175&lt;/D&gt;&lt;D xsi:type="xsd:double"&gt;5.00862861586388&lt;/D&gt;&lt;D xsi:type="xsd:double"&gt;5.18222279511495&lt;/D&gt;&lt;D xsi:type="xsd:double"&gt;5.26220557604744&lt;/D&gt;&lt;D xsi:type="xsd:double"&gt;5.92881946620004&lt;/D&gt;&lt;D xsi:type="xsd:double"&gt;5.77683837690013&lt;/D&gt;&lt;D xsi:type="xsd:double"&gt;5.64469696857694&lt;/D&gt;&lt;D xsi:type="xsd:double"&gt;5.91827610723365&lt;/D&gt;&lt;D xsi:type="xsd:double"&gt;5.54664553856193&lt;/D&gt;&lt;D xsi:type="xsd:double"&gt;5.67755563875915&lt;/D&gt;&lt;D xsi:type="xsd:double"&gt;5.66518302423868&lt;/D&gt;&lt;D xsi:type="xsd:double"&gt;5.43386967367618&lt;/D&gt;&lt;D xsi:type="xsd:double"&gt;5.21946125726169&lt;/D&gt;&lt;D xsi:type="xsd:double"&gt;5.45615004079078&lt;/D&gt;&lt;D xsi:type="xsd:double"&gt;5.5152293213307&lt;/D&gt;&lt;D xsi:type="xsd:double"&gt;5.43936078668085&lt;/D&gt;&lt;D xsi:type="xsd:double"&gt;5.26263674027405&lt;/D&gt;&lt;D xsi:type="xsd:double"&gt;5.46083748857183&lt;/D&gt;&lt;D xsi:type="xsd:double"&gt;5.38738414368684&lt;/D&gt;&lt;D xsi:type="xsd:double"&gt;5.70074609431894&lt;/D&gt;&lt;D xsi:type="xsd:double"&gt;5.57528462825803&lt;/D&gt;&lt;D xsi:type="xsd:double"&gt;5.44925006616883&lt;/D&gt;&lt;D xsi:type="xsd:double"&gt;5.45464598877719&lt;/D&gt;&lt;D xsi:type="xsd:double"&gt;5.37821301913924&lt;/D&gt;&lt;D xsi:type="xsd:double"&gt;5.28032334938665&lt;/D&gt;&lt;D xsi:type="xsd:double"&gt;5.12683044323491&lt;/D&gt;&lt;/FQL&gt;&lt;FQL&gt;&lt;Q&gt;EWQ^FMA_PE(LTMA,-10AY,0,AM,"PORTAGG","MEANR")&lt;/Q&gt;&lt;R&gt;121&lt;/R&gt;&lt;C&gt;1&lt;/C&gt;&lt;D xsi:type="xsd:double"&gt;15.9383009228067&lt;/D&gt;&lt;D xsi:type="xsd:double"&gt;15.817404028698&lt;/D&gt;&lt;D xsi:type="xsd:double"&gt;15.8327031142692&lt;/D&gt;&lt;D xsi:type="xsd:double"&gt;15.7590828940171&lt;/D&gt;&lt;D xsi:type="xsd:double"&gt;15.1972458005869&lt;/D&gt;&lt;D xsi:type="xsd:double"&gt;15.6359169929453&lt;/D&gt;&lt;D xsi:type="xsd:double"&gt;15.0806966009467&lt;/D&gt;&lt;D xsi:type="xsd:double"&gt;14.653620154262&lt;/D&gt;&lt;D xsi:type="xsd:double"&gt;15.3032837092829&lt;/D&gt;&lt;D xsi:type="xsd:double"&gt;15.0097912131255&lt;/D&gt;&lt;D xsi:type="xsd:double"&gt;16.5361588397552&lt;/D&gt;&lt;D xsi:type="xsd:double"&gt;17.5259833658856&lt;/D&gt;&lt;D xsi:type="xsd:double"&gt;17.5702056949852&lt;/D&gt;&lt;D xsi:type="xsd:double"&gt;17.4913823961681&lt;/D&gt;&lt;D xsi:type="xsd:double"&gt;17.3592906264531&lt;/D&gt;&lt;D xsi:type="xsd:double"&gt;16.9947151139488&lt;/D&gt;&lt;D xsi:type="xsd:double"&gt;17.2357083373588&lt;/D&gt;&lt;D xsi:type="xsd:double"&gt;15.8143877385292&lt;/D&gt;&lt;D xsi:type="xsd:double"&gt;15.5019152118394&lt;/D&gt;&lt;D xsi:type="xsd:double"&gt;16.5025623679388&lt;/D&gt;&lt;D xsi:type="xsd:double"&gt;15.8426349844756&lt;/D&gt;&lt;D xsi:type="xsd:double"&gt;15.0428137283207&lt;/D&gt;&lt;D xsi:type="xsd:double"&gt;14.1759656759047&lt;/D&gt;&lt;D xsi:type="xsd:double"&gt;15.1988117677065&lt;/D&gt;&lt;D xsi:type="xsd:double"&gt;15.1071167204815&lt;/D&gt;&lt;D xsi:type="xsd:double"&gt;15.0809115659005&lt;/D&gt;&lt;D xsi:type="xsd:double"&gt;15.1587629026133&lt;/D&gt;&lt;D xsi:type="xsd:double"&gt;14.851521350003&lt;/D&gt;&lt;D xsi:type="xsd:double"&gt;14.8466669722864&lt;/D&gt;&lt;D xsi:type="xsd:double"&gt;15.1507258838969&lt;/D&gt;&lt;D xsi:type="xsd:double"&gt;15.0056955140689&lt;/D&gt;&lt;D xsi:type="xsd:double"&gt;14.5633468580625&lt;/D&gt;&lt;D xsi:type="xsd:double"&gt;14.8672597288948&lt;/D&gt;&lt;D xsi:type="xsd:double"&gt;15.8679941802194&lt;/D&gt;&lt;D xsi:type="xsd:double"&gt;15.6304564442559&lt;/D&gt;&lt;D xsi:type="xsd:double"&gt;15.6320599128845&lt;/D&gt;&lt;D xsi:type="xsd:double"&gt;15.6509322245355&lt;/D&gt;&lt;D xsi:type="xsd:double"&gt;15.861179977502&lt;/D&gt;&lt;D xsi:type="xsd:double"&gt;15.827294319433&lt;/D&gt;&lt;D xsi:type="xsd:double"&gt;15.6130143914712&lt;/D&gt;&lt;D xsi:type="xsd:double"&gt;15.6458437199166&lt;/D&gt;&lt;D xsi:type="xsd:double"&gt;15.528032370634&lt;/D&gt;&lt;D xsi:type="xsd:double"&gt;15.9916048106414&lt;/D&gt;&lt;D xsi:type="xsd:double"&gt;16.3556429553545&lt;/D&gt;&lt;D xsi:type="xsd:double"&gt;16.1607873199744&lt;/D&gt;&lt;D xsi:type="xsd:double"&gt;16.265697269469&lt;/D&gt;&lt;D xsi:type="xsd:double"&gt;16.0985045047139&lt;/D&gt;&lt;D xsi:type="xsd:double"&gt;15.5409620442201&lt;/D&gt;&lt;D xsi:type="xsd:double"&gt;15.4291152743484&lt;/D&gt;&lt;D xsi:type="xsd:double"&gt;15.6045680442604&lt;/D&gt;&lt;D xsi:type="xsd:double"&gt;15.4644373506324&lt;/D&gt;&lt;D xsi:type="xsd:double"&gt;15.1374782007389&lt;/D&gt;&lt;D xsi:type="xsd:double"&gt;15.2332785841115&lt;/D&gt;&lt;D xsi:type="xsd:double"&gt;14.8961978682439&lt;/D&gt;&lt;D xsi:type="xsd:double"&gt;14.9160564851714&lt;/D&gt;&lt;D xsi:type="xsd:double"&gt;14.1901749458689&lt;/D&gt;&lt;D xsi:type="xsd:double"&gt;13.8040310433241&lt;/D&gt;&lt;D xsi:type="xsd:double"&gt;12.936133117115&lt;/D&gt;&lt;D xsi:type="xsd:double"&gt;13.7741621896421&lt;/D&gt;&lt;D xsi:type="xsd:double"&gt;14.581421635759&lt;/D&gt;&lt;D xsi:type="xsd:double"&gt;14.6081349655526&lt;/D&gt;&lt;D xsi:type="xsd:double"&gt;14.6602947224629&lt;/D&gt;&lt;D xsi:type="xsd:double"&gt;14.3793957540511&lt;/D&gt;&lt;D xsi:type="xsd:double"&gt;14.7858762106186&lt;/D&gt;&lt;D xsi:type="xsd:double"&gt;14.588479542227&lt;/D&gt;&lt;D xsi:type="xsd:double"&gt;14.8683534821646&lt;/D&gt;&lt;D xsi:type="xsd:double"&gt;14.8498269704616&lt;/D&gt;&lt;D xsi:type="xsd:double"&gt;15.843584576106&lt;/D&gt;&lt;D xsi:type="xsd:double"&gt;15.8902619236435&lt;/D&gt;&lt;D xsi:type="xsd:double"&gt;16.6621930898946&lt;/D&gt;&lt;D xsi:type="xsd:double"&gt;16.3695396436722&lt;/D&gt;&lt;D xsi:type="xsd:double"&gt;14.7059695519195&lt;/D&gt;&lt;D xsi:type="xsd:double"&gt;14.385384855204&lt;/D&gt;&lt;D xsi:type="xsd:double"&gt;15.7294863943389&lt;/D&gt;&lt;D xsi:type="xsd:double"&gt;17.7393762748867&lt;/D&gt;&lt;D xsi:type="xsd:double"&gt;18.965655791646&lt;/D&gt;&lt;D xsi:type="xsd:double"&gt;21.3208412733652&lt;/D&gt;&lt;D xsi:type="xsd:double"&gt;22.6901341132377&lt;/D&gt;&lt;D xsi:type="xsd:double"&gt;23.2947209948922&lt;/D&gt;&lt;D xsi:type="xsd:double"&gt;24.3606464340772&lt;/D&gt;&lt;D xsi:type="xsd:double"&gt;28.3826266219619&lt;/D&gt;&lt;D xsi:type="xsd:double"&gt;28.9307340994174&lt;/D&gt;&lt;D xsi:type="xsd:double"&gt;28.0236796841287&lt;/D&gt;&lt;D xsi:type="xsd:double"&gt;26.9584766488169&lt;/D&gt;&lt;D xsi:type="xsd:double"&gt;26.301609721213&lt;/D&gt;&lt;D xsi:type="xsd:double"&gt;25.2973989635979&lt;/D&gt;&lt;D xsi:type="xsd:double"&gt;24.5190734826849&lt;/D&gt;&lt;D xsi:type="xsd:double"&gt;23.6067918768219&lt;/D&gt;&lt;D xsi:type="xsd:double"&gt;22.1743952797549&lt;/D&gt;&lt;D xsi:type="xsd:double"&gt;20.9658277605304&lt;/D&gt;&lt;D xsi:type="xsd:double"&gt;19.3477973140025&lt;/D&gt;&lt;D xsi:type="xsd:double"&gt;18.8578886242002&lt;/D&gt;&lt;D xsi:type="xsd:double"&gt;17.283333043704&lt;/D&gt;&lt;D xsi:type="xsd:double"&gt;17.5368649215816&lt;/D&gt;&lt;D xsi:type="xsd:double"&gt;16.202821234125&lt;/D&gt;&lt;D xsi:type="xsd:double"&gt;15.2348864314195&lt;/D&gt;&lt;D xsi:type="xsd:double"&gt;15.2349355912676&lt;/D&gt;&lt;D xsi:type="xsd:double"&gt;14.7253757785456&lt;/D&gt;&lt;D xsi:type="xsd:double"&gt;14.3780231575338&lt;/D&gt;&lt;D xsi:type="xsd:double"&gt;13.5290178288227&lt;/D&gt;&lt;D xsi:type="xsd:double"&gt;13.3308948564439&lt;/D&gt;&lt;D xsi:type="xsd:double"&gt;12.5414378909885&lt;/D&gt;&lt;D xsi:type="xsd:double"&gt;11.8107974366313&lt;/D&gt;&lt;D xsi:type="xsd:double"&gt;11.9131296250953&lt;/D&gt;&lt;D xsi:type="xsd:double"&gt;12.224129592273&lt;/D&gt;&lt;D xsi:type="xsd:double"&gt;11.9954278863306&lt;/D&gt;&lt;D xsi:type="xsd:double"&gt;13.1080609700182&lt;/D&gt;&lt;D xsi:type="xsd:double"&gt;12.9301910233758&lt;/D&gt;&lt;D xsi:type="xsd:double"&gt;13.0297512075537&lt;/D&gt;&lt;D xsi:type="xsd:double"&gt;13.1373582551883&lt;/D&gt;&lt;D xsi:type="xsd:double"&gt;13.1285247139165&lt;/D&gt;&lt;D xsi:type="xsd:double"&gt;13.2964918046797&lt;/D&gt;&lt;D xsi:type="xsd:double"&gt;13.2909101033577&lt;/D&gt;&lt;D xsi:type="xsd:double"&gt;13.2786024257061&lt;/D&gt;&lt;D xsi:type="xsd:double"&gt;12.775905660241&lt;/D&gt;&lt;D xsi:type="xsd:double"&gt;12.8915689332472&lt;/D&gt;&lt;D xsi:type="xsd:double"&gt;13.5232540025799&lt;/D&gt;&lt;D xsi:type="xsd:double"&gt;13.9274118681353&lt;/D&gt;&lt;D xsi:type="xsd:double"&gt;14.3978239263126&lt;/D&gt;&lt;D xsi:type="xsd:double"&gt;15.4907817374721&lt;/D&gt;&lt;D xsi:type="xsd:double"&gt;15.5064296094016&lt;/D&gt;&lt;/FQL&gt;&lt;FQL&gt;&lt;Q&gt;PASP-FDS^FG_PRICE_CHANGE(0,-3AM)&lt;/Q&gt;&lt;R&gt;1&lt;/R&gt;&lt;C&gt;1&lt;/C&gt;&lt;D xsi:type="xsd:double"&gt;-3.28638497652582&lt;/D&gt;&lt;/FQL&gt;&lt;FQL&gt;&lt;Q&gt;W-FDS^FG_PRICE_CHANGE(0,-6AM)&lt;/Q&gt;&lt;R&gt;1&lt;/R&gt;&lt;C&gt;1&lt;/C&gt;&lt;D xsi:type="xsd:double"&gt;-0.669642857142849&lt;/D&gt;&lt;/FQL&gt;&lt;FQL&gt;&lt;Q&gt;EWD^FG_PRICE(0)&lt;/Q&gt;&lt;R&gt;1&lt;/R&gt;&lt;C&gt;1&lt;/C&gt;&lt;D xsi:type="xsd:double"&gt;39.82&lt;/D&gt;&lt;/FQL&gt;&lt;FQL&gt;&lt;Q&gt;EWG^FG_PRICE_MAVG(0,,,,200)&lt;/Q&gt;&lt;R&gt;1&lt;/R&gt;&lt;C&gt;1&lt;/C&gt;&lt;D xsi:type="xsd:double"&gt;28.41345&lt;/D&gt;&lt;/FQL&gt;&lt;FQL&gt;&lt;Q&gt;VWO^FMA_PCT_ABOVE_MAVG(200,0,,,,"PORTAGG")&lt;/Q&gt;&lt;R&gt;1&lt;/R&gt;&lt;C&gt;1&lt;/C&gt;&lt;D xsi:type="xsd:double"&gt;40.4969485614647&lt;/D&gt;&lt;/FQL&gt;&lt;FQL&gt;&lt;Q&gt;EWD^FG_TOTAL_RETURNC(0,-3AM)&lt;/Q&gt;&lt;R&gt;1&lt;/R&gt;&lt;C&gt;1&lt;/C&gt;&lt;D xsi:type="xsd:double"&gt;4.7619104&lt;/D&gt;&lt;/FQL&gt;&lt;FQL&gt;&lt;Q&gt;EWL^PERCENT_CHANGE(FMA_EPS(+1,0,,,,"PORTAGG","MEAN"),FMA_EPS(+1,-3AM,,,,"PORTAGG","MEAN"))&lt;/Q&gt;&lt;R&gt;1&lt;/R&gt;&lt;C&gt;1&lt;/C&gt;&lt;D xsi:type="xsd:double"&gt;-7.63428851078892&lt;/D&gt;&lt;/FQL&gt;&lt;FQL&gt;&lt;Q&gt;EWC^P_PRICE(0)/P_PRICE_LOW_PR(0,,,USD,,,"PRICE","INTRA","52W")-1&lt;/Q&gt;&lt;R&gt;1&lt;/R&gt;&lt;C&gt;1&lt;/C&gt;&lt;D xsi:type="xsd:double"&gt;0.21076083&lt;/D&gt;&lt;/FQL&gt;&lt;FQL&gt;&lt;Q&gt;FXI^FMA_COS_UP("EPS","1M",+1,0,,,"PORTAGG","MEANR")&lt;/Q&gt;&lt;R&gt;1&lt;/R&gt;&lt;C&gt;1&lt;/C&gt;&lt;D xsi:type="xsd:double"&gt;13&lt;/D&gt;&lt;/FQL&gt;&lt;FQL&gt;&lt;Q&gt;EWN^SIZE(FG_CONSTITUENTS)&lt;/Q&gt;&lt;R&gt;1&lt;/R&gt;&lt;C&gt;1&lt;/C&gt;&lt;D xsi:type="xsd:long"&gt;55&lt;/D&gt;&lt;/FQL&gt;&lt;FQL&gt;&lt;Q&gt;EWA^SIZE(FG_CONSTITUENTS)&lt;/Q&gt;&lt;R&gt;1&lt;/R&gt;&lt;C&gt;1&lt;/C&gt;&lt;D xsi:type="xsd:long"&gt;59&lt;/D&gt;&lt;/FQL&gt;&lt;FQL&gt;&lt;Q&gt;EWQ^FMA_RBICS_REV_CURRENT(30, LOC, "PORTAGG")&lt;/Q&gt;&lt;R&gt;1&lt;/R&gt;&lt;C&gt;1&lt;/C&gt;&lt;D xsi:type="xsd:double"&gt;10.7938787406678&lt;/D&gt;&lt;/FQL&gt;&lt;FQL&gt;&lt;Q&gt;REFCHMPR-FDS^FG_YIELD(NOW,,,0)&lt;/Q&gt;&lt;R&gt;1&lt;/R&gt;&lt;C&gt;1&lt;/C&gt;&lt;D xsi:type="xsd:double"&gt;1.5&lt;/D&gt;&lt;/FQL&gt;&lt;FQL&gt;&lt;Q&gt;TRYNZ10Y-FDS^PCTCHG(FG_YIELD(0,,,,"YTM"),FG_YIELD(-3AM,,,,"YTM"))&lt;/Q&gt;&lt;R&gt;1&lt;/R&gt;&lt;C&gt;1&lt;/C&gt;&lt;D xsi:type="xsd:double"&gt;2.5742145&lt;/D&gt;&lt;/FQL&gt;&lt;FQL&gt;&lt;Q&gt;VWO^FMA_EVAL_EBIT(LTMA,NOW,NOW,M,"PORTAGG","MEANR")&lt;/Q&gt;&lt;R&gt;1&lt;/R&gt;&lt;C&gt;1&lt;/C&gt;&lt;D xsi:type="xsd:double"&gt;14.3733124424648&lt;/D&gt;&lt;/FQL&gt;&lt;FQL&gt;&lt;Q&gt;SPY^FMA_EVAL_EBIT(LTMA,NOW,NOW,M,"PORTAGG","MEANR")&lt;/Q&gt;&lt;R&gt;1&lt;/R&gt;&lt;C&gt;1&lt;/C&gt;&lt;D xsi:type="xsd:double"&gt;20.7429680694905&lt;/D&gt;&lt;/FQL&gt;&lt;FQL&gt;&lt;Q&gt;EWU^JULIAN(FMA_DIV_YLD(NTMA,NOW,NOW,M,"PORTAGG","MEANR").DATES)&lt;/Q&gt;&lt;R&gt;1&lt;/R&gt;&lt;C&gt;1&lt;/C&gt;&lt;D xsi:type="xsd:long"&gt;45379&lt;/D&gt;&lt;/FQL&gt;&lt;FQL&gt;&lt;Q&gt;EWG^FMA_PE(NTMA,0,,,"PORTAGG","MEANR")&lt;/Q&gt;&lt;R&gt;1&lt;/R&gt;&lt;C&gt;1&lt;/C&gt;&lt;D xsi:type="xsd:double"&gt;12.3145854105433&lt;/D&gt;&lt;/FQL&gt;&lt;FQL&gt;&lt;Q&gt;ENZL^FG_FCF_YIELD_NTM(0)&lt;/Q&gt;&lt;R&gt;1&lt;/R&gt;&lt;C&gt;1&lt;/C&gt;&lt;D xsi:type="xsd:double"&gt;0.0190456459111215&lt;/D&gt;&lt;/FQL&gt;&lt;FQL&gt;&lt;Q&gt;TRYBR10Y-FDS^FG_YIELD(-10AY,0,Y,,"YTM")&lt;/Q&gt;&lt;R&gt;10&lt;/R&gt;&lt;C&gt;1&lt;/C&gt;&lt;D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xsi:type="xsd:double"&gt;1.211&lt;/D&gt;&lt;/FQL&gt;&lt;FQL&gt;&lt;Q&gt;CAGDPY@AU^EE_ACTUAL_ANNUAL(MED,0)&lt;/Q&gt;&lt;R&gt;1&lt;/R&gt;&lt;C&gt;1&lt;/C&gt;&lt;D xsi:type="xsd:double"&gt;1.21871580460395&lt;/D&gt;&lt;/FQL&gt;&lt;FQL&gt;&lt;Q&gt;USDCAD^FG_COMPANY_NAME&lt;/Q&gt;&lt;R&gt;1&lt;/R&gt;&lt;C&gt;1&lt;/C&gt;&lt;D xsi:type="xsd:string"&gt;Canadian Dollar per U.S. Dollar&lt;/D&gt;&lt;/FQL&gt;&lt;FQL&gt;&lt;Q&gt;ENZL^FMA_EPS(NTMA,-20AY,0,CY,,"PORTAGG","MEANR")&lt;/Q&gt;&lt;R&gt;20&lt;/R&gt;&lt;C&gt;1&lt;/C&gt;&lt;D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xsi:type="xsd:double"&gt;2.24801606045295&lt;/D&gt;&lt;D xsi:type="xsd:double"&gt;1.98579271198129&lt;/D&gt;&lt;D xsi:type="xsd:double"&gt;1.82188446730532&lt;/D&gt;&lt;D xsi:type="xsd:double"&gt;2.1113846114659&lt;/D&gt;&lt;D xsi:type="xsd:double"&gt;2.11178796376246&lt;/D&gt;&lt;/FQL&gt;&lt;FQL&gt;&lt;Q&gt;TRYSA10Y-FDS^FG_YIELD(-10AY,0,Y,,"YTM")&lt;/Q&gt;&lt;R&gt;10&lt;/R&gt;&lt;C&gt;1&lt;/C&gt;&lt;D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xsi:type="xsd:double"&gt;4.608568&lt;/D&gt;&lt;/FQL&gt;&lt;FQL&gt;&lt;Q&gt;CAGDPY@IT^EE_ACTUAL_ANNUAL(MED,+1)&lt;/Q&gt;&lt;R&gt;1&lt;/R&gt;&lt;C&gt;1&lt;/C&gt;&lt;D xsi:type="xsd:double"&gt;0.95&lt;/D&gt;&lt;/FQL&gt;&lt;FQL&gt;&lt;Q&gt;CC_AU^FG_COMPANY_NAME&lt;/Q&gt;&lt;R&gt;1&lt;/R&gt;&lt;C&gt;1&lt;/C&gt;&lt;D xsi:type="xsd:string"&gt;Australia&lt;/D&gt;&lt;/FQL&gt;&lt;FQL&gt;&lt;Q&gt;USDCHF^FG_COMPANY_NAME&lt;/Q&gt;&lt;R&gt;1&lt;/R&gt;&lt;C&gt;1&lt;/C&gt;&lt;D xsi:type="xsd:string"&gt;Swiss Franc per U.S. Dollar&lt;/D&gt;&lt;/FQL&gt;&lt;FQL&gt;&lt;Q&gt;W-FDS^FG_PRICE_MAVG(0,,,,30)&lt;/Q&gt;&lt;R&gt;1&lt;/R&gt;&lt;C&gt;1&lt;/C&gt;&lt;D xsi:type="xsd:double"&gt;5.5074167&lt;/D&gt;&lt;/FQL&gt;&lt;FQL&gt;&lt;Q&gt;EWQ^FG_PRICE(0)&lt;/Q&gt;&lt;R&gt;1&lt;/R&gt;&lt;C&gt;1&lt;/C&gt;&lt;D xsi:type="xsd:double"&gt;40.76&lt;/D&gt;&lt;/FQL&gt;&lt;FQL&gt;&lt;Q&gt;EWA^FG_PRICE_MAVG(0,,,,30)&lt;/Q&gt;&lt;R&gt;1&lt;/R&gt;&lt;C&gt;1&lt;/C&gt;&lt;D xsi:type="xsd:double"&gt;24.273333&lt;/D&gt;&lt;/FQL&gt;&lt;FQL&gt;&lt;Q&gt;VGK^P_PRICE(0)/P_PRICE_HIGH_PR(0,,,USD,,,"PRICE","INTRA","52W")&lt;/Q&gt;&lt;R&gt;1&lt;/R&gt;&lt;C&gt;1&lt;/C&gt;&lt;D xsi:type="xsd:double"&gt;0.98244315&lt;/D&gt;&lt;/FQL&gt;&lt;FQL&gt;&lt;Q&gt;EWN^FG_TOTAL_RETURNC(0,-3AM)&lt;/Q&gt;&lt;R&gt;1&lt;/R&gt;&lt;C&gt;1&lt;/C&gt;&lt;D xsi:type="xsd:double"&gt;14.63188&lt;/D&gt;&lt;/FQL&gt;&lt;FQL&gt;&lt;Q&gt;EWJ^FG_TOTAL_RETURNC(0,-12AM)&lt;/Q&gt;&lt;R&gt;1&lt;/R&gt;&lt;C&gt;1&lt;/C&gt;&lt;D xsi:type="xsd:double"&gt;20.717312&lt;/D&gt;&lt;/FQL&gt;&lt;FQL&gt;&lt;Q&gt;EWA^FG_TOTAL_RETURNC(0,-12AM)&lt;/Q&gt;&lt;R&gt;1&lt;/R&gt;&lt;C&gt;1&lt;/C&gt;&lt;D xsi:type="xsd:double"&gt;9.739197&lt;/D&gt;&lt;/FQL&gt;&lt;FQL&gt;&lt;Q&gt;SPY^FMA_COS_UP("EPS","1M",+1,0,,,"PORTAGG","MEANR")&lt;/Q&gt;&lt;R&gt;1&lt;/R&gt;&lt;C&gt;1&lt;/C&gt;&lt;D xsi:type="xsd:double"&gt;180&lt;/D&gt;&lt;/FQL&gt;&lt;FQL&gt;&lt;Q&gt;ENZL^SIZE(FG_CONSTITUENTS)&lt;/Q&gt;&lt;R&gt;1&lt;/R&gt;&lt;C&gt;1&lt;/C&gt;&lt;D xsi:type="xsd:long"&gt;15&lt;/D&gt;&lt;/FQL&gt;&lt;FQL&gt;&lt;Q&gt;EWA^FMA_RBICS_REV_CURRENT(30, LOC, "PORTAGG")&lt;/Q&gt;&lt;R&gt;1&lt;/R&gt;&lt;C&gt;1&lt;/C&gt;&lt;D xsi:type="xsd:double"&gt;40.7151096463949&lt;/D&gt;&lt;/FQL&gt;&lt;FQL&gt;&lt;Q&gt;REFSEREPO-FDS^(SUBARRAY(NOT_NA(NO_REPEAT_F(FG_YIELD(NOW,-10AY,D))),0,1)-SUBARRAY(NOT_NA(NO_REPEAT_F(FG_YIELD(NOW,-10AY,D))),1,1))*100&lt;/Q&gt;&lt;R&gt;1&lt;/R&gt;&lt;C&gt;1&lt;/C&gt;&lt;D xsi:type="xsd:double"&gt;25&lt;/D&gt;&lt;/FQL&gt;&lt;FQL&gt;&lt;Q&gt;REFJPTON-FDS^FG_YIELD(NOW,,,0)&lt;/Q&gt;&lt;R&gt;1&lt;/R&gt;&lt;C&gt;1&lt;/C&gt;&lt;D xsi:type="xsd:double"&gt;0.1&lt;/D&gt;&lt;/FQL&gt;&lt;FQL&gt;&lt;Q&gt;VWO^FMA_DIV_YLD(NTMA,NOW,NOW,M,"PORTAGG","MEANR")&lt;/Q&gt;&lt;R&gt;1&lt;/R&gt;&lt;C&gt;1&lt;/C&gt;&lt;D xsi:type="xsd:double"&gt;3.07016163196449&lt;/D&gt;&lt;/FQL&gt;&lt;FQL&gt;&lt;Q&gt;EWD^FMA_PE(NTMA,0,,,"PORTAGG","MEANR")&lt;/Q&gt;&lt;R&gt;1&lt;/R&gt;&lt;C&gt;1&lt;/C&gt;&lt;D xsi:type="xsd:double"&gt;16.3743618059798&lt;/D&gt;&lt;/FQL&gt;&lt;FQL&gt;&lt;Q&gt;EWL^FG_FCF_YIELD_NTM(0)&lt;/Q&gt;&lt;R&gt;1&lt;/R&gt;&lt;C&gt;1&lt;/C&gt;&lt;D xsi:type="xsd:double"&gt;5.00740340700438&lt;/D&gt;&lt;/FQL&gt;&lt;FQL&gt;&lt;Q&gt;EWC^FMA_EVAL_EBIT(LTMA,NOW,NOW,M,"PORTAGG","MEANR")&lt;/Q&gt;&lt;R&gt;1&lt;/R&gt;&lt;C&gt;1&lt;/C&gt;&lt;D xsi:type="xsd:double"&gt;16.3863519208326&lt;/D&gt;&lt;/FQL&gt;&lt;FQL&gt;&lt;Q&gt;VGK^FG_TOTAL_RETURNC(0,-6AM)&lt;/Q&gt;&lt;R&gt;1&lt;/R&gt;&lt;C&gt;1&lt;/C&gt;&lt;D xsi:type="xsd:double"&gt;19.138062&lt;/D&gt;&lt;/FQL&gt;&lt;FQL&gt;&lt;Q&gt;UUP^FG_TOTAL_RETURNC(0,-6AM)&lt;/Q&gt;&lt;R&gt;1&lt;/R&gt;&lt;C&gt;1&lt;/C&gt;&lt;D xsi:type="xsd:double"&gt;0.72728395&lt;/D&gt;&lt;/FQL&gt;&lt;FQL&gt;&lt;Q&gt;USDAUD^FG_COMPANY_NAME&lt;/Q&gt;&lt;R&gt;1&lt;/R&gt;&lt;C&gt;1&lt;/C&gt;&lt;D xsi:type="xsd:string"&gt;Australian Dollar per U.S. Dollar&lt;/D&gt;&lt;/FQL&gt;&lt;FQL&gt;&lt;Q&gt;EWJ^P_PRICE_RETURNS_PR('52W',2,-10AY,0,AM)&lt;/Q&gt;&lt;R&gt;121&lt;/R&gt;&lt;C&gt;1&lt;/C&gt;&lt;D xsi:type="xsd:double"&gt;5.343318&lt;/D&gt;&lt;D xsi:type="xsd:double"&gt;-2.4479508&lt;/D&gt;&lt;D xsi:type="xsd:double"&gt;8.143723&lt;/D&gt;&lt;D xsi:type="xsd:double"&gt;7.8951716&lt;/D&gt;&lt;D xsi:type="xsd:double"&gt;4.0270567&lt;/D&gt;&lt;D xsi:type="xsd:double"&gt;6.6300035&lt;/D&gt;&lt;D xsi:type="xsd:double"&gt;-0.43292642&lt;/D&gt;&lt;D xsi:type="xsd:double"&gt;1.6866207&lt;/D&gt;&lt;D xsi:type="xsd:double"&gt;0.148952&lt;/D&gt;&lt;D xsi:type="xsd:double"&gt;-4.490942&lt;/D&gt;&lt;D xsi:type="xsd:double"&gt;6.199479&lt;/D&gt;&lt;D xsi:type="xsd:double"&gt;6.7631125&lt;/D&gt;&lt;D xsi:type="xsd:double"&gt;12.14695&lt;/D&gt;&lt;D xsi:type="xsd:double"&gt;18.276978&lt;/D&gt;&lt;D xsi:type="xsd:double"&gt;12.109602&lt;/D&gt;&lt;D xsi:type="xsd:double"&gt;6.721592&lt;/D&gt;&lt;D xsi:type="xsd:double"&gt;8.250963&lt;/D&gt;&lt;D xsi:type="xsd:double"&gt;-2.3050785&lt;/D&gt;&lt;D xsi:type="xsd:double"&gt;3.6767602&lt;/D&gt;&lt;D xsi:type="xsd:double"&gt;5.543506&lt;/D&gt;&lt;D xsi:type="xsd:double"&gt;6.951618&lt;/D&gt;&lt;D xsi:type="xsd:double"&gt;7.2600245&lt;/D&gt;&lt;D xsi:type="xsd:double"&gt;-3.1956017&lt;/D&gt;&lt;D xsi:type="xsd:double"&gt;-4.8743067&lt;/D&gt;&lt;D xsi:type="xsd:double"&gt;-11.208916&lt;/D&gt;&lt;D xsi:type="xsd:double"&gt;-11.611825&lt;/D&gt;&lt;D xsi:type="xsd:double"&gt;-9.558225&lt;/D&gt;&lt;D xsi:type="xsd:double"&gt;-9.648591&lt;/D&gt;&lt;D xsi:type="xsd:double"&gt;-4.7885537&lt;/D&gt;&lt;D xsi:type="xsd:double"&gt;7.387948&lt;/D&gt;&lt;D xsi:type="xsd:double"&gt;8.324814&lt;/D&gt;&lt;D xsi:type="xsd:double"&gt;1.8563747&lt;/D&gt;&lt;D xsi:type="xsd:double"&gt;0.99806786&lt;/D&gt;&lt;D xsi:type="xsd:double"&gt;7.38219&lt;/D&gt;&lt;D xsi:type="xsd:double"&gt;16.51429&lt;/D&gt;&lt;D xsi:type="xsd:double"&gt;14.87919&lt;/D&gt;&lt;D xsi:type="xsd:double"&gt;18.14704&lt;/D&gt;&lt;D xsi:type="xsd:double"&gt;17.155956&lt;/D&gt;&lt;D xsi:type="xsd:double"&gt;19.830168&lt;/D&gt;&lt;D xsi:type="xsd:double"&gt;18.388866&lt;/D&gt;&lt;D xsi:type="xsd:double"&gt;16.389084&lt;/D&gt;&lt;D xsi:type="xsd:double"&gt;12.134684&lt;/D&gt;&lt;D xsi:type="xsd:double"&gt;14.788198&lt;/D&gt;&lt;D xsi:type="xsd:double"&gt;20.25138&lt;/D&gt;&lt;D xsi:type="xsd:double"&gt;21.093739&lt;/D&gt;&lt;D xsi:type="xsd:double"&gt;24.747837&lt;/D&gt;&lt;D xsi:type="xsd:double"&gt;24.245811&lt;/D&gt;&lt;D xsi:type="xsd:double"&gt;18.349707&lt;/D&gt;&lt;D xsi:type="xsd:double"&gt;18.388308&lt;/D&gt;&lt;D xsi:type="xsd:double"&gt;17.246115&lt;/D&gt;&lt;D xsi:type="xsd:double"&gt;11.671865&lt;/D&gt;&lt;D xsi:type="xsd:double"&gt;8.166588&lt;/D&gt;&lt;D xsi:type="xsd:double"&gt;7.6720715&lt;/D&gt;&lt;D xsi:type="xsd:double"&gt;7.0629597&lt;/D&gt;&lt;D xsi:type="xsd:double"&gt;7.0879817&lt;/D&gt;&lt;D xsi:type="xsd:double"&gt;-5.4658175&lt;/D&gt;&lt;D xsi:type="xsd:double"&gt;-7.121068&lt;/D&gt;&lt;D xsi:type="xsd:double"&gt;-13.866073&lt;/D&gt;&lt;D xsi:type="xsd:double"&gt;-11.701191&lt;/D&gt;&lt;D xsi:type="xsd:double"&gt;-7.953185&lt;/D&gt;&lt;D xsi:type="xsd:double"&gt;-6.7599&lt;/D&gt;&lt;D xsi:type="xsd:double"&gt;-5.7295265&lt;/D&gt;&lt;D xsi:type="xsd:double"&gt;-9.96635&lt;/D&gt;&lt;D xsi:type="xsd:double"&gt;-0.5068898&lt;/D&gt;&lt;D xsi:type="xsd:double"&gt;-6.1558247&lt;/D&gt;&lt;D xsi:type="xsd:double"&gt;-4.0571632&lt;/D&gt;&lt;D xsi:type="xsd:double"&gt;-2.503562&lt;/D&gt;&lt;D xsi:type="xsd:double"&gt;10.266436&lt;/D&gt;&lt;D xsi:type="xsd:double"&gt;13.343&lt;/D&gt;&lt;D xsi:type="xsd:double"&gt;19.107258&lt;/D&gt;&lt;D xsi:type="xsd:double"&gt;11.321867&lt;/D&gt;&lt;D xsi:type="xsd:double"&gt;1.6178489&lt;/D&gt;&lt;D xsi:type="xsd:double"&gt;-14.106024&lt;/D&gt;&lt;D xsi:type="xsd:double"&gt;-7.6737165&lt;/D&gt;&lt;D xsi:type="xsd:double"&gt;7.0745587&lt;/D&gt;&lt;D xsi:type="xsd:double"&gt;1.337564&lt;/D&gt;&lt;D xsi:type="xsd:double"&gt;5.772364&lt;/D&gt;&lt;D xsi:type="xsd:double"&gt;9.143448&lt;/D&gt;&lt;D xsi:type="xsd:double"&gt;7.4836135&lt;/D&gt;&lt;D xsi:type="xsd:double"&gt;2.5630236&lt;/D&gt;&lt;D xsi:type="xsd:double"&gt;11.909019&lt;/D&gt;&lt;D xsi:type="xsd:double"&gt;14.119804&lt;/D&gt;&lt;D xsi:type="xsd:double"&gt;17.71164&lt;/D&gt;&lt;D xsi:type="xsd:double"&gt;26.491224&lt;/D&gt;&lt;D xsi:type="xsd:double"&gt;48.74023&lt;/D&gt;&lt;D xsi:type="xsd:double"&gt;34.71563&lt;/D&gt;&lt;D xsi:type="xsd:double"&gt;25.124132&lt;/D&gt;&lt;D xsi:type="xsd:double"&gt;24.481678&lt;/D&gt;&lt;D xsi:type="xsd:double"&gt;21.874023&lt;/D&gt;&lt;D xsi:type="xsd:double"&gt;25.793434&lt;/D&gt;&lt;D xsi:type="xsd:double"&gt;16.954304&lt;/D&gt;&lt;D xsi:type="xsd:double"&gt;18.458344&lt;/D&gt;&lt;D xsi:type="xsd:double"&gt;3.5892963&lt;/D&gt;&lt;D xsi:type="xsd:double"&gt;3.8297892&lt;/D&gt;&lt;D xsi:type="xsd:double"&gt;-4.59857&lt;/D&gt;&lt;D xsi:type="xsd:double"&gt;-7.635927&lt;/D&gt;&lt;D xsi:type="xsd:double"&gt;-7.8344703&lt;/D&gt;&lt;D xsi:type="xsd:double"&gt;-12.020898&lt;/D&gt;&lt;D xsi:type="xsd:double"&gt;-15.420109&lt;/D&gt;&lt;D xsi:type="xsd:double"&gt;-19.572884&lt;/D&gt;&lt;D xsi:type="xsd:double"&gt;-15.718532&lt;/D&gt;&lt;D xsi:type="xsd:double"&gt;-23.264378&lt;/D&gt;&lt;D xsi:type="xsd:double"&gt;-22.767847&lt;/D&gt;&lt;D xsi:type="xsd:double"&gt;-25.92898&lt;/D&gt;&lt;D xsi:type="xsd:double"&gt;-14.54823&lt;/D&gt;&lt;D xsi:type="xsd:double"&gt;-19.288176&lt;/D&gt;&lt;D xsi:type="xsd:double"&gt;-7.786703&lt;/D&gt;&lt;D xsi:type="xsd:double"&gt;-6.308275&lt;/D&gt;&lt;D xsi:type="xsd:double"&gt;-4.4547615&lt;/D&gt;&lt;D xsi:type="xsd:double"&gt;2.3880243&lt;/D&gt;&lt;D xsi:type="xsd:double"&gt;7.773435&lt;/D&gt;&lt;D xsi:type="xsd:double"&gt;18.128777&lt;/D&gt;&lt;D xsi:type="xsd:double"&gt;12.047482&lt;/D&gt;&lt;D xsi:type="xsd:double"&gt;18.256546&lt;/D&gt;&lt;D xsi:type="xsd:double"&gt;14.244175&lt;/D&gt;&lt;D xsi:type="xsd:double"&gt;25.40375&lt;/D&gt;&lt;D xsi:type="xsd:double"&gt;12.334704&lt;/D&gt;&lt;D xsi:type="xsd:double"&gt;18.907475&lt;/D&gt;&lt;D xsi:type="xsd:double"&gt;15.654051&lt;/D&gt;&lt;D xsi:type="xsd:double"&gt;24.444221&lt;/D&gt;&lt;D xsi:type="xsd:double"&gt;20.717312&lt;/D&gt;&lt;/FQL&gt;&lt;FQL&gt;&lt;Q&gt;EWA^FMA_DIV_YLD(NTMA,-10AY,0,AM,"PORTAGG","MEANR")&lt;/Q&gt;&lt;R&gt;121&lt;/R&gt;&lt;C&gt;1&lt;/C&gt;&lt;D xsi:type="xsd:double"&gt;4.79999766508593&lt;/D&gt;&lt;D xsi:type="xsd:double"&gt;4.78607173275801&lt;/D&gt;&lt;D xsi:type="xsd:double"&gt;4.81573749921409&lt;/D&gt;&lt;D xsi:type="xsd:double"&gt;4.78954796615276&lt;/D&gt;&lt;D xsi:type="xsd:double"&gt;4.72494099492016&lt;/D&gt;&lt;D xsi:type="xsd:double"&gt;4.68529124195175&lt;/D&gt;&lt;D xsi:type="xsd:double"&gt;5.05057519231253&lt;/D&gt;&lt;D xsi:type="xsd:double"&gt;4.84282857442742&lt;/D&gt;&lt;D xsi:type="xsd:double"&gt;4.9793321952458&lt;/D&gt;&lt;D xsi:type="xsd:double"&gt;4.95610550061048&lt;/D&gt;&lt;D xsi:type="xsd:double"&gt;4.69378123510542&lt;/D&gt;&lt;D xsi:type="xsd:double"&gt;4.57516278071761&lt;/D&gt;&lt;D xsi:type="xsd:double"&gt;4.61054270870761&lt;/D&gt;&lt;D xsi:type="xsd:double"&gt;4.64121959069181&lt;/D&gt;&lt;D xsi:type="xsd:double"&gt;4.94025469250166&lt;/D&gt;&lt;D xsi:type="xsd:double"&gt;4.85649458853878&lt;/D&gt;&lt;D xsi:type="xsd:double"&gt;4.79670841463601&lt;/D&gt;&lt;D xsi:type="xsd:double"&gt;5.51200695998104&lt;/D&gt;&lt;D xsi:type="xsd:double"&gt;5.45496103020028&lt;/D&gt;&lt;D xsi:type="xsd:double"&gt;5.23312215596218&lt;/D&gt;&lt;D xsi:type="xsd:double"&gt;5.27467957117332&lt;/D&gt;&lt;D xsi:type="xsd:double"&gt;5.14253336142738&lt;/D&gt;&lt;D xsi:type="xsd:double"&gt;5.14469204148457&lt;/D&gt;&lt;D xsi:type="xsd:double"&gt;4.8076398435174&lt;/D&gt;&lt;D xsi:type="xsd:double"&gt;4.93884327877262&lt;/D&gt;&lt;D xsi:type="xsd:double"&gt;4.63735358443825&lt;/D&gt;&lt;D xsi:type="xsd:double"&gt;4.60736851394045&lt;/D&gt;&lt;D xsi:type="xsd:double"&gt;4.67110150724477&lt;/D&gt;&lt;D xsi:type="xsd:double"&gt;4.50674751015082&lt;/D&gt;&lt;D xsi:type="xsd:double"&gt;4.58236082419872&lt;/D&gt;&lt;D xsi:type="xsd:double"&gt;4.51140345933382&lt;/D&gt;&lt;D xsi:type="xsd:double"&gt;4.77689300525309&lt;/D&gt;&lt;D xsi:type="xsd:double"&gt;4.59212589379812&lt;/D&gt;&lt;D xsi:type="xsd:double"&gt;4.47190703941818&lt;/D&gt;&lt;D xsi:type="xsd:double"&gt;4.58267927812281&lt;/D&gt;&lt;D xsi:type="xsd:double"&gt;4.56585486549954&lt;/D&gt;&lt;D xsi:type="xsd:double"&gt;4.52036715266029&lt;/D&gt;&lt;D xsi:type="xsd:double"&gt;4.52590075357029&lt;/D&gt;&lt;D xsi:type="xsd:double"&gt;4.61124187305626&lt;/D&gt;&lt;D xsi:type="xsd:double"&gt;4.65593019811276&lt;/D&gt;&lt;D xsi:type="xsd:double"&gt;4.60261092780464&lt;/D&gt;&lt;D xsi:type="xsd:double"&gt;4.57391715057525&lt;/D&gt;&lt;D xsi:type="xsd:double"&gt;4.65112642289677&lt;/D&gt;&lt;D xsi:type="xsd:double"&gt;4.46900978717414&lt;/D&gt;&lt;D xsi:type="xsd:double"&gt;4.50102126760439&lt;/D&gt;&lt;D xsi:type="xsd:double"&gt;4.44511701486072&lt;/D&gt;&lt;D xsi:type="xsd:double"&gt;4.47306088124523&lt;/D&gt;&lt;D xsi:type="xsd:double"&gt;4.66559465320391&lt;/D&gt;&lt;D xsi:type="xsd:double"&gt;4.83779652628425&lt;/D&gt;&lt;D xsi:type="xsd:double"&gt;4.67529411445381&lt;/D&gt;&lt;D xsi:type="xsd:double"&gt;4.72603509980728&lt;/D&gt;&lt;D xsi:type="xsd:double"&gt;4.59296362000577&lt;/D&gt;&lt;D xsi:type="xsd:double"&gt;4.63159948350894&lt;/D&gt;&lt;D xsi:type="xsd:double"&gt;4.64763613505808&lt;/D&gt;&lt;D xsi:type="xsd:double"&gt;4.7947704097068&lt;/D&gt;&lt;D xsi:type="xsd:double"&gt;5.07323443284335&lt;/D&gt;&lt;D xsi:type="xsd:double"&gt;5.27875503778238&lt;/D&gt;&lt;D xsi:type="xsd:double"&gt;5.35555764450583&lt;/D&gt;&lt;D xsi:type="xsd:double"&gt;5.09503508519014&lt;/D&gt;&lt;D xsi:type="xsd:double"&gt;4.91822337366744&lt;/D&gt;&lt;D xsi:type="xsd:double"&gt;4.89881540074731&lt;/D&gt;&lt;D xsi:type="xsd:double"&gt;4.87897621861783&lt;/D&gt;&lt;D xsi:type="xsd:double"&gt;4.85345467755833&lt;/D&gt;&lt;D xsi:type="xsd:double"&gt;4.61323053043652&lt;/D&gt;&lt;D xsi:type="xsd:double"&gt;4.56425079486326&lt;/D&gt;&lt;D xsi:type="xsd:double"&gt;4.6119010729338&lt;/D&gt;&lt;D xsi:type="xsd:double"&gt;4.55438622426741&lt;/D&gt;&lt;D xsi:type="xsd:double"&gt;4.38145309624349&lt;/D&gt;&lt;D xsi:type="xsd:double"&gt;4.40883696090694&lt;/D&gt;&lt;D xsi:type="xsd:double"&gt;4.29147430238786&lt;/D&gt;&lt;D xsi:type="xsd:double"&gt;4.19471566351325&lt;/D&gt;&lt;D xsi:type="xsd:double"&gt;4.56061914230272&lt;/D&gt;&lt;D xsi:type="xsd:double"&gt;5.13034694853349&lt;/D&gt;&lt;D xsi:type="xsd:double"&gt;4.00674108048484&lt;/D&gt;&lt;D xsi:type="xsd:double"&gt;3.34628469184429&lt;/D&gt;&lt;D xsi:type="xsd:double"&gt;3.38867077170893&lt;/D&gt;&lt;D xsi:type="xsd:double"&gt;3.38657325815467&lt;/D&gt;&lt;D xsi:type="xsd:double"&gt;3.50955811925958&lt;/D&gt;&lt;D xsi:type="xsd:double"&gt;3.72496845568349&lt;/D&gt;&lt;D xsi:type="xsd:double"&gt;3.70433970946549&lt;/D&gt;&lt;D xsi:type="xsd:double"&gt;3.42438036489861&lt;/D&gt;&lt;D xsi:type="xsd:double"&gt;3.54121850072667&lt;/D&gt;&lt;D xsi:type="xsd:double"&gt;3.60855689339928&lt;/D&gt;&lt;D xsi:type="xsd:double"&gt;3.8622132220508&lt;/D&gt;&lt;D xsi:type="xsd:double"&gt;3.97163701521748&lt;/D&gt;&lt;D xsi:type="xsd:double"&gt;3.91119479708517&lt;/D&gt;&lt;D xsi:type="xsd:double"&gt;3.82089686941806&lt;/D&gt;&lt;D xsi:type="xsd:double"&gt;4.05887340357472&lt;/D&gt;&lt;D xsi:type="xsd:double"&gt;4.04434221989806&lt;/D&gt;&lt;D xsi:type="xsd:double"&gt;4.01386602730577&lt;/D&gt;&lt;D xsi:type="xsd:double"&gt;4.08374511609973&lt;/D&gt;&lt;D xsi:type="xsd:double"&gt;3.36077091863194&lt;/D&gt;&lt;D xsi:type="xsd:double"&gt;4.03994299490941&lt;/D&gt;&lt;D xsi:type="xsd:double"&gt;3.81215306312218&lt;/D&gt;&lt;D xsi:type=</t>
        </r>
      </text>
    </comment>
    <comment ref="A14" authorId="0" shapeId="0" xr:uid="{BF1ADC0E-94F7-4BEB-9D3D-ACA279CC3284}">
      <text>
        <r>
          <rPr>
            <b/>
            <sz val="9"/>
            <color indexed="81"/>
            <rFont val="Tahoma"/>
            <charset val="1"/>
          </rPr>
          <t>"xsd:double"&gt;4.3114491725966&lt;/D&gt;&lt;D xsi:type="xsd:double"&gt;4.30561087042062&lt;/D&gt;&lt;D xsi:type="xsd:double"&gt;4.30754422186982&lt;/D&gt;&lt;D xsi:type="xsd:double"&gt;4.54477996660012&lt;/D&gt;&lt;D xsi:type="xsd:double"&gt;4.67171506929082&lt;/D&gt;&lt;D xsi:type="xsd:double"&gt;5.31604037070342&lt;/D&gt;&lt;D xsi:type="xsd:double"&gt;4.83233508518859&lt;/D&gt;&lt;D xsi:type="xsd:double"&gt;4.87310864328756&lt;/D&gt;&lt;D xsi:type="xsd:double"&gt;5.03109829711148&lt;/D&gt;&lt;D xsi:type="xsd:double"&gt;4.92670943172705&lt;/D&gt;&lt;D xsi:type="xsd:double"&gt;4.43365855536458&lt;/D&gt;&lt;D xsi:type="xsd:double"&gt;4.59977968225796&lt;/D&gt;&lt;D xsi:type="xsd:double"&gt;4.24934450400746&lt;/D&gt;&lt;D xsi:type="xsd:double"&gt;4.45700276690121&lt;/D&gt;&lt;D xsi:type="xsd:double"&gt;4.48113634991335&lt;/D&gt;&lt;D xsi:type="xsd:double"&gt;4.47683855870835&lt;/D&gt;&lt;D xsi:type="xsd:double"&gt;4.47915140953114&lt;/D&gt;&lt;D xsi:type="xsd:double"&gt;4.27929142523483&lt;/D&gt;&lt;D xsi:type="xsd:double"&gt;4.16466087153078&lt;/D&gt;&lt;D xsi:type="xsd:double"&gt;4.15464262820757&lt;/D&gt;&lt;D xsi:type="xsd:double"&gt;4.44654360306339&lt;/D&gt;&lt;D xsi:type="xsd:double"&gt;4.36548090276511&lt;/D&gt;&lt;D xsi:type="xsd:double"&gt;4.26238561012991&lt;/D&gt;&lt;D xsi:type="xsd:double"&gt;4.0540102095415&lt;/D&gt;&lt;D xsi:type="xsd:double"&gt;3.9590217454451&lt;/D&gt;&lt;D xsi:type="xsd:double"&gt;3.96476023678142&lt;/D&gt;&lt;D xsi:type="xsd:double"&gt;3.94293470959057&lt;/D&gt;&lt;/FQL&gt;&lt;FQL&gt;&lt;Q&gt;EWG^FMA_PE(LTMA,-10AY,0,AM,"PORTAGG","MEANR")&lt;/Q&gt;&lt;R&gt;121&lt;/R&gt;&lt;C&gt;1&lt;/C&gt;&lt;D xsi:type="xsd:double"&gt;14.7775784949163&lt;/D&gt;&lt;D xsi:type="xsd:double"&gt;14.6330415699914&lt;/D&gt;&lt;D xsi:type="xsd:double"&gt;14.6863869111369&lt;/D&gt;&lt;D xsi:type="xsd:double"&gt;14.7021212436149&lt;/D&gt;&lt;D xsi:type="xsd:double"&gt;14.0045679406956&lt;/D&gt;&lt;D xsi:type="xsd:double"&gt;14.3741780433513&lt;/D&gt;&lt;D xsi:type="xsd:double"&gt;13.7374051362458&lt;/D&gt;&lt;D xsi:type="xsd:double"&gt;13.5698955378554&lt;/D&gt;&lt;D xsi:type="xsd:double"&gt;14.4128656326982&lt;/D&gt;&lt;D xsi:type="xsd:double"&gt;14.2318596028789&lt;/D&gt;&lt;D xsi:type="xsd:double"&gt;15.7488294396175&lt;/D&gt;&lt;D xsi:type="xsd:double"&gt;16.4661045406859&lt;/D&gt;&lt;D xsi:type="xsd:double"&gt;16.5142576521012&lt;/D&gt;&lt;D xsi:type="xsd:double"&gt;16.2530129504283&lt;/D&gt;&lt;D xsi:type="xsd:double"&gt;15.8445817965042&lt;/D&gt;&lt;D xsi:type="xsd:double"&gt;15.471700557444&lt;/D&gt;&lt;D xsi:type="xsd:double"&gt;15.5201783458508&lt;/D&gt;&lt;D xsi:type="xsd:double"&gt;14.1915337180314&lt;/D&gt;&lt;D xsi:type="xsd:double"&gt;13.6947369017506&lt;/D&gt;&lt;D xsi:type="xsd:double"&gt;14.5168016929855&lt;/D&gt;&lt;D xsi:type="xsd:double"&gt;14.2539952798487&lt;/D&gt;&lt;D xsi:type="xsd:double"&gt;13.4391708993985&lt;/D&gt;&lt;D xsi:type="xsd:double"&gt;12.4680152645594&lt;/D&gt;&lt;D xsi:type="xsd:double"&gt;12.7186772140856&lt;/D&gt;&lt;D xsi:type="xsd:double"&gt;12.7465334367849&lt;/D&gt;&lt;D xsi:type="xsd:double"&gt;12.7583590087865&lt;/D&gt;&lt;D xsi:type="xsd:double"&gt;12.8653974745486&lt;/D&gt;&lt;D xsi:type="xsd:double"&gt;12.705984699086&lt;/D&gt;&lt;D xsi:type="xsd:double"&gt;13.0409808881388&lt;/D&gt;&lt;D xsi:type="xsd:double"&gt;13.4928239289522&lt;/D&gt;&lt;D xsi:type="xsd:double"&gt;13.7048395117176&lt;/D&gt;&lt;D xsi:type="xsd:double"&gt;13.3256283544746&lt;/D&gt;&lt;D xsi:type="xsd:double"&gt;13.5491630343979&lt;/D&gt;&lt;D xsi:type="xsd:double"&gt;14.915703331865&lt;/D&gt;&lt;D xsi:type="xsd:double"&gt;14.8545220186501&lt;/D&gt;&lt;D xsi:type="xsd:double"&gt;15.0052215600377&lt;/D&gt;&lt;D xsi:type="xsd:double"&gt;14.9546190854403&lt;/D&gt;&lt;D xsi:type="xsd:double"&gt;14.9225134133883&lt;/D&gt;&lt;D xsi:type="xsd:double"&gt;14.8415014924809&lt;/D&gt;&lt;D xsi:type="xsd:double"&gt;14.5588854078196&lt;/D&gt;&lt;D xsi:type="xsd:double"&gt;14.3844621450596&lt;/D&gt;&lt;D xsi:type="xsd:double"&gt;14.1350471384664&lt;/D&gt;&lt;D xsi:type="xsd:double"&gt;14.7434266607106&lt;/D&gt;&lt;D xsi:type="xsd:double"&gt;15.4846925731171&lt;/D&gt;&lt;D xsi:type="xsd:double"&gt;15.380714612053&lt;/D&gt;&lt;D xsi:type="xsd:double"&gt;15.5347598394883&lt;/D&gt;&lt;D xsi:type="xsd:double"&gt;14.7787830038189&lt;/D&gt;&lt;D xsi:type="xsd:double"&gt;14.1641193569388&lt;/D&gt;&lt;D xsi:type="xsd:double"&gt;14.0466151081835&lt;/D&gt;&lt;D xsi:type="xsd:double"&gt;14.2092224463604&lt;/D&gt;&lt;D xsi:type="xsd:double"&gt;14.107956356755&lt;/D&gt;&lt;D xsi:type="xsd:double"&gt;13.9157714629475&lt;/D&gt;&lt;D xsi:type="xsd:double"&gt;14.1001856742959&lt;/D&gt;&lt;D xsi:type="xsd:double"&gt;13.9060439563188&lt;/D&gt;&lt;D xsi:type="xsd:double"&gt;13.8898834325162&lt;/D&gt;&lt;D xsi:type="xsd:double"&gt;13.1625388688089&lt;/D&gt;&lt;D xsi:type="xsd:double"&gt;12.9514167121362&lt;/D&gt;&lt;D xsi:type="xsd:double"&gt;12.2768786939817&lt;/D&gt;&lt;D xsi:type="xsd:double"&gt;12.8443176067473&lt;/D&gt;&lt;D xsi:type="xsd:double"&gt;13.2311540599575&lt;/D&gt;&lt;D xsi:type="xsd:double"&gt;13.2761737802864&lt;/D&gt;&lt;D xsi:type="xsd:double"&gt;13.427236034518&lt;/D&gt;&lt;D xsi:type="xsd:double"&gt;13.1871173560361&lt;/D&gt;&lt;D xsi:type="xsd:double"&gt;13.5682138672204&lt;/D&gt;&lt;D xsi:type="xsd:double"&gt;13.4258317322727&lt;/D&gt;&lt;D xsi:type="xsd:double"&gt;13.639682675254&lt;/D&gt;&lt;D xsi:type="xsd:double"&gt;13.8112607171591&lt;/D&gt;&lt;D xsi:type="xsd:double"&gt;14.9957795340311&lt;/D&gt;&lt;D xsi:type="xsd:double"&gt;15.1701462453498&lt;/D&gt;&lt;D xsi:type="xsd:double"&gt;15.4651787096354&lt;/D&gt;&lt;D xsi:type="xsd:double"&gt;15.3264041990838&lt;/D&gt;&lt;D xsi:type="xsd:double"&gt;14.0643708168197&lt;/D&gt;&lt;D xsi:type="xsd:double"&gt;13.8058123764859&lt;/D&gt;&lt;D xsi:type="xsd:double"&gt;14.8896869073947&lt;/D&gt;&lt;D xsi:type="xsd:double"&gt;16.9735183280288&lt;/D&gt;&lt;D xsi:type="xsd:double"&gt;17.9694938279274&lt;/D&gt;&lt;D xsi:type="xsd:double"&gt;18.8977148289078&lt;/D&gt;&lt;D xsi:type="xsd:double"&gt;19.8788908704134&lt;/D&gt;&lt;D xsi:type="xsd:double"&gt;20.332643214517&lt;/D&gt;&lt;D xsi:type="xsd:double"&gt;19.4196131907557&lt;/D&gt;&lt;D xsi:type="xsd:double"&gt;20.9037215886831&lt;/D&gt;&lt;D xsi:type="xsd:double"&gt;22.0574672671701&lt;/D&gt;&lt;D xsi:type="xsd:double"&gt;21.5115225621764&lt;/D&gt;&lt;D xsi:type="xsd:double"&gt;20.2511777517591&lt;/D&gt;&lt;D xsi:type="xsd:double"&gt;20.0777812245172&lt;/D&gt;&lt;D xsi:type="xsd:double"&gt;19.1916274922274&lt;/D&gt;&lt;D xsi:type="xsd:double"&gt;18.8450824567692&lt;/D&gt;&lt;D xsi:type="xsd:double"&gt;18.3270679384091&lt;/D&gt;&lt;D xsi:type="xsd:double"&gt;17.5127282866019&lt;/D&gt;&lt;D xsi:type="xsd:double"&gt;16.8385122702839&lt;/D&gt;&lt;D xsi:type="xsd:double"&gt;15.6985740723827&lt;/D&gt;&lt;D xsi:type="xsd:double"&gt;15.7226497506559&lt;/D&gt;&lt;D xsi:type="xsd:double"&gt;14.0789510487142&lt;/D&gt;&lt;D xsi:type="xsd:double"&gt;14.3631212304081&lt;/D&gt;&lt;D xsi:type="xsd:double"&gt;13.2834752552484&lt;/D&gt;&lt;D xsi:type="xsd:double"&gt;12.3151823487368&lt;/D&gt;&lt;D xsi:type="xsd:double"&gt;12.4656035369232&lt;/D&gt;&lt;D xsi:type="xsd:double"&gt;12.1852535335843&lt;/D&gt;&lt;D xsi:type="xsd:double"&gt;12.1395736694844&lt;/D&gt;&lt;D xsi:type="xsd:double"&gt;11.3778626798294&lt;/D&gt;&lt;D xsi:type="xsd:double"&gt;11.5256193945889&lt;/D&gt;&lt;D xsi:type="xsd:double"&gt;10.7948767853942&lt;/D&gt;&lt;D xsi:type="xsd:double"&gt;10.4084659110535&lt;/D&gt;&lt;D xsi:type="xsd:double"&gt;10.5726579554231&lt;/D&gt;&lt;D xsi:type="xsd:double"&gt;11.0712193373567&lt;/D&gt;&lt;D xsi:type="xsd:double"&gt;10.9082701398918&lt;/D&gt;&lt;D xsi:type="xsd:double"&gt;11.759315906175&lt;/D&gt;&lt;D xsi:type="xsd:double"&gt;11.3760445136602&lt;/D&gt;&lt;D xsi:type="xsd:double"&gt;11.3793677064243&lt;/D&gt;&lt;D xsi:type="xsd:double"&gt;11.3485968599654&lt;/D&gt;&lt;D xsi:type="xsd:double"&gt;11.2754704877331&lt;/D&gt;&lt;D xsi:type="xsd:double"&gt;11.273303724595&lt;/D&gt;&lt;D xsi:type="xsd:double"&gt;11.2131397350068&lt;/D&gt;&lt;D xsi:type="xsd:double"&gt;11.2536888534903&lt;/D&gt;&lt;D xsi:type="xsd:double"&gt;10.8990254830743&lt;/D&gt;&lt;D xsi:type="xsd:double"&gt;10.9117388915196&lt;/D&gt;&lt;D xsi:type="xsd:double"&gt;11.6993156466224&lt;/D&gt;&lt;D xsi:type="xsd:double"&gt;11.8420658192394&lt;/D&gt;&lt;D xsi:type="xsd:double"&gt;12.0548326541092&lt;/D&gt;&lt;D xsi:type="xsd:double"&gt;12.5041624970445&lt;/D&gt;&lt;D xsi:type="xsd:double"&gt;12.5948940126307&lt;/D&gt;&lt;/FQL&gt;&lt;FQL&gt;&lt;Q&gt;NI-FDS^MAX(FG_PRICE(0,-5AY))&lt;/Q&gt;&lt;R&gt;1&lt;/R&gt;&lt;C&gt;1&lt;/C&gt;&lt;D xsi:type="xsd:double"&gt;48241&lt;/D&gt;&lt;/FQL&gt;&lt;FQL&gt;&lt;Q&gt;QQQ^SIZE(FG_CONSTITUENTS)&lt;/Q&gt;&lt;R&gt;1&lt;/R&gt;&lt;C&gt;1&lt;/C&gt;&lt;D xsi:type="xsd:long"&gt;102&lt;/D&gt;&lt;/FQL&gt;&lt;FQL&gt;&lt;Q&gt;REFSEREPO-FDS^FG_YIELD(NOW,,,0)&lt;/Q&gt;&lt;R&gt;1&lt;/R&gt;&lt;C&gt;1&lt;/C&gt;&lt;D xsi:type="xsd:double"&gt;4&lt;/D&gt;&lt;/FQL&gt;&lt;FQL&gt;&lt;Q&gt;TRYFR10Y-FDS^PCTCHG(FG_YIELD(0,,,,"YTM"),FG_YIELD(-1AM,,,,"YTM"))&lt;/Q&gt;&lt;R&gt;1&lt;/R&gt;&lt;C&gt;1&lt;/C&gt;&lt;D xsi:type="xsd:double"&gt;-0.79861116&lt;/D&gt;&lt;/FQL&gt;&lt;FQL&gt;&lt;Q&gt;EWD^FMA_PE(LTM,0,,,"PORTAGG","MEANR")&lt;/Q&gt;&lt;R&gt;1&lt;/R&gt;&lt;C&gt;1&lt;/C&gt;&lt;D xsi:type="xsd:double"&gt;14.6699748664497&lt;/D&gt;&lt;/FQL&gt;&lt;FQL&gt;&lt;Q&gt;SPY^FMA_PE(NTMA,0,,,"PORTAGG","MEANR")&lt;/Q&gt;&lt;R&gt;1&lt;/R&gt;&lt;C&gt;1&lt;/C&gt;&lt;D xsi:type="xsd:double"&gt;20.7390737185929&lt;/D&gt;&lt;/FQL&gt;&lt;FQL&gt;&lt;Q&gt;EWC^FMA_EVAL_EBITDA(NTMA,0,,,"PORTAGG","MEANR")&lt;/Q&gt;&lt;R&gt;1&lt;/R&gt;&lt;C&gt;1&lt;/C&gt;&lt;D xsi:type="xsd:double"&gt;9.96348041741114&lt;/D&gt;&lt;/FQL&gt;&lt;FQL&gt;&lt;Q&gt;EWN^FG_TOTAL_RETURNC(0,-6AM)&lt;/Q&gt;&lt;R&gt;1&lt;/R&gt;&lt;C&gt;1&lt;/C&gt;&lt;D xsi:type="xsd:double"&gt;32.0842&lt;/D&gt;&lt;/FQL&gt;&lt;FQL&gt;&lt;Q&gt;EWN^FMA_COS_DOWN("EPS","1M",+1,0,,,"PORTAGG","MEANR")&lt;/Q&gt;&lt;R&gt;1&lt;/R&gt;&lt;C&gt;1&lt;/C&gt;&lt;D xsi:type="xsd:double"&gt;27&lt;/D&gt;&lt;/FQL&gt;&lt;FQL&gt;&lt;Q&gt;VWO^FMA_EVAL_EBITDA(NTMA,0,,,"PORTAGG","MEANR")&lt;/Q&gt;&lt;R&gt;1&lt;/R&gt;&lt;C&gt;1&lt;/C&gt;&lt;D xsi:type="xsd:double"&gt;8.504454954462&lt;/D&gt;&lt;/FQL&gt;&lt;FQL&gt;&lt;Q&gt;EWG^JULIAN(FMA_DIV_YLD(NTMA,NOW,NOW,M,"PORTAGG","MEANR").DATES)&lt;/Q&gt;&lt;R&gt;1&lt;/R&gt;&lt;C&gt;1&lt;/C&gt;&lt;D xsi:type="xsd:long"&gt;45379&lt;/D&gt;&lt;/FQL&gt;&lt;FQL&gt;&lt;Q&gt;EWA^P_PRICE(0)/P_PRICE_HIGH_PR(0,,,USD,,,"PRICE","INTRA","52W")&lt;/Q&gt;&lt;R&gt;1&lt;/R&gt;&lt;C&gt;1&lt;/C&gt;&lt;D xsi:type="xsd:double"&gt;0.9756389&lt;/D&gt;&lt;/FQL&gt;&lt;FQL&gt;&lt;Q&gt;TRYVN10Y-FDS^FG_YIELD(-10AY,0,Y,,"YTM")&lt;/Q&gt;&lt;R&gt;10&lt;/R&gt;&lt;C&gt;1&lt;/C&gt;&lt;D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xsi:type="xsd:double"&gt;2.9473283&lt;/D&gt;&lt;/FQL&gt;&lt;FQL&gt;&lt;Q&gt;EWL^P_PRICE_RETURNS_PR('52W',2,-10AY,0,AM)&lt;/Q&gt;&lt;R&gt;121&lt;/R&gt;&lt;C&gt;1&lt;/C&gt;&lt;D xsi:type="xsd:double"&gt;18.5351&lt;/D&gt;&lt;D xsi:type="xsd:double"&gt;17.651249&lt;/D&gt;&lt;D xsi:type="xsd:double"&gt;20.19266&lt;/D&gt;&lt;D xsi:type="xsd:double"&gt;23.149193&lt;/D&gt;&lt;D xsi:type="xsd:double"&gt;10.187996&lt;/D&gt;&lt;D xsi:type="xsd:double"&gt;15.575576&lt;/D&gt;&lt;D xsi:type="xsd:double"&gt;3.9068103&lt;/D&gt;&lt;D xsi:type="xsd:double"&gt;2.1386623&lt;/D&gt;&lt;D xsi:type="xsd:double"&gt;7.1262956&lt;/D&gt;&lt;D xsi:type="xsd:double"&gt;0.13849735&lt;/D&gt;&lt;D xsi:type="xsd:double"&gt;4.323542&lt;/D&gt;&lt;D xsi:type="xsd:double"&gt;-0.4715383&lt;/D&gt;&lt;D xsi:type="xsd:double"&gt;0.28125048&lt;/D&gt;&lt;D xsi:type="xsd:double"&gt;2.2981524&lt;/D&gt;&lt;D xsi:type="xsd:double"&gt;2.9393435&lt;/D&gt;&lt;D xsi:type="xsd:double"&gt;-1.6312003&lt;/D&gt;&lt;D xsi:type="xsd:double"&gt;6.43003&lt;/D&gt;&lt;D xsi:type="xsd:double"&gt;-5.443102&lt;/D&gt;&lt;D xsi:type="xsd:double"&gt;-0.750196&lt;/D&gt;&lt;D xsi:type="xsd:double"&gt;1.8128037&lt;/D&gt;&lt;D xsi:type="xsd:double"&gt;-2.2881508&lt;/D&gt;&lt;D xsi:type="xsd:double"&gt;-0.339365&lt;/D&gt;&lt;D xsi:type="xsd:double"&gt;-8.907461&lt;/D&gt;&lt;D xsi:type="xsd:double"&gt;-9.411359&lt;/D&gt;&lt;D xsi:type="xsd:double"&gt;-10.270101&lt;/D&gt;&lt;D xsi:type="xsd:double"&gt;-11.954176&lt;/D&gt;&lt;D xsi:type="xsd:double"&gt;-10.641277&lt;/D&gt;&lt;D xsi:type="xsd:double"&gt;-7.0082664&lt;/D&gt;&lt;D xsi:type="xsd:double"&gt;-9.456658&lt;/D&gt;&lt;D xsi:type="xsd:double"&gt;0.49598217&lt;/D&gt;&lt;D xsi:type="xsd:double"&gt;0.773859&lt;/D&gt;&lt;D xsi:type="xsd:double"&gt;-7.6879206&lt;/D&gt;&lt;D xsi:type="xsd:double"&gt;-6.367117&lt;/D&gt;&lt;D xsi:type="xsd:double"&gt;-0.052011013&lt;/D&gt;&lt;D xsi:type="xsd:double"&gt;8.6526985&lt;/D&gt;&lt;D xsi:type="xsd:double"&gt;10.03381&lt;/D&gt;&lt;D xsi:type="xsd:double"&gt;11.012232&lt;/D&gt;&lt;D xsi:type="xsd:double"&gt;16.625643&lt;/D&gt;&lt;D xsi:type="xsd:double"&gt;18.078375&lt;/D&gt;&lt;D xsi:type="xsd:double"&gt;17.698383&lt;/D&gt;&lt;D xsi:type="xsd:double"&gt;18.712389&lt;/D&gt;&lt;D xsi:type="xsd:double"&gt;15.711641&lt;/D&gt;&lt;D xsi:type="xsd:double"&gt;18.261147&lt;/D&gt;&lt;D xsi:type="xsd:double"&gt;23.27584&lt;/D&gt;&lt;D xsi:type="xsd:double"&gt;26.06455&lt;/D&gt;&lt;D xsi:type="xsd:double"&gt;23.550833&lt;/D&gt;&lt;D xsi:type="xsd:double"&gt;21.918571&lt;/D&gt;&lt;D xsi:type="xsd:double"&gt;12.266958&lt;/D&gt;&lt;D xsi:type="xsd:double"&gt;8.0073595&lt;/D&gt;&lt;D xsi:type="xsd:double"&gt;1.8988132&lt;/D&gt;&lt;D xsi:type="xsd:double"&gt;-2.6541471&lt;/D&gt;&lt;D xsi:type="xsd:double"&gt;-2.4191916&lt;/D&gt;&lt;D xsi:type="xsd:double"&gt;2.1828651&lt;/D&gt;&lt;D xsi:type="xsd:double"&gt;3.2556415&lt;/D&gt;&lt;D xsi:type="xsd:double"&gt;-0.4336536&lt;/D&gt;&lt;D xsi:type="xsd:double"&gt;-1.4680624&lt;/D&gt;&lt;D xsi:type="xsd:double"&gt;-3.069812&lt;/D&gt;&lt;D xsi:type="xsd:double"&gt;-9.071302&lt;/D&gt;&lt;D xsi:type="xsd:double"&gt;-6.5231323&lt;/D&gt;&lt;D xsi:type="xsd:double"&gt;3.6711335&lt;/D&gt;&lt;D xsi:type="xsd:double"&gt;7.8661203&lt;/D&gt;&lt;D xsi:type="xsd:double"&gt;9.3153715&lt;/D&gt;&lt;D xsi:type="xsd:double"&gt;11.262714&lt;/D&gt;&lt;D xsi:type="xsd:double"&gt;18.200148&lt;/D&gt;&lt;D xsi:type="xsd:double"&gt;9.807861&lt;/D&gt;&lt;D xsi:type="xsd:double"&gt;11.54778&lt;/D&gt;&lt;D xsi:type="xsd:double"&gt;10.5322&lt;/D&gt;&lt;D xsi:type="xsd:double"&gt;19.325363&lt;/D&gt;&lt;D xsi:type="xsd:double"&gt;20.104683&lt;/D&gt;&lt;D xsi:type="xsd:double"&gt;32.84123&lt;/D&gt;&lt;D xsi:type="xsd:double"&gt;26.366901&lt;/D&gt;&lt;D xsi:type="xsd:double"&gt;18.471872&lt;/D&gt;&lt;D xsi:type="xsd:double"&gt;-0.8005023&lt;/D&gt;&lt;D xsi:type="xsd:double"&gt;2.5049329&lt;/D&gt;&lt;D xsi:type="xsd:double"&gt;9.77881&lt;/D&gt;&lt;D xsi:type="xsd:double"&gt;6.6479445&lt;/D&gt;&lt;D xsi:type="xsd:double"&gt;12.457061&lt;/D&gt;&lt;D xsi:type="xsd:double"&gt;11.971855&lt;/D&gt;&lt;D xsi:type="xsd:double"&gt;15.904558&lt;/D&gt;&lt;D xsi:type="xsd:double"&gt;9.006559&lt;/D&gt;&lt;D xsi:type="xsd:double"&gt;13.106704&lt;/D&gt;&lt;D xsi:type="xsd:double"&gt;12.87409&lt;/D&gt;&lt;D xsi:type="xsd:double"&gt;10.031271&lt;/D&gt;&lt;D xsi:type="xsd:double"&gt;8.459436&lt;/D&gt;&lt;D xsi:type="xsd:double"&gt;32.477615&lt;/D&gt;&lt;D xsi:type="xsd:double"&gt;28.48674&lt;/D&gt;&lt;D xsi:type="xsd:double"&gt;27.789795&lt;/D&gt;&lt;D xsi:type="xsd:double"&gt;26.301552&lt;/D&gt;&lt;D xsi:type="xsd:double"&gt;24.714672&lt;/D&gt;&lt;D xsi:type="xsd:double"&gt;24.705482&lt;/D&gt;&lt;D xsi:type="xsd:double"&gt;15.384161&lt;/D&gt;&lt;D xsi:type="xsd:double"&gt;25.359858&lt;/D&gt;&lt;D xsi:type="xsd:double"&gt;17.55787&lt;/D&gt;&lt;D xsi:type="xsd:double"&gt;19.002687&lt;/D&gt;&lt;D xsi:type="xsd:double"&gt;11.445117&lt;/D&gt;&lt;D xsi:type="xsd:double"&gt;8.708275&lt;/D&gt;&lt;D xsi:type="xsd:double"&gt;12.8106&lt;/D&gt;&lt;D xsi:type="xsd:double"&gt;2.8615952&lt;/D&gt;&lt;D xsi:type="xsd:double"&gt;-6.439626&lt;/D&gt;&lt;D xsi:type="xsd:double"&gt;-13.02101&lt;/D&gt;&lt;D xsi:type="xsd:double"&gt;-12.25952&lt;/D&gt;&lt;D xsi:type="xsd:double"&gt;-19.85411&lt;/D&gt;&lt;D xsi:type="xsd:double"&gt;-14.709366&lt;/D&gt;&lt;D xsi:type="xsd:double"&gt;-21.577942&lt;/D&gt;&lt;D xsi:type="xsd:double"&gt;-10.534376&lt;/D&gt;&lt;D xsi:type="xsd:double"&gt;-15.86219&lt;/D&gt;&lt;D xsi:type="xsd:double"&gt;-6.1262665&lt;/D&gt;&lt;D xsi:type="xsd:double"&gt;-4.2694807&lt;/D&gt;&lt;D xsi:type="xsd:double"&gt;-6.7312183&lt;/D&gt;&lt;D xsi:type="xsd:double"&gt;6.2956095&lt;/D&gt;&lt;D xsi:type="xsd:double"&gt;5.598259&lt;/D&gt;&lt;D xsi:type="xsd:double"&gt;12.91697&lt;/D&gt;&lt;D xsi:type="xsd:double"&gt;9.645796&lt;/D&gt;&lt;D xsi:type="xsd:double"&gt;17.080784&lt;/D&gt;&lt;D xsi:type="xsd:double"&gt;11.90691&lt;/D&gt;&lt;D xsi:type="xsd:double"&gt;16.117775&lt;/D&gt;&lt;D xsi:type="xsd:double"&gt;7.92259&lt;/D&gt;&lt;D xsi:type="xsd:double"&gt;12.464738&lt;/D&gt;&lt;D xsi:type="xsd:double"&gt;6.921208&lt;/D&gt;&lt;D xsi:type="xsd:double"&gt;8.590376&lt;/D&gt;&lt;D xsi:type="xsd:double"&gt;5.3003907&lt;/D&gt;&lt;/FQL&gt;&lt;FQL&gt;&lt;Q&gt;EWQ^FG_PRICE_MAVG(0,,,,60)&lt;/Q&gt;&lt;R&gt;1&lt;/R&gt;&lt;C&gt;1&lt;/C&gt;&lt;D xsi:type="xsd:double"&gt;39.74383&lt;/D&gt;&lt;/FQL&gt;&lt;FQL&gt;&lt;Q&gt;EWN^FMA_COS_UP("EPS","1M",+1,0,,,"PORTAGG","MEANR")&lt;/Q&gt;&lt;R&gt;1&lt;/R&gt;&lt;C&gt;1&lt;/C&gt;&lt;D xsi:type="xsd:double"&gt;17&lt;/D&gt;&lt;/FQL&gt;&lt;FQL&gt;&lt;Q&gt;^FG_YIELD(-10AY,0,Y,,"YTM")&lt;/Q&gt;&lt;R&gt;10&lt;/R&gt;&lt;C&gt;1&lt;/C&gt;&lt;D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xsi:type="xsd:string"&gt;@NA&lt;/D&gt;&lt;/FQL&gt;&lt;FQL&gt;&lt;Q&gt;EWN^FG_TOTAL_RETURNC(0,-1AM)&lt;/Q&gt;&lt;R&gt;1&lt;/R&gt;&lt;C&gt;1&lt;/C&gt;&lt;D xsi:type="xsd:double"&gt;1.5689611&lt;/D&gt;&lt;/FQL&gt;&lt;FQL&gt;&lt;Q&gt;SPY^SIZE(FG_CONSTITUENTS)&lt;/Q&gt;&lt;R&gt;1&lt;/R&gt;&lt;C&gt;1&lt;/C&gt;&lt;D xsi:type="xsd:long"&gt;504&lt;/D&gt;&lt;/FQL&gt;&lt;FQL&gt;&lt;Q&gt;REFGBBANK-FDS^PROPER_NAME(0,,,"SECURITY","NAME")&lt;/Q&gt;&lt;R&gt;1&lt;/R&gt;&lt;C&gt;1&lt;/C&gt;&lt;D xsi:type="xsd:string"&gt;UK Bank Rate&lt;/D&gt;&lt;/FQL&gt;&lt;FQL&gt;&lt;Q&gt;VWO^FG_FCF_YIELD_NTM(0)&lt;/Q&gt;&lt;R&gt;1&lt;/R&gt;&lt;C&gt;1&lt;/C&gt;&lt;D xsi:type="xsd:double"&gt;5.58271304727231&lt;/D&gt;&lt;/FQL&gt;&lt;FQL&gt;&lt;Q&gt;DBA^FG_TOTAL_RETURNC(0,-1AM)&lt;/Q&gt;&lt;R&gt;1&lt;/R&gt;&lt;C&gt;1&lt;/C&gt;&lt;D xsi:type="xsd:double"&gt;10.467696&lt;/D&gt;&lt;/FQL&gt;&lt;FQL&gt;&lt;Q&gt;TRYNL10Y-FDS^PCTCHG(FG_YIELD(0,,,,"YTM"),FG_YIELD(-3AM,,,,"YTM"))&lt;/Q&gt;&lt;R&gt;1&lt;/R&gt;&lt;C&gt;1&lt;/C&gt;&lt;D xsi:type="xsd:double"&gt;9.447199&lt;/D&gt;&lt;/FQL&gt;&lt;FQL&gt;&lt;Q&gt;SPY^PERCENT_CHANGE(FMA_EPS(+1,0,,,,"PORTAGG","MEAN"),FMA_EPS(+1,-1AM,,,,"PORTAGG","MEAN"))&lt;/Q&gt;&lt;R&gt;1&lt;/R&gt;&lt;C&gt;1&lt;/C&gt;&lt;D xsi:type="xsd:double"&gt;-0.223682852506911&lt;/D&gt;&lt;/FQL&gt;&lt;FQL&gt;&lt;Q&gt;EWL^FMA_EVAL_EBIT(LTMA,NOW,NOW,M,"PORTAGG","MEANR")&lt;/Q&gt;&lt;R&gt;1&lt;/R&gt;&lt;C&gt;1&lt;/C&gt;&lt;D xsi:type="xsd:double"&gt;16.6905634669713&lt;/D&gt;&lt;/FQL&gt;&lt;FQL&gt;&lt;Q&gt;EWD^FMA_COS_UP("EPS","1M",+1,0,,,"PORTAGG","MEANR")&lt;/Q&gt;&lt;R&gt;1&lt;/R&gt;&lt;C&gt;1&lt;/C&gt;&lt;D xsi:type="xsd:double"&gt;14&lt;/D&gt;&lt;/FQL&gt;&lt;FQL&gt;&lt;Q&gt;EWQ^FG_PRICE_MAVG(0,,,,30)&lt;/Q&gt;&lt;R&gt;1&lt;/R&gt;&lt;C&gt;1&lt;/C&gt;&lt;D xsi:type="xsd:double"&gt;40.951332&lt;/D&gt;&lt;/FQL&gt;&lt;FQL&gt;&lt;Q&gt;ENZL^FMA_EVAL_EBIT(LTMA,NOW,NOW,M,"PORTAGG","MEANR")&lt;/Q&gt;&lt;R&gt;1&lt;/R&gt;&lt;C&gt;1&lt;/C&gt;&lt;D xsi:type="xsd:double"&gt;20.5144981314625&lt;/D&gt;&lt;/FQL&gt;&lt;FQL&gt;&lt;Q&gt;VWO^FG_PE_NTM(0,,,90,0)&lt;/Q&gt;&lt;R&gt;1&lt;/R&gt;&lt;C&gt;1&lt;/C&gt;&lt;D xsi:type="xsd:double"&gt;12.3139757849831&lt;/D&gt;&lt;/FQL&gt;&lt;FQL&gt;&lt;Q&gt;VWO^PERCENT_CHANGE(FMA_EPS(+1,0,,,,"PORTAGG","MEAN"),FMA_EPS(+1,-1AM,,,,"PORTAGG","MEAN"))&lt;/Q&gt;&lt;R&gt;1&lt;/R&gt;&lt;C&gt;1&lt;/C&gt;&lt;D xsi:type="xsd:double"&gt;0&lt;/D&gt;&lt;/FQL&gt;&lt;FQL&gt;&lt;Q&gt;EWN^FMA_DIV_YLD(NTMA,-10AY,0,AM,"PORTAGG","MEANR")&lt;/Q&gt;&lt;R&gt;121&lt;/R&gt;&lt;C&gt;1&lt;/C&gt;&lt;D xsi:type="xsd:double"&gt;2.67126707524373&lt;/D&gt;&lt;D xsi:type="xsd:double"&gt;2.81697348034319&lt;/D&gt;&lt;D xsi:type="xsd:double"&gt;2.81302604363984&lt;/D&gt;&lt;D xsi:type="xsd:double"&gt;2.74809731260379&lt;/D&gt;&lt;D xsi:type="xsd:double"&gt;3.02855808781653&lt;/D&gt;&lt;D xsi:type="xsd:double"&gt;2.92833905600878&lt;/D&gt;&lt;D xsi:type="xsd:double"&gt;3.06632105731315&lt;/D&gt;&lt;D xsi:type="xsd:double"&gt;3.13825561926678&lt;/D&gt;&lt;D xsi:type="xsd:double"&gt;3.01333652251545&lt;/D&gt;&lt;D xsi:type="xsd:double"&gt;3.08146154647867&lt;/D&gt;&lt;D xsi:type="xsd:double"&gt;2.90041212861688&lt;/D&gt;&lt;D xsi:type="xsd:double"&gt;2.71151167153017&lt;/D&gt;&lt;D xsi:type="xsd:double"&gt;2.65446860563694&lt;/D&gt;&lt;D xsi:type="xsd:double"&gt;2.73851380507085&lt;/D&gt;&lt;D xsi:type="xsd:double"&gt;2.86920066045636&lt;/D&gt;&lt;D xsi:type="xsd:double"&gt;2.95031048369196&lt;/D&gt;&lt;D xsi:type="xsd:double"&gt;2.86384022510323&lt;/D&gt;&lt;D xsi:type="xsd:double"&gt;3.48373985946937&lt;/D&gt;&lt;D xsi:type="xsd:double"&gt;3.59274484905921&lt;/D&gt;&lt;D xsi:type="xsd:double"&gt;3.18525859456351&lt;/D&gt;&lt;D xsi:type="xsd:double"&gt;3.24592202388408&lt;/D&gt;&lt;D xsi:type="xsd:double"&gt;3.21759422453154&lt;/D&gt;&lt;D xsi:type="xsd:double"&gt;3.40650652264899&lt;/D&gt;&lt;D xsi:type="xsd:double"&gt;3.30689514791493&lt;/D&gt;&lt;D xsi:type="xsd:double"&gt;3.33420247127681&lt;/D&gt;&lt;D xsi:type="xsd:double"&gt;3.44491716761665&lt;/D&gt;&lt;D xsi:type="xsd:double"&gt;3.15820379646118&lt;/D&gt;&lt;D xsi:type="xsd:double"&gt;3.32961459433652&lt;/D&gt;&lt;D xsi:type="xsd:double"&gt;3.22708402576824&lt;/D&gt;&lt;D xsi:type="xsd:double"&gt;3.06719574638024&lt;/D&gt;&lt;D xsi:type="xsd:double"&gt;3.08425972778601&lt;/D&gt;&lt;D xsi:type="xsd:double"&gt;3.22947777603248&lt;/D&gt;&lt;D xsi:type="xsd:double"&gt;3.17431436302957&lt;/D&gt;&lt;D xsi:type="xsd:double"&gt;2.93909982755878&lt;/D&gt;&lt;D xsi:type="xsd:double"&gt;2.9453471749988&lt;/D&gt;&lt;D xsi:type="xsd:double"&gt;2.81676394391233&lt;/D&gt;&lt;D xsi:type="xsd:double"&gt;2.77519558482281&lt;/D&gt;&lt;D xsi:type="xsd:double"&gt;2.69896207538921&lt;/D&gt;&lt;D xsi:type="xsd:double"&gt;2.69270382525859&lt;/D&gt;&lt;D xsi:type="xsd:double"&gt;2.80029212195414&lt;/D&gt;&lt;D xsi:type="xsd:double"&gt;2.75012306960095&lt;/D&gt;&lt;D xsi:type="xsd:double"&gt;2.86919605885253&lt;/D&gt;&lt;D xsi:type="xsd:double"&gt;2.77129783606755&lt;/D&gt;&lt;D xsi:type="xsd:double"&gt;2.74329851679338&lt;/D&gt;&lt;D xsi:type="xsd:double"&gt;2.84822115568756&lt;/D&gt;&lt;D xsi:type="xsd:double"&gt;2.81954100358298&lt;/D&gt;&lt;D xsi:type="xsd:double"&gt;2.85162940046749&lt;/D&gt;&lt;D xsi:type="xsd:double"&gt;3.01713124475304&lt;/D&gt;&lt;D xsi:type="xsd:double"&gt;3.01601066750348&lt;/D&gt;&lt;D xsi:type="xsd:double"&gt;2.93207103567599&lt;/D&gt;&lt;D xsi:type="xsd:double"&gt;2.87658370110586&lt;/D&gt;&lt;D xsi:type="xsd:double"&gt;2.96667622010222&lt;/D&gt;&lt;D xsi:type="xsd:double"&gt;2.8361045196147&lt;/D&gt;&lt;D xsi:type="xsd:double"&gt;2.9457349883553&lt;/D&gt;&lt;D xsi:type="xsd:double"&gt;3.0626344642723&lt;/D&gt;&lt;D xsi:type="xsd:double"&gt;3.19994166073887&lt;/D&gt;&lt;D xsi:type="xsd:double"&gt;3.22002155234071&lt;/D&gt;&lt;D xsi:type="xsd:double"&gt;3.45552055978227&lt;/D&gt;&lt;D xsi:type="xsd:double"&gt;3.25001712180833&lt;/D&gt;&lt;D xsi:type="xsd:double"&gt;3.10244073755478&lt;/D&gt;&lt;D xsi:type="xsd:double"&gt;3.00838411035306&lt;/D&gt;&lt;D xsi:type="xsd:double"&gt;2.95313298217354&lt;/D&gt;&lt;D xsi:type="xsd:double"&gt;3.15568448964536&lt;/D&gt;&lt;D xsi:type="xsd:double"&gt;2.94241711839443&lt;/D&gt;&lt;D xsi:type="xsd:double"&gt;2.96913777924068&lt;/D&gt;&lt;D xsi:type="xsd:double"&gt;2.92586473374311&lt;/D&gt;&lt;D xsi:type="xsd:double"&gt;2.81032375082343&lt;/D&gt;&lt;D xsi:type="xsd:double"&gt;2.71064626650132&lt;/D&gt;&lt;D xsi:type="xsd:double"&gt;2.67601295810468&lt;/D&gt;&lt;D xsi:type="xsd:double"&gt;2.57692308486884&lt;/D&gt;&lt;D xsi:type="xsd:double"&gt;2.60371339716205&lt;/D&gt;&lt;D xsi:type="xsd:double"&gt;2.78069297740998&lt;/D&gt;&lt;D xsi:type="xsd:double"&gt;3.20485609528927&lt;/D&gt;&lt;D xsi:type="xsd:double"&gt;2.76635889359986&lt;/D&gt;&lt;D xsi:type="xsd:double"&gt;2.38028706088979&lt;/D&gt;&lt;D xsi:type="xsd:double"&gt;2.34370971906715&lt;/D&gt;&lt;D xsi:type="xsd:double"&gt;2.3647043844534&lt;/D&gt;&lt;D xsi:type="xsd:double"&gt;2.35778111888305&lt;/D&gt;&lt;D xsi:type="xsd:double"&gt;2.32667070572977&lt;/D&gt;&lt;D xsi:type="xsd:double"&gt;2.29481037849603&lt;/D&gt;&lt;D xsi:type="xsd:double"&gt;2.05513811281423&lt;/D&gt;&lt;D xsi:type="xsd:double"&gt;1.94684423360957&lt;/D&gt;&lt;D xsi:type="xsd:double"&gt;1.9410179083804&lt;/D&gt;&lt;D xsi:type="xsd:double"&gt;2.09168273222309&lt;/D&gt;&lt;D xsi:type="xsd:double"&gt;1.91768256488738&lt;/D&gt;&lt;D xsi:type="xsd:double"&gt;2.01504220238602&lt;/D&gt;&lt;D xsi:type="xsd:double"&gt;2.00071757628817&lt;/D&gt;&lt;D xsi:type="xsd:double"&gt;2.00869467931465&lt;/D&gt;&lt;D xsi:type="xsd:double"&gt;1.9248875890576&lt;/D&gt;&lt;D xsi:type="xsd:double"&gt;1.83825569482228&lt;/D&gt;&lt;D xsi:type="xsd:double"&gt;2.01206758872996&lt;/D&gt;&lt;D xsi:type="xsd:double"&gt;1.84565483419015&lt;/D&gt;&lt;D xsi:type="xsd:double"&gt;2.00595870227783&lt;/D&gt;&lt;D xsi:type="xsd:double"&gt;1.93435633515663&lt;/D&gt;&lt;D xsi:type="xsd:double"&gt;2.23184375093928&lt;/D&gt;&lt;D xsi:type="xsd:double"&gt;2.49780948125594&lt;/D&gt;&lt;D xsi:type="xsd:double"&gt;2.21128891636716&lt;/D&gt;&lt;D xsi:type="xsd:double"&gt;2.41589059233176&lt;/D&gt;&lt;D xsi:type="xsd:double"&gt;2.56093646803958&lt;/D&gt;&lt;D xsi:type="xsd:double"&gt;3.48420352945727&lt;/D&gt;&lt;D xsi:type="xsd:double"&gt;3.0413857238227&lt;/D&gt;&lt;D xsi:type="xsd:double"&gt;3.79304012738643&lt;/D&gt;&lt;D xsi:type="xsd:double"&gt;2.91948559780481&lt;/D&gt;&lt;D xsi:type="xsd:double"&gt;2.94884022376906&lt;/D&gt;&lt;D xsi:type="xsd:double"&gt;2.63424289569049&lt;/D&gt;&lt;D xsi:type="xsd:double"&gt;2.68045351424372&lt;/D&gt;&lt;D xsi:type="xsd:double"&gt;2.50476080702443&lt;/D&gt;&lt;D xsi:type="xsd:double"&gt;2.62721850533603&lt;/D&gt;&lt;D xsi:type="xsd:double"&gt;2.65294836704233&lt;/D&gt;&lt;D xsi:type="xsd:double"&gt;2.72641952521934&lt;/D&gt;&lt;D xsi:type="xsd:double"&gt;2.6879028226558&lt;/D&gt;&lt;D xsi:type="xsd:double"&gt;2.6869293408094&lt;/D&gt;&lt;D xsi:type="xsd:double"&gt;2.72530883332597&lt;/D&gt;&lt;D xsi:type="xsd:double"&gt;2.88342968572098&lt;/D&gt;&lt;D xsi:type="xsd:double"&gt;3.05843484996484&lt;/D&gt;&lt;D xsi:type="xsd:double"&gt;2.97389704718241&lt;/D&gt;&lt;D xsi:type="xsd:double"&gt;2.78761984093795&lt;/D&gt;&lt;D xsi:type="xsd:double"&gt;2.73321155894995&lt;/D&gt;&lt;D xsi:type="xsd:double"&gt;2.5530473761579&lt;/D&gt;&lt;D xsi:type="xsd:double"&gt;2.57485107799925&lt;/D&gt;&lt;D xsi:type="xsd:double"&gt;2.5199373366355&lt;/D&gt;&lt;/FQL&gt;&lt;FQL&gt;&lt;Q&gt;REFCHMPR-FDS^PROPER_NAME(0,,,"SECURITY","NAME")&lt;/Q&gt;&lt;R&gt;1&lt;/R&gt;&lt;C&gt;1&lt;/C&gt;&lt;D xsi:type="xsd:string"&gt;Swiss Policy Rate - Sight Deposit Rate&lt;/D&gt;&lt;/FQL&gt;&lt;FQL&gt;&lt;Q&gt;ENZL^FMA_EVAL_EBITDA(NTMA,0,,,"PORTAGG","MEANR")&lt;/Q&gt;&lt;R&gt;1&lt;/R&gt;&lt;C&gt;1&lt;/C&gt;&lt;D xsi:type="xsd:double"&gt;12.2989882752734&lt;/D&gt;&lt;/FQL&gt;&lt;FQL&gt;&lt;Q&gt;EWC^FG_TOTAL_RETURNC(0,-6AM)&lt;/Q&gt;&lt;R&gt;1&lt;/R&gt;&lt;C&gt;1&lt;/C&gt;&lt;D xsi:type="xsd:double"&gt;19.677639&lt;/D&gt;&lt;/FQL&gt;&lt;FQL&gt;&lt;Q&gt;TRYDE10Y-FDS^FG_YIELD(-10AY,0,Y,,"YTM")&lt;/Q&gt;&lt;R&gt;10&lt;/R&gt;&lt;C&gt;1&lt;/C&gt;&lt;D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xsi:type="xsd:double"&gt;2.004&lt;/D&gt;&lt;/FQL&gt;&lt;FQL&gt;&lt;Q&gt;SPY^FG_PRICE_MAVG(0,,,,200)&lt;/Q&gt;&lt;R&gt;1&lt;/R&gt;&lt;C&gt;1&lt;/C&gt;&lt;D xsi:type="xsd:double"&gt;462.2728&lt;/D&gt;&lt;/FQL&gt;&lt;FQL&gt;&lt;Q&gt;SPY^PERCENT_CHANGE(FMA_EPS(+1,0,,,,"PORTAGG","MEAN"),FMA_EPS(+1,-3AM,,,,"PORTAGG","MEAN"))&lt;/Q&gt;&lt;R&gt;1&lt;/R&gt;&lt;C&gt;1&lt;/C&gt;&lt;D xsi:type="xsd:double"&gt;-0.221443483220838&lt;/D&gt;&lt;/FQL&gt;&lt;FQL&gt;&lt;Q&gt;ENZL^FMA_DIV_YLD(NTMA,NOW,NOW,M,"PORTAGG","MEANR")&lt;/Q&gt;&lt;R&gt;1&lt;/R&gt;&lt;C&gt;1&lt;/C&gt;&lt;D xsi:type="xsd:double"&gt;2.74326885778498&lt;/D&gt;&lt;/FQL&gt;&lt;FQL&gt;&lt;Q&gt;EWD^FMA_EVAL_EBIT(LTMA,NOW,NOW,M,"PORTAGG","MEANR")&lt;/Q&gt;&lt;R&gt;1&lt;/R&gt;&lt;C&gt;1&lt;/C&gt;&lt;D xsi:type="xsd:double"&gt;15.9478545682506&lt;/D&gt;&lt;/FQL&gt;&lt;FQL&gt;&lt;Q&gt;EWL^FMA_EVAL_EBITDA(NTMA,0,,,"PORTAGG","MEANR")&lt;/Q&gt;&lt;R&gt;1&lt;/R&gt;&lt;C&gt;1&lt;/C&gt;&lt;D xsi:type="xsd:double"&gt;12.8544593246742&lt;/D&gt;&lt;/FQL&gt;&lt;FQL&gt;&lt;Q&gt;QQQ^FMA_DIV_YLD(NTMA,-10AY,0,AM,"PORTAGG","MEANR")&lt;/Q&gt;&lt;R&gt;121&lt;/R&gt;&lt;C&gt;1&lt;/C&gt;&lt;D xsi:type="xsd:double"&gt;1.42203366990281&lt;/D&gt;&lt;D xsi:type="xsd:double"&gt;1.35765022006343&lt;/D&gt;&lt;D xsi:type="xsd:double"&gt;1.31085769127697&lt;/D&gt;&lt;D xsi:type="xsd:double"&gt;1.24295239364795&lt;/D&gt;&lt;D xsi:type="xsd:double"&gt;1.26009035450258&lt;/D&gt;&lt;D xsi:type="xsd:double"&gt;1.21679091316816&lt;/D&gt;&lt;D xsi:type="xsd:double"&gt;1.24654883397084&lt;/D&gt;&lt;D xsi:type="xsd:double"&gt;1.22815233439533&lt;/D&gt;&lt;D xsi:type="xsd:double"&gt;1.19860449424864&lt;/D&gt;&lt;D xsi:type="xsd:double"&gt;1.20789072103969&lt;/D&gt;&lt;D xsi:type="xsd:double"&gt;1.26336058111876&lt;/D&gt;&lt;D xsi:type="xsd:double"&gt;1.21014085450188&lt;/D&gt;&lt;D xsi:type="xsd:double"&gt;1.28225423001148&lt;/D&gt;&lt;D xsi:type="xsd:double"&gt;1.23725505667508&lt;/D&gt;&lt;D xsi:type="xsd:double"&gt;1.24566531612437&lt;/D&gt;&lt;D xsi:type="xsd:double"&gt;1.26122092774196&lt;/D&gt;&lt;D xsi:type="xsd:double"&gt;1.26898564208871&lt;/D&gt;&lt;D xsi:type="xsd:double"&gt;1.39250307387024&lt;/D&gt;&lt;D xsi:type="xsd:double"&gt;1.36720016176551&lt;/D&gt;&lt;D xsi:type="xsd:double"&gt;1.2500149945807&lt;/D&gt;&lt;D xsi:type="xsd:double"&gt;1.2594201906243&lt;/D&gt;&lt;D xsi:type="xsd:double"&gt;1.28751040267954&lt;/D&gt;&lt;D xsi:type="xsd:double"&gt;1.3984289379076&lt;/D&gt;&lt;D xsi:type="xsd:double"&gt;1.37525834454113&lt;/D&gt;&lt;D xsi:type="xsd:double"&gt;1.32570560832186&lt;/D&gt;&lt;D xsi:type="xsd:double"&gt;1.40017082717854&lt;/D&gt;&lt;D xsi:type="xsd:double"&gt;1.34556864664874&lt;/D&gt;&lt;D xsi:type="xsd:double"&gt;1.35862473258535&lt;/D&gt;&lt;D xsi:type="xsd:double"&gt;1.28814138671485&lt;/D&gt;&lt;D xsi:type="xsd:double"&gt;1.28338731892531&lt;/D&gt;&lt;D xsi:type="xsd:double"&gt;1.26517421884498&lt;/D&gt;&lt;D xsi:type="xsd:double"&gt;1.33313270243846&lt;/D&gt;&lt;D xsi:type="xsd:double"&gt;1.31592340023061&lt;/D&gt;&lt;D xsi:type="xsd:double"&gt;1.28306640940629&lt;/D&gt;&lt;D xsi:type="xsd:double"&gt;1.23899425993883&lt;/D&gt;&lt;D xsi:type="xsd:double"&gt;1.21595978537277&lt;/D&gt;&lt;D xsi:type="xsd:double"&gt;1.20686559068748&lt;/D&gt;&lt;D xsi:type="xsd:double"&gt;1.18304033513769&lt;/D&gt;&lt;D xsi:type="xsd:double"&gt;1.14103212413917&lt;/D&gt;&lt;D xsi:type="xsd:double"&gt;1.21065328104709&lt;/D&gt;&lt;D xsi:type="xsd:double"&gt;1.1733588326675&lt;/D&gt;&lt;D xsi:type="xsd:double"&gt;1.16027732463639&lt;/D&gt;&lt;D xsi:type="xsd:double"&gt;1.16023455436958&lt;/D&gt;&lt;D xsi:type="xsd:double"&gt;1.11336772703611&lt;/D&gt;&lt;D xsi:type="xsd:double"&gt;1.12220869816426&lt;/D&gt;&lt;D xsi:type="xsd:double"&gt;1.07132887243851&lt;/D&gt;&lt;D xsi:type="xsd:double"&gt;1.0631498940693&lt;/D&gt;&lt;D xsi:type="xsd:double"&gt;1.07210358135772&lt;/D&gt;&lt;D xsi:type="xsd:double"&gt;1.12858728074745&lt;/D&gt;&lt;D xsi:type="xsd:double"&gt;1.11070277517455&lt;/D&gt;&lt;D xsi:type="xsd:double"&gt;1.05666052867409&lt;/D&gt;&lt;D xsi:type="xsd:double"&gt;1.08105015398593&lt;/D&gt;&lt;D xsi:type="xsd:double"&gt;1.07950353871957&lt;/D&gt;&lt;D xsi:type="xsd:double"&gt;1.05488183500922&lt;/D&gt;&lt;D xsi:type="xsd:double"&gt;1.08265742986666&lt;/D&gt;&lt;D xsi:type="xsd:double"&gt;1.18219257849352&lt;/D&gt;&lt;D xsi:type="xsd:double"&gt;1.21844131815612&lt;/D&gt;&lt;D xsi:type="xsd:double"&gt;1.30354729744351&lt;/D&gt;&lt;D xsi:type="xsd:double"&gt;1.21144853677109&lt;/D&gt;&lt;D xsi:type="xsd:double"&gt;1.1703388748799&lt;/D&gt;&lt;D xsi:type="xsd:double"&gt;1.11521314586928&lt;/D&gt;&lt;D xsi:type="xsd:double"&gt;1.08025528401419&lt;/D&gt;&lt;D xsi:type="xsd:double"&gt;1.1946491609796&lt;/D&gt;&lt;D xsi:type="xsd:double"&gt;1.08864064799322&lt;/D&gt;&lt;D xsi:type="xsd:double"&gt;1.11621918955703&lt;/D&gt;&lt;D xsi:type="xsd:double"&gt;1.11438660086899&lt;/D&gt;&lt;D xsi:type="xsd:double"&gt;1.11610304227057&lt;/D&gt;&lt;D xsi:type="xsd:double"&gt;1.06797775553727&lt;/D&gt;&lt;D xsi:type="xsd:double"&gt;1.08654061774371&lt;/D&gt;&lt;D xsi:type="xsd:double"&gt;1.0411164867807&lt;/D&gt;&lt;D xsi:type="xsd:double"&gt;0.986578331159224&lt;/D&gt;&lt;D xsi:type="xsd:double"&gt;1.03562781397979&lt;/D&gt;&lt;D xsi:type="xsd:double"&gt;1.23145700730043&lt;/D&gt;&lt;D xsi:type="xsd:double"&gt;1.03156441466986&lt;/D&gt;&lt;D xsi:type="xsd:double"&gt;0.943908619191668&lt;/D&gt;&lt;D xsi:type="xsd:double"&gt;0.879624694337777&lt;/D&gt;&lt;D xsi:type="xsd:double"&gt;0.821397782995049&lt;/D&gt;&lt;D xsi:type="xsd:double"&gt;0.786850768282955&lt;/D&gt;&lt;D xsi:type="xsd:double"&gt;0.812639713215828&lt;/D&gt;&lt;D xsi:type="xsd:double"&gt;0.786855619736535&lt;/D&gt;&lt;D xsi:type="xsd:double"&gt;0.741361956033625&lt;/D&gt;&lt;D xsi:type="xsd:double"&gt;0.775334098941024&lt;/D&gt;&lt;D xsi:type="xsd:double"&gt;0.732022435790007&lt;/D&gt;&lt;D xsi:type="xsd:double"&gt;0.803269981864908&lt;/D&gt;&lt;D xsi:type="xsd:double"&gt;0.754172587513757&lt;/D&gt;&lt;D xsi:type="xsd:double"&gt;0.748040551902438&lt;/D&gt;&lt;D xsi:type="xsd:double"&gt;0.739173930389873&lt;/D&gt;&lt;D xsi:type="xsd:double"&gt;0.696209342838354&lt;/D&gt;&lt;D xsi:type="xsd:double"&gt;0.699840125221087&lt;/D&gt;&lt;D xsi:type="xsd:double"&gt;0.677079344681871&lt;/D&gt;&lt;D xsi:type="xsd:double"&gt;0.739660766413021&lt;/D&gt;&lt;D xsi:type="xsd:double"&gt;0.658299003650073&lt;/D&gt;&lt;D xsi:type="xsd:double"&gt;0.690278907072365&lt;/D&gt;&lt;D xsi:type="xsd:double"&gt;0.671733102296153&lt;/D&gt;&lt;D xsi:type="xsd:double"&gt;0.753452139056872&lt;/D&gt;&lt;D xsi:type="xsd:double"&gt;0.811310912196727&lt;/D&gt;&lt;D xsi:type="xsd:double"&gt;0.743208204830712&lt;/D&gt;&lt;D xsi:type="xsd:double"&gt;0.835415605003777&lt;/D&gt;&lt;D xsi:type="xsd:double"&gt;0.908893488542593&lt;/D&gt;&lt;D xsi:type="xsd:double"&gt;0.992342144236491&lt;/D&gt;&lt;D xsi:type="xsd:double"&gt;0.86965596649927&lt;/D&gt;&lt;D xsi:type="xsd:double"&gt;0.962519191385244&lt;/D&gt;&lt;D xsi:type="xsd:double"&gt;1.01424016343692&lt;/D&gt;&lt;D xsi:type="xsd:double"&gt;1.0907144875189&lt;/D&gt;&lt;D xsi:type="xsd:double"&gt;0.987037692848049&lt;/D&gt;&lt;D xsi:type="xsd:double"&gt;1.04194435377696&lt;/D&gt;&lt;D xsi:type="xsd:double"&gt;0.914675780582251&lt;/D&gt;&lt;D xsi:type="xsd:double"&gt;0.942468656988609&lt;/D&gt;&lt;D xsi:type="xsd:double"&gt;0.889252043063212&lt;/D&gt;&lt;D xsi:type="xsd:double"&gt;0.882073426242688&lt;/D&gt;&lt;D xsi:type="xsd:double"&gt;0.79160911037145&lt;/D&gt;&lt;D xsi:type="xsd:double"&gt;0.761389842345952&lt;/D&gt;&lt;D xsi:type="xsd:double"&gt;0.882686229005201&lt;/D&gt;&lt;D xsi:type="xsd:double"&gt;0.874048684695818&lt;/D&gt;&lt;D xsi:type="xsd:double"&gt;0.942568075471403&lt;/D&gt;&lt;D xsi:type="xsd:double"&gt;0.92832005586592&lt;/D&gt;&lt;D xsi:type="xsd:double"&gt;0.893336434269433&lt;/D&gt;&lt;D xsi:type="xsd:double"&gt;0.950710501186087&lt;/D&gt;&lt;D xsi:type="xsd:double"&gt;0.894830241999803&lt;/D&gt;&lt;D xsi:type="xsd:double"&gt;0.874501764390714&lt;/D&gt;&lt;D xsi:type="xsd:double"&gt;0.903158203748923&lt;/D&gt;&lt;/FQL&gt;&lt;FQL&gt;&lt;Q&gt;EWG^FG_PRICE(0)&lt;/Q&gt;&lt;R&gt;1&lt;/R&gt;&lt;C&gt;1&lt;/C&gt;&lt;D xsi:type="xsd:double"&gt;31.37&lt;/D&gt;&lt;/FQL&gt;&lt;FQL&gt;&lt;Q&gt;EWC^FMA_COS_UP("EPS","1M",+1,0,,,"PORTAGG","MEANR")&lt;/Q&gt;&lt;R&gt;1&lt;/R&gt;&lt;C&gt;1&lt;/C&gt;&lt;D xsi:type="xsd:double"&gt;25&lt;/D&gt;&lt;/FQL&gt;&lt;FQL&gt;&lt;Q&gt;REFJPTON-FDS^(SUBARRAY(NOT_NA(NO_REPEAT_F(FG_YIELD(NOW,-10AY,D))),0,1)-SUBARRAY(NOT_NA(NO_REPEAT_F(FG_YIELD(NOW,-10AY,D))),1,1))*100&lt;/Q&gt;&lt;R&gt;1&lt;/R&gt;&lt;C&gt;1&lt;/C&gt;&lt;D xsi:type="xsd:double"&gt;20&lt;/D&gt;&lt;/FQL&gt;&lt;FQL&gt;&lt;Q&gt;EWI^JULIAN(FMA_DIV_YLD(NTMA,NOW,NOW,M,"PORTAGG","MEANR").DATES)&lt;/Q&gt;&lt;R&gt;1&lt;/R&gt;&lt;C&gt;1&lt;/C&gt;&lt;D xsi:type="xsd:long"&gt;45379&lt;/D&gt;&lt;/FQL&gt;&lt;FQL&gt;&lt;Q&gt;ENZL^FMA_PE(NTMA,0,,,"PORTAGG","MEANR")&lt;/Q&gt;&lt;R&gt;1&lt;/R&gt;&lt;C&gt;1&lt;/C&gt;&lt;D xsi:type="xsd:double"&gt;25.0643293624228&lt;/D&gt;&lt;/FQL&gt;&lt;FQL&gt;&lt;Q&gt;EWD^FMA_DIV_YLD(NTMA,NOW,NOW,M,"PORTAGG","MEANR")&lt;/Q&gt;&lt;R&gt;1&lt;/R&gt;&lt;C&gt;1&lt;/C&gt;&lt;D xsi:type="xsd:double"&gt;3.22735950403511&lt;/D&gt;&lt;/FQL&gt;&lt;FQL&gt;&lt;Q&gt;SPY^FG_FCF_YIELD_NTM(0)&lt;/Q&gt;&lt;R&gt;1&lt;/R&gt;&lt;C&gt;1&lt;/C&gt;&lt;D xsi:type="xsd:double"&gt;4.14005856508068&lt;/D&gt;&lt;/FQL&gt;&lt;FQL&gt;&lt;Q&gt;USDAUD^FG_PRICE_CHANGE(0,-1AY)&lt;/Q&gt;&lt;R&gt;1&lt;/R&gt;&lt;C&gt;1&lt;/C&gt;&lt;D xsi:type="xsd:double"&gt;1.9870043&lt;/D&gt;&lt;/FQL&gt;&lt;FQL&gt;&lt;Q&gt;TRYKR10Y-FDS^FG_YIELD(-10AY,0,Y,,"YTM")&lt;/Q&gt;&lt;R&gt;10&lt;/R&gt;&lt;C&gt;1&lt;/C&gt;&lt;D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xsi:type="xsd:double"&gt;3.1928&lt;/D&gt;&lt;/FQL&gt;&lt;FQL&gt;&lt;Q&gt;EWA^FMA_COS_UP("EPS","1M",+1,0,,,"PORTAGG","MEANR")&lt;/Q&gt;&lt;R&gt;1&lt;/R&gt;&lt;C&gt;1&lt;/C&gt;&lt;D xsi:type="xsd:double"&gt;22&lt;/D&gt;&lt;/FQL&gt;&lt;FQL&gt;&lt;Q&gt;TRYNZ10Y-FDS^PCTCHG(FG_YIELD(0,,,,"YTM"),FG_YIELD(-1AM,,,,"YTM"))&lt;/Q&gt;&lt;R&gt;1&lt;/R&gt;&lt;C&gt;1&lt;/C&gt;&lt;D xsi:type="xsd:double"&gt;-1.7977302&lt;/D&gt;&lt;/FQL&gt;&lt;FQL&gt;&lt;Q&gt;ENZL^FMA_RBICS_REV_CURRENT(30, LOC, "PORTAGG")&lt;/Q&gt;&lt;R&gt;1&lt;/R&gt;&lt;C&gt;1&lt;/C&gt;&lt;D xsi:type="xsd:double"&gt;13.7517044499309&lt;/D&gt;&lt;/FQL&gt;&lt;FQL&gt;&lt;Q&gt;USDJPY^STD(FG_PRICE_CHANGE(0,-3AY,M))&lt;/Q&gt;&lt;R&gt;1&lt;/R&gt;&lt;C&gt;1&lt;/C&gt;&lt;D xsi:type="xsd:double"&gt;3.01948152393537&lt;/D&gt;&lt;/FQL&gt;&lt;FQL&gt;&lt;Q&gt;TRYCA10Y-FDS^FG_YIELD(0,,,,"YTM")&lt;/Q&gt;&lt;R&gt;1&lt;/R&gt;&lt;C&gt;1&lt;/C&gt;&lt;D xsi:type="xsd:double"&gt;3.5533&lt;/D&gt;&lt;/FQL&gt;&lt;FQL&gt;&lt;Q&gt;SPY^FMA_PE(LTMA,-10AY,0,AM,"PORTAGG","MEANR")&lt;/Q&gt;&lt;R&gt;121&lt;/R&gt;&lt;C&gt;1&lt;/C&gt;&lt;D xsi:type="xsd:double"&gt;16.2968359427293&lt;/D&gt;&lt;D xsi:type="xsd:double"&gt;16.2372062655387&lt;/D&gt;&lt;D xsi:type="xsd:double"&gt;16.3003204021029&lt;/D&gt;&lt;D xsi:type="xsd:double"&gt;16.4996505616026&lt;/D&gt;&lt;D xsi:type="xsd:double"&gt;16.2029024156078&lt;/D&gt;&lt;D xsi:type="xsd:double"&gt;16.4849999912374&lt;/D&gt;&lt;D xsi:type="xsd:double"&gt;16.3629751097438&lt;/D&gt;&lt;D xsi:type="xsd:double"&gt;16.684921910295&lt;/D&gt;&lt;D xsi:type="xsd:double"&gt;17.1911357554625&lt;/D&gt;&lt;D xsi:type="xsd:double"&gt;17.2880609023596&lt;/D&gt;&lt;D xsi:type="xsd:double"&gt;17.0995495528243&lt;/D&gt;&lt;D xsi:type="xsd:double"&gt;17.5799708274535&lt;/D&gt;&lt;D xsi:type="xsd:double"&gt;17.4862016147174&lt;/D&gt;&lt;D xsi:type="xsd:double"&gt;17.5670688830186&lt;/D&gt;&lt;D xsi:type="xsd:double"&gt;17.4719082405555&lt;/D&gt;&lt;D xsi:type="xsd:double"&gt;17.3881398304416&lt;/D&gt;&lt;D xsi:type="xsd:double"&gt;17.4804102529502&lt;/D&gt;&lt;D xsi:type="xsd:double"&gt;16.5216733276677&lt;/D&gt;&lt;D xsi:type="xsd:double"&gt;16.6496234324281&lt;/D&gt;&lt;D xsi:type="xsd:double"&gt;17.5924137357809&lt;/D&gt;&lt;D xsi:type="xsd:double"&gt;17.4949842320588&lt;/D&gt;&lt;D xsi:type="xsd:double"&gt;16.8740731560845&lt;/D&gt;&lt;D xsi:type="xsd:double"&gt;16.2966838906097&lt;/D&gt;&lt;D xsi:type="xsd:double"&gt;16.18819342752&lt;/D&gt;&lt;D xsi:type="xsd:double"&gt;16.4452153070474&lt;/D&gt;&lt;D xsi:type="xsd:double"&gt;16.565182572191&lt;/D&gt;&lt;D xsi:type="xsd:double"&gt;16.7753482194953&lt;/D&gt;&lt;D xsi:type="xsd:double"&gt;16.9159239183927&lt;/D&gt;&lt;D xsi:type="xsd:double"&gt;17.3687128662998&lt;/D&gt;&lt;D xsi:type="xsd:double"&gt;17.6159089870747&lt;/D&gt;&lt;D xsi:type="xsd:double"&gt;17.6604468683771&lt;/D&gt;&lt;D xsi:type="xsd:double"&gt;17.2918700891375&lt;/D&gt;&lt;D xsi:type="xsd:double"&gt;18.2194455870168&lt;/D&gt;&lt;D xsi:type="xsd:double"&gt;19.0533805734181&lt;/D&gt;&lt;D xsi:type="xsd:double"&gt;19.0470058282493&lt;/D&gt;&lt;D xsi:type="xsd:double"&gt;19.5059964529408&lt;/D&gt;&lt;D xsi:type="xsd:double"&gt;19.3170637122769&lt;/D&gt;&lt;D xsi:type="xsd:double"&gt;19.2164526892078&lt;/D&gt;&lt;D xsi:type="xsd:double"&gt;19.238310359636&lt;/D&gt;&lt;D xsi:type="xsd:double"&gt;19.0961398757214&lt;/D&gt;&lt;D xsi:type="xsd:double"&gt;19.1759928307014&lt;/D&gt;&lt;D xsi:type="xsd:double"&gt;19.0917620071552&lt;/D&gt;&lt;D xsi:type="xsd:double"&gt;19.4373095021123&lt;/D&gt;&lt;D xsi:type="xsd:double"&gt;19.6418530820794&lt;/D&gt;&lt;D xsi:type="xsd:double"&gt;19.9724142674525&lt;/D&gt;&lt;D xsi:type="xsd:double"&gt;20.5965677858188&lt;/D&gt;&lt;D xsi:type="xsd:double"&gt;20.4222110096896&lt;/D&gt;&lt;D xsi:type="xsd:double"&gt;19.753213097976&lt;/D&gt;&lt;D xsi:type="xsd:double"&gt;19.3882771370759&lt;/D&gt;&lt;D xsi:type="xsd:double"&gt;19.0584991730264&lt;/D&gt;&lt;D xsi:type="xsd:double"&gt;18.9288508433386&lt;/D&gt;&lt;D xsi:type="xsd:double"&gt;18.5562986133552&lt;/D&gt;&lt;D xsi:type="xsd:double"&gt;18.6694704620637&lt;/D&gt;&lt;D xsi:type="xsd:double"&gt;18.654180542312&lt;/D&gt;&lt;D xsi:type="xsd:double"&gt;18.5055152210056&lt;/D&gt;&lt;D xsi:type="xsd:double"&gt;17.3250553415588&lt;/D&gt;&lt;D xsi:type="xsd:double"&gt;16.8848339833356&lt;/D&gt;&lt;D xsi:type="xsd:double"&gt;15.6618488826115&lt;/D&gt;&lt;D xsi:type="xsd:double"&gt;16.8014756694772&lt;/D&gt;&lt;D xsi:type="xsd:double"&gt;17.1112776465071&lt;/D&gt;&lt;D xsi:type="xsd:double"&gt;17.1996750663753&lt;/D&gt;&lt;D xsi:type="xsd:double"&gt;17.3212839887634&lt;/D&gt;&lt;D xsi:type="xsd:dou</t>
        </r>
      </text>
    </comment>
    <comment ref="A15" authorId="0" shapeId="0" xr:uid="{80D684C5-A970-423C-8878-9B2B68DF0887}">
      <text>
        <r>
          <rPr>
            <b/>
            <sz val="9"/>
            <color indexed="81"/>
            <rFont val="Tahoma"/>
            <charset val="1"/>
          </rPr>
          <t>ble"&gt;16.9941811050291&lt;/D&gt;&lt;D xsi:type="xsd:double"&gt;17.5797539543109&lt;/D&gt;&lt;D xsi:type="xsd:double"&gt;17.4926407268983&lt;/D&gt;&lt;D xsi:type="xsd:double"&gt;17.5851849371932&lt;/D&gt;&lt;D xsi:type="xsd:double"&gt;17.794563845827&lt;/D&gt;&lt;D xsi:type="xsd:double"&gt;18.5597061398243&lt;/D&gt;&lt;D xsi:type="xsd:double"&gt;18.959983645075&lt;/D&gt;&lt;D xsi:type="xsd:double"&gt;19.895155488295&lt;/D&gt;&lt;D xsi:type="xsd:double"&gt;20.0727466300549&lt;/D&gt;&lt;D xsi:type="xsd:double"&gt;18.0748092501661&lt;/D&gt;&lt;D xsi:type="xsd:double"&gt;17.5602767869913&lt;/D&gt;&lt;D xsi:type="xsd:double"&gt;19.276801779579&lt;/D&gt;&lt;D xsi:type="xsd:double"&gt;20.7708558207932&lt;/D&gt;&lt;D xsi:type="xsd:double"&gt;21.3713505701452&lt;/D&gt;&lt;D xsi:type="xsd:double"&gt;22.3085272116473&lt;/D&gt;&lt;D xsi:type="xsd:double"&gt;23.3933445247218&lt;/D&gt;&lt;D xsi:type="xsd:double"&gt;23.5238420706288&lt;/D&gt;&lt;D xsi:type="xsd:double"&gt;23.9391688047047&lt;/D&gt;&lt;D xsi:type="xsd:double"&gt;25.9086879026718&lt;/D&gt;&lt;D xsi:type="xsd:double"&gt;26.950214086948&lt;/D&gt;&lt;D xsi:type="xsd:double"&gt;27.1545411377405&lt;/D&gt;&lt;D xsi:type="xsd:double"&gt;26.1682926274439&lt;/D&gt;&lt;D xsi:type="xsd:double"&gt;26.0453887995242&lt;/D&gt;&lt;D xsi:type="xsd:double"&gt;25.4723356172567&lt;/D&gt;&lt;D xsi:type="xsd:double"&gt;25.0698009859009&lt;/D&gt;&lt;D xsi:type="xsd:double"&gt;24.9356344163444&lt;/D&gt;&lt;D xsi:type="xsd:double"&gt;24.0997760329465&lt;/D&gt;&lt;D xsi:type="xsd:double"&gt;24.0138984960309&lt;/D&gt;&lt;D xsi:type="xsd:double"&gt;22.8103150193123&lt;/D&gt;&lt;D xsi:type="xsd:double"&gt;23.5255450739361&lt;/D&gt;&lt;D xsi:type="xsd:double"&gt;22.479791611917&lt;/D&gt;&lt;D xsi:type="xsd:double"&gt;23.3506116896117&lt;/D&gt;&lt;D xsi:type="xsd:double"&gt;21.5274663731134&lt;/D&gt;&lt;D xsi:type="xsd:double"&gt;20.6664268299659&lt;/D&gt;&lt;D xsi:type="xsd:double"&gt;20.7519397174114&lt;/D&gt;&lt;D xsi:type="xsd:double"&gt;20.2344779561655&lt;/D&gt;&lt;D xsi:type="xsd:double"&gt;19.6744693318779&lt;/D&gt;&lt;D xsi:type="xsd:double"&gt;18.8264731514346&lt;/D&gt;&lt;D xsi:type="xsd:double"&gt;19.3833245732309&lt;/D&gt;&lt;D xsi:type="xsd:double"&gt;18.5485323225653&lt;/D&gt;&lt;D xsi:type="xsd:double"&gt;17.9195813801267&lt;/D&gt;&lt;D xsi:type="xsd:double"&gt;17.6733251325857&lt;/D&gt;&lt;D xsi:type="xsd:double"&gt;18.6236096471427&lt;/D&gt;&lt;D xsi:type="xsd:double"&gt;17.4962543908044&lt;/D&gt;&lt;D xsi:type="xsd:double"&gt;18.8156775312651&lt;/D&gt;&lt;D xsi:type="xsd:double"&gt;18.1146917784519&lt;/D&gt;&lt;D xsi:type="xsd:double"&gt;18.2255315542008&lt;/D&gt;&lt;D xsi:type="xsd:double"&gt;18.1848881358968&lt;/D&gt;&lt;D xsi:type="xsd:double"&gt;18.6115233863525&lt;/D&gt;&lt;D xsi:type="xsd:double"&gt;19.1720983080306&lt;/D&gt;&lt;D xsi:type="xsd:double"&gt;19.3840946427162&lt;/D&gt;&lt;D xsi:type="xsd:double"&gt;19.5924662654269&lt;/D&gt;&lt;D xsi:type="xsd:double"&gt;19.0009779123934&lt;/D&gt;&lt;D xsi:type="xsd:double"&gt;19.5210638304467&lt;/D&gt;&lt;D xsi:type="xsd:double"&gt;20.5156824612051&lt;/D&gt;&lt;D xsi:type="xsd:double"&gt;21.3812520855428&lt;/D&gt;&lt;D xsi:type="xsd:double"&gt;22.4160678914579&lt;/D&gt;&lt;D xsi:type="xsd:double"&gt;22.7995376733244&lt;/D&gt;&lt;D xsi:type="xsd:double"&gt;22.7124851248858&lt;/D&gt;&lt;/FQL&gt;&lt;FQL&gt;&lt;Q&gt;EWA^FG_PRICE_MAVG(0,,,,60)&lt;/Q&gt;&lt;R&gt;1&lt;/R&gt;&lt;C&gt;1&lt;/C&gt;&lt;D xsi:type="xsd:double"&gt;23.900333&lt;/D&gt;&lt;/FQL&gt;&lt;FQL&gt;&lt;Q&gt;EWA^FMA_COS_DOWN("EPS","1M",+1,0,,,"PORTAGG","MEANR")&lt;/Q&gt;&lt;R&gt;1&lt;/R&gt;&lt;C&gt;1&lt;/C&gt;&lt;D xsi:type="xsd:double"&gt;19&lt;/D&gt;&lt;/FQL&gt;&lt;FQL&gt;&lt;Q&gt;REFJPTON-FDS^PROPER_NAME(0,,,"SECURITY","NAME")&lt;/Q&gt;&lt;R&gt;1&lt;/R&gt;&lt;C&gt;1&lt;/C&gt;&lt;D xsi:type="xsd:string"&gt;Japan Policy Rate&lt;/D&gt;&lt;/FQL&gt;&lt;FQL&gt;&lt;Q&gt;ENZL^FMA_PE(LTM,0,,,"PORTAGG","MEANR")&lt;/Q&gt;&lt;R&gt;1&lt;/R&gt;&lt;C&gt;1&lt;/C&gt;&lt;D xsi:type="xsd:double"&gt;29.4077076132972&lt;/D&gt;&lt;/FQL&gt;&lt;FQL&gt;&lt;Q&gt;UUP^P_PRICE(0)/P_PRICE_HIGH_PR(0,,,USD,,,"PRICE","INTRA","52W")&lt;/Q&gt;&lt;R&gt;1&lt;/R&gt;&lt;C&gt;1&lt;/C&gt;&lt;D xsi:type="xsd:double"&gt;0.9385048&lt;/D&gt;&lt;/FQL&gt;&lt;FQL&gt;&lt;Q&gt;QQQ^FG_TOTAL_RETURNC(0,-12AM)&lt;/Q&gt;&lt;R&gt;1&lt;/R&gt;&lt;C&gt;1&lt;/C&gt;&lt;D xsi:type="xsd:double"&gt;37.34846&lt;/D&gt;&lt;/FQL&gt;&lt;FQL&gt;&lt;Q&gt;ENZL^JULIAN(FMA_DIV_YLD(NTMA,NOW,NOW,M,"PORTAGG","MEANR").DATES)&lt;/Q&gt;&lt;R&gt;1&lt;/R&gt;&lt;C&gt;1&lt;/C&gt;&lt;D xsi:type="xsd:long"&gt;45379&lt;/D&gt;&lt;/FQL&gt;&lt;FQL&gt;&lt;Q&gt;UUP^FG_TOTAL_RETURNC(0,-3AM)&lt;/Q&gt;&lt;R&gt;1&lt;/R&gt;&lt;C&gt;1&lt;/C&gt;&lt;D xsi:type="xsd:double"&gt;3.2834768&lt;/D&gt;&lt;/FQL&gt;&lt;FQL&gt;&lt;Q&gt;UUP^FG_TOTAL_RETURNC(0,-1AM)&lt;/Q&gt;&lt;R&gt;1&lt;/R&gt;&lt;C&gt;1&lt;/C&gt;&lt;D xsi:type="xsd:double"&gt;0.9629011&lt;/D&gt;&lt;/FQL&gt;&lt;FQL&gt;&lt;Q&gt;CAGDPY@IT^EE_ACTUAL_ANNUAL(MED,0)&lt;/Q&gt;&lt;R&gt;1&lt;/R&gt;&lt;C&gt;1&lt;/C&gt;&lt;D xsi:type="xsd:double"&gt;0.50816790549232&lt;/D&gt;&lt;/FQL&gt;&lt;FQL&gt;&lt;Q&gt;EWD^FMA_EVAL_EBITDA(NTMA,0,,,"PORTAGG","MEANR")&lt;/Q&gt;&lt;R&gt;1&lt;/R&gt;&lt;C&gt;1&lt;/C&gt;&lt;D xsi:type="xsd:double"&gt;11.2403271850968&lt;/D&gt;&lt;/FQL&gt;&lt;FQL&gt;&lt;Q&gt;EWL^FG_TOTAL_RETURNC(0,-3AM)&lt;/Q&gt;&lt;R&gt;1&lt;/R&gt;&lt;C&gt;1&lt;/C&gt;&lt;D xsi:type="xsd:double"&gt;-2.0889938&lt;/D&gt;&lt;/FQL&gt;&lt;FQL&gt;&lt;Q&gt;EWC^FMA_RBICS_REV_CURRENT(30, LOC, "PORTAGG")&lt;/Q&gt;&lt;R&gt;1&lt;/R&gt;&lt;C&gt;1&lt;/C&gt;&lt;D xsi:type="xsd:double"&gt;40.9198307473677&lt;/D&gt;&lt;/FQL&gt;&lt;FQL&gt;&lt;Q&gt;VGK^FG_TOTAL_RETURNC(0,-12AM)&lt;/Q&gt;&lt;R&gt;1&lt;/R&gt;&lt;C&gt;1&lt;/C&gt;&lt;D xsi:type="xsd:double"&gt;12.320984&lt;/D&gt;&lt;/FQL&gt;&lt;FQL&gt;&lt;Q&gt;FXI^FMA_COS_DOWN("EPS","1M",+1,0,,,"PORTAGG","MEANR")&lt;/Q&gt;&lt;R&gt;1&lt;/R&gt;&lt;C&gt;1&lt;/C&gt;&lt;D xsi:type="xsd:double"&gt;33&lt;/D&gt;&lt;/FQL&gt;&lt;FQL&gt;&lt;Q&gt;EWA^FG_PRICE(0)&lt;/Q&gt;&lt;R&gt;1&lt;/R&gt;&lt;C&gt;1&lt;/C&gt;&lt;D xsi:type="xsd:double"&gt;24.43&lt;/D&gt;&lt;/FQL&gt;&lt;FQL&gt;&lt;Q&gt;W-FDS^FG_PRICE_CHANGE(0,-3AM)&lt;/Q&gt;&lt;R&gt;1&lt;/R&gt;&lt;C&gt;1&lt;/C&gt;&lt;D xsi:type="xsd:double"&gt;-9.33170334148329&lt;/D&gt;&lt;/FQL&gt;&lt;FQL&gt;&lt;Q&gt;EWU^FMA_PE(LTM,0,,,"PORTAGG","MEANR")&lt;/Q&gt;&lt;R&gt;1&lt;/R&gt;&lt;C&gt;1&lt;/C&gt;&lt;D xsi:type="xsd:double"&gt;10.6504586165974&lt;/D&gt;&lt;/FQL&gt;&lt;FQL&gt;&lt;Q&gt;EWU^FMA_PE(LTMA,-10AY,0,AM,"PORTAGG","MEANR")&lt;/Q&gt;&lt;R&gt;121&lt;/R&gt;&lt;C&gt;1&lt;/C&gt;&lt;D xsi:type="xsd:double"&gt;14.321614372864&lt;/D&gt;&lt;D xsi:type="xsd:double"&gt;14.3893722187413&lt;/D&gt;&lt;D xsi:type="xsd:double"&gt;14.3635178916582&lt;/D&gt;&lt;D xsi:type="xsd:double"&gt;14.4635631367125&lt;/D&gt;&lt;D xsi:type="xsd:double"&gt;14.2229546758657&lt;/D&gt;&lt;D xsi:type="xsd:double"&gt;14.3259661532883&lt;/D&gt;&lt;D xsi:type="xsd:double"&gt;13.6852686540251&lt;/D&gt;&lt;D xsi:type="xsd:double"&gt;13.6571584706565&lt;/D&gt;&lt;D xsi:type="xsd:double"&gt;13.9671384663896&lt;/D&gt;&lt;D xsi:type="xsd:double"&gt;13.6760489520509&lt;/D&gt;&lt;D xsi:type="xsd:double"&gt;14.449291240652&lt;/D&gt;&lt;D xsi:type="xsd:double"&gt;15.1825389702884&lt;/D&gt;&lt;D xsi:type="xsd:double"&gt;15.2601983607484&lt;/D&gt;&lt;D xsi:type="xsd:double"&gt;15.5735600312179&lt;/D&gt;&lt;D xsi:type="xsd:double"&gt;15.6596009526017&lt;/D&gt;&lt;D xsi:type="xsd:double"&gt;15.5181994991463&lt;/D&gt;&lt;D xsi:type="xsd:double"&gt;15.7326327234998&lt;/D&gt;&lt;D xsi:type="xsd:double"&gt;14.7873240569561&lt;/D&gt;&lt;D xsi:type="xsd:double"&gt;15.1081636704652&lt;/D&gt;&lt;D xsi:type="xsd:double"&gt;15.9923393617882&lt;/D&gt;&lt;D xsi:type="xsd:double"&gt;15.7034169706265&lt;/D&gt;&lt;D xsi:type="xsd:double"&gt;15.2846760952477&lt;/D&gt;&lt;D xsi:type="xsd:double"&gt;14.9951856990591&lt;/D&gt;&lt;D xsi:type="xsd:double"&gt;15.5936516191535&lt;/D&gt;&lt;D xsi:type="xsd:double"&gt;15.7601151272067&lt;/D&gt;&lt;D xsi:type="xsd:double"&gt;15.7990387706362&lt;/D&gt;&lt;D xsi:type="xsd:double"&gt;15.9914968248398&lt;/D&gt;&lt;D xsi:type="xsd:double"&gt;16.3512579053777&lt;/D&gt;&lt;D xsi:type="xsd:double"&gt;16.6939965588228&lt;/D&gt;&lt;D xsi:type="xsd:double"&gt;17.1492827394209&lt;/D&gt;&lt;D xsi:type="xsd:double"&gt;17.3296677766435&lt;/D&gt;&lt;D xsi:type="xsd:double"&gt;16.2431460224896&lt;/D&gt;&lt;D xsi:type="xsd:double"&gt;16.3684698356865&lt;/D&gt;&lt;D xsi:type="xsd:double"&gt;17.2807209886432&lt;/D&gt;&lt;D xsi:type="xsd:double"&gt;17.1730593944532&lt;/D&gt;&lt;D xsi:type="xsd:double"&gt;17.3620600606368&lt;/D&gt;&lt;D xsi:type="xsd:double"&gt;17.0764257459439&lt;/D&gt;&lt;D xsi:type="xsd:double"&gt;16.8262086236604&lt;/D&gt;&lt;D xsi:type="xsd:double"&gt;16.8020541321819&lt;/D&gt;&lt;D xsi:type="xsd:double"&gt;16.4550127307998&lt;/D&gt;&lt;D xsi:type="xsd:double"&gt;16.468691944279&lt;/D&gt;&lt;D xsi:type="xsd:double"&gt;16.103619870065&lt;/D&gt;&lt;D xsi:type="xsd:double"&gt;15.8711096344577&lt;/D&gt;&lt;D xsi:type="xsd:double"&gt;15.6243300350307&lt;/D&gt;&lt;D xsi:type="xsd:double"&gt;15.1155493959063&lt;/D&gt;&lt;D xsi:type="xsd:double"&gt;15.5436759678491&lt;/D&gt;&lt;D xsi:type="xsd:double"&gt;15.0783485898368&lt;/D&gt;&lt;D xsi:type="xsd:double"&gt;13.8558218942637&lt;/D&gt;&lt;D xsi:type="xsd:double"&gt;13.8741335923891&lt;/D&gt;&lt;D xsi:type="xsd:double"&gt;14.0284792862355&lt;/D&gt;&lt;D xsi:type="xsd:double"&gt;14.0295664509961&lt;/D&gt;&lt;D xsi:type="xsd:double"&gt;13.7950873312013&lt;/D&gt;&lt;D xsi:type="xsd:double"&gt;13.8587502045571&lt;/D&gt;&lt;D xsi:type="xsd:double"&gt;13.4848025964493&lt;/D&gt;&lt;D xsi:type="xsd:double"&gt;13.5080738665326&lt;/D&gt;&lt;D xsi:type="xsd:double"&gt;12.861120610642&lt;/D&gt;&lt;D xsi:type="xsd:double"&gt;12.5983627836019&lt;/D&gt;&lt;D xsi:type="xsd:double"&gt;12.1286869949997&lt;/D&gt;&lt;D xsi:type="xsd:double"&gt;12.6675236136849&lt;/D&gt;&lt;D xsi:type="xsd:double"&gt;12.9370712059007&lt;/D&gt;&lt;D xsi:type="xsd:double"&gt;13.0051016691814&lt;/D&gt;&lt;D xsi:type="xsd:double"&gt;13.0043341051328&lt;/D&gt;&lt;D xsi:type="xsd:double"&gt;12.8561353529555&lt;/D&gt;&lt;D xsi:type="xsd:double"&gt;13.1767581227365&lt;/D&gt;&lt;D xsi:type="xsd:double"&gt;12.9743126121464&lt;/D&gt;&lt;D xsi:type="xsd:double"&gt;12.9503809435329&lt;/D&gt;&lt;D xsi:type="xsd:double"&gt;12.8429168833659&lt;/D&gt;&lt;D xsi:type="xsd:double"&gt;13.4055846041042&lt;/D&gt;&lt;D xsi:type="xsd:double"&gt;13.3595463540105&lt;/D&gt;&lt;D xsi:type="xsd:double"&gt;14.2075295100932&lt;/D&gt;&lt;D xsi:type="xsd:double"&gt;13.953128788167&lt;/D&gt;&lt;D xsi:type="xsd:double"&gt;12.4128108804773&lt;/D&gt;&lt;D xsi:type="xsd:double"&gt;12.3474595424017&lt;/D&gt;&lt;D xsi:type="xsd:double"&gt;13.562115520447&lt;/D&gt;&lt;D xsi:type="xsd:double"&gt;14.9545205930159&lt;/D&gt;&lt;D xsi:type="xsd:double"&gt;15.3088729985573&lt;/D&gt;&lt;D xsi:type="xsd:double"&gt;15.9048126282025&lt;/D&gt;&lt;D xsi:type="xsd:double"&gt;16.3383134959903&lt;/D&gt;&lt;D xsi:type="xsd:double"&gt;16.8155783266292&lt;/D&gt;&lt;D xsi:type="xsd:double"&gt;16.5322753183077&lt;/D&gt;&lt;D xsi:type="xsd:double"&gt;19.3739861534205&lt;/D&gt;&lt;D xsi:type="xsd:double"&gt;19.8964655402159&lt;/D&gt;&lt;D xsi:type="xsd:double"&gt;19.307606914517&lt;/D&gt;&lt;D xsi:type="xsd:double"&gt;18.7803725495001&lt;/D&gt;&lt;D xsi:type="xsd:double"&gt;18.2153961897661&lt;/D&gt;&lt;D xsi:type="xsd:double"&gt;17.5599835702292&lt;/D&gt;&lt;D xsi:type="xsd:double"&gt;17.0557852121652&lt;/D&gt;&lt;D xsi:type="xsd:double"&gt;16.3401414881837&lt;/D&gt;&lt;D xsi:type="xsd:double"&gt;15.4104004263092&lt;/D&gt;&lt;D xsi:type="xsd:double"&gt;14.7353980638035&lt;/D&gt;&lt;D xsi:type="xsd:double"&gt;13.7824369947295&lt;/D&gt;&lt;D xsi:type="xsd:double"&gt;13.4113483604817&lt;/D&gt;&lt;D xsi:type="xsd:double"&gt;12.4710273516146&lt;/D&gt;&lt;D xsi:type="xsd:double"&gt;12.6066810315757&lt;/D&gt;&lt;D xsi:type="xsd:double"&gt;12.6552817687009&lt;/D&gt;&lt;D xsi:type="xsd:double"&gt;12.4091222468475&lt;/D&gt;&lt;D xsi:type="xsd:double"&gt;12.2767964995758&lt;/D&gt;&lt;D xsi:type="xsd:double"&gt;11.9327334007192&lt;/D&gt;&lt;D xsi:type="xsd:double"&gt;11.6970434956876&lt;/D&gt;&lt;D xsi:type="xsd:double"&gt;11.1000349956988&lt;/D&gt;&lt;D xsi:type="xsd:double"&gt;10.8978553522272&lt;/D&gt;&lt;D xsi:type="xsd:double"&gt;10.2759097984494&lt;/D&gt;&lt;D xsi:type="xsd:double"&gt;9.7195087066351&lt;/D&gt;&lt;D xsi:type="xsd:double"&gt;9.60528218794841&lt;/D&gt;&lt;D xsi:type="xsd:double"&gt;9.9880876774813&lt;/D&gt;&lt;D xsi:type="xsd:double"&gt;9.73551986101331&lt;/D&gt;&lt;D xsi:type="xsd:double"&gt;10.0982656394051&lt;/D&gt;&lt;D xsi:type="xsd:double"&gt;10.2641849383081&lt;/D&gt;&lt;D xsi:type="xsd:double"&gt;10.2866241362122&lt;/D&gt;&lt;D xsi:type="xsd:double"&gt;10.3401630577248&lt;/D&gt;&lt;D xsi:type="xsd:double"&gt;10.3040064909821&lt;/D&gt;&lt;D xsi:type="xsd:double"&gt;10.3638248279089&lt;/D&gt;&lt;D xsi:type="xsd:double"&gt;10.5555070069723&lt;/D&gt;&lt;D xsi:type="xsd:double"&gt;10.5145387085705&lt;/D&gt;&lt;D xsi:type="xsd:double"&gt;10.3397515321361&lt;/D&gt;&lt;D xsi:type="xsd:double"&gt;10.5289697280422&lt;/D&gt;&lt;D xsi:type="xsd:double"&gt;10.895644808789&lt;/D&gt;&lt;D xsi:type="xsd:double"&gt;11.3242206018346&lt;/D&gt;&lt;D xsi:type="xsd:double"&gt;11.2548155373133&lt;/D&gt;&lt;D xsi:type="xsd:double"&gt;11.4415806427006&lt;/D&gt;&lt;D xsi:type="xsd:double"&gt;11.5283776534713&lt;/D&gt;&lt;/FQL&gt;&lt;FQL&gt;&lt;Q&gt;EWD^JULIAN(FMA_DIV_YLD(NTMA,NOW,NOW,M,"PORTAGG","MEANR").DATES)&lt;/Q&gt;&lt;R&gt;1&lt;/R&gt;&lt;C&gt;1&lt;/C&gt;&lt;D xsi:type="xsd:long"&gt;45379&lt;/D&gt;&lt;/FQL&gt;&lt;FQL&gt;&lt;Q&gt;CC_CA^FG_COMPANY_NAME&lt;/Q&gt;&lt;R&gt;1&lt;/R&gt;&lt;C&gt;1&lt;/C&gt;&lt;D xsi:type="xsd:string"&gt;Canada&lt;/D&gt;&lt;/FQL&gt;&lt;FQL&gt;&lt;Q&gt;EWL^PERCENT_CHANGE(FMA_EPS(+1,0,,,,"PORTAGG","MEAN"),FMA_EPS(+1,-1AM,,,,"PORTAGG","MEAN"))&lt;/Q&gt;&lt;R&gt;1&lt;/R&gt;&lt;C&gt;1&lt;/C&gt;&lt;D xsi:type="xsd:double"&gt;-1.07612703773263&lt;/D&gt;&lt;/FQL&gt;&lt;FQL&gt;&lt;Q&gt;ENZL^FMA_COS_DOWN("EPS","1M",+1,0,,,"PORTAGG","MEANR")&lt;/Q&gt;&lt;R&gt;1&lt;/R&gt;&lt;C&gt;1&lt;/C&gt;&lt;D xsi:type="xsd:double"&gt;3&lt;/D&gt;&lt;/FQL&gt;&lt;FQL&gt;&lt;Q&gt;TRYNL10Y-FDS^PCTCHG(FG_YIELD(0,,,,"YTM"),FG_YIELD(-1AM,,,,"YTM"))&lt;/Q&gt;&lt;R&gt;1&lt;/R&gt;&lt;C&gt;1&lt;/C&gt;&lt;D xsi:type="xsd:double"&gt;-2.606456&lt;/D&gt;&lt;/FQL&gt;&lt;FQL&gt;&lt;Q&gt;TRYFR10Y-FDS^PCTCHG(FG_YIELD(0,,,,"YTM"),FG_YIELD(-3AM,,,,"YTM"))&lt;/Q&gt;&lt;R&gt;1&lt;/R&gt;&lt;C&gt;1&lt;/C&gt;&lt;D xsi:type="xsd:double"&gt;7.3253255&lt;/D&gt;&lt;/FQL&gt;&lt;FQL&gt;&lt;Q&gt;PASP-FDS^FG_PRICE_MAVG(0,,,,30)&lt;/Q&gt;&lt;R&gt;1&lt;/R&gt;&lt;C&gt;1&lt;/C&gt;&lt;D xsi:type="xsd:double"&gt;1014.8333&lt;/D&gt;&lt;/FQL&gt;&lt;FQL&gt;&lt;Q&gt;PASP-FDS^FG_PRICE_CHANGE(0,-1AM)&lt;/Q&gt;&lt;R&gt;1&lt;/R&gt;&lt;C&gt;1&lt;/C&gt;&lt;D xsi:type="xsd:double"&gt;7.29166666666667&lt;/D&gt;&lt;/FQL&gt;&lt;FQL&gt;&lt;Q&gt;EWQ^FMA_PE(LTM,0,,,"PORTAGG","MEANR")&lt;/Q&gt;&lt;R&gt;1&lt;/R&gt;&lt;C&gt;1&lt;/C&gt;&lt;D xsi:type="xsd:double"&gt;16.599646238437&lt;/D&gt;&lt;/FQL&gt;&lt;FQL&gt;&lt;Q&gt;VGK^P_PRICE(0)/P_PRICE_LOW_PR(0,,,USD,,,"PRICE","INTRA","52W")-1&lt;/Q&gt;&lt;R&gt;1&lt;/R&gt;&lt;C&gt;1&lt;/C&gt;&lt;D xsi:type="xsd:double"&gt;0.2094078&lt;/D&gt;&lt;/FQL&gt;&lt;FQL&gt;&lt;Q&gt;CC_NZ^IMF_IFS_RCPI_Q(0)&lt;/Q&gt;&lt;R&gt;0&lt;/R&gt;&lt;C&gt;0&lt;/C&gt;&lt;/FQL&gt;&lt;FQL&gt;&lt;Q&gt;EWL^FMA_PCT_ABOVE_MAVG(200,0,,,,"PORTAGG")&lt;/Q&gt;&lt;R&gt;1&lt;/R&gt;&lt;C&gt;1&lt;/C&gt;&lt;D xsi:type="xsd:double"&gt;57.7777777777778&lt;/D&gt;&lt;/FQL&gt;&lt;FQL&gt;&lt;Q&gt;SPY^FMA_RBICS_REV_CURRENT(30, LOC, "PORTAGG")&lt;/Q&gt;&lt;R&gt;1&lt;/R&gt;&lt;C&gt;1&lt;/C&gt;&lt;D xsi:type="xsd:double"&gt;12.5169610337793&lt;/D&gt;&lt;/FQL&gt;&lt;FQL&gt;&lt;Q&gt;SPY^FMA_EVAL_EBITDA(NTMA,0,,,"PORTAGG","MEANR")&lt;/Q&gt;&lt;R&gt;1&lt;/R&gt;&lt;C&gt;1&lt;/C&gt;&lt;D xsi:type="xsd:double"&gt;14.1834482797672&lt;/D&gt;&lt;/FQL&gt;&lt;FQL&gt;&lt;Q&gt;USDCHF^FG_PRICE_CHANGE(0,-1AY)&lt;/Q&gt;&lt;R&gt;1&lt;/R&gt;&lt;C&gt;1&lt;/C&gt;&lt;D xsi:type="xsd:double"&gt;-0.29206276&lt;/D&gt;&lt;/FQL&gt;&lt;FQL&gt;&lt;Q&gt;EWJ^FMA_RBICS_REV_CURRENT(30, LOC, "PORTAGG")&lt;/Q&gt;&lt;R&gt;1&lt;/R&gt;&lt;C&gt;1&lt;/C&gt;&lt;D xsi:type="xsd:double"&gt;17.7091909618777&lt;/D&gt;&lt;/FQL&gt;&lt;FQL&gt;&lt;Q&gt;SPY^FMA_DIV_YLD(NTMA,NOW,NOW,M,"PORTAGG","MEANR")&lt;/Q&gt;&lt;R&gt;1&lt;/R&gt;&lt;C&gt;1&lt;/C&gt;&lt;D xsi:type="xsd:double"&gt;1.42735492742733&lt;/D&gt;&lt;/FQL&gt;&lt;FQL&gt;&lt;Q&gt;EWC^FG_TOTAL_RETURNC(0,-1AM)&lt;/Q&gt;&lt;R&gt;1&lt;/R&gt;&lt;C&gt;1&lt;/C&gt;&lt;D xsi:type="xsd:double"&gt;2.7282476&lt;/D&gt;&lt;/FQL&gt;&lt;FQL&gt;&lt;Q&gt;EWD^P_PRICE_RETURNS_PR('52W',2,-10AY,0,AM)&lt;/Q&gt;&lt;R&gt;121&lt;/R&gt;&lt;C&gt;1&lt;/C&gt;&lt;D xsi:type="xsd:double"&gt;16.902506&lt;/D&gt;&lt;D xsi:type="xsd:double"&gt;16.818226&lt;/D&gt;&lt;D xsi:type="xsd:double"&gt;16.5339&lt;/D&gt;&lt;D xsi:type="xsd:double"&gt;21.768236&lt;/D&gt;&lt;D xsi:type="xsd:double"&gt;6.3534617&lt;/D&gt;&lt;D xsi:type="xsd:double"&gt;5.917549&lt;/D&gt;&lt;D xsi:type="xsd:double"&gt;-3.1404912&lt;/D&gt;&lt;D xsi:type="xsd:double"&gt;-0.8678138&lt;/D&gt;&lt;D xsi:type="xsd:double"&gt;1.4593124&lt;/D&gt;&lt;D xsi:type="xsd:double"&gt;-6.5948305&lt;/D&gt;&lt;D xsi:type="xsd:double"&gt;-0.58133006&lt;/D&gt;&lt;D xsi:type="xsd:double"&gt;-1.7913342&lt;/D&gt;&lt;D xsi:type="xsd:double"&gt;-5.072558&lt;/D&gt;&lt;D xsi:type="xsd:double"&gt;-3.7364483&lt;/D&gt;&lt;D xsi:type="xsd:double"&gt;-3.4291625&lt;/D&gt;&lt;D xsi:type="xsd:double"&gt;-7.0961833&lt;/D&gt;&lt;D xsi:type="xsd:double"&gt;-2.9003441&lt;/D&gt;&lt;D xsi:type="xsd:double"&gt;-8.794773&lt;/D&gt;&lt;D xsi:type="xsd:double"&gt;-4.9015403&lt;/D&gt;&lt;D xsi:type="xsd:double"&gt;-2.656275&lt;/D&gt;&lt;D xsi:type="xsd:double"&gt;-4.1704836&lt;/D&gt;&lt;D xsi:type="xsd:double"&gt;-5.874687&lt;/D&gt;&lt;D xsi:type="xsd:double"&gt;-12.683648&lt;/D&gt;&lt;D xsi:type="xsd:double"&gt;-13.995302&lt;/D&gt;&lt;D xsi:type="xsd:double"&gt;-9.621114&lt;/D&gt;&lt;D xsi:type="xsd:double"&gt;-11.373162&lt;/D&gt;&lt;D xsi:type="xsd:double"&gt;-11.648297&lt;/D&gt;&lt;D xsi:type="xsd:double"&gt;-11.095184&lt;/D&gt;&lt;D xsi:type="xsd:double"&gt;-8.704406&lt;/D&gt;&lt;D xsi:type="xsd:double"&gt;0.40832758&lt;/D&gt;&lt;D xsi:type="xsd:double"&gt;3.0256748&lt;/D&gt;&lt;D xsi:type="xsd:double"&gt;-8.109623&lt;/D&gt;&lt;D xsi:type="xsd:double"&gt;-5.738908&lt;/D&gt;&lt;D xsi:type="xsd:double"&gt;5.832231&lt;/D&gt;&lt;D xsi:type="xsd:double"&gt;19.782507&lt;/D&gt;&lt;D xsi:type="xsd:double"&gt;13.188065&lt;/D&gt;&lt;D xsi:type="xsd:double"&gt;9.8042965&lt;/D&gt;&lt;D xsi:type="xsd:double"&gt;19.954073&lt;/D&gt;&lt;D xsi:type="xsd:double"&gt;21.91596&lt;/D&gt;&lt;D xsi:type="xsd:double"&gt;26.529562&lt;/D&gt;&lt;D xsi:type="xsd:double"&gt;26.857018&lt;/D&gt;&lt;D xsi:type="xsd:double"&gt;23.978651&lt;/D&gt;&lt;D xsi:type="xsd:double"&gt;27.184809&lt;/D&gt;&lt;D xsi:type="xsd:double"&gt;33.935917&lt;/D&gt;&lt;D xsi:type="xsd:double"&gt;27.189754&lt;/D&gt;&lt;D xsi:type="xsd:double"&gt;23.641384&lt;/D&gt;&lt;D xsi:type="xsd:double"&gt;18.54335&lt;/D&gt;&lt;D xsi:type="xsd:double"&gt;13.205481&lt;/D&gt;&lt;D xsi:type="xsd:double"&gt;8.345008&lt;/D&gt;&lt;D xsi:type="xsd:double"&gt;0.7822275&lt;/D&gt;&lt;D xsi:type="xsd:double"&gt;-2.0099223&lt;/D&gt;&lt;D xsi:type="xsd:double"&gt;-4.620737&lt;/D&gt;&lt;D xsi:type="xsd:double"&gt;-1.6008794&lt;/D&gt;&lt;D xsi:type="xsd:double"&gt;-3.3723652&lt;/D&gt;&lt;D xsi:type="xsd:double"&gt;-6.4627113&lt;/D&gt;&lt;D xsi:type="xsd:double"&gt;-11.0989275&lt;/D&gt;&lt;D xsi:type="xsd:double"&gt;-10.247892&lt;/D&gt;&lt;D xsi:type="xsd:double"&gt;-14.315426&lt;/D&gt;&lt;D xsi:type="xsd:double"&gt;-11.259347&lt;/D&gt;&lt;D xsi:type="xsd:double"&gt;-4.9812675&lt;/D&gt;&lt;D xsi:type="xsd:double"&gt;1.1255264&lt;/D&gt;&lt;D xsi:type="xsd:double"&gt;2.4505496&lt;/D&gt;&lt;D xsi:type="xsd:double"&gt;-5.214894&lt;/D&gt;&lt;D xsi:type="xsd:double"&gt;5.6881666&lt;/D&gt;&lt;D xsi:type="xsd:double"&gt;-6.9919467&lt;/D&gt;&lt;D xsi:type="xsd:double"&gt;-7.251346&lt;/D&gt;&lt;D xsi:type="xsd:double"&gt;-7.7558336&lt;/D&gt;&lt;D xsi:type="xsd:double"&gt;11.299383&lt;/D&gt;&lt;D xsi:type="xsd:double"&gt;14.027953&lt;/D&gt;&lt;D xsi:type="xsd:double"&gt;25.684393&lt;/D&gt;&lt;D xsi:type="xsd:double"&gt;14.617753&lt;/D&gt;&lt;D xsi:type="xsd:double"&gt;9.865475&lt;/D&gt;&lt;D xsi:type="xsd:double"&gt;-21.123827&lt;/D&gt;&lt;D xsi:type="xsd:double"&gt;-13.159985&lt;/D&gt;&lt;D xsi:type="xsd:double"&gt;13.097799&lt;/D&gt;&lt;D xsi:type="xsd:double"&gt;2.711296&lt;/D&gt;&lt;D xsi:type="xsd:double"&gt;22.840141&lt;/D&gt;&lt;D xsi:type="xsd:double"&gt;26.378452&lt;/D&gt;&lt;D xsi:type="xsd:double"&gt;27.00975&lt;/D&gt;&lt;D xsi:type="xsd:double"&gt;12.305069&lt;/D&gt;&lt;D xsi:type="xsd:double"&gt;26.56002&lt;/D&gt;&lt;D xsi:type="xsd:double"&gt;23.721958&lt;/D&gt;&lt;D xsi:type="xsd:double"&gt;28.45552&lt;/D&gt;&lt;D xsi:type="xsd:double"&gt;36.028446&lt;/D&gt;&lt;D xsi:type="xsd:double"&gt;89.20971&lt;/D&gt;&lt;D xsi:type="xsd:double"&gt;74.82262&lt;/D&gt;&lt;D xsi:type="xsd:double"&gt;54.751133&lt;/D&gt;&lt;D xsi:type="xsd:double"&gt;53.677845&lt;/D&gt;&lt;D xsi:type="xsd:double"&gt;44.96093&lt;/D&gt;&lt;D xsi:type="xsd:double"&gt;43.636013&lt;/D&gt;&lt;D xsi:type="xsd:double"&gt;30.800283&lt;/D&gt;&lt;D xsi:type="xsd:double"&gt;40.859257&lt;/D&gt;&lt;D xsi:type="xsd:double"&gt;15.61371&lt;/D&gt;&lt;D xsi:type="xsd:double"&gt;23.067225&lt;/D&gt;&lt;D xsi:type="xsd:double"&gt;6.6045284&lt;/D&gt;&lt;D xsi:type="xsd:double"&gt;-14.979535&lt;/D&gt;&lt;D xsi:type="xsd:double"&gt;-6.9562016&lt;/D&gt;&lt;D xsi:type="xsd:double"&gt;-16.397804&lt;/D&gt;&lt;D xsi:type="xsd:double"&gt;-20.30549&lt;/D&gt;&lt;D xsi:type="xsd:double"&gt;-30.431414&lt;/D&gt;&lt;D xsi:type="xsd:double"&gt;-26.801126&lt;/D&gt;&lt;D xsi:type="xsd:double"&gt;-36.70828&lt;/D&gt;&lt;D xsi:type="xsd:double"&gt;-30.501032&lt;/D&gt;&lt;D xsi:type="xsd:double"&gt;-33.687996&lt;/D&gt;&lt;D xsi:type="xsd:double"&gt;-19.806374&lt;/D&gt;&lt;D xsi:type="xsd:double"&gt;-26.665741&lt;/D&gt;&lt;D xsi:type="xsd:double"&gt;-12.105489&lt;/D&gt;&lt;D xsi:type="xsd:double"&gt;4.7614336&lt;/D&gt;&lt;D xsi:type="xsd:double"&gt;-7.1274996&lt;/D&gt;&lt;D xsi:type="xsd:double"&gt;3.8233995&lt;/D&gt;&lt;D xsi:type="xsd:double"&gt;-2.9057205&lt;/D&gt;&lt;D xsi:type="xsd:double"&gt;15.950537&lt;/D&gt;&lt;D xsi:type="xsd:double"&gt;3.5244346&lt;/D&gt;&lt;D xsi:type="xsd:double"&gt;13.63163&lt;/D&gt;&lt;D xsi:type="xsd:double"&gt;10.091257&lt;/D&gt;&lt;D xsi:type="xsd:double"&gt;15.557898&lt;/D&gt;&lt;D xsi:type="xsd:double"&gt;7.1415663&lt;/D&gt;&lt;D xsi:type="xsd:double"&gt;16.962862&lt;/D&gt;&lt;D xsi:type="xsd:double"&gt;4.618156&lt;/D&gt;&lt;D xsi:type="xsd:double"&gt;12.332654&lt;/D&gt;&lt;D xsi:type="xsd:double"&gt;13.975763&lt;/D&gt;&lt;/FQL&gt;&lt;FQL&gt;&lt;Q&gt;USDCHF^FG_PRICE(0)&lt;/Q&gt;&lt;R&gt;1&lt;/R&gt;&lt;C&gt;1&lt;/C&gt;&lt;D xsi:type="xsd:double"&gt;0.9047&lt;/D&gt;&lt;/FQL&gt;&lt;FQL&gt;&lt;Q&gt;EWC^FG_TOTAL_RETURNC(0,-12AM)&lt;/Q&gt;&lt;R&gt;1&lt;/R&gt;&lt;C&gt;1&lt;/C&gt;&lt;D xsi:type="xsd:double"&gt;12.150717&lt;/D&gt;&lt;/FQL&gt;&lt;FQL&gt;&lt;Q&gt;EWC^P_PRICE(0)/P_PRICE_HIGH_PR(0,,,USD,,,"PRICE","INTRA","52W")&lt;/Q&gt;&lt;R&gt;1&lt;/R&gt;&lt;C&gt;1&lt;/C&gt;&lt;D xsi:type="xsd:double"&gt;0.9854884&lt;/D&gt;&lt;/FQL&gt;&lt;FQL&gt;&lt;Q&gt;W-FDS^FG_PRICE_CHANGE(0,-1AM)&lt;/Q&gt;&lt;R&gt;1&lt;/R&gt;&lt;C&gt;1&lt;/C&gt;&lt;D xsi:type="xsd:double"&gt;-1.2866015971606&lt;/D&gt;&lt;/FQL&gt;&lt;FQL&gt;&lt;Q&gt;TRYIT10Y-FDS^FG_YIELD(0,,,,"YTM")&lt;/Q&gt;&lt;R&gt;1&lt;/R&gt;&lt;C&gt;1&lt;/C&gt;&lt;D xsi:type="xsd:double"&gt;3.703&lt;/D&gt;&lt;/FQL&gt;&lt;FQL&gt;&lt;Q&gt;EWU^FMA_PE(NTMA,0,,,"PORTAGG","MEANR")&lt;/Q&gt;&lt;R&gt;1&lt;/R&gt;&lt;C&gt;1&lt;/C&gt;&lt;D xsi:type="xsd:double"&gt;11.4833042301006&lt;/D&gt;&lt;/FQL&gt;&lt;FQL&gt;&lt;Q&gt;EWG^FMA_PE(LTM,0,,,"PORTAGG","MEANR")&lt;/Q&gt;&lt;R&gt;1&lt;/R&gt;&lt;C&gt;1&lt;/C&gt;&lt;D xsi:type="xsd:double"&gt;12.7963438884009&lt;/D&gt;&lt;/FQL&gt;&lt;FQL&gt;&lt;Q&gt;EWL^FMA_DIV_YLD(NTMA,NOW,NOW,M,"PORTAGG","MEANR")&lt;/Q&gt;&lt;R&gt;1&lt;/R&gt;&lt;C&gt;1&lt;/C&gt;&lt;D xsi:type="xsd:double"&gt;3.26225183141211&lt;/D&gt;&lt;/FQL&gt;&lt;FQL&gt;&lt;Q&gt;USDAUD^FG_PRICE(0)&lt;/Q&gt;&lt;R&gt;1&lt;/R&gt;&lt;C&gt;1&lt;/C&gt;&lt;D xsi:type="xsd:double"&gt;1.5110306&lt;/D&gt;&lt;/FQL&gt;&lt;FQL&gt;&lt;Q&gt;EWD^FG_TOTAL_RETURNC(0,-6AM)&lt;/Q&gt;&lt;R&gt;1&lt;/R&gt;&lt;C&gt;1&lt;/C&gt;&lt;D xsi:type="xsd:double"&gt;26.915466&lt;/D&gt;&lt;/FQL&gt;&lt;FQL&gt;&lt;Q&gt;TRYAU10Y-FDS^FG_YIELD(0,,,,"YTM")&lt;/Q&gt;&lt;R&gt;1&lt;/R&gt;&lt;C&gt;1&lt;/C&gt;&lt;D xsi:type="xsd:double"&gt;4.18&lt;/D&gt;&lt;/FQL&gt;&lt;FQL&gt;&lt;Q&gt;EWG^FMA_DIV_YLD(NTMA,NOW,NOW,M,"PORTAGG","MEANR")&lt;/Q&gt;&lt;R&gt;1&lt;/R&gt;&lt;C&gt;1&lt;/C&gt;&lt;D xsi:type="xsd:double"&gt;3.24833813009107&lt;/D&gt;&lt;/FQL&gt;&lt;FQL&gt;&lt;Q&gt;EWD^PERCENT_CHANGE(FMA_EPS(+1,0,,,,"PORTAGG","MEAN"),FMA_EPS(+1,-3AM,,,,"PORTAGG","MEAN"))&lt;/Q&gt;&lt;R&gt;1&lt;/R&gt;&lt;C&gt;1&lt;/C&gt;&lt;D xsi:type="xsd:double"&gt;-3.11421002630814&lt;/D&gt;&lt;/FQL&gt;&lt;FQL&gt;&lt;Q&gt;EWN^P_PRICE(0)/P_PRICE_LOW_PR(0,,,USD,,,"PRICE","INTRA","52W")-1&lt;/Q&gt;&lt;R&gt;1&lt;/R&gt;&lt;C&gt;1&lt;/C&gt;&lt;D xsi:type="xsd:double"&gt;0.35574532&lt;/D&gt;&lt;/FQL&gt;&lt;FQL&gt;&lt;Q&gt;DUMMY^ECON_DATE(45356,,, 'MM/YYYY')&lt;/Q&gt;&lt;R&gt;1&lt;/R&gt;&lt;C&gt;1&lt;/C&gt;&lt;D xsi:type="xsd:string"&gt;03/2024&lt;/D&gt;&lt;/FQL&gt;&lt;FQL&gt;&lt;Q&gt;DUMMY^ECON_EXPR_DATA('FDS_ECON[NTCPMIMFGSA@NZ]',03/2024,,M)&lt;/Q&gt;&lt;R&gt;0&lt;/R&gt;&lt;C&gt;0&lt;/C&gt;&lt;/FQL&gt;&lt;FQL&gt;&lt;Q&gt;DUMMY^ECON_EXPR_DATA('FDS_ECON[NTCPMIMFGSA@IT]',11/2023,,Q)&lt;/Q&gt;&lt;R&gt;1&lt;/R&gt;&lt;C&gt;1&lt;/C&gt;&lt;D xsi:type="xsd:double"&gt;45.562866&lt;/D&gt;&lt;/FQL&gt;&lt;FQL&gt;&lt;Q&gt;DUMMY^ECON_EXPR_DATA('FDS_ECON[NTCPMIMFGSA@EME]',03/2024,,M)&lt;/Q&gt;&lt;R&gt;1&lt;/R&gt;&lt;C&gt;1&lt;/C&gt;&lt;D xsi:type="xsd:double"&gt;51.96338&lt;/D&gt;&lt;/FQL&gt;&lt;FQL&gt;&lt;Q&gt;CC_US^IMF_IFS_RCPI_Q(-1AM)&lt;/Q&gt;&lt;R&gt;1&lt;/R&gt;&lt;C&gt;1&lt;/C&gt;&lt;D xsi:type="xsd:double"&gt;3.2433991&lt;/D&gt;&lt;/FQL&gt;&lt;FQL&gt;&lt;Q&gt;CC_NZ^IMF_IFS_RCPI_Q(-1AM)&lt;/Q&gt;&lt;R&gt;1&lt;/R&gt;&lt;C&gt;1&lt;/C&gt;&lt;D xsi:type="xsd:double"&gt;4.655029&lt;/D&gt;&lt;/FQL&gt;&lt;FQL&gt;&lt;Q&gt;CC_AU^IMF_IFS_RCPI_Q(-1AM)&lt;/Q&gt;&lt;R&gt;1&lt;/R&gt;&lt;C&gt;1&lt;/C&gt;&lt;D xsi:type="xsd:double"&gt;4.051988&lt;/D&gt;&lt;/FQL&gt;&lt;FQL&gt;&lt;Q&gt;CC_CA^IMF_IFS_RCPI_Q(-1AM)&lt;/Q&gt;&lt;R&gt;1&lt;/R&gt;&lt;C&gt;1&lt;/C&gt;&lt;D xsi:type="xsd:double"&gt;3.2111022&lt;/D&gt;&lt;/FQL&gt;&lt;FQL&gt;&lt;Q&gt;CC_DE^IMF_IFS_RCPI_Q(-1AM)&lt;/Q&gt;&lt;R&gt;1&lt;/R&gt;&lt;C&gt;1&lt;/C&gt;&lt;D xsi:type="xsd:double"&gt;3.5546436&lt;/D&gt;&lt;/FQL&gt;&lt;FQL&gt;&lt;Q&gt;CC_JP^IMF_IFS_RCPI_Q(-1AM)&lt;/Q&gt;&lt;R&gt;1&lt;/R&gt;&lt;C&gt;1&lt;/C&gt;&lt;D xsi:type="xsd:double"&gt;2.9194753&lt;/D&gt;&lt;/FQL&gt;&lt;FQL&gt;&lt;Q&gt;CC_CH^IMF_IFS_RCPI_Q(-1AM)&lt;/Q&gt;&lt;R&gt;1&lt;/R&gt;&lt;C&gt;1&lt;/C&gt;&lt;D xsi:type="xsd:double"&gt;1.6172575&lt;/D&gt;&lt;/FQL&gt;&lt;FQL&gt;&lt;Q&gt;CC_GB^IMF_IFS_RCPI_Q(-1AM)&lt;/Q&gt;&lt;R&gt;1&lt;/R&gt;&lt;C&gt;1&lt;/C&gt;&lt;D xsi:type="xsd:double"&gt;4.3536315&lt;/D&gt;&lt;/FQL&gt;&lt;FQL&gt;&lt;Q&gt;CC_FR^IMF_IFS_RCPI_Q(-1AM)&lt;/Q&gt;&lt;R&gt;1&lt;/R&gt;&lt;C&gt;1&lt;/C&gt;&lt;D xsi:type="xsd:double"&gt;3.7187452&lt;/D&gt;&lt;/FQL&gt;&lt;FQL&gt;&lt;Q&gt;CC_NL^IMF_IFS_RCPI_Q(-1AM)&lt;/Q&gt;&lt;R&gt;1&lt;/R&gt;&lt;C&gt;1&lt;/C&gt;&lt;D xsi:type="xsd:double"&gt;0.80520856&lt;/D&gt;&lt;/FQL&gt;&lt;FQL&gt;&lt;Q&gt;CC_SE^IMF_IFS_RCPI_Q(-1AM)&lt;/Q&gt;&lt;R&gt;1&lt;/R&gt;&lt;C&gt;1&lt;/C&gt;&lt;D xsi:type="xsd:double"&gt;5.550837&lt;/D&gt;&lt;/FQL&gt;&lt;FQL&gt;&lt;Q&gt;CC_IT^IMF_IFS_RCPI_Q(-1AM)&lt;/Q&gt;&lt;R&gt;1&lt;/R&gt;&lt;C&gt;1&lt;/C&gt;&lt;D xsi:type="xsd:double"&gt;0.98369783&lt;/D&gt;&lt;/FQL&gt;&lt;FQL&gt;&lt;Q&gt;DUMMY^ECON_EXPR_DATA('FDS_ECON[NTCPMIMFGSA@CA]',12/2023,,Q)&lt;/Q&gt;&lt;R&gt;1&lt;/R&gt;&lt;C&gt;1&lt;/C&gt;&lt;D xsi:type="xsd:double"&gt;47.255585&lt;/D&gt;&lt;/FQL&gt;&lt;FQL&gt;&lt;Q&gt;DUMMY^ECON_EXPR_DATA('FDS_ECON[NTCPMIMFGSA@AU]',12/2023,,Q)&lt;/Q&gt;&lt;R&gt;1&lt;/R&gt;&lt;C&gt;1&lt;/C&gt;&lt;D xsi:type="xsd:double"&gt;47.862293&lt;/D&gt;&lt;/FQL&gt;&lt;FQL&gt;&lt;Q&gt;DUMMY^ECON_EXPR_DATA('FDS_ECON[NTCPMIMFGSA@NZ]',12/2023,,Q)&lt;/Q&gt;&lt;R&gt;1&lt;/R&gt;&lt;C&gt;1&lt;/C&gt;&lt;D xsi:type="xsd:double"&gt;44.351116&lt;/D&gt;&lt;/FQL&gt;&lt;FQL&gt;&lt;Q&gt;DUMMY^ECON_DATE(45265,,, 'MM/YYYY')&lt;/Q&gt;&lt;R&gt;1&lt;/R&gt;&lt;C&gt;1&lt;/C&gt;&lt;D xsi:type="xsd:string"&gt;12/2023&lt;/D&gt;&lt;/FQL&gt;&lt;FQL&gt;&lt;Q&gt;DUMMY^ECON_EXPR_DATA('FDS_ECON[PMIDMMANHE]',03/2024,,M)&lt;/Q&gt;&lt;R&gt;1&lt;/R&gt;&lt;C&gt;1&lt;/C&gt;&lt;D xsi:type="xsd:double"&gt;49.28643&lt;/D&gt;&lt;/FQL&gt;&lt;FQL&gt;&lt;Q&gt;DUMMY^ECON_EXPR_DATA('FDS_ECON[NTCPMIMFGSA@IT]',03/2024,,Q)&lt;/Q&gt;&lt;R&gt;1&lt;/R&gt;&lt;C&gt;1&lt;/C&gt;&lt;D xsi:type="xsd:double"&gt;49.208153&lt;/D&gt;&lt;/FQL&gt;&lt;FQL&gt;&lt;Q&gt;DUMMY^ECON_EXPR_DATA('FDS_ECON[NTCPMIMFGSA@SE]',03/2024,,Q)&lt;/Q&gt;&lt;R&gt;0&lt;/R&gt;&lt;C&gt;0&lt;/C&gt;&lt;/FQL&gt;&lt;FQL&gt;&lt;Q&gt;DUMMY^ECON_EXPR_DATA('FDS_ECON[NTCPMIMFGSA@NL]',03/2024,,Q)&lt;/Q&gt;&lt;R&gt;1&lt;/R&gt;&lt;C&gt;1&lt;/C&gt;&lt;D xsi:type="xsd:double"&gt;49.325874&lt;/D&gt;&lt;/FQL&gt;&lt;FQL&gt;&lt;Q&gt;DUMMY^ECON_EXPR_DATA('FDS_ECON[NTCPMIMFGSA@FR]',03/2024,,Q)&lt;/Q&gt;&lt;R&gt;1&lt;/R&gt;&lt;C&gt;1&lt;/C&gt;&lt;D xsi:type="xsd:double"&gt;45.498753&lt;/D&gt;&lt;/FQL&gt;&lt;FQL&gt;&lt;Q&gt;DUMMY^ECON_EXPR_DATA('FDS_ECON[NTCPMIMFGMESA@US]',03/2024,,Q)&lt;/Q&gt;&lt;R&gt;1&lt;/R&gt;&lt;C&gt;1&lt;/C&gt;&lt;D xsi:type="xsd:double"&gt;51.582687&lt;/D&gt;&lt;/FQL&gt;&lt;FQL&gt;&lt;Q&gt;DUMMY^ECON_EXPR_DATA('FDS_ECON[NTCPMIMFGSA@GB]',03/2024,,Q)&lt;/Q&gt;&lt;R&gt;1&lt;/R&gt;&lt;C&gt;1&lt;/C&gt;&lt;D xsi:type="xsd:double"&gt;48.24796&lt;/D&gt;&lt;/FQL&gt;&lt;FQL&gt;&lt;Q&gt;DUMMY^ECON_EXPR_DATA('FDS_ECON[NTCPMIMFGSA@CH]',03/2024,,Q)&lt;/Q&gt;&lt;R&gt;1&lt;/R&gt;&lt;C&gt;1&lt;/C&gt;&lt;D xsi:type="xsd:double"&gt;44.08605&lt;/D&gt;&lt;/FQL&gt;&lt;FQL&gt;&lt;Q&gt;DUMMY^ECON_EXPR_DATA('FDS_ECON[NTCPMIMFGSA@JP]',03/2024,,Q)&lt;/Q&gt;&lt;R&gt;1&lt;/R&gt;&lt;C&gt;1&lt;/C&gt;&lt;D xsi:type="xsd:double"&gt;47.808857&lt;/D&gt;&lt;/FQL&gt;&lt;FQL&gt;&lt;Q&gt;DUMMY^ECON_EXPR_DATA('FDS_ECON[NTCPMIMFGSA@DE]',03/2024,,Q)&lt;/Q&gt;&lt;R&gt;1&lt;/R&gt;&lt;C&gt;1&lt;/C&gt;&lt;D xsi:type="xsd:double"&gt;43.319096&lt;/D&gt;&lt;/FQL&gt;&lt;FQL&gt;&lt;Q&gt;DUMMY^ECON_EXPR_DATA('FDS_ECON[NTCPMIMFGSA@CA]',03/2024,,Q)&lt;/Q&gt;&lt;R&gt;1&lt;/R&gt;&lt;C&gt;1&lt;/C&gt;&lt;D xsi:type="xsd:double"&gt;49.30091&lt;/D&gt;&lt;/FQL&gt;&lt;FQL&gt;&lt;Q&gt;DUMMY^ECON_EXPR_DATA('FDS_ECON[NTCPMIMFGSA@AU]',03/2024,,Q)&lt;/Q&gt;&lt;R&gt;1&lt;/R&gt;&lt;C&gt;1&lt;/C&gt;&lt;D xsi:type="xsd:double"&gt;48.39547&lt;/D&gt;&lt;/FQL&gt;&lt;FQL&gt;&lt;Q&gt;DUMMY^ECON_EXPR_DATA('FDS_ECON[NTCPMIMFGSA@NZ]',03/2024,,Q)&lt;/Q&gt;&lt;R&gt;0&lt;/R&gt;&lt;C&gt;0&lt;/C&gt;&lt;/FQL&gt;&lt;FQL&gt;&lt;Q&gt;DUMMY^ECON_EXPR_DATA('FDS_ECON[NTCPMIMFGSA@EME]',03/2024,,Q)&lt;/Q&gt;&lt;R&gt;1&lt;/R&gt;&lt;C&gt;1&lt;/C&gt;&lt;D xsi:type="xsd:double"&gt;51.51058&lt;/D&gt;&lt;/FQL&gt;&lt;FQL&gt;&lt;Q&gt;DUMMY^ECON_EXPR_DATA('FDS_ECON[PMIDMMANHE]',03/2024,,Q)&lt;/Q&gt;&lt;R&gt;1&lt;/R&gt;&lt;C&gt;1&lt;/C&gt;&lt;D xsi:type="xsd:double"&gt;49.13533&lt;/D&gt;&lt;/FQL&gt;&lt;FQL&gt;&lt;Q&gt;DUMMY^ECON_EXPR_DATA('FDS_ECON[NTCPMIMFGSA@IT]',12/2023,,Q)&lt;/Q&gt;&lt;R&gt;1&lt;/R&gt;&lt;C&gt;1&lt;/C&gt;&lt;D xsi:type="xsd:double"&gt;44.859455&lt;/D&gt;&lt;/FQL&gt;&lt;FQL&gt;&lt;Q&gt;DUMMY^ECON_EXPR_DATA('FDS_ECON[NTCPMIMFGSA@SE]',12/2023,,Q)&lt;/Q&gt;&lt;R&gt;0&lt;/R&gt;&lt;C&gt;0&lt;/C&gt;&lt;/FQL&gt;&lt;FQL&gt;&lt;Q&gt;DUMMY^ECON_EXPR_DATA('FDS_ECON[NTCPMIMFGSA@NL]',12/2023,,Q)&lt;/Q&gt;&lt;R&gt;1&lt;/R&gt;&lt;C&gt;1&lt;/C&gt;&lt;D xsi:type="xsd:double"&gt;44.495136&lt;/D&gt;&lt;/FQL&gt;&lt;FQL&gt;&lt;Q&gt;DUMMY^ECON_EXPR_DATA('FDS_ECON[NTCPMIMFGSA@FR]',12/2023,,Q)&lt;/Q&gt;&lt;R&gt;1&lt;/R&gt;&lt;C&gt;1&lt;/C&gt;&lt;D xsi:type="xsd:double"&gt;42.573967&lt;/D&gt;&lt;/FQL&gt;&lt;FQL&gt;&lt;Q&gt;DUMMY^ECON_EXPR_DATA('FDS_ECON[NTCPMIMFGMESA@US]',12/2023,,Q)&lt;/Q&gt;&lt;R&gt;1&lt;/R&gt;&lt;C&gt;1&lt;/C&gt;&lt;D xsi:type="xsd:double"&gt;49.098827&lt;/D&gt;&lt;/FQL&gt;&lt;FQL&gt;&lt;Q&gt;DUMMY^ECON_EXPR_DATA('FDS_ECON[NTCPMIMFGSA@GB]',12/2023,,Q)&lt;/Q&gt;&lt;R&gt;1&lt;/R&gt;&lt;C&gt;1&lt;/C&gt;&lt;D xsi:type="xsd:double"&gt;46.0587&lt;/D&gt;&lt;/FQL&gt;&lt;FQL&gt;&lt;Q&gt;DUMMY^ECON_EXPR_DATA('FDS_ECON[NTCPMIMFGSA@CH]',12/2023,,Q)&lt;/Q&gt;&lt;R&gt;1&lt;/R&gt;&lt;C&gt;1&lt;/C&gt;&lt;D xsi:type="xsd:double"&gt;41.921543&lt;/D&gt;&lt;/FQL&gt;&lt;FQL&gt;&lt;Q&gt;DUMMY^ECON_EXPR_DATA('FDS_ECON[NTCPMIMFGSA@JP]',12/2023,,Q)&lt;/Q&gt;&lt;R&gt;1&lt;/R&gt;&lt;C&gt;1&lt;/C&gt;&lt;D xsi:type="xsd:double"&gt;48.31877&lt;/D&gt;&lt;/FQL&gt;&lt;FQL&gt;&lt;Q&gt;DUMMY^ECON_EXPR_DATA('FDS_ECON[NTCPMIMFGSA@DE]',12/2023,,Q)&lt;/Q&gt;&lt;R&gt;1&lt;/R&gt;&lt;C&gt;1&lt;/C&gt;&lt;D xsi:type="xsd:double"&gt;42.238945&lt;/D&gt;&lt;/FQL&gt;&lt;FQL&gt;&lt;Q&gt;EWL^FG_COMPANY_NAME&lt;/Q&gt;&lt;R&gt;1&lt;/R&gt;&lt;C&gt;1&lt;/C&gt;&lt;D xsi:type="xsd:string"&gt;iShares MSCI Switzerland ETF&lt;/D&gt;&lt;/FQL&gt;&lt;FQL&gt;&lt;Q&gt;EWU^FG_COMPANY_NAME&lt;/Q&gt;&lt;R&gt;1&lt;/R&gt;&lt;C&gt;1&lt;/C&gt;&lt;D xsi:type="xsd:string"&gt;iShares MSCI United Kingdom ETF&lt;/D&gt;&lt;/FQL&gt;&lt;FQL&gt;&lt;Q&gt;QQQ^FG_COMPANY_NAME&lt;/Q&gt;&lt;R&gt;1&lt;/R&gt;&lt;C&gt;1&lt;/C&gt;&lt;D xsi:type="xsd:string"&gt;Invesco QQQ Trust Series I&lt;/D&gt;&lt;/FQL&gt;&lt;FQL&gt;&lt;Q&gt;SPY^FG_COMPANY_NAME&lt;/Q&gt;&lt;R&gt;1&lt;/R&gt;&lt;C&gt;1&lt;/C&gt;&lt;D xsi:type="xsd:string"&gt;SPDR S&amp;amp;P 500 ETF Trust&lt;/D&gt;&lt;/FQL&gt;&lt;FQL&gt;&lt;Q&gt;EWQ^FG_COMPANY_NAME&lt;/Q&gt;&lt;R&gt;1&lt;/R&gt;&lt;C&gt;1&lt;/C&gt;&lt;D xsi:type="xsd:string"&gt;iShares MSCI France ETF&lt;/D&gt;&lt;/FQL&gt;&lt;FQL&gt;&lt;Q&gt;EWN^FG_COMPANY_NAME&lt;/Q&gt;&lt;R&gt;1&lt;/R&gt;&lt;C&gt;1&lt;/C&gt;&lt;D xsi:type="xsd:string"&gt;iShares MSCI Netherlands ETF&lt;/D&gt;&lt;/FQL&gt;&lt;FQL&gt;&lt;Q&gt;EWD^FG_COMPANY_NAME&lt;/Q&gt;&lt;R&gt;1&lt;/R&gt;&lt;C&gt;1&lt;/C&gt;&lt;D xsi:type="xsd:string"&gt;iShares MSCI Sweden ETF&lt;/D&gt;&lt;/FQL&gt;&lt;FQL&gt;&lt;Q&gt;EWI^FG_COMPANY_NAME&lt;/Q&gt;&lt;R&gt;1&lt;/R&gt;&lt;C&gt;1&lt;/C&gt;&lt;D xsi:type="xsd:string"&gt;iShares MSCI Italy ETF&lt;/D&gt;&lt;/FQL&gt;&lt;FQL&gt;&lt;Q&gt;DUMMY^ECON_EXPR_DATA('FDS_ECON[NTCPMIMFGSA@SE]',11/2023,,Q)&lt;/Q&gt;&lt;R&gt;0&lt;/R&gt;&lt;C&gt;0&lt;/C&gt;&lt;/FQL&gt;&lt;FQL&gt;&lt;Q&gt;DUMMY^ECON_EXPR_DATA('FDS_ECON[NTCPMIMFGSA@NL]',11/2023,,Q)&lt;/Q&gt;&lt;R&gt;1&lt;/R&gt;&lt;C&gt;1&lt;/C&gt;&lt;D xsi:type="xsd:double"&gt;44.945713&lt;/D&gt;&lt;/FQL&gt;&lt;FQL&gt;&lt;Q&gt;DUMMY^ECON_EXPR_DATA('FDS_ECON[NTCPMIMFGSA@FR]',11/2023,,Q)&lt;/Q&gt;&lt;R&gt;1&lt;/R&gt;&lt;C&gt;1&lt;/C&gt;&lt;D xsi:type="xsd:double"&gt;45.09797&lt;/D&gt;&lt;/FQL&gt;&lt;FQL&gt;&lt;Q&gt;DUMMY^ECON_EXPR_DATA('FDS_ECON[NTCPMIMFGMESA@US]',11/2023,,Q)&lt;/Q&gt;&lt;R&gt;1&lt;/R&gt;&lt;C&gt;1&lt;/C&gt;&lt;D xsi:type="xsd:double"&gt;48.91491&lt;/D&gt;&lt;/FQL&gt;&lt;FQL&gt;&lt;Q&gt;DUMMY^ECON_EXPR_DATA('FDS_ECON[NTCPMIMFGSA@GB]',11/2023,,Q)&lt;/Q&gt;&lt;R&gt;1&lt;/R&gt;&lt;C&gt;1&lt;/C&gt;&lt;D xsi:type="xsd:double"&gt;44.209953&lt;/D&gt;&lt;/FQL&gt;&lt;FQL&gt;&lt;Q&gt;DUMMY^ECON_EXPR_DATA('FDS_ECON[NTCPMIMFGSA@CH]',11/2023,,Q)&lt;/Q&gt;&lt;R&gt;1&lt;/R&gt;&lt;C&gt;1&lt;/C&gt;&lt;D xsi:type="xsd:double"&gt;41.102364&lt;/D&gt;&lt;/FQL&gt;&lt;FQL&gt;&lt;Q&gt;DUMMY^ECON_EXPR_DATA('FDS_ECON[NTCPMIMFGSA@JP]',11/2023,,Q)&lt;/Q&gt;&lt;R&gt;1&lt;/R&gt;&lt;C&gt;1&lt;/C&gt;&lt;D xsi:type="xsd:double"&gt;49.252666&lt;/D&gt;&lt;/FQL&gt;&lt;FQL&gt;&lt;Q&gt;DUMMY^ECON_EXPR_DATA('FDS_ECON[NTCPMIMFGSA@DE]',11/2023,,Q)&lt;/Q&gt;&lt;R&gt;1&lt;/R&gt;&lt;C&gt;1&lt;/C&gt;&lt;D xsi:type="xsd:double"&gt;39.155674&lt;/D&gt;&lt;/FQL&gt;&lt;FQL&gt;&lt;Q&gt;DUMMY^ECON_EXPR_DATA('FDS_ECON[NTCPMIMFGSA@CA]',11/2023,,Q)&lt;/Q&gt;&lt;R&gt;1&lt;/R&gt;&lt;C&gt;1&lt;/C&gt;&lt;D xsi:type="xsd:double"&gt;48.335907&lt;/D&gt;&lt;/FQL&gt;&lt;FQL&gt;&lt;Q&gt;DUMMY^ECON_EXPR_DATA('FDS_ECON[NTCPMIMFGSA@AU]',11/2023,,Q)&lt;/Q&gt;&lt;R&gt;1&lt;/R&gt;&lt;C&gt;1&lt;/C&gt;&lt;D xsi:type="xsd:double"&gt;49.327065&lt;/D&gt;&lt;/FQL&gt;&lt;FQL&gt;&lt;Q&gt;DUMMY^ECON_EXPR_DATA('FDS_ECON[NTCPMIMFGSA@NZ]',11/2023,,Q)&lt;/Q&gt;&lt;R&gt;1&lt;/R&gt;&lt;C&gt;1&lt;/C&gt;&lt;D xsi:type="xsd:double"&gt;45.880733&lt;/D&gt;&lt;/FQL&gt;&lt;FQL&gt;&lt;Q&gt;DUMMY^ECON_EXPR_DATA('FDS_ECON[NTCPMIMFGSA@EME]',11/2023,,Q)&lt;/Q&gt;&lt;R&gt;1&lt;/R&gt;&lt;C&gt;1&lt;/C&gt;&lt;D xsi:type="xsd:double"&gt;50.79569&lt;/D&gt;&lt;/FQL&gt;&lt;FQL&gt;&lt;Q&gt;DUMMY^ECON_EXPR_DATA('FDS_ECON[PMIDMMANHE]',11/2023,,Q)&lt;/Q&gt;&lt;R&gt;1&lt;/R&gt;&lt;C&gt;1&lt;/C&gt;&lt;D xsi:type="xsd:double"&gt;47.08635&lt;/D&gt;&lt;/FQL&gt;&lt;FQL&gt;&lt;Q&gt;DUMMY^ECON_EXPR_DATA('FDS_ECON[NTCPMIMFGSA@IT]',02/2024,,M)&lt;/Q&gt;&lt;R&gt;1&lt;/R&gt;&lt;C&gt;1&lt;/C&gt;&lt;D xsi:type="xsd:double"&gt;48.697094&lt;/D&gt;&lt;/FQL&gt;&lt;FQL&gt;&lt;Q&gt;DUMMY^ECON_EXPR_DATA('FDS_ECON[NTCPMIMFGSA@SE]',02/2024,,M)&lt;/Q&gt;&lt;R&gt;0&lt;/R&gt;&lt;C&gt;0&lt;/C&gt;&lt;/FQL&gt;&lt;FQL&gt;&lt;Q&gt;DUMMY^ECON_EXPR_DATA('FDS_ECON[NTCPMIMFGSA@NL]',02/2024,,M)&lt;/Q&gt;&lt;R&gt;1&lt;/R&gt;&lt;C&gt;1&lt;/C&gt;&lt;D xsi:type="xsd:double"&gt;49.33351&lt;/D&gt;&lt;/FQL&gt;&lt;FQL&gt;&lt;Q&gt;DUMMY^ECON_EXPR_DATA('FDS_ECON[NTCPMIMFGSA@FR]',02/2024,,M)&lt;/Q&gt;&lt;R&gt;1&lt;/R&gt;&lt;C&gt;1&lt;/C&gt;&lt;D xsi:type="xsd:double"&gt;47.113422&lt;/D&gt;&lt;/FQL&gt;&lt;FQL&gt;&lt;Q&gt;DUMMY^ECON_EXPR_DATA('FDS_ECON[NTCPMIMFGMESA@US]',02/2024,,M)&lt;/Q&gt;&lt;R&gt;1&lt;/R&gt;&lt;C&gt;1&lt;/C&gt;&lt;D xsi:type="xsd:double"&gt;52.19507&lt;/D&gt;&lt;/FQL&gt;&lt;FQL&gt;&lt;Q&gt;DUMMY^ECON_EXPR_DATA('FDS_ECON[NTCPMIMFGSA@GB]',02/2024,,M)&lt;/Q&gt;&lt;R&gt;1&lt;/R&gt;&lt;C&gt;1&lt;/C&gt;&lt;D xsi:type="xsd:double"&gt;47.508816&lt;/D&gt;&lt;/FQL&gt;&lt;FQL&gt;&lt;Q&gt;DUMMY^ECON_EXPR_DATA('FDS_ECON[NTCPMIMFGSA@CH]',02/2024,,M)&lt;/Q&gt;&lt;R&gt;1&lt;/R&gt;&lt;C&gt;1&lt;/C&gt;&lt;D xsi:type="xsd:double"&gt;43.954456&lt;/D&gt;&lt;/FQL&gt;&lt;FQL&gt;&lt;Q&gt;DUMMY^ECON_EXPR_DATA('FDS_ECON[NTCPMIMFGSA@JP]',02/2024,,M)&lt;/Q&gt;&lt;R&gt;1&lt;/R&gt;&lt;C&gt;1&lt;/C&gt;&lt;D xsi:type="xsd:double"&gt;47.18277&lt;/D&gt;&lt;/FQL&gt;&lt;FQL&gt;&lt;Q&gt;DUMMY^ECON_EXPR_DATA('FDS_ECON[NTCPMIMFGSA@DE]',02/2024,,M)&lt;/Q&gt;&lt;R&gt;1&lt;/R&gt;&lt;C&gt;1&lt;/C&gt;&lt;D xsi:type="xsd:double"&gt;42.52625&lt;/D&gt;&lt;/FQL&gt;&lt;FQL&gt;&lt;Q&gt;DUMMY^ECON_EXPR_DATA('FDS_ECON[NTCPMIMFGSA@CA]',02/2024,,M)&lt;/Q&gt;&lt;R&gt;1&lt;/R&gt;&lt;C&gt;1&lt;/C&gt;&lt;D xsi:type="xsd:double"&gt;49.74032&lt;/D&gt;&lt;/FQL&gt;&lt;FQL&gt;&lt;Q&gt;DUMMY^ECON_EXPR_DATA('FDS_ECON[NTCPMIMFGSA@AU]',02/2024,,M)&lt;/Q&gt;&lt;R&gt;1&lt;/R&gt;&lt;C&gt;1&lt;/C&gt;&lt;D xsi:type="xsd:double"&gt;47.823067&lt;/D&gt;&lt;/FQL&gt;&lt;FQL&gt;&lt;Q&gt;DUMMY^ECON_EXPR_DATA('FDS_ECON[NTCPMIMFGSA@NZ]',02/2024,,M)&lt;/Q&gt;&lt;R&gt;1&lt;/R&gt;&lt;C&gt;1&lt;/C&gt;&lt;D xsi:type="xsd:double"&gt;49.27094&lt;/D&gt;&lt;/FQL&gt;&lt;FQL&gt;&lt;Q&gt;DUMMY^ECON_EXPR_DATA('FDS_ECON[NTCPMIMFGSA@EME]',02/2024,,M)&lt;/Q&gt;&lt;R&gt;1&lt;/R&gt;&lt;C&gt;1&lt;/C&gt;&lt;D xsi:type="xsd:double"&gt;51.45774&lt;/D&gt;&lt;/FQL&gt;&lt;FQL&gt;&lt;Q&gt;DUMMY^ECON_EXPR_DATA('FDS_ECON[PMIDMMANHE]',02/2024,,M)&lt;/Q&gt;&lt;R&gt;1&lt;/R&gt;&lt;C&gt;1&lt;/C&gt;&lt;D xsi:type="xsd:double"&gt;49.254124&lt;/D&gt;&lt;/FQL&gt;&lt;FQL&gt;&lt;Q&gt;DUMMY^ECON_EXPR_DATA('FDS_ECON[NTCPMIMFGSA@IT]',02/2024,,Q)&lt;/Q&gt;&lt;R&gt;1&lt;/R&gt;&lt;C&gt;1&lt;/C&gt;&lt;D xsi:type="xsd:double"&gt;44.859455&lt;/D&gt;&lt;/FQL&gt;&lt;FQL&gt;&lt;Q&gt;DUMMY^ECON_EXPR_DATA('FDS_ECON[NTCPMIMFGSA@SE]',02/2024,,Q)&lt;/Q&gt;&lt;R&gt;0&lt;/R&gt;&lt;C&gt;0&lt;/C&gt;&lt;/FQL&gt;&lt;FQL&gt;&lt;Q&gt;DUMMY^ECON_EXPR_DATA('FDS_ECON[NTCPMIMFGSA@NL]',02/2024,,Q)&lt;/Q&gt;&lt;R&gt;1&lt;/R&gt;&lt;C&gt;1&lt;/C&gt;&lt;D xsi:type="xsd:double"&gt;44.495136&lt;/D&gt;&lt;/FQL&gt;&lt;FQL&gt;&lt;Q&gt;DUMMY^ECON_EXPR_DATA('FDS_ECON[NTCPMIMFGSA@FR]',02/2024,,Q)&lt;/Q&gt;&lt;R&gt;1&lt;/R&gt;&lt;C&gt;1&lt;/C&gt;&lt;D xsi:type="xsd:double"&gt;42.573967&lt;/D&gt;&lt;/FQL&gt;&lt;FQL&gt;&lt;Q&gt;DUMMY^ECON_EXPR_DATA('FDS_ECON[NTCPMIMFGMESA@US]',02/2024,,Q)&lt;/Q&gt;&lt;R&gt;1&lt;/R&gt;&lt;C&gt;1&lt;/C&gt;&lt;D xsi:type="xsd:double"&gt;49.098827&lt;/D&gt;&lt;/FQL&gt;&lt;FQL&gt;&lt;Q&gt;DUMMY^ECON_EXPR_DATA('FDS_ECON[NTCPMIMFGSA@GB]',02/2024,,Q)&lt;/Q&gt;&lt;R&gt;1&lt;/R&gt;&lt;C&gt;1&lt;/C&gt;&lt;D xsi:type="xsd:double"&gt;46.0587&lt;/D&gt;&lt;/FQL&gt;&lt;FQL&gt;&lt;Q&gt;DUMMY^ECON_EXPR_DATA('FDS_ECON[NTCPMIMFGSA@CH]',02/2024,,Q)&lt;/Q&gt;&lt;R&gt;1&lt;/R&gt;&lt;C&gt;1&lt;/C&gt;&lt;D xsi:type="xsd:double"&gt;41.921543&lt;/D&gt;&lt;/FQL&gt;&lt;FQL&gt;&lt;Q&gt;DUMMY^ECON_EXPR_DATA('FDS_ECON[NTCPMIMFGSA@JP]',02/2024,,Q)&lt;/Q&gt;&lt;R&gt;1&lt;/R&gt;&lt;C&gt;1&lt;/C&gt;&lt;D xsi:type="xsd:double"&gt;48.31877&lt;/D&gt;&lt;/FQL&gt;&lt;FQL&gt;&lt;Q&gt;DUMMY^ECON_EXPR_DATA('FDS_ECON[NTCPMIMFGSA@DE]',02/2024,,Q)&lt;/Q&gt;&lt;R&gt;1&lt;/R&gt;&lt;C&gt;1&lt;/C&gt;&lt;D xsi:type="xsd:double"&gt;42.238945&lt;/D&gt;&lt;/FQL&gt;&lt;FQL&gt;&lt;Q&gt;DUMMY^ECON_EXPR_DATA('FDS_ECON[NTCPMIMFGSA@CA]',02/2024,,Q)&lt;/Q&gt;&lt;R&gt;1&lt;/R&gt;&lt;C&gt;1&lt;/C&gt;&lt;D xsi:type="xsd:double"&gt;47.255585&lt;/D&gt;&lt;/FQL&gt;&lt;FQL&gt;&lt;Q&gt;DUMMY^ECON_EXPR_DATA('FDS_ECON[NTCPMIMFGSA@AU]',02/2024,,Q)&lt;/Q&gt;&lt;R&gt;1&lt;/R&gt;&lt;C&gt;1&lt;/C&gt;&lt;D xsi:type="xsd:double"&gt;47.862293&lt;/D&gt;&lt;/FQL&gt;&lt;FQL&gt;&lt;Q&gt;DUMMY^ECON_EXPR_DATA('FDS_ECON[NTCPMIMFGSA@NZ]',02/2024,,Q)&lt;/Q&gt;&lt;R&gt;1&lt;/R&gt;&lt;C&gt;1&lt;/C&gt;&lt;D xsi:type="xsd:double"&gt;44.351116&lt;/D&gt;&lt;/FQL&gt;&lt;FQL&gt;&lt;Q&gt;DUMMY^ECON_EXPR_DATA('FDS_ECON[NTCPMIMFGSA@EME]',02/2024,,Q)&lt;/Q&gt;&lt;R&gt;1&lt;/R&gt;&lt;C&gt;1&lt;/C&gt;&lt;D xsi:type="xsd:double"&gt;50.624123&lt;/D&gt;&lt;/FQL&gt;&lt;FQL&gt;&lt;Q&gt;DUMMY^ECON_EXPR_DATA('FDS_ECON[PMIDMMANHE]',02/2024,,Q)&lt;/Q&gt;&lt;R&gt;1&lt;/R&gt;&lt;C&gt;1&lt;/C&gt;&lt;D xsi:type="xsd:double"&gt;47.377975&lt;/D&gt;&lt;/FQL&gt;&lt;FQL&gt;&lt;Q&gt;DUMMY^ECON_DATE(45327,,, 'MM/YYYY')&lt;/Q&gt;&lt;R&gt;1&lt;/R&gt;&lt;C&gt;1&lt;/C&gt;&lt;D xsi:type="xsd:string"&gt;02/2024&lt;/D&gt;&lt;/FQL&gt;&lt;FQL&gt;&lt;Q&gt;DUMMY^ECON_DATE(45235,,, 'MM/YYYY')&lt;/Q&gt;&lt;R&gt;1&lt;/R&gt;&lt;C&gt;1&lt;/C&gt;&lt;D xsi:type="xsd:string"&gt;11/2023&lt;/D&gt;&lt;/FQL&gt;&lt;FQL&gt;&lt;Q&gt;ENZL^FG_COMPANY_NAME&lt;/Q&gt;&lt;R&gt;1&lt;/R&gt;&lt;C&gt;1&lt;/C&gt;&lt;D xsi:type="xsd:string"&gt;iShares MSCI New Zealand ETF&lt;/D&gt;&lt;/FQL&gt;&lt;FQL&gt;&lt;Q&gt;EWA^FG_COMPANY_NAME&lt;/Q&gt;&lt;R&gt;1&lt;/R&gt;&lt;C&gt;1&lt;/C&gt;&lt;D xsi:type="xsd:string"&gt;iShares MSCI Australia ETF&lt;/D&gt;&lt;/FQL&gt;&lt;FQL&gt;&lt;Q&gt;EWC^FG_COMPANY_NAME&lt;/Q&gt;&lt;R&gt;1&lt;/R&gt;&lt;C&gt;1&lt;/C&gt;&lt;D xsi:type="xsd:string"&gt;iShares MSCI Canada ETF&lt;/D&gt;&lt;/FQL&gt;&lt;FQL&gt;&lt;Q&gt;EWG^FG_COMPANY_NAME&lt;/Q&gt;&lt;R&gt;1&lt;/R&gt;&lt;C&gt;1&lt;/C&gt;&lt;D xsi:type="xsd:string"&gt;iShares MSCI Germany ETF&lt;/D&gt;&lt;/FQL&gt;&lt;FQL&gt;&lt;Q&gt;EWJ^FG_COMPANY_NAME&lt;/Q&gt;&lt;R&gt;1&lt;/R&gt;&lt;C&gt;1&lt;/C&gt;&lt;D xsi:type="xsd:string"&gt;iShares MSCI Japan ETF&lt;/D&gt;&lt;/FQL&gt;&lt;/Schema&gt;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<sst xmlns="http://schemas.openxmlformats.org/spreadsheetml/2006/main" count="2030" uniqueCount="914">
  <si>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</si>
  <si>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</si>
  <si>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</si>
  <si>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</si>
  <si>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</si>
  <si>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</si>
  <si>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</si>
  <si>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</si>
  <si>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</si>
  <si>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</si>
  <si>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</si>
  <si>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</si>
  <si>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</si>
  <si>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</si>
  <si>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</si>
  <si>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</si>
  <si>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</si>
  <si>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</si>
  <si>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</si>
  <si>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</si>
  <si>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</si>
  <si>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</si>
  <si>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</si>
  <si>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</si>
  <si>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</si>
  <si>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</si>
  <si>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</si>
  <si>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</si>
  <si>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</si>
  <si>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</si>
  <si>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</si>
  <si>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</si>
  <si>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</si>
  <si>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</si>
  <si>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</si>
  <si>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</si>
  <si>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</si>
  <si>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</si>
  <si>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</si>
  <si>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</si>
  <si>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</si>
  <si>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</si>
  <si>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</si>
  <si>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</si>
  <si>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</si>
  <si>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</si>
  <si>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</si>
  <si>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</si>
  <si>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</si>
  <si>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</si>
  <si>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</si>
  <si>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</si>
  <si>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</si>
  <si>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</si>
  <si>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</si>
  <si>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</si>
  <si>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</si>
  <si>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</si>
  <si>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</si>
  <si>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</si>
  <si>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</si>
  <si>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</si>
  <si>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</si>
  <si>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</si>
  <si>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</si>
  <si>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</si>
  <si>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</si>
  <si>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</si>
  <si>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</si>
  <si>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</si>
  <si>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</si>
  <si>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</si>
  <si>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</si>
  <si>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</si>
  <si>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</si>
  <si>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</si>
  <si>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</si>
  <si>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</si>
  <si>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</si>
  <si>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</si>
  <si>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</si>
  <si>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</si>
  <si>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</si>
  <si>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</si>
  <si>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</si>
  <si>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</si>
  <si>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</si>
  <si>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</si>
  <si>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</si>
  <si>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</si>
  <si>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</si>
  <si>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</si>
  <si>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</si>
  <si>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</si>
  <si>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</si>
  <si>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</si>
  <si>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</si>
  <si>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</si>
  <si>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</si>
  <si>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</si>
  <si>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</si>
  <si>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</si>
  <si>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</si>
  <si>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</si>
  <si>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</si>
  <si>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</si>
  <si>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</si>
  <si>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</si>
  <si>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</si>
  <si>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</si>
  <si>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</si>
  <si>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</si>
  <si>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</si>
  <si>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</si>
  <si>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</si>
  <si>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</si>
  <si>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</si>
  <si>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</si>
  <si>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</si>
  <si>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</si>
  <si>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</si>
  <si>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</si>
  <si>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</si>
  <si>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</si>
  <si>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</si>
  <si>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</si>
  <si>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</si>
  <si>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</si>
  <si>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</si>
  <si>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</si>
  <si>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</si>
  <si>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</si>
  <si>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</si>
  <si>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</si>
  <si>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</si>
  <si>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</si>
  <si>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</si>
  <si>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</si>
  <si>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</si>
  <si>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</si>
  <si>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</si>
  <si>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</si>
  <si>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</si>
  <si>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</si>
  <si>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</si>
  <si>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</si>
  <si>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</si>
  <si>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</si>
  <si>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</si>
  <si>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</si>
  <si>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</si>
  <si>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</si>
  <si>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</si>
  <si>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</si>
  <si>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</si>
  <si>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</si>
  <si>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</si>
  <si>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</si>
  <si>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</si>
  <si>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</si>
  <si>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</si>
  <si>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</si>
  <si>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</si>
  <si>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</si>
  <si>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</si>
  <si>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</si>
  <si>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</si>
  <si>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</si>
  <si>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</si>
  <si>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</si>
  <si>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</si>
  <si>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</si>
  <si>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</si>
  <si>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</si>
  <si>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</si>
  <si>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</si>
  <si>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</si>
  <si>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</si>
  <si>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</si>
  <si>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</si>
  <si>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</si>
  <si>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</si>
  <si>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</si>
  <si>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</si>
  <si>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</si>
  <si>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</si>
  <si>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</si>
  <si>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</si>
  <si>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</si>
  <si>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</si>
  <si>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</si>
  <si>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</si>
  <si>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</si>
  <si>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</si>
  <si>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</si>
  <si>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</si>
  <si>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</si>
  <si>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</si>
  <si>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</si>
  <si>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</si>
  <si>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</si>
  <si>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</si>
  <si>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</si>
  <si>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</si>
  <si>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</si>
  <si>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</si>
  <si>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</si>
  <si>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</si>
  <si>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</si>
  <si>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</si>
  <si>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</si>
  <si>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</si>
  <si>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</si>
  <si>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</si>
  <si>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</si>
  <si>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</si>
  <si>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</si>
  <si>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</si>
  <si>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</si>
  <si>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</si>
  <si>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</si>
  <si>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</si>
  <si>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</si>
  <si>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</si>
  <si>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</si>
  <si>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</si>
  <si>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</si>
  <si>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</si>
  <si>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</si>
  <si>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</si>
  <si>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</si>
  <si>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</si>
  <si>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</si>
  <si>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</si>
  <si>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</si>
  <si>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</si>
  <si>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</si>
  <si>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</si>
  <si>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</si>
  <si>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</si>
  <si>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</si>
  <si>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</si>
  <si>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</si>
  <si>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</si>
  <si>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</si>
  <si>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</si>
  <si>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</si>
  <si>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</si>
  <si>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</si>
  <si>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</si>
  <si>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</si>
  <si>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</si>
  <si>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</si>
  <si>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</si>
  <si>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</si>
  <si>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</si>
  <si>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</si>
  <si>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</si>
  <si>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</si>
  <si>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</si>
  <si>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</si>
  <si>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</si>
  <si>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</si>
  <si>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</si>
  <si>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</si>
  <si>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</si>
  <si>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</si>
  <si>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</si>
  <si>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</si>
  <si>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</si>
  <si>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</si>
  <si>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</si>
  <si>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</si>
  <si>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</si>
  <si>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</si>
  <si>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</si>
  <si>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</si>
  <si>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</si>
  <si>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</si>
  <si>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</si>
  <si>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</si>
  <si>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</si>
  <si>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</si>
  <si>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</si>
  <si>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</si>
  <si>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</si>
  <si>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</si>
  <si>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</si>
  <si>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</si>
  <si>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</si>
  <si>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</si>
  <si>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</si>
  <si>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</si>
  <si>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</si>
  <si>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</si>
  <si>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</si>
  <si>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</si>
  <si>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</si>
  <si>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</si>
  <si>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</si>
  <si>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</si>
  <si>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</si>
  <si>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</si>
  <si>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</si>
  <si>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</si>
  <si>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</si>
  <si>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</si>
  <si>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</si>
  <si>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</si>
  <si>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</si>
  <si>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</si>
  <si>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</si>
  <si>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</si>
  <si>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</si>
  <si>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</si>
  <si>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</si>
  <si>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</si>
  <si>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</si>
  <si>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</si>
  <si>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</si>
  <si>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</si>
  <si>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</si>
  <si>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</si>
  <si>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</si>
  <si>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</si>
  <si>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</si>
  <si>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</si>
  <si>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</si>
  <si>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</si>
  <si>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</si>
  <si>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</si>
  <si>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</si>
  <si>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</si>
  <si>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</si>
  <si>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</si>
  <si>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</si>
  <si>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</si>
  <si>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</si>
  <si>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</si>
  <si>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</si>
  <si>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</si>
  <si>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</si>
  <si>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</si>
  <si>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</si>
  <si>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</si>
  <si>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</si>
  <si>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</si>
  <si>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</si>
  <si>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</si>
  <si>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</si>
  <si>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</si>
  <si>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</si>
  <si>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</si>
  <si>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</si>
  <si>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</si>
  <si>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</si>
  <si>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</si>
  <si>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</si>
  <si>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</si>
  <si>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</si>
  <si>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</si>
  <si>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</si>
  <si>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</si>
  <si>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</si>
  <si>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</si>
  <si>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</si>
  <si>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</si>
  <si>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</si>
  <si>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</si>
  <si>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</si>
  <si>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</si>
  <si>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</si>
  <si>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</si>
  <si>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</si>
  <si>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</si>
  <si>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</si>
  <si>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</si>
  <si>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</si>
  <si>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</si>
  <si>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</si>
  <si>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</si>
  <si>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</si>
  <si>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</si>
  <si>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</si>
  <si>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</si>
  <si>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</si>
  <si>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</si>
  <si>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</si>
  <si>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</si>
  <si>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</si>
  <si>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</si>
  <si>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</si>
  <si>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</si>
  <si>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</si>
  <si>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</si>
  <si>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</si>
  <si>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</si>
  <si>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</si>
  <si>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</si>
  <si>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</si>
  <si>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</si>
  <si>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</si>
  <si>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</si>
  <si>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</si>
  <si>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</si>
  <si>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</si>
  <si>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</si>
  <si>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</si>
  <si>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</si>
  <si>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</si>
  <si>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</si>
  <si>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</si>
  <si>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</si>
  <si>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</si>
  <si>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</si>
  <si>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</si>
  <si>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</si>
  <si>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</si>
  <si>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</si>
  <si>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</si>
  <si>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</si>
  <si>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</si>
  <si>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</si>
  <si>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</si>
  <si>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</si>
  <si>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</si>
  <si>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</si>
  <si>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</si>
  <si>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</si>
  <si>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</si>
  <si>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</si>
  <si>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</si>
  <si>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</si>
  <si>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</si>
  <si>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</si>
  <si>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</si>
  <si>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</si>
  <si>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</si>
  <si>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</si>
  <si>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</si>
  <si>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</si>
  <si>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</si>
  <si>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</si>
  <si>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</si>
  <si>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</si>
  <si>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</si>
  <si>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</si>
  <si>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</si>
  <si>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</si>
  <si>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</si>
  <si>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</si>
  <si>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</si>
  <si>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</si>
  <si>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</si>
  <si>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</si>
  <si>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</si>
  <si>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</si>
  <si>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</si>
  <si>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</si>
  <si>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</si>
  <si>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</si>
  <si>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</si>
  <si>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</si>
  <si>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</si>
  <si>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</si>
  <si>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</si>
  <si>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</si>
  <si>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</si>
  <si>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</si>
  <si>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</si>
  <si>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</si>
  <si>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</si>
  <si>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</si>
  <si>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</si>
  <si>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</si>
  <si>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</si>
  <si>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</si>
  <si>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</si>
  <si>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</si>
  <si>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</si>
  <si>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</si>
  <si>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</si>
  <si>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</si>
  <si>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</si>
  <si>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</si>
  <si>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</si>
  <si>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</si>
  <si>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</si>
  <si>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</si>
  <si>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</si>
  <si>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</si>
  <si>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</si>
  <si>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</si>
  <si>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</si>
  <si>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</si>
  <si>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</si>
  <si>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</si>
  <si>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</si>
  <si>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</si>
  <si>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</si>
  <si>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</si>
  <si>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</si>
  <si>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</si>
  <si>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</si>
  <si>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</si>
  <si>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</si>
  <si>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</si>
  <si>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</si>
  <si>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</si>
  <si>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</si>
  <si>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</si>
  <si>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</si>
  <si>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</si>
  <si>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</si>
  <si>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</si>
  <si>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</si>
  <si>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</si>
  <si>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</si>
  <si>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</si>
  <si>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</si>
  <si>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</si>
  <si>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</si>
  <si>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</si>
  <si>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</si>
  <si>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</si>
  <si>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</si>
  <si>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</si>
  <si>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</si>
  <si>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</si>
  <si>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</si>
  <si>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</si>
  <si>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</si>
  <si>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</si>
  <si>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</si>
  <si>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</si>
  <si>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</si>
  <si>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</si>
  <si>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</si>
  <si>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</si>
  <si>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</si>
  <si>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</si>
  <si>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</si>
  <si>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</si>
  <si>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</si>
  <si>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</si>
  <si>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</si>
  <si>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</si>
  <si>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</si>
  <si>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</si>
  <si>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</si>
  <si>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</si>
  <si>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</si>
  <si>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</si>
  <si>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</si>
  <si>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</si>
  <si>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</si>
  <si>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</si>
  <si>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</si>
  <si>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</si>
  <si>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</si>
  <si>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</si>
  <si>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</si>
  <si>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</si>
  <si>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</si>
  <si>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</si>
  <si>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</si>
  <si>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</si>
  <si>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</si>
  <si>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</si>
  <si>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</si>
  <si>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</si>
  <si>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</si>
  <si>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</si>
  <si>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</si>
  <si>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</si>
  <si>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</si>
  <si>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</si>
  <si>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</si>
  <si>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</si>
  <si>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</si>
  <si>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</si>
  <si>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</si>
  <si>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</si>
  <si>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</si>
  <si>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</si>
  <si>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</si>
  <si>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</si>
  <si>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</si>
  <si>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</si>
  <si>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</si>
  <si>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</si>
  <si>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</si>
  <si>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</si>
  <si>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</si>
  <si>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</si>
  <si>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</si>
  <si>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</si>
  <si>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</si>
  <si>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</si>
  <si>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</si>
  <si>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</si>
  <si>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</si>
  <si>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</si>
  <si>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</si>
  <si>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</si>
  <si>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</si>
  <si>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</si>
  <si>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</si>
  <si>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</si>
  <si>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</si>
  <si>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</si>
  <si>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</si>
  <si>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</si>
  <si>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</si>
  <si>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</si>
  <si>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</si>
  <si>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</si>
  <si>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</si>
  <si>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</si>
  <si>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</si>
  <si>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</si>
  <si>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</si>
  <si>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</si>
  <si>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</si>
  <si>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</si>
  <si>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</si>
  <si>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</si>
  <si>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</si>
  <si>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</si>
  <si>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</si>
  <si>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</si>
  <si>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</si>
  <si>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</si>
  <si>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</si>
  <si>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</si>
  <si>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</si>
  <si>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</si>
  <si>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</si>
  <si>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</si>
  <si>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</si>
  <si>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</si>
  <si>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</si>
  <si>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</si>
  <si>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</si>
  <si>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</si>
  <si>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</si>
  <si>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</si>
  <si>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</si>
  <si>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</si>
  <si>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</si>
  <si>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</si>
  <si>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</si>
  <si>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</si>
  <si>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</si>
  <si>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</si>
  <si>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</si>
  <si>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</si>
  <si>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</si>
  <si>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</si>
  <si>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</si>
  <si>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</si>
  <si>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</si>
  <si>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</si>
  <si>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</si>
  <si>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</si>
  <si>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</si>
  <si>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</si>
  <si>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</si>
  <si>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</si>
  <si>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</si>
  <si>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</si>
  <si>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</si>
  <si>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</si>
  <si>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</si>
  <si>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</si>
  <si>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</si>
  <si>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</si>
  <si>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</si>
  <si>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</si>
  <si>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</si>
  <si>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</si>
  <si>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</si>
  <si>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</si>
  <si>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</si>
  <si>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</si>
  <si>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</si>
  <si>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</si>
  <si>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</si>
  <si>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</si>
  <si>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</si>
  <si>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</si>
  <si>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</si>
  <si>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</si>
  <si>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</si>
  <si>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</si>
  <si>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</si>
  <si>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</si>
  <si>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</si>
  <si>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</si>
  <si>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</si>
  <si>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</si>
  <si>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</si>
  <si>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</si>
  <si>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</si>
  <si>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</si>
  <si>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</si>
  <si>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</si>
  <si>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</si>
  <si>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</si>
  <si>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</si>
  <si>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</si>
  <si>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</si>
  <si>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</si>
  <si>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</si>
  <si>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</si>
  <si>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</si>
  <si>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</si>
  <si>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</si>
  <si>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</si>
  <si>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</si>
  <si>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</si>
  <si>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</si>
  <si>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</si>
  <si>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</si>
  <si>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</si>
  <si>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</si>
  <si>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</si>
  <si>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</si>
  <si>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</si>
  <si>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</si>
  <si>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</si>
  <si>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</si>
  <si>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</si>
  <si>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</si>
  <si>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</si>
  <si>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</si>
  <si>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</si>
  <si>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</si>
  <si>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</si>
  <si>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</si>
  <si>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</si>
  <si>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</si>
  <si>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</si>
  <si>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</si>
  <si>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</si>
  <si>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</si>
  <si>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</si>
  <si>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</si>
  <si>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</si>
  <si>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</si>
  <si>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</si>
  <si>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</si>
  <si>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</si>
  <si>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</si>
  <si>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</si>
  <si>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</si>
  <si>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</si>
  <si>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</si>
  <si>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</si>
  <si>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</si>
  <si>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</si>
  <si>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</si>
  <si>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</si>
  <si>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</si>
  <si>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</si>
  <si>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</si>
  <si>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</si>
  <si>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</si>
  <si>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</si>
  <si>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</si>
  <si>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</si>
  <si>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</si>
  <si>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</si>
  <si>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</si>
  <si>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</si>
  <si>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</si>
  <si>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</si>
  <si>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</si>
  <si>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</si>
  <si>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</si>
  <si>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</si>
  <si>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</si>
  <si>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</si>
  <si>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</si>
  <si>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</si>
  <si>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</si>
  <si>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</si>
  <si>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</si>
  <si>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</si>
  <si>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</si>
  <si>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</si>
  <si>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</si>
  <si>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</si>
  <si>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</si>
  <si>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</si>
  <si>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</si>
  <si>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</si>
  <si>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</si>
  <si>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</si>
  <si>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</si>
  <si>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</si>
  <si>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</si>
  <si>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</si>
  <si>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</si>
  <si>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</si>
  <si>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</si>
  <si>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</si>
  <si>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</si>
  <si>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</si>
  <si>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</si>
  <si>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</si>
  <si>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</si>
  <si>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</si>
  <si>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</si>
  <si>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</si>
  <si>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</si>
  <si>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</si>
  <si>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</si>
  <si>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</si>
  <si>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</si>
  <si>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</si>
  <si>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</si>
  <si>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</si>
  <si>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</si>
  <si>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</si>
  <si>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</si>
  <si>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</si>
  <si>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</si>
  <si>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</si>
  <si>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</si>
  <si>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</si>
  <si>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</si>
  <si>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</si>
  <si>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</si>
  <si>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</si>
  <si>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</si>
  <si>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</si>
  <si>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</si>
  <si>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</si>
  <si>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</si>
  <si>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</si>
  <si>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</si>
  <si>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</si>
  <si>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</si>
  <si>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</si>
  <si>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</si>
  <si>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</si>
  <si>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</si>
  <si>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</si>
  <si>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</si>
  <si>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</si>
  <si>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</si>
  <si>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</si>
  <si>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</si>
  <si>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</si>
  <si>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</si>
  <si>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</si>
  <si>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</si>
  <si>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</si>
  <si>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</si>
  <si>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</si>
  <si>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</si>
  <si>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</si>
  <si>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</si>
  <si>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</si>
  <si>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</si>
  <si>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</si>
  <si>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</si>
  <si>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</si>
  <si>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</si>
  <si>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</si>
  <si>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</si>
  <si>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</si>
  <si>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</si>
  <si>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</si>
  <si>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</si>
  <si>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</si>
  <si>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</si>
  <si>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</si>
  <si>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</si>
  <si>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</si>
  <si>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</si>
  <si>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</si>
  <si>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</si>
  <si>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</si>
  <si>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</si>
  <si>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</si>
  <si>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</si>
  <si>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</si>
  <si>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</si>
  <si>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</si>
  <si>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</si>
  <si>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</si>
  <si>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</si>
  <si>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</si>
  <si>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</si>
  <si>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</si>
  <si>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</si>
  <si>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</si>
  <si>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</si>
  <si>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</si>
  <si>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</si>
  <si>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</si>
  <si>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</si>
  <si>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</si>
  <si>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</si>
  <si>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</si>
  <si>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</si>
  <si>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</si>
  <si>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</si>
  <si>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</si>
  <si>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</si>
  <si>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</si>
  <si>
    <t>NTCPMIMFGSA@SE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</si>
</sst>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2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1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2" fillId="0" borderId="4" xfId="0" applyNumberFormat="1" applyFont="1" applyBorder="1"/>
    <xf numFmtId="14" fontId="42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14" fontId="42" fillId="0" borderId="31" xfId="0" applyNumberFormat="1" applyFont="1" applyBorder="1"/>
    <xf numFmtId="14" fontId="42" fillId="0" borderId="32" xfId="0" applyNumberFormat="1" applyFont="1" applyBorder="1"/>
    <xf numFmtId="14" fontId="42" fillId="0" borderId="0" xfId="0" applyNumberFormat="1" applyFont="1"/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NTCPMIMFGSA@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E35" sqref="E35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7" t="s">
        <v>57</v>
      </c>
    </row>
    <row r="11" spans="3:19" ht="15" thickBot="1" x14ac:dyDescent="0.4">
      <c r="D11" s="188" t="s">
        <v>82</v>
      </c>
      <c r="E11" s="68">
        <v>0.4</v>
      </c>
      <c r="F11" s="68">
        <v>0.3</v>
      </c>
      <c r="G11" s="189">
        <v>0.3</v>
      </c>
    </row>
    <row r="12" spans="3:19" s="19" customFormat="1" ht="15" thickBot="1" x14ac:dyDescent="0.4">
      <c r="D12" s="190" t="s">
        <v>81</v>
      </c>
      <c r="E12" s="191">
        <f>E11*$E$34</f>
        <v>0.4</v>
      </c>
      <c r="F12" s="191">
        <f t="shared" ref="F12:G12" si="0">F11*$E$34</f>
        <v>0.3</v>
      </c>
      <c r="G12" s="192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4.8218161214378857E-2</v>
      </c>
      <c r="O13" s="55">
        <f>N13*(1+N9)</f>
        <v>5.111125088724159E-2</v>
      </c>
    </row>
    <row r="14" spans="3:19" x14ac:dyDescent="0.35">
      <c r="C14" s="1" t="s">
        <v>417</v>
      </c>
      <c r="D14" s="15" t="s">
        <v>78</v>
      </c>
      <c r="E14" s="193" t="s">
        <v>63</v>
      </c>
      <c r="F14" s="194" t="s">
        <v>64</v>
      </c>
      <c r="G14" s="194" t="s">
        <v>79</v>
      </c>
      <c r="H14" s="11" t="s">
        <v>77</v>
      </c>
      <c r="M14" s="56" t="s">
        <v>452</v>
      </c>
      <c r="N14" s="57">
        <f>(1/'Value -2 '!G11)</f>
        <v>3.8761811397640997E-2</v>
      </c>
      <c r="O14" s="58"/>
    </row>
    <row r="15" spans="3:19" x14ac:dyDescent="0.35">
      <c r="D15" s="188" t="s">
        <v>82</v>
      </c>
      <c r="E15" s="66">
        <v>0.2</v>
      </c>
      <c r="F15" s="66">
        <v>0.2</v>
      </c>
      <c r="G15" s="66">
        <v>0.3</v>
      </c>
      <c r="H15" s="195">
        <v>0.3</v>
      </c>
      <c r="M15" s="56"/>
      <c r="N15" s="58"/>
      <c r="O15" s="58"/>
    </row>
    <row r="16" spans="3:19" ht="15" thickBot="1" x14ac:dyDescent="0.4">
      <c r="D16" s="190" t="s">
        <v>81</v>
      </c>
      <c r="E16" s="191">
        <f t="shared" ref="E16:F16" si="1">E15*$F$34</f>
        <v>0</v>
      </c>
      <c r="F16" s="191">
        <f t="shared" si="1"/>
        <v>0</v>
      </c>
      <c r="G16" s="191">
        <f>G15*$F$34</f>
        <v>0</v>
      </c>
      <c r="H16" s="192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4.3023999999999993E-2</v>
      </c>
      <c r="O17" s="58"/>
    </row>
    <row r="18" spans="3:22" x14ac:dyDescent="0.35">
      <c r="C18" s="1" t="s">
        <v>418</v>
      </c>
      <c r="D18" s="62" t="s">
        <v>70</v>
      </c>
      <c r="E18" s="126" t="s">
        <v>73</v>
      </c>
      <c r="F18" s="5"/>
      <c r="M18" s="56"/>
      <c r="N18" s="58"/>
      <c r="O18" s="58"/>
    </row>
    <row r="19" spans="3:22" x14ac:dyDescent="0.35">
      <c r="D19" s="188" t="s">
        <v>82</v>
      </c>
      <c r="E19" s="195">
        <v>1</v>
      </c>
      <c r="F19" s="5"/>
      <c r="G19" s="5"/>
      <c r="M19" s="56"/>
      <c r="N19" s="58"/>
      <c r="O19" s="58"/>
    </row>
    <row r="20" spans="3:22" ht="15" thickBot="1" x14ac:dyDescent="0.4">
      <c r="D20" s="190" t="s">
        <v>81</v>
      </c>
      <c r="E20" s="196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-6.7818387856211429E-3</v>
      </c>
      <c r="O21" s="57">
        <f>O13-O16</f>
        <v>6.1112508872415913E-3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5.1941612143788646E-3</v>
      </c>
      <c r="O22" s="57"/>
    </row>
    <row r="23" spans="3:22" x14ac:dyDescent="0.35">
      <c r="D23" s="188" t="s">
        <v>82</v>
      </c>
      <c r="E23" s="66">
        <v>0</v>
      </c>
      <c r="F23" s="195">
        <v>0</v>
      </c>
      <c r="G23" s="5"/>
      <c r="M23" s="9"/>
      <c r="N23" s="5"/>
      <c r="T23" s="9"/>
    </row>
    <row r="24" spans="3:22" ht="15" thickBot="1" x14ac:dyDescent="0.4">
      <c r="D24" s="190" t="s">
        <v>81</v>
      </c>
      <c r="E24" s="17">
        <f>E23*$H$34</f>
        <v>0</v>
      </c>
      <c r="F24" s="150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764</v>
      </c>
      <c r="D26" s="149" t="s">
        <v>765</v>
      </c>
      <c r="E26" s="10" t="s">
        <v>763</v>
      </c>
      <c r="F26" s="11" t="s">
        <v>766</v>
      </c>
    </row>
    <row r="27" spans="3:22" x14ac:dyDescent="0.35">
      <c r="D27" s="188" t="s">
        <v>82</v>
      </c>
      <c r="E27" s="66">
        <v>0.6</v>
      </c>
      <c r="F27" s="195">
        <v>0.4</v>
      </c>
    </row>
    <row r="28" spans="3:22" ht="15" thickBot="1" x14ac:dyDescent="0.4">
      <c r="D28" s="190" t="s">
        <v>81</v>
      </c>
      <c r="E28" s="17">
        <f>E27*$I$34</f>
        <v>0</v>
      </c>
      <c r="F28" s="150">
        <f>F27*$I$34</f>
        <v>0</v>
      </c>
    </row>
    <row r="29" spans="3:22" ht="15" thickBot="1" x14ac:dyDescent="0.4"/>
    <row r="30" spans="3:22" x14ac:dyDescent="0.35">
      <c r="C30" t="s">
        <v>857</v>
      </c>
      <c r="D30" s="15" t="s">
        <v>858</v>
      </c>
      <c r="E30" s="197">
        <v>0.2</v>
      </c>
    </row>
    <row r="31" spans="3:22" ht="15" thickBot="1" x14ac:dyDescent="0.4">
      <c r="D31" s="12"/>
      <c r="E31" s="150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8" t="s">
        <v>765</v>
      </c>
      <c r="J33" s="118" t="s">
        <v>858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910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911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776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813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884</v>
      </c>
    </row>
    <row r="7" spans="3:9" ht="15" thickBot="1" x14ac:dyDescent="0.4">
      <c r="D7" t="s">
        <v>885</v>
      </c>
      <c r="H7" s="1" t="s">
        <v>900</v>
      </c>
    </row>
    <row r="8" spans="3:9" ht="15" thickBot="1" x14ac:dyDescent="0.4">
      <c r="C8" s="62" t="s">
        <v>6</v>
      </c>
      <c r="D8" s="10">
        <f>'Asset class'!S3</f>
        <v>8</v>
      </c>
      <c r="E8" s="11">
        <f t="shared" ref="E8:E17" si="0">D8</f>
        <v>8</v>
      </c>
    </row>
    <row r="9" spans="3:9" x14ac:dyDescent="0.35">
      <c r="C9" s="56" t="s">
        <v>1</v>
      </c>
      <c r="D9">
        <f>'Asset class'!S4</f>
        <v>4</v>
      </c>
      <c r="E9" s="58">
        <f t="shared" si="0"/>
        <v>4</v>
      </c>
      <c r="H9" s="62" t="s">
        <v>901</v>
      </c>
      <c r="I9" s="170">
        <f>Timing!L22</f>
        <v>0.46153846153846156</v>
      </c>
    </row>
    <row r="10" spans="3:9" x14ac:dyDescent="0.35">
      <c r="C10" s="56" t="s">
        <v>886</v>
      </c>
      <c r="D10">
        <f>'Asset class'!S5</f>
        <v>1</v>
      </c>
      <c r="E10" s="58">
        <f t="shared" si="0"/>
        <v>1</v>
      </c>
      <c r="H10" s="56" t="s">
        <v>902</v>
      </c>
      <c r="I10" s="57">
        <f>Timing!M22</f>
        <v>0.84615384615384615</v>
      </c>
    </row>
    <row r="11" spans="3:9" ht="15" thickBot="1" x14ac:dyDescent="0.4">
      <c r="C11" s="56" t="s">
        <v>887</v>
      </c>
      <c r="D11">
        <f>'Asset class'!S6</f>
        <v>10</v>
      </c>
      <c r="E11" s="58">
        <f t="shared" si="0"/>
        <v>10</v>
      </c>
      <c r="H11" s="12" t="s">
        <v>903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7</v>
      </c>
      <c r="E12" s="58">
        <f t="shared" si="0"/>
        <v>7</v>
      </c>
    </row>
    <row r="13" spans="3:9" x14ac:dyDescent="0.35">
      <c r="C13" s="56" t="s">
        <v>888</v>
      </c>
      <c r="D13">
        <f>'Asset class'!S8</f>
        <v>2</v>
      </c>
      <c r="E13" s="58">
        <f t="shared" si="0"/>
        <v>2</v>
      </c>
    </row>
    <row r="14" spans="3:9" ht="15" thickBot="1" x14ac:dyDescent="0.4">
      <c r="C14" s="12" t="s">
        <v>457</v>
      </c>
      <c r="D14">
        <f>'Asset class'!S9</f>
        <v>3</v>
      </c>
      <c r="E14" s="14">
        <f t="shared" si="0"/>
        <v>3</v>
      </c>
    </row>
    <row r="15" spans="3:9" ht="15" thickBot="1" x14ac:dyDescent="0.4">
      <c r="C15" s="143" t="s">
        <v>889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7" t="s">
        <v>536</v>
      </c>
      <c r="D16">
        <f>'Asset class'!S11</f>
        <v>6</v>
      </c>
      <c r="E16" s="14">
        <f t="shared" si="0"/>
        <v>6</v>
      </c>
    </row>
    <row r="17" spans="2:15" ht="15" thickBot="1" x14ac:dyDescent="0.4">
      <c r="C17" s="147" t="s">
        <v>46</v>
      </c>
      <c r="D17">
        <f>'Asset class'!S12</f>
        <v>5</v>
      </c>
      <c r="E17" s="14">
        <f t="shared" si="0"/>
        <v>5</v>
      </c>
    </row>
    <row r="20" spans="2:15" x14ac:dyDescent="0.35">
      <c r="C20" s="1" t="s">
        <v>890</v>
      </c>
    </row>
    <row r="22" spans="2:15" ht="15" thickBot="1" x14ac:dyDescent="0.4">
      <c r="C22" s="1" t="s">
        <v>891</v>
      </c>
      <c r="D22" s="1"/>
      <c r="E22" s="1" t="s">
        <v>892</v>
      </c>
    </row>
    <row r="23" spans="2:15" x14ac:dyDescent="0.35">
      <c r="B23" s="62" t="s">
        <v>1</v>
      </c>
      <c r="C23" s="169">
        <f>'Momnetum ranking'!H22</f>
        <v>0.35714285714285715</v>
      </c>
      <c r="D23" s="169"/>
      <c r="E23" s="170">
        <f>'Momnetum ranking'!I22</f>
        <v>0.30952380952380953</v>
      </c>
    </row>
    <row r="24" spans="2:15" x14ac:dyDescent="0.35">
      <c r="B24" s="56" t="s">
        <v>51</v>
      </c>
      <c r="C24" s="9">
        <f>'Momnetum ranking'!H10</f>
        <v>0.38235294117647056</v>
      </c>
      <c r="D24" s="9"/>
      <c r="E24" s="57">
        <f>'Momnetum ranking'!I10</f>
        <v>0.26470588235294118</v>
      </c>
    </row>
    <row r="25" spans="2:15" x14ac:dyDescent="0.35">
      <c r="B25" s="56" t="s">
        <v>893</v>
      </c>
      <c r="C25" s="9">
        <f>'Momnetum ranking'!H23</f>
        <v>0.25490196078431371</v>
      </c>
      <c r="D25" s="9"/>
      <c r="E25" s="57">
        <f>'Momnetum ranking'!I23</f>
        <v>0.6470588235294118</v>
      </c>
    </row>
    <row r="26" spans="2:15" x14ac:dyDescent="0.35">
      <c r="B26" s="56" t="s">
        <v>46</v>
      </c>
      <c r="C26" s="9">
        <f>'Momnetum ranking'!H21</f>
        <v>0.49315068493150682</v>
      </c>
      <c r="D26" s="9"/>
      <c r="E26" s="57">
        <f>'Momnetum ranking'!I21</f>
        <v>0.41095890410958902</v>
      </c>
    </row>
    <row r="27" spans="2:15" ht="15" thickBot="1" x14ac:dyDescent="0.4">
      <c r="B27" s="12" t="s">
        <v>536</v>
      </c>
      <c r="C27" s="171">
        <f>'Momnetum ranking'!H18</f>
        <v>0.32484567901234568</v>
      </c>
      <c r="D27" s="171"/>
      <c r="E27" s="59">
        <f>'Momnetum ranking'!I18</f>
        <v>0.43055555555555558</v>
      </c>
    </row>
    <row r="28" spans="2:15" x14ac:dyDescent="0.35">
      <c r="B28" s="62" t="s">
        <v>6</v>
      </c>
      <c r="C28" s="169">
        <f>'Momnetum ranking'!H19</f>
        <v>0.15355249204665961</v>
      </c>
      <c r="D28" s="169"/>
      <c r="E28" s="170">
        <f>'Momnetum ranking'!I19</f>
        <v>0.23902439024390243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2" t="s">
        <v>894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897</v>
      </c>
      <c r="H33" t="s">
        <v>4</v>
      </c>
      <c r="K33" t="s">
        <v>77</v>
      </c>
      <c r="L33" t="s">
        <v>70</v>
      </c>
      <c r="M33" s="72" t="s">
        <v>895</v>
      </c>
      <c r="N33" t="s">
        <v>4</v>
      </c>
      <c r="O33" s="173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-0.1057098765432099</v>
      </c>
      <c r="F35" s="5">
        <f>'Momnetum ranking'!K18</f>
        <v>0.584313725490196</v>
      </c>
      <c r="G35" s="9">
        <f>'Momnetum ranking'!Q18</f>
        <v>0.98244315000000004</v>
      </c>
      <c r="H35" s="3">
        <f>'Momnetum ranking'!O18</f>
        <v>5.4651737000000002</v>
      </c>
      <c r="K35">
        <f>_xlfn.RANK.EQ(E35,$E$35:$E$39)</f>
        <v>5</v>
      </c>
      <c r="L35">
        <f>_xlfn.RANK.EQ(F35,$F$35:$F$39)</f>
        <v>4</v>
      </c>
      <c r="M35">
        <f>_xlfn.RANK.EQ(G35,$G$35:$G$39)</f>
        <v>1</v>
      </c>
      <c r="N35">
        <f>_xlfn.RANK.EQ(H35,$H$35:$H$39)</f>
        <v>4</v>
      </c>
      <c r="O35" s="58">
        <f>MEDIAN(K35:N35)</f>
        <v>4</v>
      </c>
    </row>
    <row r="36" spans="3:15" x14ac:dyDescent="0.35">
      <c r="C36" s="56" t="s">
        <v>747</v>
      </c>
      <c r="E36" s="9">
        <f>'Momnetum ranking'!J19</f>
        <v>-8.5471898197242824E-2</v>
      </c>
      <c r="F36" s="5">
        <f>'Momnetum ranking'!K19</f>
        <v>0.40496948561464696</v>
      </c>
      <c r="G36" s="9">
        <f>'Momnetum ranking'!Q19</f>
        <v>0.97424599999999995</v>
      </c>
      <c r="H36" s="3">
        <f>'Momnetum ranking'!O19</f>
        <v>3.9546489999999999</v>
      </c>
      <c r="K36">
        <f t="shared" ref="K36:K39" si="1">_xlfn.RANK.EQ(E36,$E$35:$E$39)</f>
        <v>4</v>
      </c>
      <c r="L36">
        <f t="shared" ref="L36:L39" si="2">_xlfn.RANK.EQ(F36,$F$35:$F$39)</f>
        <v>5</v>
      </c>
      <c r="M36">
        <f t="shared" ref="M36:M39" si="3">_xlfn.RANK.EQ(G36,$G$35:$G$39)</f>
        <v>4</v>
      </c>
      <c r="N36">
        <f t="shared" ref="N36:N39" si="4">_xlfn.RANK.EQ(H36,$H$35:$H$39)</f>
        <v>5</v>
      </c>
      <c r="O36" s="58">
        <f t="shared" ref="O36:O39" si="5">MEDIAN(K36:N36)</f>
        <v>4.5</v>
      </c>
    </row>
    <row r="37" spans="3:15" x14ac:dyDescent="0.35">
      <c r="C37" s="56" t="s">
        <v>779</v>
      </c>
      <c r="E37" s="9">
        <f>'Momnetum ranking'!J20</f>
        <v>1.4295439074200167E-2</v>
      </c>
      <c r="F37" s="5">
        <f>'Momnetum ranking'!K20</f>
        <v>0.73019125683060093</v>
      </c>
      <c r="G37" s="9">
        <f>'Momnetum ranking'!Q20</f>
        <v>0.98009500000000005</v>
      </c>
      <c r="H37" s="3">
        <f>'Momnetum ranking'!O20</f>
        <v>8.8752859999999991</v>
      </c>
      <c r="K37">
        <f t="shared" si="1"/>
        <v>3</v>
      </c>
      <c r="L37">
        <f t="shared" si="2"/>
        <v>2</v>
      </c>
      <c r="M37">
        <f t="shared" si="3"/>
        <v>2</v>
      </c>
      <c r="N37">
        <f t="shared" si="4"/>
        <v>3</v>
      </c>
      <c r="O37" s="58">
        <f t="shared" si="5"/>
        <v>2.5</v>
      </c>
    </row>
    <row r="38" spans="3:15" x14ac:dyDescent="0.35">
      <c r="C38" s="56" t="s">
        <v>814</v>
      </c>
      <c r="E38" s="9">
        <f>'Momnetum ranking'!J21</f>
        <v>8.2191780821917804E-2</v>
      </c>
      <c r="F38" s="5">
        <f>'Momnetum ranking'!K21</f>
        <v>0.6803652968036531</v>
      </c>
      <c r="G38" s="9">
        <f>'Momnetum ranking'!Q21</f>
        <v>0.96676605999999998</v>
      </c>
      <c r="H38" s="3">
        <f>'Momnetum ranking'!O21</f>
        <v>10.482073</v>
      </c>
      <c r="K38">
        <f t="shared" si="1"/>
        <v>1</v>
      </c>
      <c r="L38">
        <f t="shared" si="2"/>
        <v>3</v>
      </c>
      <c r="M38">
        <f t="shared" si="3"/>
        <v>5</v>
      </c>
      <c r="N38">
        <f t="shared" si="4"/>
        <v>1</v>
      </c>
      <c r="O38" s="58">
        <f t="shared" si="5"/>
        <v>2</v>
      </c>
    </row>
    <row r="39" spans="3:15" ht="15" thickBot="1" x14ac:dyDescent="0.4">
      <c r="C39" s="12" t="s">
        <v>119</v>
      </c>
      <c r="D39" s="13"/>
      <c r="E39" s="171">
        <f>'Momnetum ranking'!J22</f>
        <v>4.7619047619047616E-2</v>
      </c>
      <c r="F39" s="17">
        <f>'Momnetum ranking'!K22</f>
        <v>0.78243512974051899</v>
      </c>
      <c r="G39" s="171">
        <f>'Momnetum ranking'!Q22</f>
        <v>0.9780027</v>
      </c>
      <c r="H39" s="174">
        <f>'Momnetum ranking'!O22</f>
        <v>10.1427555</v>
      </c>
      <c r="I39" s="13"/>
      <c r="J39" s="13"/>
      <c r="K39" s="13">
        <f t="shared" si="1"/>
        <v>2</v>
      </c>
      <c r="L39" s="13">
        <f t="shared" si="2"/>
        <v>1</v>
      </c>
      <c r="M39" s="13">
        <f t="shared" si="3"/>
        <v>3</v>
      </c>
      <c r="N39" s="13">
        <f t="shared" si="4"/>
        <v>2</v>
      </c>
      <c r="O39" s="14">
        <f t="shared" si="5"/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896</v>
      </c>
      <c r="F1" t="s">
        <v>4</v>
      </c>
      <c r="G1" t="s">
        <v>5</v>
      </c>
      <c r="H1" t="s">
        <v>9</v>
      </c>
      <c r="K1" t="s">
        <v>897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898</v>
      </c>
    </row>
    <row r="2" spans="1:19" s="22" customFormat="1" ht="15" thickBot="1" x14ac:dyDescent="0.4">
      <c r="A2" s="21"/>
      <c r="K2" s="175">
        <v>0.33</v>
      </c>
      <c r="L2" s="175">
        <v>0.33</v>
      </c>
      <c r="M2" s="175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1.5189885999999999</v>
      </c>
      <c r="F3" s="3" cm="1">
        <f t="array" ref="F3">_xll.FDS(C3,"FG_TOTAL_RETURNC(0,-3AM)")</f>
        <v>3.9546489999999999</v>
      </c>
      <c r="G3" s="3" cm="1">
        <f t="array" ref="G3">_xll.FDS(C3,"FG_TOTAL_RETURNC(0,-6AM)")</f>
        <v>11.775874999999999</v>
      </c>
      <c r="H3" s="9" cm="1">
        <f t="array" ref="H3">_xll.FDS(C3,"P_PRICE(0)/P_PRICE_HIGH_PR(0,,,USD,,,""PRICE"",""INTRA"",""52W"")")</f>
        <v>0.97424599999999995</v>
      </c>
      <c r="K3" s="4">
        <f>_xlfn.RANK.EQ(H3,H$3:H$12)</f>
        <v>6</v>
      </c>
      <c r="L3" s="4">
        <f>_xlfn.RANK.EQ(F3,F$3:F$12)</f>
        <v>8</v>
      </c>
      <c r="M3" s="4">
        <f>_xlfn.RANK.EQ(G3,G$3:G$12)</f>
        <v>7</v>
      </c>
      <c r="N3" s="4"/>
      <c r="P3" s="3">
        <f t="shared" ref="P3:P12" si="0">SUMPRODUCT($K$2:$M$2,K3:M3)</f>
        <v>6.93</v>
      </c>
      <c r="Q3">
        <f t="shared" ref="Q3:Q12" si="1">COUNTIF(K3:N3,"&gt;70")</f>
        <v>0</v>
      </c>
      <c r="S3" s="3">
        <f>11-_xlfn.RANK.EQ(P3,$P$3:$P$12)</f>
        <v>8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0.46360493000000003</v>
      </c>
      <c r="F4" s="3" cm="1">
        <f t="array" ref="F4">_xll.FDS(C4,"FG_TOTAL_RETURNC(0,-3AM)")</f>
        <v>10.1427555</v>
      </c>
      <c r="G4" s="3" cm="1">
        <f t="array" ref="G4">_xll.FDS(C4,"FG_TOTAL_RETURNC(0,-6AM)")</f>
        <v>21.689188000000001</v>
      </c>
      <c r="H4" s="9" cm="1">
        <f t="array" ref="H4">_xll.FDS(C4,"P_PRICE(0)/P_PRICE_HIGH_PR(0,,,USD,,,""PRICE"",""INTRA"",""52W"")")</f>
        <v>0.9780027</v>
      </c>
      <c r="I4" s="176"/>
      <c r="K4" s="4">
        <f t="shared" ref="K4:K12" si="3">_xlfn.RANK.EQ(H4,H$3:H$12)</f>
        <v>5</v>
      </c>
      <c r="L4" s="4">
        <f t="shared" ref="L4:M12" si="4">_xlfn.RANK.EQ(F4,F$3:F$12)</f>
        <v>5</v>
      </c>
      <c r="M4" s="4">
        <f t="shared" si="4"/>
        <v>2</v>
      </c>
      <c r="N4" s="4"/>
      <c r="P4" s="3">
        <f t="shared" si="0"/>
        <v>3.9600000000000004</v>
      </c>
      <c r="Q4">
        <f t="shared" si="1"/>
        <v>0</v>
      </c>
      <c r="S4" s="3">
        <f t="shared" ref="S4:S12" si="5">11-_xlfn.RANK.EQ(P4,$P$3:$P$12)</f>
        <v>4</v>
      </c>
    </row>
    <row r="5" spans="1:19" x14ac:dyDescent="0.35">
      <c r="A5" t="s">
        <v>886</v>
      </c>
      <c r="C5" t="str">
        <f t="shared" si="2"/>
        <v>GLD</v>
      </c>
      <c r="E5" s="3" cm="1">
        <f t="array" ref="E5">_xll.FDS(C5,"FG_TOTAL_RETURNC(0,-1AM)")</f>
        <v>7.9128622999999996</v>
      </c>
      <c r="F5" s="3" cm="1">
        <f t="array" ref="F5">_xll.FDS(C5,"FG_TOTAL_RETURNC(0,-3AM)")</f>
        <v>11.726177</v>
      </c>
      <c r="G5" s="3" cm="1">
        <f t="array" ref="G5">_xll.FDS(C5,"FG_TOTAL_RETURNC(0,-6AM)")</f>
        <v>25.056170999999999</v>
      </c>
      <c r="H5" s="9" cm="1">
        <f t="array" ref="H5">_xll.FDS(C5,"P_PRICE(0)/P_PRICE_HIGH_PR(0,,,USD,,,""PRICE"",""INTRA"",""52W"")")</f>
        <v>0.99095809999999995</v>
      </c>
      <c r="I5" s="176"/>
      <c r="K5" s="4">
        <f t="shared" si="3"/>
        <v>1</v>
      </c>
      <c r="L5" s="4">
        <f t="shared" si="4"/>
        <v>3</v>
      </c>
      <c r="M5" s="4">
        <f t="shared" si="4"/>
        <v>1</v>
      </c>
      <c r="N5" s="4"/>
      <c r="P5" s="3">
        <f t="shared" si="0"/>
        <v>1.6500000000000001</v>
      </c>
      <c r="Q5">
        <f t="shared" si="1"/>
        <v>0</v>
      </c>
      <c r="S5" s="3">
        <f t="shared" si="5"/>
        <v>1</v>
      </c>
    </row>
    <row r="6" spans="1:19" x14ac:dyDescent="0.35">
      <c r="A6" t="s">
        <v>887</v>
      </c>
      <c r="C6" t="str">
        <f t="shared" si="2"/>
        <v>UUP</v>
      </c>
      <c r="E6" s="3" cm="1">
        <f t="array" ref="E6">_xll.FDS(C6,"FG_TOTAL_RETURNC(0,-1AM)")</f>
        <v>0.96290109999999995</v>
      </c>
      <c r="F6" s="3" cm="1">
        <f t="array" ref="F6">_xll.FDS(C6,"FG_TOTAL_RETURNC(0,-3AM)")</f>
        <v>3.2834767999999999</v>
      </c>
      <c r="G6" s="3" cm="1">
        <f t="array" ref="G6">_xll.FDS(C6,"FG_TOTAL_RETURNC(0,-6AM)")</f>
        <v>0.72728395000000001</v>
      </c>
      <c r="H6" s="9" cm="1">
        <f t="array" ref="H6">_xll.FDS(C6,"P_PRICE(0)/P_PRICE_HIGH_PR(0,,,USD,,,""PRICE"",""INTRA"",""52W"")")</f>
        <v>0.93850480000000003</v>
      </c>
      <c r="I6" s="176"/>
      <c r="K6" s="4">
        <f t="shared" si="3"/>
        <v>9</v>
      </c>
      <c r="L6" s="4">
        <f t="shared" si="4"/>
        <v>9</v>
      </c>
      <c r="M6" s="4">
        <f t="shared" si="4"/>
        <v>10</v>
      </c>
      <c r="N6" s="4"/>
      <c r="P6" s="3">
        <f t="shared" si="0"/>
        <v>9.24</v>
      </c>
      <c r="Q6">
        <f t="shared" si="1"/>
        <v>0</v>
      </c>
      <c r="S6" s="3">
        <f t="shared" si="5"/>
        <v>10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-1.8263459</v>
      </c>
      <c r="F7" s="3" cm="1">
        <f t="array" ref="F7">_xll.FDS(C7,"FG_TOTAL_RETURNC(0,-3AM)")</f>
        <v>10.000669500000001</v>
      </c>
      <c r="G7" s="3" cm="1">
        <f t="array" ref="G7">_xll.FDS(C7,"FG_TOTAL_RETURNC(0,-6AM)")</f>
        <v>21.474695000000001</v>
      </c>
      <c r="H7" s="9" cm="1">
        <f t="array" ref="H7">_xll.FDS(C7,"P_PRICE(0)/P_PRICE_HIGH_PR(0,,,USD,,,""PRICE"",""INTRA"",""52W"")")</f>
        <v>0.96884320000000002</v>
      </c>
      <c r="I7" s="1"/>
      <c r="K7" s="4">
        <f t="shared" si="3"/>
        <v>7</v>
      </c>
      <c r="L7" s="4">
        <f t="shared" si="4"/>
        <v>6</v>
      </c>
      <c r="M7" s="4">
        <f t="shared" si="4"/>
        <v>5</v>
      </c>
      <c r="N7" s="4"/>
      <c r="P7" s="3">
        <f t="shared" si="0"/>
        <v>5.94</v>
      </c>
      <c r="Q7">
        <f t="shared" si="1"/>
        <v>0</v>
      </c>
      <c r="S7" s="3">
        <f t="shared" si="5"/>
        <v>7</v>
      </c>
    </row>
    <row r="8" spans="1:19" x14ac:dyDescent="0.35">
      <c r="A8" t="s">
        <v>888</v>
      </c>
      <c r="C8" t="str">
        <f t="shared" si="2"/>
        <v>DBA</v>
      </c>
      <c r="E8" s="3" cm="1">
        <f t="array" ref="E8">_xll.FDS(C8,"FG_TOTAL_RETURNC(0,-1AM)")</f>
        <v>10.467696</v>
      </c>
      <c r="F8" s="3" cm="1">
        <f t="array" ref="F8">_xll.FDS(C8,"FG_TOTAL_RETURNC(0,-3AM)")</f>
        <v>19.691122</v>
      </c>
      <c r="G8" s="3" cm="1">
        <f t="array" ref="G8">_xll.FDS(C8,"FG_TOTAL_RETURNC(0,-6AM)")</f>
        <v>21.637737000000001</v>
      </c>
      <c r="H8" s="9" cm="1">
        <f t="array" ref="H8">_xll.FDS(C8,"P_PRICE(0)/P_PRICE_HIGH_PR(0,,,USD,,,""PRICE"",""INTRA"",""52W"")")</f>
        <v>0.98667190000000005</v>
      </c>
      <c r="I8" s="1"/>
      <c r="K8" s="4">
        <f t="shared" si="3"/>
        <v>3</v>
      </c>
      <c r="L8" s="4">
        <f t="shared" si="4"/>
        <v>2</v>
      </c>
      <c r="M8" s="4">
        <f t="shared" si="4"/>
        <v>3</v>
      </c>
      <c r="N8" s="4"/>
      <c r="P8" s="3">
        <f t="shared" si="0"/>
        <v>2.6399999999999997</v>
      </c>
      <c r="Q8">
        <f t="shared" si="1"/>
        <v>0</v>
      </c>
      <c r="S8" s="3">
        <f t="shared" si="5"/>
        <v>2</v>
      </c>
    </row>
    <row r="9" spans="1:19" x14ac:dyDescent="0.35">
      <c r="A9" t="s">
        <v>899</v>
      </c>
      <c r="C9" t="str">
        <f t="shared" si="2"/>
        <v>USO</v>
      </c>
      <c r="E9" s="3" cm="1">
        <f t="array" ref="E9">_xll.FDS(C9,"FG_TOTAL_RETURNC(0,-1AM)")</f>
        <v>11.160648</v>
      </c>
      <c r="F9" s="3" cm="1">
        <f t="array" ref="F9">_xll.FDS(C9,"FG_TOTAL_RETURNC(0,-3AM)")</f>
        <v>21.755206999999999</v>
      </c>
      <c r="G9" s="3" cm="1">
        <f t="array" ref="G9">_xll.FDS(C9,"FG_TOTAL_RETURNC(0,-6AM)")</f>
        <v>8.8371519999999997</v>
      </c>
      <c r="H9" s="9" cm="1">
        <f t="array" ref="H9">_xll.FDS(C9,"P_PRICE(0)/P_PRICE_HIGH_PR(0,,,USD,,,""PRICE"",""INTRA"",""52W"")")</f>
        <v>0.98775356999999997</v>
      </c>
      <c r="I9" s="1"/>
      <c r="K9" s="4">
        <f t="shared" si="3"/>
        <v>2</v>
      </c>
      <c r="L9" s="4">
        <f t="shared" si="4"/>
        <v>1</v>
      </c>
      <c r="M9" s="4">
        <f t="shared" si="4"/>
        <v>9</v>
      </c>
      <c r="N9" s="4"/>
      <c r="P9" s="3">
        <f t="shared" si="0"/>
        <v>3.96</v>
      </c>
      <c r="Q9">
        <f t="shared" si="1"/>
        <v>0</v>
      </c>
      <c r="S9" s="3">
        <f t="shared" si="5"/>
        <v>3</v>
      </c>
    </row>
    <row r="10" spans="1:19" x14ac:dyDescent="0.35">
      <c r="A10" t="s">
        <v>889</v>
      </c>
      <c r="C10" t="str">
        <f t="shared" si="2"/>
        <v>TLT</v>
      </c>
      <c r="E10" s="3" cm="1">
        <f t="array" ref="E10">_xll.FDS(C10,"FG_TOTAL_RETURNC(0,-1AM)")</f>
        <v>-1.1660457</v>
      </c>
      <c r="F10" s="3" cm="1">
        <f t="array" ref="F10">_xll.FDS(C10,"FG_TOTAL_RETURNC(0,-3AM)")</f>
        <v>-3.7461877000000001</v>
      </c>
      <c r="G10" s="3" cm="1">
        <f t="array" ref="G10">_xll.FDS(C10,"FG_TOTAL_RETURNC(0,-6AM)")</f>
        <v>9.529102</v>
      </c>
      <c r="H10" s="9" cm="1">
        <f t="array" ref="H10">_xll.FDS(C10,"P_PRICE(0)/P_PRICE_HIGH_PR(0,,,USD,,,""PRICE"",""INTRA"",""52W"")")</f>
        <v>0.85129049999999995</v>
      </c>
      <c r="K10" s="4">
        <f t="shared" si="3"/>
        <v>10</v>
      </c>
      <c r="L10" s="4">
        <f t="shared" si="4"/>
        <v>10</v>
      </c>
      <c r="M10" s="4">
        <f t="shared" si="4"/>
        <v>8</v>
      </c>
      <c r="N10" s="4"/>
      <c r="P10" s="3">
        <f t="shared" si="0"/>
        <v>9.24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1.9485950000000001</v>
      </c>
      <c r="F11" s="3" cm="1">
        <f t="array" ref="F11">_xll.FDS(C11,"FG_TOTAL_RETURNC(0,-3AM)")</f>
        <v>5.4651737000000002</v>
      </c>
      <c r="G11" s="3" cm="1">
        <f t="array" ref="G11">_xll.FDS(C11,"FG_TOTAL_RETURNC(0,-6AM)")</f>
        <v>19.138062000000001</v>
      </c>
      <c r="H11" s="9" cm="1">
        <f t="array" ref="H11">_xll.FDS(C11,"P_PRICE(0)/P_PRICE_HIGH_PR(0,,,USD,,,""PRICE"",""INTRA"",""52W"")")</f>
        <v>0.98244315000000004</v>
      </c>
      <c r="K11" s="4">
        <f t="shared" si="3"/>
        <v>4</v>
      </c>
      <c r="L11" s="4">
        <f t="shared" si="4"/>
        <v>7</v>
      </c>
      <c r="M11" s="4">
        <f t="shared" si="4"/>
        <v>6</v>
      </c>
      <c r="P11" s="3">
        <f t="shared" si="0"/>
        <v>5.6099999999999994</v>
      </c>
      <c r="Q11">
        <f t="shared" si="1"/>
        <v>0</v>
      </c>
      <c r="S11" s="3">
        <f t="shared" si="5"/>
        <v>6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-0.35755038</v>
      </c>
      <c r="F12" s="3" cm="1">
        <f t="array" ref="F12">_xll.FDS(C12,"FG_TOTAL_RETURNC(0,-3AM)")</f>
        <v>10.482073</v>
      </c>
      <c r="G12" s="3" cm="1">
        <f t="array" ref="G12">_xll.FDS(C12,"FG_TOTAL_RETURNC(0,-6AM)")</f>
        <v>21.625053000000001</v>
      </c>
      <c r="H12" s="9" cm="1">
        <f t="array" ref="H12">_xll.FDS(C12,"P_PRICE(0)/P_PRICE_HIGH_PR(0,,,USD,,,""PRICE"",""INTRA"",""52W"")")</f>
        <v>0.96676605999999998</v>
      </c>
      <c r="K12" s="4">
        <f t="shared" si="3"/>
        <v>8</v>
      </c>
      <c r="L12" s="4">
        <f t="shared" si="4"/>
        <v>4</v>
      </c>
      <c r="M12" s="4">
        <f t="shared" si="4"/>
        <v>4</v>
      </c>
      <c r="P12" s="3">
        <f t="shared" si="0"/>
        <v>5.28</v>
      </c>
      <c r="Q12">
        <f t="shared" si="1"/>
        <v>0</v>
      </c>
      <c r="S12" s="3">
        <f t="shared" si="5"/>
        <v>5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8" sqref="K28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22">
        <f>Assumption!D72*Assumption!$D$71</f>
        <v>9.9989999999999996E-2</v>
      </c>
      <c r="E2" s="122">
        <f>Assumption!D73*Assumption!$D$71</f>
        <v>9.9989999999999996E-2</v>
      </c>
      <c r="F2" s="122">
        <f>Assumption!D74*Assumption!$D$71</f>
        <v>9.9989999999999996E-2</v>
      </c>
      <c r="G2" s="122"/>
      <c r="H2" s="122"/>
      <c r="I2" s="122">
        <f>Assumption!D76</f>
        <v>0.2</v>
      </c>
      <c r="J2" s="122">
        <f>Assumption!D78</f>
        <v>0.4</v>
      </c>
      <c r="K2" s="114"/>
      <c r="L2" s="122">
        <f>Assumption!D80</f>
        <v>0.1</v>
      </c>
      <c r="P2" s="50">
        <f>SUM(D2:N2)</f>
        <v>0.99996999999999991</v>
      </c>
    </row>
    <row r="4" spans="2:16" ht="60.75" customHeight="1" x14ac:dyDescent="0.35">
      <c r="B4" s="207" t="s">
        <v>544</v>
      </c>
      <c r="C4" s="208"/>
      <c r="D4" s="212" t="s">
        <v>776</v>
      </c>
      <c r="E4" s="213"/>
      <c r="F4" s="214"/>
      <c r="G4" s="215" t="s">
        <v>810</v>
      </c>
      <c r="H4" s="215" t="s">
        <v>810</v>
      </c>
      <c r="I4" s="205" t="s">
        <v>546</v>
      </c>
      <c r="J4" s="211" t="s">
        <v>543</v>
      </c>
      <c r="K4" s="211"/>
      <c r="L4" s="205" t="s">
        <v>549</v>
      </c>
      <c r="M4" s="205" t="s">
        <v>550</v>
      </c>
      <c r="N4" s="205" t="s">
        <v>737</v>
      </c>
    </row>
    <row r="5" spans="2:16" x14ac:dyDescent="0.35">
      <c r="B5" s="209"/>
      <c r="C5" s="210"/>
      <c r="D5" s="117" t="s">
        <v>545</v>
      </c>
      <c r="E5" s="117" t="s">
        <v>547</v>
      </c>
      <c r="F5" s="117" t="s">
        <v>912</v>
      </c>
      <c r="G5" s="216"/>
      <c r="H5" s="216"/>
      <c r="I5" s="206"/>
      <c r="J5" s="201" t="s">
        <v>553</v>
      </c>
      <c r="K5" s="151" t="s">
        <v>551</v>
      </c>
      <c r="L5" s="206"/>
      <c r="M5" s="206"/>
      <c r="N5" s="206"/>
    </row>
    <row r="6" spans="2:16" x14ac:dyDescent="0.35">
      <c r="B6" s="77" t="s">
        <v>42</v>
      </c>
      <c r="C6" s="165" t="str" cm="1">
        <f t="array" ref="C6">_xll.FDS(B6,"FG_COMPANY_NAME")</f>
        <v>iShares MSCI Switzerland ETF</v>
      </c>
      <c r="D6" s="152">
        <f>VLOOKUP(B6,'Value -2 '!$D$3:$AC$15,26,FALSE)</f>
        <v>71.399999999999991</v>
      </c>
      <c r="E6" s="119">
        <f>VLOOKUP(B6,'Quality - 2'!$B$2:$S$14,18,FALSE)</f>
        <v>78.5</v>
      </c>
      <c r="F6" s="152">
        <f>VLOOKUP(B6,Safety!$B$4:$R$16,17,FALSE)</f>
        <v>92.800000000000011</v>
      </c>
      <c r="G6" s="178">
        <f t="shared" ref="G6:G18" si="0">(D6*$D$2 +E6*$E$2 +F6*$F$2)/($D$2+$E$2+$F$2)</f>
        <v>80.900000000000006</v>
      </c>
      <c r="H6" s="123" cm="1">
        <f t="array" ref="H6">_xlfn.PERCENTRANK.EXC(_xlfn._xlws.FILTER($G$6:G$18, ISNUMBER($G$6:G$18)),G6)*100</f>
        <v>92.800000000000011</v>
      </c>
      <c r="I6" s="152">
        <f>VLOOKUP(B6,'LIQIDITY 2'!$A$3:$X$15,24,FALSE)</f>
        <v>92.800000000000011</v>
      </c>
      <c r="J6" s="119">
        <f ca="1">VLOOKUP(B6,'Momnetum ranking'!$A$3:$AJ$15,36,FALSE)</f>
        <v>14.2</v>
      </c>
      <c r="K6" s="162">
        <f>VLOOKUP(B6,'Momnetum ranking'!$A$3:$H$15,8,FALSE)</f>
        <v>0.41304347826086957</v>
      </c>
      <c r="L6" s="119">
        <f>VLOOKUP(B6,'Currency- 2'!$A$3:$U$15,21,FALSE)</f>
        <v>28.499999999999996</v>
      </c>
      <c r="M6" s="161">
        <f t="shared" ref="M6:M18" ca="1" si="1">D6*$D$2 + E6*$E$2 + F6*$F$2 + I6*$I$2 + J6*$J$2 + L6*$L$2</f>
        <v>51.357573000000002</v>
      </c>
      <c r="N6" s="119" cm="1">
        <f t="array" aca="1" ref="N6" ca="1">_xlfn.PERCENTRANK.EXC(_xlfn._xlws.FILTER($M$6:M$18, ISNUMBER($M$6:M$18)),M6)*100</f>
        <v>57.099999999999994</v>
      </c>
    </row>
    <row r="7" spans="2:16" x14ac:dyDescent="0.35">
      <c r="B7" s="78" t="s">
        <v>46</v>
      </c>
      <c r="C7" s="166" t="str" cm="1">
        <f t="array" ref="C7">_xll.FDS(B7,"FG_COMPANY_NAME")</f>
        <v>iShares MSCI Japan ETF</v>
      </c>
      <c r="D7" s="158">
        <f>VLOOKUP(B7,'Value -2 '!$D$3:$AC$15,26,FALSE)</f>
        <v>50</v>
      </c>
      <c r="E7" s="120">
        <f>VLOOKUP(B7,'Quality - 2'!$B$2:$S$14,18,FALSE)</f>
        <v>64.2</v>
      </c>
      <c r="F7" s="158">
        <f>VLOOKUP(B7,Safety!$B$4:$R$16,17,FALSE)</f>
        <v>28.499999999999996</v>
      </c>
      <c r="G7" s="179">
        <f t="shared" si="0"/>
        <v>47.56666666666667</v>
      </c>
      <c r="H7" s="124" cm="1">
        <f t="array" ref="H7">_xlfn.PERCENTRANK.EXC(_xlfn._xlws.FILTER($G$6:G$18, ISNUMBER($G$6:G$18)),G7)*100</f>
        <v>50</v>
      </c>
      <c r="I7" s="158">
        <f>VLOOKUP(B7,'LIQIDITY 2'!$A$3:$X$15,24,FALSE)</f>
        <v>7.1</v>
      </c>
      <c r="J7" s="120">
        <f ca="1">VLOOKUP(B7,'Momnetum ranking'!$A$3:$AJ$15,36,FALSE)</f>
        <v>57.099999999999994</v>
      </c>
      <c r="K7" s="160">
        <f>VLOOKUP(B7,'Momnetum ranking'!$A$3:$H$15,8,FALSE)</f>
        <v>0.49315068493150682</v>
      </c>
      <c r="L7" s="120">
        <f>VLOOKUP(B7,'Currency- 2'!$A$3:$U$15,21,FALSE)</f>
        <v>14.2</v>
      </c>
      <c r="M7" s="159">
        <f t="shared" ca="1" si="1"/>
        <v>39.948573000000003</v>
      </c>
      <c r="N7" s="120" cm="1">
        <f t="array" aca="1" ref="N7" ca="1">_xlfn.PERCENTRANK.EXC(_xlfn._xlws.FILTER($M$6:M$18, ISNUMBER($M$6:M$18)),M7)*100</f>
        <v>35.699999999999996</v>
      </c>
    </row>
    <row r="8" spans="2:16" x14ac:dyDescent="0.35">
      <c r="B8" s="78" t="s">
        <v>51</v>
      </c>
      <c r="C8" s="166" t="str" cm="1">
        <f t="array" ref="C8">_xll.FDS(B8,"FG_COMPANY_NAME")</f>
        <v>Invesco QQQ Trust Series I</v>
      </c>
      <c r="D8" s="158">
        <f>VLOOKUP(B8,'Value -2 '!$D$3:$AC$15,26,FALSE)</f>
        <v>14.2</v>
      </c>
      <c r="E8" s="120">
        <f>VLOOKUP(B8,'Quality - 2'!$B$2:$S$14,18,FALSE)</f>
        <v>85.7</v>
      </c>
      <c r="F8" s="158">
        <f>VLOOKUP(B8,Safety!$B$4:$R$16,17,FALSE)</f>
        <v>14.2</v>
      </c>
      <c r="G8" s="179">
        <f t="shared" si="0"/>
        <v>38.033333333333339</v>
      </c>
      <c r="H8" s="124" cm="1">
        <f t="array" ref="H8">_xlfn.PERCENTRANK.EXC(_xlfn._xlws.FILTER($G$6:G$18, ISNUMBER($G$6:G$18)),G8)*100</f>
        <v>21.4</v>
      </c>
      <c r="I8" s="158">
        <f>VLOOKUP(B8,'LIQIDITY 2'!$A$3:$X$15,24,FALSE)</f>
        <v>7.1</v>
      </c>
      <c r="J8" s="120">
        <f ca="1">VLOOKUP(B8,'Momnetum ranking'!$A$3:$AJ$15,36,FALSE)</f>
        <v>42.8</v>
      </c>
      <c r="K8" s="160">
        <f>VLOOKUP(B8,'Momnetum ranking'!$A$3:$H$15,8,FALSE)</f>
        <v>0.38235294117647056</v>
      </c>
      <c r="L8" s="120">
        <f>VLOOKUP(B8,'Currency- 2'!$A$3:$U$15,21,FALSE)</f>
        <v>64.2</v>
      </c>
      <c r="M8" s="159">
        <f t="shared" ca="1" si="1"/>
        <v>36.368859</v>
      </c>
      <c r="N8" s="120" cm="1">
        <f t="array" aca="1" ref="N8" ca="1">_xlfn.PERCENTRANK.EXC(_xlfn._xlws.FILTER($M$6:M$18, ISNUMBER($M$6:M$18)),M8)*100</f>
        <v>28.499999999999996</v>
      </c>
    </row>
    <row r="9" spans="2:16" x14ac:dyDescent="0.35">
      <c r="B9" s="78" t="s">
        <v>1</v>
      </c>
      <c r="C9" s="166" t="str" cm="1">
        <f t="array" ref="C9">_xll.FDS(B9,"FG_COMPANY_NAME")</f>
        <v>SPDR S&amp;P 500 ETF Trust</v>
      </c>
      <c r="D9" s="158">
        <f>VLOOKUP(B9,'Value -2 '!$D$3:$AC$15,26,FALSE)</f>
        <v>28.499999999999996</v>
      </c>
      <c r="E9" s="120">
        <f>VLOOKUP(B9,'Quality - 2'!$B$2:$S$14,18,FALSE)</f>
        <v>92.800000000000011</v>
      </c>
      <c r="F9" s="158">
        <f>VLOOKUP(B9,Safety!$B$4:$R$16,17,FALSE)</f>
        <v>50</v>
      </c>
      <c r="G9" s="179">
        <f t="shared" si="0"/>
        <v>57.100000000000009</v>
      </c>
      <c r="H9" s="124" cm="1">
        <f t="array" ref="H9">_xlfn.PERCENTRANK.EXC(_xlfn._xlws.FILTER($G$6:G$18, ISNUMBER($G$6:G$18)),G9)*100</f>
        <v>71.399999999999991</v>
      </c>
      <c r="I9" s="158">
        <f>VLOOKUP(B9,'LIQIDITY 2'!$A$3:$X$15,24,FALSE)</f>
        <v>7.1</v>
      </c>
      <c r="J9" s="120">
        <f ca="1">VLOOKUP(B9,'Momnetum ranking'!$A$3:$AJ$15,36,FALSE)</f>
        <v>71.399999999999991</v>
      </c>
      <c r="K9" s="160">
        <f>VLOOKUP(B9,'Momnetum ranking'!$A$3:$H$15,8,FALSE)</f>
        <v>0.35714285714285715</v>
      </c>
      <c r="L9" s="120">
        <f>VLOOKUP(B9,'Currency- 2'!$A$3:$U$15,21,FALSE)</f>
        <v>64.2</v>
      </c>
      <c r="M9" s="159">
        <f t="shared" ca="1" si="1"/>
        <v>53.528287000000006</v>
      </c>
      <c r="N9" s="120" cm="1">
        <f t="array" aca="1" ref="N9" ca="1">_xlfn.PERCENTRANK.EXC(_xlfn._xlws.FILTER($M$6:M$18, ISNUMBER($M$6:M$18)),M9)*100</f>
        <v>64.2</v>
      </c>
    </row>
    <row r="10" spans="2:16" x14ac:dyDescent="0.35">
      <c r="B10" s="78" t="s">
        <v>11</v>
      </c>
      <c r="C10" s="166" t="str" cm="1">
        <f t="array" ref="C10">_xll.FDS(B10,"FG_COMPANY_NAME")</f>
        <v>iShares MSCI Germany ETF</v>
      </c>
      <c r="D10" s="158">
        <f>VLOOKUP(B10,'Value -2 '!$D$3:$AC$15,26,FALSE)</f>
        <v>78.5</v>
      </c>
      <c r="E10" s="120">
        <f>VLOOKUP(B10,'Quality - 2'!$B$2:$S$14,18,FALSE)</f>
        <v>28.499999999999996</v>
      </c>
      <c r="F10" s="158">
        <f>VLOOKUP(B10,Safety!$B$4:$R$16,17,FALSE)</f>
        <v>35.699999999999996</v>
      </c>
      <c r="G10" s="179">
        <f t="shared" si="0"/>
        <v>47.56666666666667</v>
      </c>
      <c r="H10" s="124" cm="1">
        <f t="array" ref="H10">_xlfn.PERCENTRANK.EXC(_xlfn._xlws.FILTER($G$6:G$18, ISNUMBER($G$6:G$18)),G10)*100</f>
        <v>50</v>
      </c>
      <c r="I10" s="158">
        <f>VLOOKUP(B10,'LIQIDITY 2'!$A$3:$X$15,24,FALSE)</f>
        <v>50</v>
      </c>
      <c r="J10" s="120">
        <f ca="1">VLOOKUP(B10,'Momnetum ranking'!$A$3:$AJ$15,36,FALSE)</f>
        <v>78.5</v>
      </c>
      <c r="K10" s="160">
        <f>VLOOKUP(B10,'Momnetum ranking'!$A$3:$H$15,8,FALSE)</f>
        <v>0.45614035087719296</v>
      </c>
      <c r="L10" s="120">
        <f>VLOOKUP(B10,'Currency- 2'!$A$3:$U$15,21,FALSE)</f>
        <v>85.7</v>
      </c>
      <c r="M10" s="159">
        <f t="shared" ca="1" si="1"/>
        <v>64.238573000000002</v>
      </c>
      <c r="N10" s="120" cm="1">
        <f t="array" aca="1" ref="N10" ca="1">_xlfn.PERCENTRANK.EXC(_xlfn._xlws.FILTER($M$6:M$18, ISNUMBER($M$6:M$18)),M10)*100</f>
        <v>78.5</v>
      </c>
    </row>
    <row r="11" spans="2:16" x14ac:dyDescent="0.35">
      <c r="B11" s="78" t="s">
        <v>48</v>
      </c>
      <c r="C11" s="166" t="str" cm="1">
        <f t="array" ref="C11">_xll.FDS(B11,"FG_COMPANY_NAME")</f>
        <v>iShares MSCI United Kingdom ETF</v>
      </c>
      <c r="D11" s="158">
        <f>VLOOKUP(B11,'Value -2 '!$D$3:$AC$15,26,FALSE)</f>
        <v>85.7</v>
      </c>
      <c r="E11" s="120">
        <f>VLOOKUP(B11,'Quality - 2'!$B$2:$S$14,18,FALSE)</f>
        <v>50</v>
      </c>
      <c r="F11" s="158">
        <f>VLOOKUP(B11,Safety!$B$4:$R$16,17,FALSE)</f>
        <v>64.2</v>
      </c>
      <c r="G11" s="179">
        <f t="shared" si="0"/>
        <v>66.63333333333334</v>
      </c>
      <c r="H11" s="124" cm="1">
        <f t="array" ref="H11">_xlfn.PERCENTRANK.EXC(_xlfn._xlws.FILTER($G$6:G$18, ISNUMBER($G$6:G$18)),G11)*100</f>
        <v>78.5</v>
      </c>
      <c r="I11" s="158">
        <f>VLOOKUP(B11,'LIQIDITY 2'!$A$3:$X$15,24,FALSE)</f>
        <v>50</v>
      </c>
      <c r="J11" s="120">
        <f ca="1">VLOOKUP(B11,'Momnetum ranking'!$A$3:$AJ$15,36,FALSE)</f>
        <v>50</v>
      </c>
      <c r="K11" s="160">
        <f>VLOOKUP(B11,'Momnetum ranking'!$A$3:$H$15,8,FALSE)</f>
        <v>0.44705882352941179</v>
      </c>
      <c r="L11" s="120">
        <f>VLOOKUP(B11,'Currency- 2'!$A$3:$U$15,21,FALSE)</f>
        <v>50</v>
      </c>
      <c r="M11" s="159">
        <f t="shared" ca="1" si="1"/>
        <v>54.988000999999997</v>
      </c>
      <c r="N11" s="120" cm="1">
        <f t="array" aca="1" ref="N11" ca="1">_xlfn.PERCENTRANK.EXC(_xlfn._xlws.FILTER($M$6:M$18, ISNUMBER($M$6:M$18)),M11)*100</f>
        <v>71.399999999999991</v>
      </c>
    </row>
    <row r="12" spans="2:16" x14ac:dyDescent="0.35">
      <c r="B12" s="78" t="s">
        <v>49</v>
      </c>
      <c r="C12" s="166" t="str" cm="1">
        <f t="array" ref="C12">_xll.FDS(B12,"FG_COMPANY_NAME")</f>
        <v>iShares MSCI Canada ETF</v>
      </c>
      <c r="D12" s="158">
        <f>VLOOKUP(B12,'Value -2 '!$D$3:$AC$15,26,FALSE)</f>
        <v>42.8</v>
      </c>
      <c r="E12" s="120">
        <f>VLOOKUP(B12,'Quality - 2'!$B$2:$S$14,18,FALSE)</f>
        <v>57.099999999999994</v>
      </c>
      <c r="F12" s="158">
        <f>VLOOKUP(B12,Safety!$B$4:$R$16,17,FALSE)</f>
        <v>42.8</v>
      </c>
      <c r="G12" s="179">
        <f t="shared" si="0"/>
        <v>47.56666666666667</v>
      </c>
      <c r="H12" s="124" cm="1">
        <f t="array" ref="H12">_xlfn.PERCENTRANK.EXC(_xlfn._xlws.FILTER($G$6:G$18, ISNUMBER($G$6:G$18)),G12)*100</f>
        <v>50</v>
      </c>
      <c r="I12" s="158">
        <f>VLOOKUP(B12,'LIQIDITY 2'!$A$3:$X$15,24,FALSE)</f>
        <v>7.1</v>
      </c>
      <c r="J12" s="120">
        <f ca="1">VLOOKUP(B12,'Momnetum ranking'!$A$3:$AJ$15,36,FALSE)</f>
        <v>64.2</v>
      </c>
      <c r="K12" s="160">
        <f>VLOOKUP(B12,'Momnetum ranking'!$A$3:$H$15,8,FALSE)</f>
        <v>0.28409090909090912</v>
      </c>
      <c r="L12" s="120">
        <f>VLOOKUP(B12,'Currency- 2'!$A$3:$U$15,21,FALSE)</f>
        <v>57.099999999999994</v>
      </c>
      <c r="M12" s="159">
        <f t="shared" ca="1" si="1"/>
        <v>47.078572999999999</v>
      </c>
      <c r="N12" s="120" cm="1">
        <f t="array" aca="1" ref="N12" ca="1">_xlfn.PERCENTRANK.EXC(_xlfn._xlws.FILTER($M$6:M$18, ISNUMBER($M$6:M$18)),M12)*100</f>
        <v>50</v>
      </c>
    </row>
    <row r="13" spans="2:16" x14ac:dyDescent="0.35">
      <c r="B13" s="78" t="s">
        <v>44</v>
      </c>
      <c r="C13" s="166" t="str" cm="1">
        <f t="array" ref="C13">_xll.FDS(B13,"FG_COMPANY_NAME")</f>
        <v>iShares MSCI Australia ETF</v>
      </c>
      <c r="D13" s="158">
        <f>VLOOKUP(B13,'Value -2 '!$D$3:$AC$15,26,FALSE)</f>
        <v>21.4</v>
      </c>
      <c r="E13" s="120">
        <f>VLOOKUP(B13,'Quality - 2'!$B$2:$S$14,18,FALSE)</f>
        <v>7.1</v>
      </c>
      <c r="F13" s="158">
        <f>VLOOKUP(B13,Safety!$B$4:$R$16,17,FALSE)</f>
        <v>71.399999999999991</v>
      </c>
      <c r="G13" s="179">
        <f t="shared" si="0"/>
        <v>33.299999999999997</v>
      </c>
      <c r="H13" s="124" cm="1">
        <f t="array" ref="H13">_xlfn.PERCENTRANK.EXC(_xlfn._xlws.FILTER($G$6:G$18, ISNUMBER($G$6:G$18)),G13)*100</f>
        <v>7.1</v>
      </c>
      <c r="I13" s="158">
        <f>VLOOKUP(B13,'LIQIDITY 2'!$A$3:$X$15,24,FALSE)</f>
        <v>7.1</v>
      </c>
      <c r="J13" s="120">
        <f ca="1">VLOOKUP(B13,'Momnetum ranking'!$A$3:$AJ$15,36,FALSE)</f>
        <v>21.4</v>
      </c>
      <c r="K13" s="160">
        <f>VLOOKUP(B13,'Momnetum ranking'!$A$3:$H$15,8,FALSE)</f>
        <v>0.3728813559322034</v>
      </c>
      <c r="L13" s="120">
        <f>VLOOKUP(B13,'Currency- 2'!$A$3:$U$15,21,FALSE)</f>
        <v>42.8</v>
      </c>
      <c r="M13" s="159">
        <f t="shared" ca="1" si="1"/>
        <v>24.249001</v>
      </c>
      <c r="N13" s="120" cm="1">
        <f t="array" aca="1" ref="N13" ca="1">_xlfn.PERCENTRANK.EXC(_xlfn._xlws.FILTER($M$6:M$18, ISNUMBER($M$6:M$18)),M13)*100</f>
        <v>7.1</v>
      </c>
    </row>
    <row r="14" spans="2:16" x14ac:dyDescent="0.35">
      <c r="B14" s="78" t="s">
        <v>431</v>
      </c>
      <c r="C14" s="166" t="str" cm="1">
        <f t="array" ref="C14">_xll.FDS(B14,"FG_COMPANY_NAME")</f>
        <v>iShares MSCI New Zealand ETF</v>
      </c>
      <c r="D14" s="158">
        <f>VLOOKUP(B14,'Value -2 '!$D$3:$AC$15,26,FALSE)</f>
        <v>7.1</v>
      </c>
      <c r="E14" s="120">
        <f>VLOOKUP(B14,'Quality - 2'!$B$2:$S$14,18,FALSE)</f>
        <v>21.4</v>
      </c>
      <c r="F14" s="158">
        <f>VLOOKUP(B14,Safety!$B$4:$R$16,17,FALSE)</f>
        <v>85.7</v>
      </c>
      <c r="G14" s="179">
        <f t="shared" si="0"/>
        <v>38.06666666666667</v>
      </c>
      <c r="H14" s="124" cm="1">
        <f t="array" ref="H14">_xlfn.PERCENTRANK.EXC(_xlfn._xlws.FILTER($G$6:G$18, ISNUMBER($G$6:G$18)),G14)*100</f>
        <v>28.499999999999996</v>
      </c>
      <c r="I14" s="158">
        <f>VLOOKUP(B14,'LIQIDITY 2'!$A$3:$X$15,24,FALSE)</f>
        <v>50</v>
      </c>
      <c r="J14" s="120">
        <f ca="1">VLOOKUP(B14,'Momnetum ranking'!$A$3:$AJ$15,36,FALSE)</f>
        <v>7.1</v>
      </c>
      <c r="K14" s="160">
        <f>VLOOKUP(B14,'Momnetum ranking'!$A$3:$H$15,8,FALSE)</f>
        <v>0.26666666666666666</v>
      </c>
      <c r="L14" s="120">
        <f>VLOOKUP(B14,'Currency- 2'!$A$3:$U$15,21,FALSE)</f>
        <v>7.1</v>
      </c>
      <c r="M14" s="159">
        <f t="shared" ca="1" si="1"/>
        <v>24.968858000000001</v>
      </c>
      <c r="N14" s="120" cm="1">
        <f t="array" aca="1" ref="N14" ca="1">_xlfn.PERCENTRANK.EXC(_xlfn._xlws.FILTER($M$6:M$18, ISNUMBER($M$6:M$18)),M14)*100</f>
        <v>14.2</v>
      </c>
    </row>
    <row r="15" spans="2:16" x14ac:dyDescent="0.35">
      <c r="B15" s="78" t="s">
        <v>863</v>
      </c>
      <c r="C15" s="166" t="str" cm="1">
        <f t="array" ref="C15">_xll.FDS(B15,"FG_COMPANY_NAME")</f>
        <v>iShares MSCI France ETF</v>
      </c>
      <c r="D15" s="158">
        <f>VLOOKUP(B15,'Value -2 '!$D$3:$AC$15,26,FALSE)</f>
        <v>57.099999999999994</v>
      </c>
      <c r="E15" s="120">
        <f>VLOOKUP(B15,'Quality - 2'!$B$2:$S$14,18,FALSE)</f>
        <v>71.399999999999991</v>
      </c>
      <c r="F15" s="158">
        <f>VLOOKUP(B15,Safety!$B$4:$R$16,17,FALSE)</f>
        <v>78.5</v>
      </c>
      <c r="G15" s="179">
        <f t="shared" si="0"/>
        <v>69.000000000000014</v>
      </c>
      <c r="H15" s="124" cm="1">
        <f t="array" ref="H15">_xlfn.PERCENTRANK.EXC(_xlfn._xlws.FILTER($G$6:G$18, ISNUMBER($G$6:G$18)),G15)*100</f>
        <v>85.7</v>
      </c>
      <c r="I15" s="158">
        <f>VLOOKUP(B15,'LIQIDITY 2'!$A$3:$X$15,24,FALSE)</f>
        <v>50</v>
      </c>
      <c r="J15" s="120">
        <f ca="1">VLOOKUP(B15,'Momnetum ranking'!$A$3:$AJ$15,36,FALSE)</f>
        <v>28.499999999999996</v>
      </c>
      <c r="K15" s="160">
        <f>VLOOKUP(B15,'Momnetum ranking'!$A$3:$H$15,8,FALSE)</f>
        <v>0.33333333333333331</v>
      </c>
      <c r="L15" s="120">
        <f>VLOOKUP(B15,'Currency- 2'!$A$3:$U$15,21,FALSE)</f>
        <v>21.4</v>
      </c>
      <c r="M15" s="159">
        <f t="shared" ca="1" si="1"/>
        <v>44.237929999999999</v>
      </c>
      <c r="N15" s="120" cm="1">
        <f t="array" aca="1" ref="N15" ca="1">_xlfn.PERCENTRANK.EXC(_xlfn._xlws.FILTER($M$6:M$18, ISNUMBER($M$6:M$18)),M15)*100</f>
        <v>42.8</v>
      </c>
    </row>
    <row r="16" spans="2:16" x14ac:dyDescent="0.35">
      <c r="B16" s="78" t="s">
        <v>865</v>
      </c>
      <c r="C16" s="166" t="str" cm="1">
        <f t="array" ref="C16">_xll.FDS(B16,"FG_COMPANY_NAME")</f>
        <v>iShares MSCI Netherlands ETF</v>
      </c>
      <c r="D16" s="158">
        <f>VLOOKUP(B16,'Value -2 '!$D$3:$AC$15,26,FALSE)</f>
        <v>35.699999999999996</v>
      </c>
      <c r="E16" s="120">
        <f>VLOOKUP(B16,'Quality - 2'!$B$2:$S$14,18,FALSE)</f>
        <v>28.499999999999996</v>
      </c>
      <c r="F16" s="158">
        <f>VLOOKUP(B16,Safety!$B$4:$R$16,17,FALSE)</f>
        <v>57.099999999999994</v>
      </c>
      <c r="G16" s="179">
        <f t="shared" si="0"/>
        <v>40.433333333333337</v>
      </c>
      <c r="H16" s="124" cm="1">
        <f t="array" ref="H16">_xlfn.PERCENTRANK.EXC(_xlfn._xlws.FILTER($G$6:G$18, ISNUMBER($G$6:G$18)),G16)*100</f>
        <v>35.699999999999996</v>
      </c>
      <c r="I16" s="158">
        <f>VLOOKUP(B16,'LIQIDITY 2'!$A$3:$X$15,24,FALSE)</f>
        <v>50</v>
      </c>
      <c r="J16" s="120">
        <f ca="1">VLOOKUP(B16,'Momnetum ranking'!$A$3:$AJ$15,36,FALSE)</f>
        <v>92.800000000000011</v>
      </c>
      <c r="K16" s="160">
        <f>VLOOKUP(B16,'Momnetum ranking'!$A$3:$H$15,8,FALSE)</f>
        <v>0.30909090909090908</v>
      </c>
      <c r="L16" s="120">
        <f>VLOOKUP(B16,'Currency- 2'!$A$3:$U$15,21,FALSE)</f>
        <v>92.800000000000011</v>
      </c>
      <c r="M16" s="159">
        <f t="shared" ca="1" si="1"/>
        <v>68.528787000000008</v>
      </c>
      <c r="N16" s="120" cm="1">
        <f t="array" aca="1" ref="N16" ca="1">_xlfn.PERCENTRANK.EXC(_xlfn._xlws.FILTER($M$6:M$18, ISNUMBER($M$6:M$18)),M16)*100</f>
        <v>85.7</v>
      </c>
    </row>
    <row r="17" spans="2:14" x14ac:dyDescent="0.35">
      <c r="B17" s="78" t="s">
        <v>862</v>
      </c>
      <c r="C17" s="166" t="str" cm="1">
        <f t="array" ref="C17">_xll.FDS(B17,"FG_COMPANY_NAME")</f>
        <v>iShares MSCI Sweden ETF</v>
      </c>
      <c r="D17" s="158">
        <f>VLOOKUP(B17,'Value -2 '!$D$3:$AC$15,26,FALSE)</f>
        <v>64.2</v>
      </c>
      <c r="E17" s="120">
        <f>VLOOKUP(B17,'Quality - 2'!$B$2:$S$14,18,FALSE)</f>
        <v>42.8</v>
      </c>
      <c r="F17" s="158">
        <f>VLOOKUP(B17,Safety!$B$4:$R$16,17,FALSE)</f>
        <v>21.4</v>
      </c>
      <c r="G17" s="179">
        <f t="shared" si="0"/>
        <v>42.800000000000011</v>
      </c>
      <c r="H17" s="124" cm="1">
        <f t="array" ref="H17">_xlfn.PERCENTRANK.EXC(_xlfn._xlws.FILTER($G$6:G$18, ISNUMBER($G$6:G$18)),G17)*100</f>
        <v>42.8</v>
      </c>
      <c r="I17" s="158">
        <f>VLOOKUP(B17,'LIQIDITY 2'!$A$3:$X$15,24,FALSE)</f>
        <v>7.1</v>
      </c>
      <c r="J17" s="120">
        <f ca="1">VLOOKUP(B17,'Momnetum ranking'!$A$3:$AJ$15,36,FALSE)</f>
        <v>35.699999999999996</v>
      </c>
      <c r="K17" s="160">
        <f>VLOOKUP(B17,'Momnetum ranking'!$A$3:$H$15,8,FALSE)</f>
        <v>0.31818181818181818</v>
      </c>
      <c r="L17" s="120">
        <f>VLOOKUP(B17,'Currency- 2'!$A$3:$U$15,21,FALSE)</f>
        <v>35.699999999999996</v>
      </c>
      <c r="M17" s="159">
        <f t="shared" ca="1" si="1"/>
        <v>32.108716000000001</v>
      </c>
      <c r="N17" s="120" cm="1">
        <f t="array" aca="1" ref="N17" ca="1">_xlfn.PERCENTRANK.EXC(_xlfn._xlws.FILTER($M$6:M$18, ISNUMBER($M$6:M$18)),M17)*100</f>
        <v>21.4</v>
      </c>
    </row>
    <row r="18" spans="2:14" x14ac:dyDescent="0.35">
      <c r="B18" s="79" t="s">
        <v>864</v>
      </c>
      <c r="C18" s="167" t="str" cm="1">
        <f t="array" ref="C18">_xll.FDS(B18,"FG_COMPANY_NAME")</f>
        <v>iShares MSCI Italy ETF</v>
      </c>
      <c r="D18" s="153">
        <f>VLOOKUP(B18,'Value -2 '!$D$3:$AC$15,26,FALSE)</f>
        <v>92.800000000000011</v>
      </c>
      <c r="E18" s="121">
        <f>VLOOKUP(B18,'Quality - 2'!$B$2:$S$14,18,FALSE)</f>
        <v>7.1</v>
      </c>
      <c r="F18" s="153">
        <f>VLOOKUP(B18,Safety!$B$4:$R$16,17,FALSE)</f>
        <v>7.1</v>
      </c>
      <c r="G18" s="180">
        <f t="shared" si="0"/>
        <v>35.666666666666679</v>
      </c>
      <c r="H18" s="125" cm="1">
        <f t="array" ref="H18">_xlfn.PERCENTRANK.EXC(_xlfn._xlws.FILTER($G$6:G$18, ISNUMBER($G$6:G$18)),G18)*100</f>
        <v>14.2</v>
      </c>
      <c r="I18" s="153">
        <f>VLOOKUP(B18,'LIQIDITY 2'!$A$3:$X$15,24,FALSE)</f>
        <v>85.7</v>
      </c>
      <c r="J18" s="121">
        <f ca="1">VLOOKUP(B18,'Momnetum ranking'!$A$3:$AJ$15,36,FALSE)</f>
        <v>85.7</v>
      </c>
      <c r="K18" s="164">
        <f>VLOOKUP(B18,'Momnetum ranking'!$A$3:$H$15,8,FALSE)</f>
        <v>0.5</v>
      </c>
      <c r="L18" s="121">
        <f>VLOOKUP(B18,'Currency- 2'!$A$3:$U$15,21,FALSE)</f>
        <v>78.5</v>
      </c>
      <c r="M18" s="163">
        <f t="shared" ca="1" si="1"/>
        <v>69.96893</v>
      </c>
      <c r="N18" s="121" cm="1">
        <f t="array" aca="1" ref="N18" ca="1">_xlfn.PERCENTRANK.EXC(_xlfn._xlws.FILTER($M$6:M$18, ISNUMBER($M$6:M$18)),M18)*100</f>
        <v>92.800000000000011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8" t="s">
        <v>820</v>
      </c>
      <c r="D2" s="129">
        <v>0.5</v>
      </c>
      <c r="E2" s="62" t="s">
        <v>834</v>
      </c>
      <c r="F2" s="126">
        <v>0.1</v>
      </c>
      <c r="R2" s="143" t="s">
        <v>849</v>
      </c>
      <c r="S2" s="143" t="s">
        <v>849</v>
      </c>
    </row>
    <row r="3" spans="2:21" ht="15" thickBot="1" x14ac:dyDescent="0.4">
      <c r="C3" s="130" t="s">
        <v>821</v>
      </c>
      <c r="D3" s="131">
        <v>70</v>
      </c>
      <c r="E3" s="56" t="s">
        <v>822</v>
      </c>
      <c r="F3" s="58">
        <v>50</v>
      </c>
      <c r="R3" s="147">
        <f ca="1">COUNTIF(R9:R17,"&gt;0")</f>
        <v>6</v>
      </c>
      <c r="S3" s="147">
        <f ca="1">COUNTIF(S9:S17,"&gt;0")</f>
        <v>6</v>
      </c>
    </row>
    <row r="4" spans="2:21" ht="15" thickBot="1" x14ac:dyDescent="0.4">
      <c r="C4" s="130" t="s">
        <v>823</v>
      </c>
      <c r="D4" s="132">
        <v>0.3</v>
      </c>
      <c r="E4" s="56" t="s">
        <v>829</v>
      </c>
      <c r="F4" s="127">
        <v>0.1</v>
      </c>
    </row>
    <row r="5" spans="2:21" ht="15" thickBot="1" x14ac:dyDescent="0.4">
      <c r="C5" s="133" t="s">
        <v>824</v>
      </c>
      <c r="D5" s="134">
        <v>70</v>
      </c>
      <c r="E5" s="12" t="s">
        <v>821</v>
      </c>
      <c r="F5" s="14">
        <v>60</v>
      </c>
      <c r="Q5" s="62" t="s">
        <v>847</v>
      </c>
      <c r="R5" s="11"/>
    </row>
    <row r="6" spans="2:21" ht="15" thickBot="1" x14ac:dyDescent="0.4">
      <c r="Q6" s="12" t="s">
        <v>848</v>
      </c>
      <c r="R6" s="146">
        <v>0.01</v>
      </c>
    </row>
    <row r="7" spans="2:21" ht="15" thickBot="1" x14ac:dyDescent="0.4"/>
    <row r="8" spans="2:21" x14ac:dyDescent="0.35">
      <c r="B8" s="138" t="s">
        <v>825</v>
      </c>
      <c r="C8" s="138" t="s">
        <v>518</v>
      </c>
      <c r="D8" s="139" t="s">
        <v>544</v>
      </c>
      <c r="E8" s="139" t="s">
        <v>826</v>
      </c>
      <c r="F8" s="139" t="s">
        <v>543</v>
      </c>
      <c r="G8" s="139" t="s">
        <v>545</v>
      </c>
      <c r="H8" s="139" t="s">
        <v>546</v>
      </c>
      <c r="I8" s="139" t="s">
        <v>549</v>
      </c>
      <c r="J8" s="139" t="s">
        <v>830</v>
      </c>
      <c r="K8" s="139" t="s">
        <v>851</v>
      </c>
      <c r="L8" s="139" t="s">
        <v>831</v>
      </c>
      <c r="M8" s="139" t="s">
        <v>856</v>
      </c>
      <c r="N8" s="139" t="s">
        <v>832</v>
      </c>
      <c r="O8" s="139" t="s">
        <v>852</v>
      </c>
      <c r="P8" s="139" t="s">
        <v>833</v>
      </c>
      <c r="Q8" s="139" t="s">
        <v>853</v>
      </c>
      <c r="R8" s="154" t="s">
        <v>854</v>
      </c>
      <c r="S8" s="154" t="s">
        <v>855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5">
        <f>HLOOKUP(B9,'Monthly Returns'!$A$1:$N$139,139,FALSE)</f>
        <v>0.17815895857017836</v>
      </c>
      <c r="F9">
        <f ca="1">VLOOKUP(B9,OUTPUT_COUNTRY!$B$6:$N$18, 9, FALSE)</f>
        <v>7.1</v>
      </c>
      <c r="G9" s="47">
        <f>IFERROR(VLOOKUP(B9,OUTPUT_COUNTRY!$B$6:$N$18, 7, FALSE),0)</f>
        <v>28.499999999999996</v>
      </c>
      <c r="H9">
        <f>VLOOKUP(B9,OUTPUT_COUNTRY!$B$6:$N$18, 8, FALSE)</f>
        <v>50</v>
      </c>
      <c r="I9">
        <f>VLOOKUP(B9,OUTPUT_COUNTRY!$B$6:$N$18, 11, FALSE)</f>
        <v>7.1</v>
      </c>
      <c r="J9" s="47">
        <f t="shared" ref="J9:J21" ca="1" si="0">IF(F9&gt;=$D$3,1/E9,0)</f>
        <v>0</v>
      </c>
      <c r="K9" s="135">
        <f ca="1">J9/$J$22</f>
        <v>0</v>
      </c>
      <c r="L9">
        <f t="shared" ref="L9:L21" si="1">IF(G9&gt;=$D$5,1/E9,0)</f>
        <v>0</v>
      </c>
      <c r="M9" s="135">
        <f>L9/$L$22</f>
        <v>0</v>
      </c>
      <c r="N9">
        <f t="shared" ref="N9:N21" si="2">IF(H9&gt;=$F$3,1/E9,0)</f>
        <v>5.6129650062255578</v>
      </c>
      <c r="O9" s="135">
        <f>N9/$N$22</f>
        <v>0.15838851388450878</v>
      </c>
      <c r="P9">
        <f t="shared" ref="P9:P21" si="3">IF(I9&gt;=$F$5,1/E9,0)</f>
        <v>0</v>
      </c>
      <c r="Q9" s="135">
        <f>P9/$P$22</f>
        <v>0</v>
      </c>
      <c r="R9" s="155">
        <f t="shared" ref="R9:R21" ca="1" si="4">IF($D$2*K9+$D$4*M9+$F$2*O9+$F$4*Q9 = 0,"",$D$2*K9+$D$4*M9+$F$2*O9+$F$4*Q9)</f>
        <v>1.583885138845088E-2</v>
      </c>
      <c r="S9" s="155">
        <f t="shared" ref="S9:S21" ca="1" si="5">IFERROR(IF(R9&gt;=$R$6, R9/SUMIF($R$9:$R$17,"&gt;="&amp;$R$6), ""),"")</f>
        <v>2.4798467636832973E-2</v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5">
        <f>HLOOKUP(B10,'Monthly Returns'!$A$1:$N$139,139,FALSE)</f>
        <v>0.2070454272949146</v>
      </c>
      <c r="F10">
        <f ca="1">VLOOKUP(B10,OUTPUT_COUNTRY!$B$6:$N$18, 9, FALSE)</f>
        <v>21.4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42.8</v>
      </c>
      <c r="J10" s="47">
        <f t="shared" ca="1" si="0"/>
        <v>0</v>
      </c>
      <c r="K10" s="135">
        <f t="shared" ref="K10:K21" ca="1" si="6">J10/$J$22</f>
        <v>0</v>
      </c>
      <c r="L10">
        <f t="shared" si="1"/>
        <v>0</v>
      </c>
      <c r="M10" s="135">
        <f t="shared" ref="M10:M21" si="7">L10/$L$22</f>
        <v>0</v>
      </c>
      <c r="N10">
        <f t="shared" si="2"/>
        <v>0</v>
      </c>
      <c r="O10" s="135">
        <f t="shared" ref="O10:O21" si="8">N10/$N$22</f>
        <v>0</v>
      </c>
      <c r="P10">
        <f t="shared" si="3"/>
        <v>0</v>
      </c>
      <c r="Q10" s="135">
        <f t="shared" ref="Q10:Q21" si="9">P10/$P$22</f>
        <v>0</v>
      </c>
      <c r="R10" s="155" t="str">
        <f t="shared" ca="1" si="4"/>
        <v/>
      </c>
      <c r="S10" s="155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5">
        <f>HLOOKUP(B11,'Monthly Returns'!$A$1:$N$139,139,FALSE)</f>
        <v>0.18101599856059519</v>
      </c>
      <c r="F11">
        <f ca="1">VLOOKUP(B11,OUTPUT_COUNTRY!$B$6:$N$18, 9, FALSE)</f>
        <v>64.2</v>
      </c>
      <c r="G11" s="47">
        <f>IFERROR(VLOOKUP(B11,OUTPUT_COUNTRY!$B$6:$N$18, 7, FALSE),0)</f>
        <v>50</v>
      </c>
      <c r="H11">
        <f>VLOOKUP(B11,OUTPUT_COUNTRY!$B$6:$N$18, 8, FALSE)</f>
        <v>7.1</v>
      </c>
      <c r="I11">
        <f>VLOOKUP(B11,OUTPUT_COUNTRY!$B$6:$N$18, 11, FALSE)</f>
        <v>57.099999999999994</v>
      </c>
      <c r="J11" s="47">
        <f t="shared" ca="1" si="0"/>
        <v>0</v>
      </c>
      <c r="K11" s="135">
        <f t="shared" ca="1" si="6"/>
        <v>0</v>
      </c>
      <c r="L11">
        <f t="shared" si="1"/>
        <v>0</v>
      </c>
      <c r="M11" s="135">
        <f t="shared" si="7"/>
        <v>0</v>
      </c>
      <c r="N11">
        <f t="shared" si="2"/>
        <v>0</v>
      </c>
      <c r="O11" s="135">
        <f t="shared" si="8"/>
        <v>0</v>
      </c>
      <c r="P11">
        <f t="shared" si="3"/>
        <v>0</v>
      </c>
      <c r="Q11" s="135">
        <f t="shared" si="9"/>
        <v>0</v>
      </c>
      <c r="R11" s="155" t="str">
        <f t="shared" ca="1" si="4"/>
        <v/>
      </c>
      <c r="S11" s="155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5">
        <f>HLOOKUP(B12,'Monthly Returns'!$A$1:$N$139,139,FALSE)</f>
        <v>0.22889198871029237</v>
      </c>
      <c r="F12">
        <f ca="1">VLOOKUP(B12,OUTPUT_COUNTRY!$B$6:$N$18, 9, FALSE)</f>
        <v>78.5</v>
      </c>
      <c r="G12" s="47">
        <f>IFERROR(VLOOKUP(B12,OUTPUT_COUNTRY!$B$6:$N$18, 7, FALSE),0)</f>
        <v>50</v>
      </c>
      <c r="H12">
        <f>VLOOKUP(B12,OUTPUT_COUNTRY!$B$6:$N$18, 8, FALSE)</f>
        <v>50</v>
      </c>
      <c r="I12">
        <f>VLOOKUP(B12,OUTPUT_COUNTRY!$B$6:$N$18, 11, FALSE)</f>
        <v>85.7</v>
      </c>
      <c r="J12" s="47">
        <f t="shared" ca="1" si="0"/>
        <v>4.3688728715870253</v>
      </c>
      <c r="K12" s="135">
        <f t="shared" ca="1" si="6"/>
        <v>0.23249385708786419</v>
      </c>
      <c r="L12">
        <f t="shared" si="1"/>
        <v>0</v>
      </c>
      <c r="M12" s="135">
        <f t="shared" si="7"/>
        <v>0</v>
      </c>
      <c r="N12">
        <f t="shared" si="2"/>
        <v>4.3688728715870253</v>
      </c>
      <c r="O12" s="135">
        <f t="shared" si="8"/>
        <v>0.12328230814079798</v>
      </c>
      <c r="P12">
        <f t="shared" si="3"/>
        <v>4.3688728715870253</v>
      </c>
      <c r="Q12" s="135">
        <f t="shared" si="9"/>
        <v>0.18790990752926684</v>
      </c>
      <c r="R12" s="155">
        <f t="shared" ca="1" si="4"/>
        <v>0.14736615011093857</v>
      </c>
      <c r="S12" s="155">
        <f t="shared" ca="1" si="5"/>
        <v>0.23072725506822273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5">
        <f>HLOOKUP(B13,'Monthly Returns'!$A$1:$N$139,139,FALSE)</f>
        <v>0.15298457306089777</v>
      </c>
      <c r="F13">
        <f ca="1">VLOOKUP(B13,OUTPUT_COUNTRY!$B$6:$N$18, 9, FALSE)</f>
        <v>57.099999999999994</v>
      </c>
      <c r="G13" s="47">
        <f>IFERROR(VLOOKUP(B13,OUTPUT_COUNTRY!$B$6:$N$18, 7, FALSE),0)</f>
        <v>50</v>
      </c>
      <c r="H13">
        <f>VLOOKUP(B13,OUTPUT_COUNTRY!$B$6:$N$18, 8, FALSE)</f>
        <v>7.1</v>
      </c>
      <c r="I13">
        <f>VLOOKUP(B13,OUTPUT_COUNTRY!$B$6:$N$18, 11, FALSE)</f>
        <v>14.2</v>
      </c>
      <c r="J13" s="47">
        <f t="shared" ca="1" si="0"/>
        <v>0</v>
      </c>
      <c r="K13" s="135">
        <f t="shared" ca="1" si="6"/>
        <v>0</v>
      </c>
      <c r="L13">
        <f t="shared" si="1"/>
        <v>0</v>
      </c>
      <c r="M13" s="135">
        <f t="shared" si="7"/>
        <v>0</v>
      </c>
      <c r="N13">
        <f t="shared" si="2"/>
        <v>0</v>
      </c>
      <c r="O13" s="135">
        <f t="shared" si="8"/>
        <v>0</v>
      </c>
      <c r="P13">
        <f t="shared" si="3"/>
        <v>0</v>
      </c>
      <c r="Q13" s="135">
        <f t="shared" si="9"/>
        <v>0</v>
      </c>
      <c r="R13" s="155" t="str">
        <f t="shared" ca="1" si="4"/>
        <v/>
      </c>
      <c r="S13" s="155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5">
        <f>HLOOKUP(B14,'Monthly Returns'!$A$1:$N$139,139,FALSE)</f>
        <v>0.14740726040751617</v>
      </c>
      <c r="F14">
        <f ca="1">VLOOKUP(B14,OUTPUT_COUNTRY!$B$6:$N$18, 9, FALSE)</f>
        <v>14.2</v>
      </c>
      <c r="G14" s="47">
        <f>IFERROR(VLOOKUP(B14,OUTPUT_COUNTRY!$B$6:$N$18, 7, FALSE),0)</f>
        <v>92.800000000000011</v>
      </c>
      <c r="H14">
        <f>VLOOKUP(B14,OUTPUT_COUNTRY!$B$6:$N$18, 8, FALSE)</f>
        <v>92.800000000000011</v>
      </c>
      <c r="I14">
        <f>VLOOKUP(B14,OUTPUT_COUNTRY!$B$6:$N$18, 11, FALSE)</f>
        <v>28.499999999999996</v>
      </c>
      <c r="J14" s="47">
        <f t="shared" ca="1" si="0"/>
        <v>0</v>
      </c>
      <c r="K14" s="135">
        <f t="shared" ca="1" si="6"/>
        <v>0</v>
      </c>
      <c r="L14">
        <f t="shared" si="1"/>
        <v>6.7839263631617621</v>
      </c>
      <c r="M14" s="135">
        <f t="shared" si="7"/>
        <v>0.29752179169963094</v>
      </c>
      <c r="N14">
        <f t="shared" si="2"/>
        <v>6.7839263631617621</v>
      </c>
      <c r="O14" s="135">
        <f t="shared" si="8"/>
        <v>0.19143109101363834</v>
      </c>
      <c r="P14">
        <f t="shared" si="3"/>
        <v>0</v>
      </c>
      <c r="Q14" s="135">
        <f t="shared" si="9"/>
        <v>0</v>
      </c>
      <c r="R14" s="155">
        <f t="shared" ca="1" si="4"/>
        <v>0.10839964661125312</v>
      </c>
      <c r="S14" s="155">
        <f t="shared" ca="1" si="5"/>
        <v>0.16971843869268136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5">
        <f>HLOOKUP(B15,'Monthly Returns'!$A$1:$N$139,139,FALSE)</f>
        <v>0.18026553775915119</v>
      </c>
      <c r="F15">
        <f ca="1">VLOOKUP(B15,OUTPUT_COUNTRY!$B$6:$N$18, 9, FALSE)</f>
        <v>50</v>
      </c>
      <c r="G15" s="47">
        <f>IFERROR(VLOOKUP(B15,OUTPUT_COUNTRY!$B$6:$N$18, 7, FALSE),0)</f>
        <v>78.5</v>
      </c>
      <c r="H15">
        <f>VLOOKUP(B15,OUTPUT_COUNTRY!$B$6:$N$18, 8, FALSE)</f>
        <v>50</v>
      </c>
      <c r="I15">
        <f>VLOOKUP(B15,OUTPUT_COUNTRY!$B$6:$N$18, 11, FALSE)</f>
        <v>50</v>
      </c>
      <c r="J15" s="47">
        <f t="shared" ca="1" si="0"/>
        <v>0</v>
      </c>
      <c r="K15" s="135">
        <f t="shared" ca="1" si="6"/>
        <v>0</v>
      </c>
      <c r="L15">
        <f t="shared" si="1"/>
        <v>5.5473720181395842</v>
      </c>
      <c r="M15" s="135">
        <f t="shared" si="7"/>
        <v>0.24329038578951503</v>
      </c>
      <c r="N15">
        <f t="shared" si="2"/>
        <v>5.5473720181395842</v>
      </c>
      <c r="O15" s="135">
        <f t="shared" si="8"/>
        <v>0.15653758912501739</v>
      </c>
      <c r="P15">
        <f t="shared" si="3"/>
        <v>0</v>
      </c>
      <c r="Q15" s="135">
        <f t="shared" si="9"/>
        <v>0</v>
      </c>
      <c r="R15" s="155">
        <f t="shared" ca="1" si="4"/>
        <v>8.8640874649356258E-2</v>
      </c>
      <c r="S15" s="155">
        <f t="shared" ca="1" si="5"/>
        <v>0.13878265584936589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5">
        <f>HLOOKUP(B16,'Monthly Returns'!$A$1:$N$139,139,FALSE)</f>
        <v>0.22429170646334445</v>
      </c>
      <c r="F16">
        <f ca="1">VLOOKUP(B16,OUTPUT_COUNTRY!$B$6:$N$18, 9, FALSE)</f>
        <v>42.8</v>
      </c>
      <c r="G16" s="47">
        <f>IFERROR(VLOOKUP(B16,OUTPUT_COUNTRY!$B$6:$N$18, 7, FALSE),0)</f>
        <v>21.4</v>
      </c>
      <c r="H16">
        <f>VLOOKUP(B16,OUTPUT_COUNTRY!$B$6:$N$18, 8, FALSE)</f>
        <v>7.1</v>
      </c>
      <c r="I16">
        <f>VLOOKUP(B16,OUTPUT_COUNTRY!$B$6:$N$18, 11, FALSE)</f>
        <v>64.2</v>
      </c>
      <c r="J16" s="47">
        <f t="shared" ca="1" si="0"/>
        <v>0</v>
      </c>
      <c r="K16" s="135">
        <f t="shared" ca="1" si="6"/>
        <v>0</v>
      </c>
      <c r="L16">
        <f t="shared" si="1"/>
        <v>0</v>
      </c>
      <c r="M16" s="135">
        <f t="shared" si="7"/>
        <v>0</v>
      </c>
      <c r="N16">
        <f t="shared" si="2"/>
        <v>0</v>
      </c>
      <c r="O16" s="135">
        <f t="shared" si="8"/>
        <v>0</v>
      </c>
      <c r="P16">
        <f t="shared" si="3"/>
        <v>4.4584796101831259</v>
      </c>
      <c r="Q16" s="135">
        <f t="shared" si="9"/>
        <v>0.19176398945348541</v>
      </c>
      <c r="R16" s="155">
        <f t="shared" ca="1" si="4"/>
        <v>1.9176398945348543E-2</v>
      </c>
      <c r="S16" s="155">
        <f t="shared" ca="1" si="5"/>
        <v>3.0023976927012166E-2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5">
        <f>HLOOKUP(B17,'Monthly Returns'!$A$1:$N$139,139,FALSE)</f>
        <v>0.16995528264076576</v>
      </c>
      <c r="F17">
        <f ca="1">VLOOKUP(B17,OUTPUT_COUNTRY!$B$6:$N$18, 9, FALSE)</f>
        <v>71.399999999999991</v>
      </c>
      <c r="G17" s="47">
        <f>IFERROR(VLOOKUP(B17,OUTPUT_COUNTRY!$B$6:$N$18, 7, FALSE),0)</f>
        <v>71.399999999999991</v>
      </c>
      <c r="H17">
        <f>VLOOKUP(B17,OUTPUT_COUNTRY!$B$6:$N$18, 8, FALSE)</f>
        <v>7.1</v>
      </c>
      <c r="I17">
        <f>VLOOKUP(B17,OUTPUT_COUNTRY!$B$6:$N$18, 11, FALSE)</f>
        <v>64.2</v>
      </c>
      <c r="J17" s="47">
        <f t="shared" ca="1" si="0"/>
        <v>5.883900661762298</v>
      </c>
      <c r="K17" s="135">
        <f t="shared" ca="1" si="6"/>
        <v>0.31311754765664024</v>
      </c>
      <c r="L17">
        <f t="shared" si="1"/>
        <v>5.883900661762298</v>
      </c>
      <c r="M17" s="135">
        <f t="shared" si="7"/>
        <v>0.25804947951325818</v>
      </c>
      <c r="N17">
        <f t="shared" si="2"/>
        <v>0</v>
      </c>
      <c r="O17" s="135">
        <f t="shared" si="8"/>
        <v>0</v>
      </c>
      <c r="P17">
        <f t="shared" si="3"/>
        <v>5.883900661762298</v>
      </c>
      <c r="Q17" s="135">
        <f t="shared" si="9"/>
        <v>0.2530728775501111</v>
      </c>
      <c r="R17" s="155">
        <f t="shared" ca="1" si="4"/>
        <v>0.2592809054373087</v>
      </c>
      <c r="S17" s="155">
        <f t="shared" ca="1" si="5"/>
        <v>0.40594920582588495</v>
      </c>
      <c r="U17" s="50"/>
    </row>
    <row r="18" spans="2:21" x14ac:dyDescent="0.35">
      <c r="B18" s="56" t="s">
        <v>863</v>
      </c>
      <c r="C18" s="56" t="str" cm="1">
        <f t="array" ref="C18">_xll.FDS(B18,"FG_COMPANY_NAME")</f>
        <v>iShares MSCI France ETF</v>
      </c>
      <c r="D18" t="s">
        <v>621</v>
      </c>
      <c r="E18" s="135">
        <f>HLOOKUP(B18,'Monthly Returns'!$A$1:$N$139,139,FALSE)</f>
        <v>0.21804332069347163</v>
      </c>
      <c r="F18">
        <f ca="1">VLOOKUP(B18,OUTPUT_COUNTRY!$B$6:$N$18, 9, FALSE)</f>
        <v>28.499999999999996</v>
      </c>
      <c r="G18" s="47">
        <f>IFERROR(VLOOKUP(B18,OUTPUT_COUNTRY!$B$6:$N$18, 7, FALSE),0)</f>
        <v>85.7</v>
      </c>
      <c r="H18">
        <f>VLOOKUP(B18,OUTPUT_COUNTRY!$B$6:$N$18, 8, FALSE)</f>
        <v>50</v>
      </c>
      <c r="I18">
        <f>VLOOKUP(B18,OUTPUT_COUNTRY!$B$6:$N$18, 11, FALSE)</f>
        <v>21.4</v>
      </c>
      <c r="J18" s="47">
        <f t="shared" ca="1" si="0"/>
        <v>0</v>
      </c>
      <c r="K18" s="135">
        <f t="shared" ca="1" si="6"/>
        <v>0</v>
      </c>
      <c r="L18">
        <f t="shared" si="1"/>
        <v>4.5862445903849265</v>
      </c>
      <c r="M18" s="135">
        <f t="shared" si="7"/>
        <v>0.20113834299759584</v>
      </c>
      <c r="N18">
        <f t="shared" si="2"/>
        <v>4.5862445903849265</v>
      </c>
      <c r="O18" s="135">
        <f t="shared" si="8"/>
        <v>0.1294161756177436</v>
      </c>
      <c r="P18">
        <f t="shared" si="3"/>
        <v>0</v>
      </c>
      <c r="Q18" s="135">
        <f t="shared" si="9"/>
        <v>0</v>
      </c>
      <c r="R18" s="155">
        <f t="shared" ca="1" si="4"/>
        <v>7.3283120461053106E-2</v>
      </c>
      <c r="S18" s="155">
        <f t="shared" ca="1" si="5"/>
        <v>0.11473742928130976</v>
      </c>
    </row>
    <row r="19" spans="2:21" x14ac:dyDescent="0.35">
      <c r="B19" s="56" t="s">
        <v>865</v>
      </c>
      <c r="C19" s="56" t="str" cm="1">
        <f t="array" ref="C19">_xll.FDS(B19,"FG_COMPANY_NAME")</f>
        <v>iShares MSCI Netherlands ETF</v>
      </c>
      <c r="D19" t="s">
        <v>673</v>
      </c>
      <c r="E19" s="135">
        <f>HLOOKUP(B19,'Monthly Returns'!$A$1:$N$139,139,FALSE)</f>
        <v>0.23130569639308213</v>
      </c>
      <c r="F19">
        <f ca="1">VLOOKUP(B19,OUTPUT_COUNTRY!$B$6:$N$18, 9, FALSE)</f>
        <v>92.800000000000011</v>
      </c>
      <c r="G19" s="47">
        <f>IFERROR(VLOOKUP(B19,OUTPUT_COUNTRY!$B$6:$N$18, 7, FALSE),0)</f>
        <v>35.699999999999996</v>
      </c>
      <c r="H19">
        <f>VLOOKUP(B19,OUTPUT_COUNTRY!$B$6:$N$18, 8, FALSE)</f>
        <v>50</v>
      </c>
      <c r="I19">
        <f>VLOOKUP(B19,OUTPUT_COUNTRY!$B$6:$N$18, 11, FALSE)</f>
        <v>92.800000000000011</v>
      </c>
      <c r="J19" s="47">
        <f t="shared" ca="1" si="0"/>
        <v>4.3232830647654898</v>
      </c>
      <c r="K19" s="135">
        <f t="shared" ca="1" si="6"/>
        <v>0.23006775078004224</v>
      </c>
      <c r="L19">
        <f t="shared" si="1"/>
        <v>0</v>
      </c>
      <c r="M19" s="135">
        <f t="shared" si="7"/>
        <v>0</v>
      </c>
      <c r="N19">
        <f t="shared" si="2"/>
        <v>4.3232830647654898</v>
      </c>
      <c r="O19" s="135">
        <f t="shared" si="8"/>
        <v>0.1219958398049477</v>
      </c>
      <c r="P19">
        <f t="shared" si="3"/>
        <v>4.3232830647654898</v>
      </c>
      <c r="Q19" s="135">
        <f t="shared" si="9"/>
        <v>0.18594904104587112</v>
      </c>
      <c r="R19" s="155">
        <f t="shared" ca="1" si="4"/>
        <v>0.145828363475103</v>
      </c>
      <c r="S19" s="155">
        <f t="shared" ca="1" si="5"/>
        <v>0.22831958350253526</v>
      </c>
    </row>
    <row r="20" spans="2:21" x14ac:dyDescent="0.35">
      <c r="B20" s="56" t="s">
        <v>862</v>
      </c>
      <c r="C20" s="56" t="str" cm="1">
        <f t="array" ref="C20">_xll.FDS(B20,"FG_COMPANY_NAME")</f>
        <v>iShares MSCI Sweden ETF</v>
      </c>
      <c r="D20" t="s">
        <v>705</v>
      </c>
      <c r="E20" s="135">
        <f>HLOOKUP(B20,'Monthly Returns'!$A$1:$N$139,139,FALSE)</f>
        <v>0.24902254086156175</v>
      </c>
      <c r="F20">
        <f ca="1">VLOOKUP(B20,OUTPUT_COUNTRY!$B$6:$N$18, 9, FALSE)</f>
        <v>35.699999999999996</v>
      </c>
      <c r="G20" s="47">
        <f>IFERROR(VLOOKUP(B20,OUTPUT_COUNTRY!$B$6:$N$18, 7, FALSE),0)</f>
        <v>42.8</v>
      </c>
      <c r="H20">
        <f>VLOOKUP(B20,OUTPUT_COUNTRY!$B$6:$N$18, 8, FALSE)</f>
        <v>7.1</v>
      </c>
      <c r="I20">
        <f>VLOOKUP(B20,OUTPUT_COUNTRY!$B$6:$N$18, 11, FALSE)</f>
        <v>35.699999999999996</v>
      </c>
      <c r="J20" s="47">
        <f t="shared" ca="1" si="0"/>
        <v>0</v>
      </c>
      <c r="K20" s="135">
        <f t="shared" ca="1" si="6"/>
        <v>0</v>
      </c>
      <c r="L20">
        <f t="shared" si="1"/>
        <v>0</v>
      </c>
      <c r="M20" s="135">
        <f t="shared" si="7"/>
        <v>0</v>
      </c>
      <c r="N20">
        <f t="shared" si="2"/>
        <v>0</v>
      </c>
      <c r="O20" s="135">
        <f t="shared" si="8"/>
        <v>0</v>
      </c>
      <c r="P20">
        <f t="shared" si="3"/>
        <v>0</v>
      </c>
      <c r="Q20" s="135">
        <f t="shared" si="9"/>
        <v>0</v>
      </c>
      <c r="R20" s="155" t="str">
        <f t="shared" ca="1" si="4"/>
        <v/>
      </c>
      <c r="S20" s="155" t="str">
        <f t="shared" ca="1" si="5"/>
        <v/>
      </c>
    </row>
    <row r="21" spans="2:21" ht="15" thickBot="1" x14ac:dyDescent="0.4">
      <c r="B21" s="12" t="s">
        <v>864</v>
      </c>
      <c r="C21" s="12" t="str" cm="1">
        <f t="array" ref="C21">_xll.FDS(B21,"FG_COMPANY_NAME")</f>
        <v>iShares MSCI Italy ETF</v>
      </c>
      <c r="D21" s="13" t="s">
        <v>641</v>
      </c>
      <c r="E21" s="136">
        <f>HLOOKUP(B21,'Monthly Returns'!$A$1:$N$139,139,FALSE)</f>
        <v>0.23723154857145254</v>
      </c>
      <c r="F21" s="13">
        <f ca="1">VLOOKUP(B21,OUTPUT_COUNTRY!$B$6:$N$18, 9, FALSE)</f>
        <v>85.7</v>
      </c>
      <c r="G21" s="137">
        <f>IFERROR(VLOOKUP(B21,OUTPUT_COUNTRY!$B$6:$N$18, 7, FALSE),0)</f>
        <v>14.2</v>
      </c>
      <c r="H21" s="13">
        <f>VLOOKUP(B21,OUTPUT_COUNTRY!$B$6:$N$18, 8, FALSE)</f>
        <v>85.7</v>
      </c>
      <c r="I21" s="13">
        <f>VLOOKUP(B21,OUTPUT_COUNTRY!$B$6:$N$18, 11, FALSE)</f>
        <v>78.5</v>
      </c>
      <c r="J21" s="137">
        <f t="shared" ca="1" si="0"/>
        <v>4.2152909510633947</v>
      </c>
      <c r="K21" s="136">
        <f t="shared" ca="1" si="6"/>
        <v>0.22432084447545325</v>
      </c>
      <c r="L21" s="13">
        <f t="shared" si="1"/>
        <v>0</v>
      </c>
      <c r="M21" s="136">
        <f t="shared" si="7"/>
        <v>0</v>
      </c>
      <c r="N21" s="13">
        <f t="shared" si="2"/>
        <v>4.2152909510633947</v>
      </c>
      <c r="O21" s="136">
        <f t="shared" si="8"/>
        <v>0.11894848241334624</v>
      </c>
      <c r="P21" s="13">
        <f t="shared" si="3"/>
        <v>4.2152909510633947</v>
      </c>
      <c r="Q21" s="136">
        <f t="shared" si="9"/>
        <v>0.1813041844212655</v>
      </c>
      <c r="R21" s="156">
        <f t="shared" ca="1" si="4"/>
        <v>0.1421856889211878</v>
      </c>
      <c r="S21" s="156">
        <f t="shared" ca="1" si="5"/>
        <v>0.22261634500238439</v>
      </c>
    </row>
    <row r="22" spans="2:21" x14ac:dyDescent="0.35">
      <c r="J22" s="47">
        <f ca="1">SUM(J9:J21)</f>
        <v>18.791347549178209</v>
      </c>
      <c r="K22" s="168"/>
      <c r="L22">
        <f>SUM(L9:L21)</f>
        <v>22.801443633448571</v>
      </c>
      <c r="N22">
        <f>SUM(N9:N21)</f>
        <v>35.43795486532774</v>
      </c>
      <c r="P22">
        <f>SUM(P9:P21)</f>
        <v>23.249827159361335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5" sqref="D25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11" t="s">
        <v>544</v>
      </c>
      <c r="D2" s="211"/>
      <c r="E2" s="211" t="s">
        <v>776</v>
      </c>
      <c r="F2" s="211"/>
      <c r="G2" s="211"/>
      <c r="H2" s="217" t="s">
        <v>776</v>
      </c>
      <c r="I2" s="211" t="s">
        <v>546</v>
      </c>
      <c r="J2" s="211" t="s">
        <v>543</v>
      </c>
      <c r="K2" s="211" t="s">
        <v>549</v>
      </c>
      <c r="L2" s="211" t="s">
        <v>737</v>
      </c>
    </row>
    <row r="3" spans="3:12" x14ac:dyDescent="0.35">
      <c r="C3" s="205"/>
      <c r="D3" s="205"/>
      <c r="E3" s="151" t="s">
        <v>545</v>
      </c>
      <c r="F3" s="151" t="s">
        <v>547</v>
      </c>
      <c r="G3" s="151" t="s">
        <v>912</v>
      </c>
      <c r="H3" s="215"/>
      <c r="I3" s="205"/>
      <c r="J3" s="205"/>
      <c r="K3" s="205"/>
      <c r="L3" s="205"/>
    </row>
    <row r="4" spans="3:12" x14ac:dyDescent="0.35">
      <c r="C4" s="77" t="s">
        <v>42</v>
      </c>
      <c r="D4" s="165" t="str" cm="1">
        <f t="array" ref="D4">_xll.FDS(C4,"FG_COMPANY_NAME")</f>
        <v>iShares MSCI Switzerland ETF</v>
      </c>
      <c r="E4" s="152" t="str">
        <f>IF(VLOOKUP(C4,OUTPUT_COUNTRY!$B$6:$N$18,3,FALSE)&gt;75,"++",(IF(VLOOKUP(C4,OUTPUT_COUNTRY!$B$6:$N$18,3,FALSE)&gt;50,"+",(IF(VLOOKUP(C4,OUTPUT_COUNTRY!$B$6:$N$18,3,FALSE)&gt;25,"-","--")))))</f>
        <v>+</v>
      </c>
      <c r="F4" s="119" t="str">
        <f>IF(VLOOKUP(C4,OUTPUT_COUNTRY!$B$6:$N$18,4,FALSE)&gt;75,"++",(IF(VLOOKUP(C4,OUTPUT_COUNTRY!$B$6:$N$18,4,FALSE)&gt;50,"+",(IF(VLOOKUP(C4,OUTPUT_COUNTRY!$B$6:$N$18,4,FALSE)&gt;25,"-","--")))))</f>
        <v>++</v>
      </c>
      <c r="G4" s="152" t="str">
        <f>IF(VLOOKUP(C4,OUTPUT_COUNTRY!$B$6:$N$18,5,FALSE)&gt;75,"++",(IF(VLOOKUP(C4,OUTPUT_COUNTRY!$B$6:$N$18,5,FALSE)&gt;50,"+",(IF(VLOOKUP(C4,OUTPUT_COUNTRY!$B$6:$N$18,5,FALSE)&gt;25,"-","--")))))</f>
        <v>++</v>
      </c>
      <c r="H4" s="119" t="str">
        <f>IF(VLOOKUP(C4,OUTPUT_COUNTRY!$B$6:$N$18,7,FALSE)&gt;75,"++",(IF(VLOOKUP(C4,OUTPUT_COUNTRY!$B$6:$N$18,7,FALSE)&gt;50,"+",(IF(VLOOKUP(C4,OUTPUT_COUNTRY!$B$6:$N$18,7,FALSE)&gt;25,"-","--")))))</f>
        <v>++</v>
      </c>
      <c r="I4" s="152" t="str">
        <f>IF(VLOOKUP(C4,OUTPUT_COUNTRY!$B$6:$N$18,8,FALSE)&gt;75,"++",(IF(VLOOKUP(C4,OUTPUT_COUNTRY!$B$6:$N$18,8,FALSE)&gt;50,"+",(IF(VLOOKUP(C4,OUTPUT_COUNTRY!$B$6:$N$18,8,FALSE)&gt;25,"-","--")))))</f>
        <v>++</v>
      </c>
      <c r="J4" s="119" t="str">
        <f ca="1">IF(VLOOKUP(C4,OUTPUT_COUNTRY!$B$6:$N$18,9,FALSE)&gt;75,"++",(IF(VLOOKUP(C4,OUTPUT_COUNTRY!$B$6:$N$18,9,FALSE)&gt;50,"+",(IF(VLOOKUP(C4,OUTPUT_COUNTRY!$B$6:$N$18,9,FALSE)&gt;25,"-","--")))))</f>
        <v>--</v>
      </c>
      <c r="K4" s="152" t="str">
        <f>IF(VLOOKUP(C4,OUTPUT_COUNTRY!$B$6:$N$18,11,FALSE)&gt;75,"++",(IF(VLOOKUP(C4,OUTPUT_COUNTRY!$B$6:$N$18,11,FALSE)&gt;50,"+",(IF(VLOOKUP(C4,OUTPUT_COUNTRY!$B$6:$N$18,11,FALSE)&gt;25,"-","--")))))</f>
        <v>-</v>
      </c>
      <c r="L4" s="119" t="str">
        <f ca="1">IF(VLOOKUP(C4,OUTPUT_COUNTRY!$B$6:$N$18,13,FALSE)&gt;75,"++",(IF(VLOOKUP(C4,OUTPUT_COUNTRY!$B$6:$N$18,13,FALSE)&gt;50,"+",(IF(VLOOKUP(C4,OUTPUT_COUNTRY!$B$6:$N$18,13,FALSE)&gt;25,"-","--")))))</f>
        <v>+</v>
      </c>
    </row>
    <row r="5" spans="3:12" x14ac:dyDescent="0.35">
      <c r="C5" s="78" t="s">
        <v>46</v>
      </c>
      <c r="D5" s="166" t="str" cm="1">
        <f t="array" ref="D5">_xll.FDS(C5,"FG_COMPANY_NAME")</f>
        <v>iShares MSCI Japan ETF</v>
      </c>
      <c r="E5" s="158" t="str">
        <f>IF(VLOOKUP(C5,OUTPUT_COUNTRY!$B$6:$N$18,3,FALSE)&gt;75,"++",(IF(VLOOKUP(C5,OUTPUT_COUNTRY!$B$6:$N$18,3,FALSE)&gt;50,"+",(IF(VLOOKUP(C5,OUTPUT_COUNTRY!$B$6:$N$18,3,FALSE)&gt;25,"-","--")))))</f>
        <v>-</v>
      </c>
      <c r="F5" s="120" t="str">
        <f>IF(VLOOKUP(C5,OUTPUT_COUNTRY!$B$6:$N$18,4,FALSE)&gt;75,"++",(IF(VLOOKUP(C5,OUTPUT_COUNTRY!$B$6:$N$18,4,FALSE)&gt;50,"+",(IF(VLOOKUP(C5,OUTPUT_COUNTRY!$B$6:$N$18,4,FALSE)&gt;25,"-","--")))))</f>
        <v>+</v>
      </c>
      <c r="G5" s="158" t="str">
        <f>IF(VLOOKUP(C5,OUTPUT_COUNTRY!$B$6:$N$18,5,FALSE)&gt;75,"++",(IF(VLOOKUP(C5,OUTPUT_COUNTRY!$B$6:$N$18,5,FALSE)&gt;50,"+",(IF(VLOOKUP(C5,OUTPUT_COUNTRY!$B$6:$N$18,5,FALSE)&gt;25,"-","--")))))</f>
        <v>-</v>
      </c>
      <c r="H5" s="120" t="str">
        <f>IF(VLOOKUP(C5,OUTPUT_COUNTRY!$B$6:$N$18,7,FALSE)&gt;75,"++",(IF(VLOOKUP(C5,OUTPUT_COUNTRY!$B$6:$N$18,7,FALSE)&gt;50,"+",(IF(VLOOKUP(C5,OUTPUT_COUNTRY!$B$6:$N$18,7,FALSE)&gt;25,"-","--")))))</f>
        <v>-</v>
      </c>
      <c r="I5" s="158" t="str">
        <f>IF(VLOOKUP(C5,OUTPUT_COUNTRY!$B$6:$N$18,8,FALSE)&gt;75,"++",(IF(VLOOKUP(C5,OUTPUT_COUNTRY!$B$6:$N$18,8,FALSE)&gt;50,"+",(IF(VLOOKUP(C5,OUTPUT_COUNTRY!$B$6:$N$18,8,FALSE)&gt;25,"-","--")))))</f>
        <v>--</v>
      </c>
      <c r="J5" s="120" t="str">
        <f ca="1">IF(VLOOKUP(C5,OUTPUT_COUNTRY!$B$6:$N$18,9,FALSE)&gt;75,"++",(IF(VLOOKUP(C5,OUTPUT_COUNTRY!$B$6:$N$18,9,FALSE)&gt;50,"+",(IF(VLOOKUP(C5,OUTPUT_COUNTRY!$B$6:$N$18,9,FALSE)&gt;25,"-","--")))))</f>
        <v>+</v>
      </c>
      <c r="K5" s="158" t="str">
        <f>IF(VLOOKUP(C5,OUTPUT_COUNTRY!$B$6:$N$18,11,FALSE)&gt;75,"++",(IF(VLOOKUP(C5,OUTPUT_COUNTRY!$B$6:$N$18,11,FALSE)&gt;50,"+",(IF(VLOOKUP(C5,OUTPUT_COUNTRY!$B$6:$N$18,11,FALSE)&gt;25,"-","--")))))</f>
        <v>--</v>
      </c>
      <c r="L5" s="120" t="str">
        <f ca="1">IF(VLOOKUP(C5,OUTPUT_COUNTRY!$B$6:$N$18,13,FALSE)&gt;75,"++",(IF(VLOOKUP(C5,OUTPUT_COUNTRY!$B$6:$N$18,13,FALSE)&gt;50,"+",(IF(VLOOKUP(C5,OUTPUT_COUNTRY!$B$6:$N$18,13,FALSE)&gt;25,"-","--")))))</f>
        <v>-</v>
      </c>
    </row>
    <row r="6" spans="3:12" x14ac:dyDescent="0.35">
      <c r="C6" s="78" t="s">
        <v>51</v>
      </c>
      <c r="D6" s="166" t="str" cm="1">
        <f t="array" ref="D6">_xll.FDS(C6,"FG_COMPANY_NAME")</f>
        <v>Invesco QQQ Trust Series I</v>
      </c>
      <c r="E6" s="158" t="str">
        <f>IF(VLOOKUP(C6,OUTPUT_COUNTRY!$B$6:$N$18,3,FALSE)&gt;75,"++",(IF(VLOOKUP(C6,OUTPUT_COUNTRY!$B$6:$N$18,3,FALSE)&gt;50,"+",(IF(VLOOKUP(C6,OUTPUT_COUNTRY!$B$6:$N$18,3,FALSE)&gt;25,"-","--")))))</f>
        <v>--</v>
      </c>
      <c r="F6" s="120" t="str">
        <f>IF(VLOOKUP(C6,OUTPUT_COUNTRY!$B$6:$N$18,4,FALSE)&gt;75,"++",(IF(VLOOKUP(C6,OUTPUT_COUNTRY!$B$6:$N$18,4,FALSE)&gt;50,"+",(IF(VLOOKUP(C6,OUTPUT_COUNTRY!$B$6:$N$18,4,FALSE)&gt;25,"-","--")))))</f>
        <v>++</v>
      </c>
      <c r="G6" s="158" t="str">
        <f>IF(VLOOKUP(C6,OUTPUT_COUNTRY!$B$6:$N$18,5,FALSE)&gt;75,"++",(IF(VLOOKUP(C6,OUTPUT_COUNTRY!$B$6:$N$18,5,FALSE)&gt;50,"+",(IF(VLOOKUP(C6,OUTPUT_COUNTRY!$B$6:$N$18,5,FALSE)&gt;25,"-","--")))))</f>
        <v>--</v>
      </c>
      <c r="H6" s="120" t="str">
        <f>IF(VLOOKUP(C6,OUTPUT_COUNTRY!$B$6:$N$18,7,FALSE)&gt;75,"++",(IF(VLOOKUP(C6,OUTPUT_COUNTRY!$B$6:$N$18,7,FALSE)&gt;50,"+",(IF(VLOOKUP(C6,OUTPUT_COUNTRY!$B$6:$N$18,7,FALSE)&gt;25,"-","--")))))</f>
        <v>--</v>
      </c>
      <c r="I6" s="158" t="str">
        <f>IF(VLOOKUP(C6,OUTPUT_COUNTRY!$B$6:$N$18,8,FALSE)&gt;75,"++",(IF(VLOOKUP(C6,OUTPUT_COUNTRY!$B$6:$N$18,8,FALSE)&gt;50,"+",(IF(VLOOKUP(C6,OUTPUT_COUNTRY!$B$6:$N$18,8,FALSE)&gt;25,"-","--")))))</f>
        <v>--</v>
      </c>
      <c r="J6" s="120" t="str">
        <f ca="1">IF(VLOOKUP(C6,OUTPUT_COUNTRY!$B$6:$N$18,9,FALSE)&gt;75,"++",(IF(VLOOKUP(C6,OUTPUT_COUNTRY!$B$6:$N$18,9,FALSE)&gt;50,"+",(IF(VLOOKUP(C6,OUTPUT_COUNTRY!$B$6:$N$18,9,FALSE)&gt;25,"-","--")))))</f>
        <v>-</v>
      </c>
      <c r="K6" s="158" t="str">
        <f>IF(VLOOKUP(C6,OUTPUT_COUNTRY!$B$6:$N$18,11,FALSE)&gt;75,"++",(IF(VLOOKUP(C6,OUTPUT_COUNTRY!$B$6:$N$18,11,FALSE)&gt;50,"+",(IF(VLOOKUP(C6,OUTPUT_COUNTRY!$B$6:$N$18,11,FALSE)&gt;25,"-","--")))))</f>
        <v>+</v>
      </c>
      <c r="L6" s="120" t="str">
        <f ca="1">IF(VLOOKUP(C6,OUTPUT_COUNTRY!$B$6:$N$18,13,FALSE)&gt;75,"++",(IF(VLOOKUP(C6,OUTPUT_COUNTRY!$B$6:$N$18,13,FALSE)&gt;50,"+",(IF(VLOOKUP(C6,OUTPUT_COUNTRY!$B$6:$N$18,13,FALSE)&gt;25,"-","--")))))</f>
        <v>-</v>
      </c>
    </row>
    <row r="7" spans="3:12" x14ac:dyDescent="0.35">
      <c r="C7" s="78" t="s">
        <v>1</v>
      </c>
      <c r="D7" s="166" t="str" cm="1">
        <f t="array" ref="D7">_xll.FDS(C7,"FG_COMPANY_NAME")</f>
        <v>SPDR S&amp;P 500 ETF Trust</v>
      </c>
      <c r="E7" s="158" t="str">
        <f>IF(VLOOKUP(C7,OUTPUT_COUNTRY!$B$6:$N$18,3,FALSE)&gt;75,"++",(IF(VLOOKUP(C7,OUTPUT_COUNTRY!$B$6:$N$18,3,FALSE)&gt;50,"+",(IF(VLOOKUP(C7,OUTPUT_COUNTRY!$B$6:$N$18,3,FALSE)&gt;25,"-","--")))))</f>
        <v>-</v>
      </c>
      <c r="F7" s="120" t="str">
        <f>IF(VLOOKUP(C7,OUTPUT_COUNTRY!$B$6:$N$18,4,FALSE)&gt;75,"++",(IF(VLOOKUP(C7,OUTPUT_COUNTRY!$B$6:$N$18,4,FALSE)&gt;50,"+",(IF(VLOOKUP(C7,OUTPUT_COUNTRY!$B$6:$N$18,4,FALSE)&gt;25,"-","--")))))</f>
        <v>++</v>
      </c>
      <c r="G7" s="158" t="str">
        <f>IF(VLOOKUP(C7,OUTPUT_COUNTRY!$B$6:$N$18,5,FALSE)&gt;75,"++",(IF(VLOOKUP(C7,OUTPUT_COUNTRY!$B$6:$N$18,5,FALSE)&gt;50,"+",(IF(VLOOKUP(C7,OUTPUT_COUNTRY!$B$6:$N$18,5,FALSE)&gt;25,"-","--")))))</f>
        <v>-</v>
      </c>
      <c r="H7" s="120" t="str">
        <f>IF(VLOOKUP(C7,OUTPUT_COUNTRY!$B$6:$N$18,7,FALSE)&gt;75,"++",(IF(VLOOKUP(C7,OUTPUT_COUNTRY!$B$6:$N$18,7,FALSE)&gt;50,"+",(IF(VLOOKUP(C7,OUTPUT_COUNTRY!$B$6:$N$18,7,FALSE)&gt;25,"-","--")))))</f>
        <v>+</v>
      </c>
      <c r="I7" s="158" t="str">
        <f>IF(VLOOKUP(C7,OUTPUT_COUNTRY!$B$6:$N$18,8,FALSE)&gt;75,"++",(IF(VLOOKUP(C7,OUTPUT_COUNTRY!$B$6:$N$18,8,FALSE)&gt;50,"+",(IF(VLOOKUP(C7,OUTPUT_COUNTRY!$B$6:$N$18,8,FALSE)&gt;25,"-","--")))))</f>
        <v>--</v>
      </c>
      <c r="J7" s="120" t="str">
        <f ca="1">IF(VLOOKUP(C7,OUTPUT_COUNTRY!$B$6:$N$18,9,FALSE)&gt;75,"++",(IF(VLOOKUP(C7,OUTPUT_COUNTRY!$B$6:$N$18,9,FALSE)&gt;50,"+",(IF(VLOOKUP(C7,OUTPUT_COUNTRY!$B$6:$N$18,9,FALSE)&gt;25,"-","--")))))</f>
        <v>+</v>
      </c>
      <c r="K7" s="158" t="str">
        <f>IF(VLOOKUP(C7,OUTPUT_COUNTRY!$B$6:$N$18,11,FALSE)&gt;75,"++",(IF(VLOOKUP(C7,OUTPUT_COUNTRY!$B$6:$N$18,11,FALSE)&gt;50,"+",(IF(VLOOKUP(C7,OUTPUT_COUNTRY!$B$6:$N$18,11,FALSE)&gt;25,"-","--")))))</f>
        <v>+</v>
      </c>
      <c r="L7" s="120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6" t="str" cm="1">
        <f t="array" ref="D8">_xll.FDS(C8,"FG_COMPANY_NAME")</f>
        <v>iShares MSCI Germany ETF</v>
      </c>
      <c r="E8" s="158" t="str">
        <f>IF(VLOOKUP(C8,OUTPUT_COUNTRY!$B$6:$N$18,3,FALSE)&gt;75,"++",(IF(VLOOKUP(C8,OUTPUT_COUNTRY!$B$6:$N$18,3,FALSE)&gt;50,"+",(IF(VLOOKUP(C8,OUTPUT_COUNTRY!$B$6:$N$18,3,FALSE)&gt;25,"-","--")))))</f>
        <v>++</v>
      </c>
      <c r="F8" s="120" t="str">
        <f>IF(VLOOKUP(C8,OUTPUT_COUNTRY!$B$6:$N$18,4,FALSE)&gt;75,"++",(IF(VLOOKUP(C8,OUTPUT_COUNTRY!$B$6:$N$18,4,FALSE)&gt;50,"+",(IF(VLOOKUP(C8,OUTPUT_COUNTRY!$B$6:$N$18,4,FALSE)&gt;25,"-","--")))))</f>
        <v>-</v>
      </c>
      <c r="G8" s="158" t="str">
        <f>IF(VLOOKUP(C8,OUTPUT_COUNTRY!$B$6:$N$18,5,FALSE)&gt;75,"++",(IF(VLOOKUP(C8,OUTPUT_COUNTRY!$B$6:$N$18,5,FALSE)&gt;50,"+",(IF(VLOOKUP(C8,OUTPUT_COUNTRY!$B$6:$N$18,5,FALSE)&gt;25,"-","--")))))</f>
        <v>-</v>
      </c>
      <c r="H8" s="120" t="str">
        <f>IF(VLOOKUP(C8,OUTPUT_COUNTRY!$B$6:$N$18,7,FALSE)&gt;75,"++",(IF(VLOOKUP(C8,OUTPUT_COUNTRY!$B$6:$N$18,7,FALSE)&gt;50,"+",(IF(VLOOKUP(C8,OUTPUT_COUNTRY!$B$6:$N$18,7,FALSE)&gt;25,"-","--")))))</f>
        <v>-</v>
      </c>
      <c r="I8" s="158" t="str">
        <f>IF(VLOOKUP(C8,OUTPUT_COUNTRY!$B$6:$N$18,8,FALSE)&gt;75,"++",(IF(VLOOKUP(C8,OUTPUT_COUNTRY!$B$6:$N$18,8,FALSE)&gt;50,"+",(IF(VLOOKUP(C8,OUTPUT_COUNTRY!$B$6:$N$18,8,FALSE)&gt;25,"-","--")))))</f>
        <v>-</v>
      </c>
      <c r="J8" s="120" t="str">
        <f ca="1">IF(VLOOKUP(C8,OUTPUT_COUNTRY!$B$6:$N$18,9,FALSE)&gt;75,"++",(IF(VLOOKUP(C8,OUTPUT_COUNTRY!$B$6:$N$18,9,FALSE)&gt;50,"+",(IF(VLOOKUP(C8,OUTPUT_COUNTRY!$B$6:$N$18,9,FALSE)&gt;25,"-","--")))))</f>
        <v>++</v>
      </c>
      <c r="K8" s="158" t="str">
        <f>IF(VLOOKUP(C8,OUTPUT_COUNTRY!$B$6:$N$18,11,FALSE)&gt;75,"++",(IF(VLOOKUP(C8,OUTPUT_COUNTRY!$B$6:$N$18,11,FALSE)&gt;50,"+",(IF(VLOOKUP(C8,OUTPUT_COUNTRY!$B$6:$N$18,11,FALSE)&gt;25,"-","--")))))</f>
        <v>++</v>
      </c>
      <c r="L8" s="120" t="str">
        <f ca="1">IF(VLOOKUP(C8,OUTPUT_COUNTRY!$B$6:$N$18,13,FALSE)&gt;75,"++",(IF(VLOOKUP(C8,OUTPUT_COUNTRY!$B$6:$N$18,13,FALSE)&gt;50,"+",(IF(VLOOKUP(C8,OUTPUT_COUNTRY!$B$6:$N$18,13,FALSE)&gt;25,"-","--")))))</f>
        <v>++</v>
      </c>
    </row>
    <row r="9" spans="3:12" x14ac:dyDescent="0.35">
      <c r="C9" s="78" t="s">
        <v>48</v>
      </c>
      <c r="D9" s="166" t="str" cm="1">
        <f t="array" ref="D9">_xll.FDS(C9,"FG_COMPANY_NAME")</f>
        <v>iShares MSCI United Kingdom ETF</v>
      </c>
      <c r="E9" s="158" t="str">
        <f>IF(VLOOKUP(C9,OUTPUT_COUNTRY!$B$6:$N$18,3,FALSE)&gt;75,"++",(IF(VLOOKUP(C9,OUTPUT_COUNTRY!$B$6:$N$18,3,FALSE)&gt;50,"+",(IF(VLOOKUP(C9,OUTPUT_COUNTRY!$B$6:$N$18,3,FALSE)&gt;25,"-","--")))))</f>
        <v>++</v>
      </c>
      <c r="F9" s="120" t="str">
        <f>IF(VLOOKUP(C9,OUTPUT_COUNTRY!$B$6:$N$18,4,FALSE)&gt;75,"++",(IF(VLOOKUP(C9,OUTPUT_COUNTRY!$B$6:$N$18,4,FALSE)&gt;50,"+",(IF(VLOOKUP(C9,OUTPUT_COUNTRY!$B$6:$N$18,4,FALSE)&gt;25,"-","--")))))</f>
        <v>-</v>
      </c>
      <c r="G9" s="158" t="str">
        <f>IF(VLOOKUP(C9,OUTPUT_COUNTRY!$B$6:$N$18,5,FALSE)&gt;75,"++",(IF(VLOOKUP(C9,OUTPUT_COUNTRY!$B$6:$N$18,5,FALSE)&gt;50,"+",(IF(VLOOKUP(C9,OUTPUT_COUNTRY!$B$6:$N$18,5,FALSE)&gt;25,"-","--")))))</f>
        <v>+</v>
      </c>
      <c r="H9" s="120" t="str">
        <f>IF(VLOOKUP(C9,OUTPUT_COUNTRY!$B$6:$N$18,7,FALSE)&gt;75,"++",(IF(VLOOKUP(C9,OUTPUT_COUNTRY!$B$6:$N$18,7,FALSE)&gt;50,"+",(IF(VLOOKUP(C9,OUTPUT_COUNTRY!$B$6:$N$18,7,FALSE)&gt;25,"-","--")))))</f>
        <v>++</v>
      </c>
      <c r="I9" s="158" t="str">
        <f>IF(VLOOKUP(C9,OUTPUT_COUNTRY!$B$6:$N$18,8,FALSE)&gt;75,"++",(IF(VLOOKUP(C9,OUTPUT_COUNTRY!$B$6:$N$18,8,FALSE)&gt;50,"+",(IF(VLOOKUP(C9,OUTPUT_COUNTRY!$B$6:$N$18,8,FALSE)&gt;25,"-","--")))))</f>
        <v>-</v>
      </c>
      <c r="J9" s="120" t="str">
        <f ca="1">IF(VLOOKUP(C9,OUTPUT_COUNTRY!$B$6:$N$18,9,FALSE)&gt;75,"++",(IF(VLOOKUP(C9,OUTPUT_COUNTRY!$B$6:$N$18,9,FALSE)&gt;50,"+",(IF(VLOOKUP(C9,OUTPUT_COUNTRY!$B$6:$N$18,9,FALSE)&gt;25,"-","--")))))</f>
        <v>-</v>
      </c>
      <c r="K9" s="158" t="str">
        <f>IF(VLOOKUP(C9,OUTPUT_COUNTRY!$B$6:$N$18,11,FALSE)&gt;75,"++",(IF(VLOOKUP(C9,OUTPUT_COUNTRY!$B$6:$N$18,11,FALSE)&gt;50,"+",(IF(VLOOKUP(C9,OUTPUT_COUNTRY!$B$6:$N$18,11,FALSE)&gt;25,"-","--")))))</f>
        <v>-</v>
      </c>
      <c r="L9" s="120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6" t="str" cm="1">
        <f t="array" ref="D10">_xll.FDS(C10,"FG_COMPANY_NAME")</f>
        <v>iShares MSCI Canada ETF</v>
      </c>
      <c r="E10" s="158" t="str">
        <f>IF(VLOOKUP(C10,OUTPUT_COUNTRY!$B$6:$N$18,3,FALSE)&gt;75,"++",(IF(VLOOKUP(C10,OUTPUT_COUNTRY!$B$6:$N$18,3,FALSE)&gt;50,"+",(IF(VLOOKUP(C10,OUTPUT_COUNTRY!$B$6:$N$18,3,FALSE)&gt;25,"-","--")))))</f>
        <v>-</v>
      </c>
      <c r="F10" s="120" t="str">
        <f>IF(VLOOKUP(C10,OUTPUT_COUNTRY!$B$6:$N$18,4,FALSE)&gt;75,"++",(IF(VLOOKUP(C10,OUTPUT_COUNTRY!$B$6:$N$18,4,FALSE)&gt;50,"+",(IF(VLOOKUP(C10,OUTPUT_COUNTRY!$B$6:$N$18,4,FALSE)&gt;25,"-","--")))))</f>
        <v>+</v>
      </c>
      <c r="G10" s="158" t="str">
        <f>IF(VLOOKUP(C10,OUTPUT_COUNTRY!$B$6:$N$18,5,FALSE)&gt;75,"++",(IF(VLOOKUP(C10,OUTPUT_COUNTRY!$B$6:$N$18,5,FALSE)&gt;50,"+",(IF(VLOOKUP(C10,OUTPUT_COUNTRY!$B$6:$N$18,5,FALSE)&gt;25,"-","--")))))</f>
        <v>-</v>
      </c>
      <c r="H10" s="120" t="str">
        <f>IF(VLOOKUP(C10,OUTPUT_COUNTRY!$B$6:$N$18,7,FALSE)&gt;75,"++",(IF(VLOOKUP(C10,OUTPUT_COUNTRY!$B$6:$N$18,7,FALSE)&gt;50,"+",(IF(VLOOKUP(C10,OUTPUT_COUNTRY!$B$6:$N$18,7,FALSE)&gt;25,"-","--")))))</f>
        <v>-</v>
      </c>
      <c r="I10" s="158" t="str">
        <f>IF(VLOOKUP(C10,OUTPUT_COUNTRY!$B$6:$N$18,8,FALSE)&gt;75,"++",(IF(VLOOKUP(C10,OUTPUT_COUNTRY!$B$6:$N$18,8,FALSE)&gt;50,"+",(IF(VLOOKUP(C10,OUTPUT_COUNTRY!$B$6:$N$18,8,FALSE)&gt;25,"-","--")))))</f>
        <v>--</v>
      </c>
      <c r="J10" s="120" t="str">
        <f ca="1">IF(VLOOKUP(C10,OUTPUT_COUNTRY!$B$6:$N$18,9,FALSE)&gt;75,"++",(IF(VLOOKUP(C10,OUTPUT_COUNTRY!$B$6:$N$18,9,FALSE)&gt;50,"+",(IF(VLOOKUP(C10,OUTPUT_COUNTRY!$B$6:$N$18,9,FALSE)&gt;25,"-","--")))))</f>
        <v>+</v>
      </c>
      <c r="K10" s="158" t="str">
        <f>IF(VLOOKUP(C10,OUTPUT_COUNTRY!$B$6:$N$18,11,FALSE)&gt;75,"++",(IF(VLOOKUP(C10,OUTPUT_COUNTRY!$B$6:$N$18,11,FALSE)&gt;50,"+",(IF(VLOOKUP(C10,OUTPUT_COUNTRY!$B$6:$N$18,11,FALSE)&gt;25,"-","--")))))</f>
        <v>+</v>
      </c>
      <c r="L10" s="120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6" t="str" cm="1">
        <f t="array" ref="D11">_xll.FDS(C11,"FG_COMPANY_NAME")</f>
        <v>iShares MSCI Australia ETF</v>
      </c>
      <c r="E11" s="158" t="str">
        <f>IF(VLOOKUP(C11,OUTPUT_COUNTRY!$B$6:$N$18,3,FALSE)&gt;75,"++",(IF(VLOOKUP(C11,OUTPUT_COUNTRY!$B$6:$N$18,3,FALSE)&gt;50,"+",(IF(VLOOKUP(C11,OUTPUT_COUNTRY!$B$6:$N$18,3,FALSE)&gt;25,"-","--")))))</f>
        <v>--</v>
      </c>
      <c r="F11" s="120" t="str">
        <f>IF(VLOOKUP(C11,OUTPUT_COUNTRY!$B$6:$N$18,4,FALSE)&gt;75,"++",(IF(VLOOKUP(C11,OUTPUT_COUNTRY!$B$6:$N$18,4,FALSE)&gt;50,"+",(IF(VLOOKUP(C11,OUTPUT_COUNTRY!$B$6:$N$18,4,FALSE)&gt;25,"-","--")))))</f>
        <v>--</v>
      </c>
      <c r="G11" s="158" t="str">
        <f>IF(VLOOKUP(C11,OUTPUT_COUNTRY!$B$6:$N$18,5,FALSE)&gt;75,"++",(IF(VLOOKUP(C11,OUTPUT_COUNTRY!$B$6:$N$18,5,FALSE)&gt;50,"+",(IF(VLOOKUP(C11,OUTPUT_COUNTRY!$B$6:$N$18,5,FALSE)&gt;25,"-","--")))))</f>
        <v>+</v>
      </c>
      <c r="H11" s="120" t="str">
        <f>IF(VLOOKUP(C11,OUTPUT_COUNTRY!$B$6:$N$18,7,FALSE)&gt;75,"++",(IF(VLOOKUP(C11,OUTPUT_COUNTRY!$B$6:$N$18,7,FALSE)&gt;50,"+",(IF(VLOOKUP(C11,OUTPUT_COUNTRY!$B$6:$N$18,7,FALSE)&gt;25,"-","--")))))</f>
        <v>--</v>
      </c>
      <c r="I11" s="158" t="str">
        <f>IF(VLOOKUP(C11,OUTPUT_COUNTRY!$B$6:$N$18,8,FALSE)&gt;75,"++",(IF(VLOOKUP(C11,OUTPUT_COUNTRY!$B$6:$N$18,8,FALSE)&gt;50,"+",(IF(VLOOKUP(C11,OUTPUT_COUNTRY!$B$6:$N$18,8,FALSE)&gt;25,"-","--")))))</f>
        <v>--</v>
      </c>
      <c r="J11" s="120" t="str">
        <f ca="1">IF(VLOOKUP(C11,OUTPUT_COUNTRY!$B$6:$N$18,9,FALSE)&gt;75,"++",(IF(VLOOKUP(C11,OUTPUT_COUNTRY!$B$6:$N$18,9,FALSE)&gt;50,"+",(IF(VLOOKUP(C11,OUTPUT_COUNTRY!$B$6:$N$18,9,FALSE)&gt;25,"-","--")))))</f>
        <v>--</v>
      </c>
      <c r="K11" s="158" t="str">
        <f>IF(VLOOKUP(C11,OUTPUT_COUNTRY!$B$6:$N$18,11,FALSE)&gt;75,"++",(IF(VLOOKUP(C11,OUTPUT_COUNTRY!$B$6:$N$18,11,FALSE)&gt;50,"+",(IF(VLOOKUP(C11,OUTPUT_COUNTRY!$B$6:$N$18,11,FALSE)&gt;25,"-","--")))))</f>
        <v>-</v>
      </c>
      <c r="L11" s="120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6" t="str" cm="1">
        <f t="array" ref="D12">_xll.FDS(C12,"FG_COMPANY_NAME")</f>
        <v>iShares MSCI New Zealand ETF</v>
      </c>
      <c r="E12" s="158" t="str">
        <f>IF(VLOOKUP(C12,OUTPUT_COUNTRY!$B$6:$N$18,3,FALSE)&gt;75,"++",(IF(VLOOKUP(C12,OUTPUT_COUNTRY!$B$6:$N$18,3,FALSE)&gt;50,"+",(IF(VLOOKUP(C12,OUTPUT_COUNTRY!$B$6:$N$18,3,FALSE)&gt;25,"-","--")))))</f>
        <v>--</v>
      </c>
      <c r="F12" s="120" t="str">
        <f>IF(VLOOKUP(C12,OUTPUT_COUNTRY!$B$6:$N$18,4,FALSE)&gt;75,"++",(IF(VLOOKUP(C12,OUTPUT_COUNTRY!$B$6:$N$18,4,FALSE)&gt;50,"+",(IF(VLOOKUP(C12,OUTPUT_COUNTRY!$B$6:$N$18,4,FALSE)&gt;25,"-","--")))))</f>
        <v>--</v>
      </c>
      <c r="G12" s="158" t="str">
        <f>IF(VLOOKUP(C12,OUTPUT_COUNTRY!$B$6:$N$18,5,FALSE)&gt;75,"++",(IF(VLOOKUP(C12,OUTPUT_COUNTRY!$B$6:$N$18,5,FALSE)&gt;50,"+",(IF(VLOOKUP(C12,OUTPUT_COUNTRY!$B$6:$N$18,5,FALSE)&gt;25,"-","--")))))</f>
        <v>++</v>
      </c>
      <c r="H12" s="120" t="str">
        <f>IF(VLOOKUP(C12,OUTPUT_COUNTRY!$B$6:$N$18,7,FALSE)&gt;75,"++",(IF(VLOOKUP(C12,OUTPUT_COUNTRY!$B$6:$N$18,7,FALSE)&gt;50,"+",(IF(VLOOKUP(C12,OUTPUT_COUNTRY!$B$6:$N$18,7,FALSE)&gt;25,"-","--")))))</f>
        <v>-</v>
      </c>
      <c r="I12" s="158" t="str">
        <f>IF(VLOOKUP(C12,OUTPUT_COUNTRY!$B$6:$N$18,8,FALSE)&gt;75,"++",(IF(VLOOKUP(C12,OUTPUT_COUNTRY!$B$6:$N$18,8,FALSE)&gt;50,"+",(IF(VLOOKUP(C12,OUTPUT_COUNTRY!$B$6:$N$18,8,FALSE)&gt;25,"-","--")))))</f>
        <v>-</v>
      </c>
      <c r="J12" s="120" t="str">
        <f ca="1">IF(VLOOKUP(C12,OUTPUT_COUNTRY!$B$6:$N$18,9,FALSE)&gt;75,"++",(IF(VLOOKUP(C12,OUTPUT_COUNTRY!$B$6:$N$18,9,FALSE)&gt;50,"+",(IF(VLOOKUP(C12,OUTPUT_COUNTRY!$B$6:$N$18,9,FALSE)&gt;25,"-","--")))))</f>
        <v>--</v>
      </c>
      <c r="K12" s="158" t="str">
        <f>IF(VLOOKUP(C12,OUTPUT_COUNTRY!$B$6:$N$18,11,FALSE)&gt;75,"++",(IF(VLOOKUP(C12,OUTPUT_COUNTRY!$B$6:$N$18,11,FALSE)&gt;50,"+",(IF(VLOOKUP(C12,OUTPUT_COUNTRY!$B$6:$N$18,11,FALSE)&gt;25,"-","--")))))</f>
        <v>--</v>
      </c>
      <c r="L12" s="120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863</v>
      </c>
      <c r="D13" s="166" t="str" cm="1">
        <f t="array" ref="D13">_xll.FDS(C13,"FG_COMPANY_NAME")</f>
        <v>iShares MSCI France ETF</v>
      </c>
      <c r="E13" s="158" t="str">
        <f>IF(VLOOKUP(C13,OUTPUT_COUNTRY!$B$6:$N$18,3,FALSE)&gt;75,"++",(IF(VLOOKUP(C13,OUTPUT_COUNTRY!$B$6:$N$18,3,FALSE)&gt;50,"+",(IF(VLOOKUP(C13,OUTPUT_COUNTRY!$B$6:$N$18,3,FALSE)&gt;25,"-","--")))))</f>
        <v>+</v>
      </c>
      <c r="F13" s="120" t="str">
        <f>IF(VLOOKUP(C13,OUTPUT_COUNTRY!$B$6:$N$18,4,FALSE)&gt;75,"++",(IF(VLOOKUP(C13,OUTPUT_COUNTRY!$B$6:$N$18,4,FALSE)&gt;50,"+",(IF(VLOOKUP(C13,OUTPUT_COUNTRY!$B$6:$N$18,4,FALSE)&gt;25,"-","--")))))</f>
        <v>+</v>
      </c>
      <c r="G13" s="158" t="str">
        <f>IF(VLOOKUP(C13,OUTPUT_COUNTRY!$B$6:$N$18,5,FALSE)&gt;75,"++",(IF(VLOOKUP(C13,OUTPUT_COUNTRY!$B$6:$N$18,5,FALSE)&gt;50,"+",(IF(VLOOKUP(C13,OUTPUT_COUNTRY!$B$6:$N$18,5,FALSE)&gt;25,"-","--")))))</f>
        <v>++</v>
      </c>
      <c r="H13" s="120" t="str">
        <f>IF(VLOOKUP(C13,OUTPUT_COUNTRY!$B$6:$N$18,7,FALSE)&gt;75,"++",(IF(VLOOKUP(C13,OUTPUT_COUNTRY!$B$6:$N$18,7,FALSE)&gt;50,"+",(IF(VLOOKUP(C13,OUTPUT_COUNTRY!$B$6:$N$18,7,FALSE)&gt;25,"-","--")))))</f>
        <v>++</v>
      </c>
      <c r="I13" s="158" t="str">
        <f>IF(VLOOKUP(C13,OUTPUT_COUNTRY!$B$6:$N$18,8,FALSE)&gt;75,"++",(IF(VLOOKUP(C13,OUTPUT_COUNTRY!$B$6:$N$18,8,FALSE)&gt;50,"+",(IF(VLOOKUP(C13,OUTPUT_COUNTRY!$B$6:$N$18,8,FALSE)&gt;25,"-","--")))))</f>
        <v>-</v>
      </c>
      <c r="J13" s="120" t="str">
        <f ca="1">IF(VLOOKUP(C13,OUTPUT_COUNTRY!$B$6:$N$18,9,FALSE)&gt;75,"++",(IF(VLOOKUP(C13,OUTPUT_COUNTRY!$B$6:$N$18,9,FALSE)&gt;50,"+",(IF(VLOOKUP(C13,OUTPUT_COUNTRY!$B$6:$N$18,9,FALSE)&gt;25,"-","--")))))</f>
        <v>-</v>
      </c>
      <c r="K13" s="158" t="str">
        <f>IF(VLOOKUP(C13,OUTPUT_COUNTRY!$B$6:$N$18,11,FALSE)&gt;75,"++",(IF(VLOOKUP(C13,OUTPUT_COUNTRY!$B$6:$N$18,11,FALSE)&gt;50,"+",(IF(VLOOKUP(C13,OUTPUT_COUNTRY!$B$6:$N$18,11,FALSE)&gt;25,"-","--")))))</f>
        <v>--</v>
      </c>
      <c r="L13" s="120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865</v>
      </c>
      <c r="D14" s="166" t="str" cm="1">
        <f t="array" ref="D14">_xll.FDS(C14,"FG_COMPANY_NAME")</f>
        <v>iShares MSCI Netherlands ETF</v>
      </c>
      <c r="E14" s="158" t="str">
        <f>IF(VLOOKUP(C14,OUTPUT_COUNTRY!$B$6:$N$18,3,FALSE)&gt;75,"++",(IF(VLOOKUP(C14,OUTPUT_COUNTRY!$B$6:$N$18,3,FALSE)&gt;50,"+",(IF(VLOOKUP(C14,OUTPUT_COUNTRY!$B$6:$N$18,3,FALSE)&gt;25,"-","--")))))</f>
        <v>-</v>
      </c>
      <c r="F14" s="120" t="str">
        <f>IF(VLOOKUP(C14,OUTPUT_COUNTRY!$B$6:$N$18,4,FALSE)&gt;75,"++",(IF(VLOOKUP(C14,OUTPUT_COUNTRY!$B$6:$N$18,4,FALSE)&gt;50,"+",(IF(VLOOKUP(C14,OUTPUT_COUNTRY!$B$6:$N$18,4,FALSE)&gt;25,"-","--")))))</f>
        <v>-</v>
      </c>
      <c r="G14" s="158" t="str">
        <f>IF(VLOOKUP(C14,OUTPUT_COUNTRY!$B$6:$N$18,5,FALSE)&gt;75,"++",(IF(VLOOKUP(C14,OUTPUT_COUNTRY!$B$6:$N$18,5,FALSE)&gt;50,"+",(IF(VLOOKUP(C14,OUTPUT_COUNTRY!$B$6:$N$18,5,FALSE)&gt;25,"-","--")))))</f>
        <v>+</v>
      </c>
      <c r="H14" s="120" t="str">
        <f>IF(VLOOKUP(C14,OUTPUT_COUNTRY!$B$6:$N$18,7,FALSE)&gt;75,"++",(IF(VLOOKUP(C14,OUTPUT_COUNTRY!$B$6:$N$18,7,FALSE)&gt;50,"+",(IF(VLOOKUP(C14,OUTPUT_COUNTRY!$B$6:$N$18,7,FALSE)&gt;25,"-","--")))))</f>
        <v>-</v>
      </c>
      <c r="I14" s="158" t="str">
        <f>IF(VLOOKUP(C14,OUTPUT_COUNTRY!$B$6:$N$18,8,FALSE)&gt;75,"++",(IF(VLOOKUP(C14,OUTPUT_COUNTRY!$B$6:$N$18,8,FALSE)&gt;50,"+",(IF(VLOOKUP(C14,OUTPUT_COUNTRY!$B$6:$N$18,8,FALSE)&gt;25,"-","--")))))</f>
        <v>-</v>
      </c>
      <c r="J14" s="120" t="str">
        <f ca="1">IF(VLOOKUP(C14,OUTPUT_COUNTRY!$B$6:$N$18,9,FALSE)&gt;75,"++",(IF(VLOOKUP(C14,OUTPUT_COUNTRY!$B$6:$N$18,9,FALSE)&gt;50,"+",(IF(VLOOKUP(C14,OUTPUT_COUNTRY!$B$6:$N$18,9,FALSE)&gt;25,"-","--")))))</f>
        <v>++</v>
      </c>
      <c r="K14" s="158" t="str">
        <f>IF(VLOOKUP(C14,OUTPUT_COUNTRY!$B$6:$N$18,11,FALSE)&gt;75,"++",(IF(VLOOKUP(C14,OUTPUT_COUNTRY!$B$6:$N$18,11,FALSE)&gt;50,"+",(IF(VLOOKUP(C14,OUTPUT_COUNTRY!$B$6:$N$18,11,FALSE)&gt;25,"-","--")))))</f>
        <v>++</v>
      </c>
      <c r="L14" s="120" t="str">
        <f ca="1">IF(VLOOKUP(C14,OUTPUT_COUNTRY!$B$6:$N$18,13,FALSE)&gt;75,"++",(IF(VLOOKUP(C14,OUTPUT_COUNTRY!$B$6:$N$18,13,FALSE)&gt;50,"+",(IF(VLOOKUP(C14,OUTPUT_COUNTRY!$B$6:$N$18,13,FALSE)&gt;25,"-","--")))))</f>
        <v>++</v>
      </c>
    </row>
    <row r="15" spans="3:12" x14ac:dyDescent="0.35">
      <c r="C15" s="78" t="s">
        <v>862</v>
      </c>
      <c r="D15" s="166" t="str" cm="1">
        <f t="array" ref="D15">_xll.FDS(C15,"FG_COMPANY_NAME")</f>
        <v>iShares MSCI Sweden ETF</v>
      </c>
      <c r="E15" s="158" t="str">
        <f>IF(VLOOKUP(C15,OUTPUT_COUNTRY!$B$6:$N$18,3,FALSE)&gt;75,"++",(IF(VLOOKUP(C15,OUTPUT_COUNTRY!$B$6:$N$18,3,FALSE)&gt;50,"+",(IF(VLOOKUP(C15,OUTPUT_COUNTRY!$B$6:$N$18,3,FALSE)&gt;25,"-","--")))))</f>
        <v>+</v>
      </c>
      <c r="F15" s="120" t="str">
        <f>IF(VLOOKUP(C15,OUTPUT_COUNTRY!$B$6:$N$18,4,FALSE)&gt;75,"++",(IF(VLOOKUP(C15,OUTPUT_COUNTRY!$B$6:$N$18,4,FALSE)&gt;50,"+",(IF(VLOOKUP(C15,OUTPUT_COUNTRY!$B$6:$N$18,4,FALSE)&gt;25,"-","--")))))</f>
        <v>-</v>
      </c>
      <c r="G15" s="158" t="str">
        <f>IF(VLOOKUP(C15,OUTPUT_COUNTRY!$B$6:$N$18,5,FALSE)&gt;75,"++",(IF(VLOOKUP(C15,OUTPUT_COUNTRY!$B$6:$N$18,5,FALSE)&gt;50,"+",(IF(VLOOKUP(C15,OUTPUT_COUNTRY!$B$6:$N$18,5,FALSE)&gt;25,"-","--")))))</f>
        <v>--</v>
      </c>
      <c r="H15" s="120" t="str">
        <f>IF(VLOOKUP(C15,OUTPUT_COUNTRY!$B$6:$N$18,7,FALSE)&gt;75,"++",(IF(VLOOKUP(C15,OUTPUT_COUNTRY!$B$6:$N$18,7,FALSE)&gt;50,"+",(IF(VLOOKUP(C15,OUTPUT_COUNTRY!$B$6:$N$18,7,FALSE)&gt;25,"-","--")))))</f>
        <v>-</v>
      </c>
      <c r="I15" s="158" t="str">
        <f>IF(VLOOKUP(C15,OUTPUT_COUNTRY!$B$6:$N$18,8,FALSE)&gt;75,"++",(IF(VLOOKUP(C15,OUTPUT_COUNTRY!$B$6:$N$18,8,FALSE)&gt;50,"+",(IF(VLOOKUP(C15,OUTPUT_COUNTRY!$B$6:$N$18,8,FALSE)&gt;25,"-","--")))))</f>
        <v>--</v>
      </c>
      <c r="J15" s="120" t="str">
        <f ca="1">IF(VLOOKUP(C15,OUTPUT_COUNTRY!$B$6:$N$18,9,FALSE)&gt;75,"++",(IF(VLOOKUP(C15,OUTPUT_COUNTRY!$B$6:$N$18,9,FALSE)&gt;50,"+",(IF(VLOOKUP(C15,OUTPUT_COUNTRY!$B$6:$N$18,9,FALSE)&gt;25,"-","--")))))</f>
        <v>-</v>
      </c>
      <c r="K15" s="158" t="str">
        <f>IF(VLOOKUP(C15,OUTPUT_COUNTRY!$B$6:$N$18,11,FALSE)&gt;75,"++",(IF(VLOOKUP(C15,OUTPUT_COUNTRY!$B$6:$N$18,11,FALSE)&gt;50,"+",(IF(VLOOKUP(C15,OUTPUT_COUNTRY!$B$6:$N$18,11,FALSE)&gt;25,"-","--")))))</f>
        <v>-</v>
      </c>
      <c r="L15" s="120" t="str">
        <f ca="1">IF(VLOOKUP(C15,OUTPUT_COUNTRY!$B$6:$N$18,13,FALSE)&gt;75,"++",(IF(VLOOKUP(C15,OUTPUT_COUNTRY!$B$6:$N$18,13,FALSE)&gt;50,"+",(IF(VLOOKUP(C15,OUTPUT_COUNTRY!$B$6:$N$18,13,FALSE)&gt;25,"-","--")))))</f>
        <v>--</v>
      </c>
    </row>
    <row r="16" spans="3:12" x14ac:dyDescent="0.35">
      <c r="C16" s="79" t="s">
        <v>864</v>
      </c>
      <c r="D16" s="167" t="str" cm="1">
        <f t="array" ref="D16">_xll.FDS(C16,"FG_COMPANY_NAME")</f>
        <v>iShares MSCI Italy ETF</v>
      </c>
      <c r="E16" s="153" t="str">
        <f>IF(VLOOKUP(C16,OUTPUT_COUNTRY!$B$6:$N$18,3,FALSE)&gt;75,"++",(IF(VLOOKUP(C16,OUTPUT_COUNTRY!$B$6:$N$18,3,FALSE)&gt;50,"+",(IF(VLOOKUP(C16,OUTPUT_COUNTRY!$B$6:$N$18,3,FALSE)&gt;25,"-","--")))))</f>
        <v>++</v>
      </c>
      <c r="F16" s="121" t="str">
        <f>IF(VLOOKUP(C16,OUTPUT_COUNTRY!$B$6:$N$18,4,FALSE)&gt;75,"++",(IF(VLOOKUP(C16,OUTPUT_COUNTRY!$B$6:$N$18,4,FALSE)&gt;50,"+",(IF(VLOOKUP(C16,OUTPUT_COUNTRY!$B$6:$N$18,4,FALSE)&gt;25,"-","--")))))</f>
        <v>--</v>
      </c>
      <c r="G16" s="153" t="str">
        <f>IF(VLOOKUP(C16,OUTPUT_COUNTRY!$B$6:$N$18,5,FALSE)&gt;75,"++",(IF(VLOOKUP(C16,OUTPUT_COUNTRY!$B$6:$N$18,5,FALSE)&gt;50,"+",(IF(VLOOKUP(C16,OUTPUT_COUNTRY!$B$6:$N$18,5,FALSE)&gt;25,"-","--")))))</f>
        <v>--</v>
      </c>
      <c r="H16" s="121" t="str">
        <f>IF(VLOOKUP(C16,OUTPUT_COUNTRY!$B$6:$N$18,7,FALSE)&gt;75,"++",(IF(VLOOKUP(C16,OUTPUT_COUNTRY!$B$6:$N$18,7,FALSE)&gt;50,"+",(IF(VLOOKUP(C16,OUTPUT_COUNTRY!$B$6:$N$18,7,FALSE)&gt;25,"-","--")))))</f>
        <v>--</v>
      </c>
      <c r="I16" s="153" t="str">
        <f>IF(VLOOKUP(C16,OUTPUT_COUNTRY!$B$6:$N$18,8,FALSE)&gt;75,"++",(IF(VLOOKUP(C16,OUTPUT_COUNTRY!$B$6:$N$18,8,FALSE)&gt;50,"+",(IF(VLOOKUP(C16,OUTPUT_COUNTRY!$B$6:$N$18,8,FALSE)&gt;25,"-","--")))))</f>
        <v>++</v>
      </c>
      <c r="J16" s="121" t="str">
        <f ca="1">IF(VLOOKUP(C16,OUTPUT_COUNTRY!$B$6:$N$18,9,FALSE)&gt;75,"++",(IF(VLOOKUP(C16,OUTPUT_COUNTRY!$B$6:$N$18,9,FALSE)&gt;50,"+",(IF(VLOOKUP(C16,OUTPUT_COUNTRY!$B$6:$N$18,9,FALSE)&gt;25,"-","--")))))</f>
        <v>++</v>
      </c>
      <c r="K16" s="153" t="str">
        <f>IF(VLOOKUP(C16,OUTPUT_COUNTRY!$B$6:$N$18,11,FALSE)&gt;75,"++",(IF(VLOOKUP(C16,OUTPUT_COUNTRY!$B$6:$N$18,11,FALSE)&gt;50,"+",(IF(VLOOKUP(C16,OUTPUT_COUNTRY!$B$6:$N$18,11,FALSE)&gt;25,"-","--")))))</f>
        <v>++</v>
      </c>
      <c r="L16" s="121" t="str">
        <f ca="1">IF(VLOOKUP(C16,OUTPUT_COUNTRY!$B$6:$N$18,13,FALSE)&gt;75,"++",(IF(VLOOKUP(C16,OUTPUT_COUNTRY!$B$6:$N$18,13,FALSE)&gt;50,"+",(IF(VLOOKUP(C16,OUTPUT_COUNTRY!$B$6:$N$18,13,FALSE)&gt;25,"-","--")))))</f>
        <v>++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867</v>
      </c>
      <c r="D75" s="26" t="s">
        <v>163</v>
      </c>
    </row>
    <row r="76" spans="1:4" x14ac:dyDescent="0.35">
      <c r="A76" t="s">
        <v>873</v>
      </c>
      <c r="B76" t="s">
        <v>868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874</v>
      </c>
      <c r="B78" t="s">
        <v>866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A3" sqref="A3:A15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767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768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45379</v>
      </c>
      <c r="G3" s="4" cm="1">
        <f t="array" ref="G3">_xll.FDS(D3,"FMA_PE(LTM,0,,,""PORTAGG"",""MEANR"")")</f>
        <v>29.407707613297202</v>
      </c>
      <c r="H3" s="4" cm="1">
        <f t="array" ref="H3">_xll.FDS(D3,"FMA_PE(NTMA,0,,,""PORTAGG"",""MEANR"")")</f>
        <v>25.0643293624228</v>
      </c>
      <c r="I3" cm="1">
        <f t="array" ref="I3">_xll.FDS(D3,"FMA_DIV_YLD(NTMA,NOW,NOW,M,""PORTAGG"",""MEANR"")")</f>
        <v>2.74326885778498</v>
      </c>
      <c r="J3" s="52" cm="1">
        <f t="array" ref="J3">IFERROR(_xll.FDS(D3,"FG_FCF_YIELD_NTM(0)"),(1/G3*100))</f>
        <v>1.9045645911121501E-2</v>
      </c>
      <c r="K3" s="3" cm="1">
        <f t="array" ref="K3">_xll.FDS(D3,"FMA_EVAL_EBITDA(NTMA,0,,,""PORTAGG"",""MEANR"")")</f>
        <v>12.2989882752734</v>
      </c>
      <c r="L3" cm="1">
        <f t="array" ref="L3">_xll.FDS(D3,"FMA_EVAL_EBIT(LTMA,NOW,NOW,M,""PORTAGG"",""MEANR"")")</f>
        <v>20.514498131462499</v>
      </c>
      <c r="M3">
        <f>HLOOKUP(D3,'Index ROE'!$A$1:$N$25,25,FALSE)</f>
        <v>6.5793423286927304</v>
      </c>
      <c r="N3">
        <f>VLOOKUP(A3,'LIQIDITY 2'!$A$3:$E$16,5,FALSE)</f>
        <v>4.6540999999999997</v>
      </c>
      <c r="O3" cm="1">
        <f t="array" ref="O3">IFERROR(IFERROR(_xll.FDS(B3,"IMF_IFS_RCPI_Q(0)"),_xll.FDS(B3,"IMF_IFS_RCPI_Q(-1AM)")),$D$23)</f>
        <v>4.6550289999999999</v>
      </c>
      <c r="P3">
        <f>VLOOKUP(E3,GDP_GROWTH!$B$10:$W$165,22,FALSE)</f>
        <v>2.7196134550164452</v>
      </c>
      <c r="Q3">
        <f t="shared" ref="Q3:Q11" si="0">I3-N3</f>
        <v>-1.9108311422150197</v>
      </c>
      <c r="R3" s="52">
        <f t="shared" ref="R3:R11" si="1">J3-N3</f>
        <v>-4.6350543540888784</v>
      </c>
      <c r="S3">
        <f t="shared" ref="S3:S11" si="2">M3-N3</f>
        <v>1.9252423286927307</v>
      </c>
      <c r="T3">
        <f t="shared" ref="T3:T11" si="3">M3-O3</f>
        <v>1.9243133286927305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45379</v>
      </c>
      <c r="G4" s="4" cm="1">
        <f t="array" ref="G4">_xll.FDS(D4,"FMA_PE(LTM,0,,,""PORTAGG"",""MEANR"")")</f>
        <v>18.2411431194671</v>
      </c>
      <c r="H4" s="4" cm="1">
        <f t="array" ref="H4">_xll.FDS(D4,"FMA_PE(NTMA,0,,,""PORTAGG"",""MEANR"")")</f>
        <v>16.609329004008799</v>
      </c>
      <c r="I4" cm="1">
        <f t="array" ref="I4">_xll.FDS(D4,"FMA_DIV_YLD(NTMA,NOW,NOW,M,""PORTAGG"",""MEANR"")")</f>
        <v>3.8993119537235699</v>
      </c>
      <c r="J4" s="52" cm="1">
        <f t="array" ref="J4">IFERROR(_xll.FDS(D4,"FG_FCF_YIELD_NTM(0)"),(1/G4*100))</f>
        <v>4.8627567775668599</v>
      </c>
      <c r="K4" s="3" cm="1">
        <f t="array" ref="K4">_xll.FDS(D4,"FMA_EVAL_EBITDA(NTMA,0,,,""PORTAGG"",""MEANR"")")</f>
        <v>8.6290388058206595</v>
      </c>
      <c r="L4" cm="1">
        <f t="array" ref="L4">_xll.FDS(D4,"FMA_EVAL_EBIT(LTMA,NOW,NOW,M,""PORTAGG"",""MEANR"")")</f>
        <v>12.4430506058536</v>
      </c>
      <c r="M4">
        <f>HLOOKUP(D4,'Index ROE'!$A$1:$N$25,25,FALSE)</f>
        <v>13.226137995013501</v>
      </c>
      <c r="N4">
        <f>VLOOKUP(A4,'LIQIDITY 2'!$A$3:$E$16,5,FALSE)</f>
        <v>4.18</v>
      </c>
      <c r="O4" cm="1">
        <f t="array" ref="O4">IFERROR(IFERROR(_xll.FDS(B4,"IMF_IFS_RCPI_Q(0)"),_xll.FDS(B4,"IMF_IFS_RCPI_Q(-1AM)")),$D$23)</f>
        <v>4.0519879999999997</v>
      </c>
      <c r="P4">
        <f>VLOOKUP(E4,GDP_GROWTH!$B$10:$W$165,22,FALSE)</f>
        <v>2.0879441195558623</v>
      </c>
      <c r="Q4">
        <f t="shared" si="0"/>
        <v>-0.28068804627642985</v>
      </c>
      <c r="R4" s="52">
        <f t="shared" si="1"/>
        <v>0.68275677756686015</v>
      </c>
      <c r="S4">
        <f t="shared" si="2"/>
        <v>9.0461379950135008</v>
      </c>
      <c r="T4">
        <f t="shared" si="3"/>
        <v>9.1741499950135008</v>
      </c>
      <c r="U4" cm="1">
        <f t="array" ref="U4">_xlfn.PERCENTRANK.EXC(_xlfn._xlws.FILTER(Q$3:Q$15, ISNUMBER(Q$3:Q$15)),Q4)*100</f>
        <v>35.699999999999996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31.799999999999997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45379</v>
      </c>
      <c r="G5" s="4" cm="1">
        <f t="array" ref="G5">_xll.FDS(D5,"FMA_PE(LTM,0,,,""PORTAGG"",""MEANR"")")</f>
        <v>16.948129142333698</v>
      </c>
      <c r="H5" s="4" cm="1">
        <f t="array" ref="H5">_xll.FDS(D5,"FMA_PE(NTMA,0,,,""PORTAGG"",""MEANR"")")</f>
        <v>14.563872190635699</v>
      </c>
      <c r="I5" cm="1">
        <f t="array" ref="I5">_xll.FDS(D5,"FMA_DIV_YLD(NTMA,NOW,NOW,M,""PORTAGG"",""MEANR"")")</f>
        <v>3.10692325273597</v>
      </c>
      <c r="J5" s="52" cm="1">
        <f t="array" ref="J5">IFERROR(_xll.FDS(D5,"FG_FCF_YIELD_NTM(0)"),(1/G5*100))</f>
        <v>5.0337275355879196</v>
      </c>
      <c r="K5" s="3" cm="1">
        <f t="array" ref="K5">_xll.FDS(D5,"FMA_EVAL_EBITDA(NTMA,0,,,""PORTAGG"",""MEANR"")")</f>
        <v>9.9634804174111409</v>
      </c>
      <c r="L5" cm="1">
        <f t="array" ref="L5">_xll.FDS(D5,"FMA_EVAL_EBIT(LTMA,NOW,NOW,M,""PORTAGG"",""MEANR"")")</f>
        <v>16.386351920832599</v>
      </c>
      <c r="M5">
        <f>HLOOKUP(D5,'Index ROE'!$A$1:$N$25,25,FALSE)</f>
        <v>13.1440312273413</v>
      </c>
      <c r="N5">
        <f>VLOOKUP(A5,'LIQIDITY 2'!$A$3:$E$16,5,FALSE)</f>
        <v>3.5533000000000001</v>
      </c>
      <c r="O5" cm="1">
        <f t="array" ref="O5">IFERROR(IFERROR(_xll.FDS(B5,"IMF_IFS_RCPI_Q(0)"),_xll.FDS(B5,"IMF_IFS_RCPI_Q(-1AM)")),$D$23)</f>
        <v>3.2111022</v>
      </c>
      <c r="P5">
        <f>VLOOKUP(E5,GDP_GROWTH!$B$10:$W$165,22,FALSE)</f>
        <v>1.4598842535213041</v>
      </c>
      <c r="Q5">
        <f t="shared" si="0"/>
        <v>-0.44637674726403009</v>
      </c>
      <c r="R5" s="52">
        <f t="shared" si="1"/>
        <v>1.4804275355879195</v>
      </c>
      <c r="S5">
        <f t="shared" si="2"/>
        <v>9.5907312273412995</v>
      </c>
      <c r="T5">
        <f t="shared" si="3"/>
        <v>9.9329290273412987</v>
      </c>
      <c r="U5" cm="1">
        <f t="array" ref="U5">_xlfn.PERCENTRANK.EXC(_xlfn._xlws.FILTER(Q$3:Q$15, ISNUMBER(Q$3:Q$15)),Q5)*100</f>
        <v>28.499999999999996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35.699999999999996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50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49.295000000000009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45379</v>
      </c>
      <c r="G6" s="4" cm="1">
        <f t="array" ref="G6">_xll.FDS(D6,"FMA_PE(LTM,0,,,""PORTAGG"",""MEANR"")")</f>
        <v>12.7963438884009</v>
      </c>
      <c r="H6" s="4" cm="1">
        <f t="array" ref="H6">_xll.FDS(D6,"FMA_PE(NTMA,0,,,""PORTAGG"",""MEANR"")")</f>
        <v>12.3145854105433</v>
      </c>
      <c r="I6" cm="1">
        <f t="array" ref="I6">_xll.FDS(D6,"FMA_DIV_YLD(NTMA,NOW,NOW,M,""PORTAGG"",""MEANR"")")</f>
        <v>3.2483381300910699</v>
      </c>
      <c r="J6" s="52" cm="1">
        <f t="array" ref="J6">IFERROR(_xll.FDS(D6,"FG_FCF_YIELD_NTM(0)"),(1/G6*100))</f>
        <v>6.0407607300760304</v>
      </c>
      <c r="K6" s="3" cm="1">
        <f t="array" ref="K6">_xll.FDS(D6,"FMA_EVAL_EBITDA(NTMA,0,,,""PORTAGG"",""MEANR"")")</f>
        <v>8.5231762446154207</v>
      </c>
      <c r="L6" cm="1">
        <f t="array" ref="L6">_xll.FDS(D6,"FMA_EVAL_EBIT(LTMA,NOW,NOW,M,""PORTAGG"",""MEANR"")")</f>
        <v>13.319144786882401</v>
      </c>
      <c r="M6">
        <f>HLOOKUP(D6,'Index ROE'!$A$1:$N$25,25,FALSE)</f>
        <v>11.940856275670001</v>
      </c>
      <c r="N6">
        <f>VLOOKUP(A6,'LIQIDITY 2'!$A$3:$E$16,5,FALSE)</f>
        <v>2.355</v>
      </c>
      <c r="O6" cm="1">
        <f t="array" ref="O6">IFERROR(IFERROR(_xll.FDS(B6,"IMF_IFS_RCPI_Q(0)"),_xll.FDS(B6,"IMF_IFS_RCPI_Q(-1AM)")),$D$23)</f>
        <v>3.5546435999999999</v>
      </c>
      <c r="P6">
        <f>VLOOKUP(E6,GDP_GROWTH!$B$10:$W$165,22,FALSE)</f>
        <v>0.863192929992318</v>
      </c>
      <c r="Q6">
        <f t="shared" si="0"/>
        <v>0.89333813009106988</v>
      </c>
      <c r="R6" s="52">
        <f t="shared" si="1"/>
        <v>3.6857607300760304</v>
      </c>
      <c r="S6">
        <f t="shared" si="2"/>
        <v>9.5858562756700003</v>
      </c>
      <c r="T6">
        <f t="shared" si="3"/>
        <v>8.3862126756700004</v>
      </c>
      <c r="U6" cm="1">
        <f t="array" ref="U6">_xlfn.PERCENTRANK.EXC(_xlfn._xlws.FILTER(Q$3:Q$15, ISNUMBER(Q$3:Q$15)),Q6)*100</f>
        <v>71.399999999999991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69.284999999999997</v>
      </c>
      <c r="AC6" cm="1">
        <f t="array" ref="AC6">_xlfn.PERCENTRANK.EXC(_xlfn._xlws.FILTER(AB$3:AB$15, ISNUMBER(AB$3:AB$15)),AB6)*100</f>
        <v>78.5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45379</v>
      </c>
      <c r="G7" s="4" cm="1">
        <f t="array" ref="G7">_xll.FDS(D7,"FMA_PE(LTM,0,,,""PORTAGG"",""MEANR"")")</f>
        <v>16.036326802327501</v>
      </c>
      <c r="H7" s="4" cm="1">
        <f t="array" ref="H7">_xll.FDS(D7,"FMA_PE(NTMA,0,,,""PORTAGG"",""MEANR"")")</f>
        <v>15.514730653460999</v>
      </c>
      <c r="I7" cm="1">
        <f t="array" ref="I7">_xll.FDS(D7,"FMA_DIV_YLD(NTMA,NOW,NOW,M,""PORTAGG"",""MEANR"")")</f>
        <v>2.1574351550235198</v>
      </c>
      <c r="J7" s="52" cm="1">
        <f t="array" ref="J7">IFERROR(_xll.FDS(D7,"FG_FCF_YIELD_NTM(0)"),(1/G7*100))</f>
        <v>4.1036423456056204</v>
      </c>
      <c r="K7" s="3" cm="1">
        <f t="array" ref="K7">_xll.FDS(D7,"FMA_EVAL_EBITDA(NTMA,0,,,""PORTAGG"",""MEANR"")")</f>
        <v>10.7105239775199</v>
      </c>
      <c r="L7" cm="1">
        <f t="array" ref="L7">_xll.FDS(D7,"FMA_EVAL_EBIT(LTMA,NOW,NOW,M,""PORTAGG"",""MEANR"")")</f>
        <v>18.157180071134299</v>
      </c>
      <c r="M7">
        <f>HLOOKUP(D7,'Index ROE'!$A$1:$N$25,25,FALSE)</f>
        <v>9.2990104677630008</v>
      </c>
      <c r="N7">
        <f>VLOOKUP(A7,'LIQIDITY 2'!$A$3:$E$16,5,FALSE)</f>
        <v>0.77049999999999996</v>
      </c>
      <c r="O7" cm="1">
        <f t="array" ref="O7">IFERROR(IFERROR(_xll.FDS(B7,"IMF_IFS_RCPI_Q(0)"),_xll.FDS(B7,"IMF_IFS_RCPI_Q(-1AM)")),$D$23)</f>
        <v>2.9194753000000002</v>
      </c>
      <c r="P7">
        <f>VLOOKUP(E7,GDP_GROWTH!$B$10:$W$165,22,FALSE)</f>
        <v>0.31456851442112077</v>
      </c>
      <c r="Q7">
        <f t="shared" si="0"/>
        <v>1.3869351550235198</v>
      </c>
      <c r="R7" s="52">
        <f t="shared" si="1"/>
        <v>3.3331423456056202</v>
      </c>
      <c r="S7">
        <f t="shared" si="2"/>
        <v>8.5285104677630006</v>
      </c>
      <c r="T7">
        <f t="shared" si="3"/>
        <v>6.3795351677630006</v>
      </c>
      <c r="U7" cm="1">
        <f t="array" ref="U7">_xlfn.PERCENTRANK.EXC(_xlfn._xlws.FILTER(Q$3:Q$15, ISNUMBER(Q$3:Q$15)),Q7)*100</f>
        <v>85.7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55.350000000000009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45379</v>
      </c>
      <c r="G8" s="4" cm="1">
        <f t="array" ref="G8">_xll.FDS(D8,"FMA_PE(LTM,0,,,""PORTAGG"",""MEANR"")")</f>
        <v>15.123385118176</v>
      </c>
      <c r="H8" s="4" cm="1">
        <f t="array" ref="H8">_xll.FDS(D8,"FMA_PE(NTMA,0,,,""PORTAGG"",""MEANR"")")</f>
        <v>17.412997784487899</v>
      </c>
      <c r="I8" cm="1">
        <f t="array" ref="I8">_xll.FDS(D8,"FMA_DIV_YLD(NTMA,NOW,NOW,M,""PORTAGG"",""MEANR"")")</f>
        <v>3.2622518314121098</v>
      </c>
      <c r="J8" s="52" cm="1">
        <f t="array" ref="J8">IFERROR(_xll.FDS(D8,"FG_FCF_YIELD_NTM(0)"),(1/G8*100))</f>
        <v>5.0074034070043796</v>
      </c>
      <c r="K8" s="3" cm="1">
        <f t="array" ref="K8">_xll.FDS(D8,"FMA_EVAL_EBITDA(NTMA,0,,,""PORTAGG"",""MEANR"")")</f>
        <v>12.854459324674201</v>
      </c>
      <c r="L8" cm="1">
        <f t="array" ref="L8">_xll.FDS(D8,"FMA_EVAL_EBIT(LTMA,NOW,NOW,M,""PORTAGG"",""MEANR"")")</f>
        <v>16.690563466971302</v>
      </c>
      <c r="M8">
        <f>HLOOKUP(D8,'Index ROE'!$A$1:$N$25,25,FALSE)</f>
        <v>19.2996868123636</v>
      </c>
      <c r="N8">
        <f>VLOOKUP(A8,'LIQIDITY 2'!$A$3:$E$16,5,FALSE)</f>
        <v>0.72199999999999998</v>
      </c>
      <c r="O8" cm="1">
        <f t="array" ref="O8">IFERROR(IFERROR(_xll.FDS(B8,"IMF_IFS_RCPI_Q(0)"),_xll.FDS(B8,"IMF_IFS_RCPI_Q(-1AM)")),$D$23)</f>
        <v>1.6172575</v>
      </c>
      <c r="P8">
        <f>VLOOKUP(E8,GDP_GROWTH!$B$10:$W$165,22,FALSE)</f>
        <v>2.077185911672963</v>
      </c>
      <c r="Q8">
        <f t="shared" si="0"/>
        <v>2.5402518314121099</v>
      </c>
      <c r="R8" s="52">
        <f t="shared" si="1"/>
        <v>4.2854034070043792</v>
      </c>
      <c r="S8">
        <f t="shared" si="2"/>
        <v>18.577686812363599</v>
      </c>
      <c r="T8">
        <f t="shared" si="3"/>
        <v>17.682429312363599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64.3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68.205000000000013</v>
      </c>
      <c r="AC8" cm="1">
        <f t="array" ref="AC8">_xlfn.PERCENTRANK.EXC(_xlfn._xlws.FILTER(AB$3:AB$15, ISNUMBER(AB$3:AB$15)),AB8)*100</f>
        <v>71.399999999999991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45379</v>
      </c>
      <c r="G9" s="4" cm="1">
        <f t="array" ref="G9">_xll.FDS(D9,"FMA_PE(LTM,0,,,""PORTAGG"",""MEANR"")")</f>
        <v>10.650458616597399</v>
      </c>
      <c r="H9" s="4" cm="1">
        <f t="array" ref="H9">_xll.FDS(D9,"FMA_PE(NTMA,0,,,""PORTAGG"",""MEANR"")")</f>
        <v>11.4833042301006</v>
      </c>
      <c r="I9" cm="1">
        <f t="array" ref="I9">_xll.FDS(D9,"FMA_DIV_YLD(NTMA,NOW,NOW,M,""PORTAGG"",""MEANR"")")</f>
        <v>4.02579456389544</v>
      </c>
      <c r="J9" s="52" cm="1">
        <f t="array" ref="J9">IFERROR(_xll.FDS(D9,"FG_FCF_YIELD_NTM(0)"),(1/G9*100))</f>
        <v>6.1302533991851504</v>
      </c>
      <c r="K9" s="3" cm="1">
        <f t="array" ref="K9">_xll.FDS(D9,"FMA_EVAL_EBITDA(NTMA,0,,,""PORTAGG"",""MEANR"")")</f>
        <v>7.47183886571848</v>
      </c>
      <c r="L9" cm="1">
        <f t="array" ref="L9">_xll.FDS(D9,"FMA_EVAL_EBIT(LTMA,NOW,NOW,M,""PORTAGG"",""MEANR"")")</f>
        <v>10.4900314249894</v>
      </c>
      <c r="M9">
        <f>HLOOKUP(D9,'Index ROE'!$A$1:$N$25,25,FALSE)</f>
        <v>14.732463877154</v>
      </c>
      <c r="N9">
        <f>VLOOKUP(A9,'LIQIDITY 2'!$A$3:$E$16,5,FALSE)</f>
        <v>4.0090000000000003</v>
      </c>
      <c r="O9" cm="1">
        <f t="array" ref="O9">IFERROR(IFERROR(_xll.FDS(B9,"IMF_IFS_RCPI_Q(0)"),_xll.FDS(B9,"IMF_IFS_RCPI_Q(-1AM)")),$D$23)</f>
        <v>4.3536314999999997</v>
      </c>
      <c r="P9">
        <f>VLOOKUP(E9,GDP_GROWTH!$B$10:$W$165,22,FALSE)</f>
        <v>1.0976426250664972</v>
      </c>
      <c r="Q9">
        <f t="shared" si="0"/>
        <v>1.6794563895439651E-2</v>
      </c>
      <c r="R9" s="52">
        <f t="shared" si="1"/>
        <v>2.1212533991851501</v>
      </c>
      <c r="S9">
        <f t="shared" si="2"/>
        <v>10.723463877154</v>
      </c>
      <c r="T9">
        <f t="shared" si="3"/>
        <v>10.378832377154001</v>
      </c>
      <c r="U9" cm="1">
        <f t="array" ref="U9">_xlfn.PERCENTRANK.EXC(_xlfn._xlws.FILTER(Q$3:Q$15, ISNUMBER(Q$3:Q$15)),Q9)*100</f>
        <v>50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92.9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71.804999999999993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45379</v>
      </c>
      <c r="G10" s="4" cm="1">
        <f t="array" ref="G10">_xll.FDS(D10,"FMA_PE(LTM,0,,,""PORTAGG"",""MEANR"")")</f>
        <v>33.7995031299617</v>
      </c>
      <c r="H10" s="4" cm="1">
        <f t="array" ref="H10">_xll.FDS(D10,"FMA_PE(NTMA,0,,,""PORTAGG"",""MEANR"")")</f>
        <v>25.564165219027601</v>
      </c>
      <c r="I10" cm="1">
        <f t="array" ref="I10">_xll.FDS(D10,"FMA_DIV_YLD(NTMA,NOW,NOW,M,""PORTAGG"",""MEANR"")")</f>
        <v>0.88301528784402195</v>
      </c>
      <c r="J10" s="52" cm="1">
        <f t="array" ref="J10">IFERROR(_xll.FDS(D10,"FG_FCF_YIELD_NTM(0)"),(1/G10*100))</f>
        <v>3.73245206594583</v>
      </c>
      <c r="K10" s="3" cm="1">
        <f t="array" ref="K10">_xll.FDS(D10,"FMA_EVAL_EBITDA(NTMA,0,,,""PORTAGG"",""MEANR"")")</f>
        <v>15.991099167989599</v>
      </c>
      <c r="L10" cm="1">
        <f t="array" ref="L10">_xll.FDS(D10,"FMA_EVAL_EBIT(LTMA,NOW,NOW,M,""PORTAGG"",""MEANR"")")</f>
        <v>24.802145684937098</v>
      </c>
      <c r="M10">
        <f>HLOOKUP(D10,'Index ROE'!$A$1:$N$25,25,FALSE)</f>
        <v>25.301111433536601</v>
      </c>
      <c r="N10">
        <f>VLOOKUP(A10,'LIQIDITY 2'!$A$3:$E$16,5,FALSE)</f>
        <v>4.3023999999999996</v>
      </c>
      <c r="O10" cm="1">
        <f t="array" ref="O10">IFERROR(IFERROR(_xll.FDS(B10,"IMF_IFS_RCPI_Q(0)"),_xll.FDS(B10,"IMF_IFS_RCPI_Q(-1AM)")),$D$23)</f>
        <v>3.2433991</v>
      </c>
      <c r="P10">
        <f>VLOOKUP(E10,GDP_GROWTH!$B$10:$W$165,22,FALSE)</f>
        <v>2.0868572594445189</v>
      </c>
      <c r="Q10">
        <f t="shared" si="0"/>
        <v>-3.4193847121559777</v>
      </c>
      <c r="R10" s="52">
        <f t="shared" si="1"/>
        <v>-0.56994793405416955</v>
      </c>
      <c r="S10">
        <f t="shared" si="2"/>
        <v>20.998711433536602</v>
      </c>
      <c r="T10">
        <f t="shared" si="3"/>
        <v>22.0577123335366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45379</v>
      </c>
      <c r="G11" s="4" cm="1">
        <f t="array" ref="G11">_xll.FDS(D11,"FMA_PE(LTM,0,,,""PORTAGG"",""MEANR"")")</f>
        <v>25.7985879385621</v>
      </c>
      <c r="H11" s="4" cm="1">
        <f t="array" ref="H11">_xll.FDS(D11,"FMA_PE(NTMA,0,,,""PORTAGG"",""MEANR"")")</f>
        <v>20.739073718592898</v>
      </c>
      <c r="I11" cm="1">
        <f t="array" ref="I11">_xll.FDS(D11,"FMA_DIV_YLD(NTMA,NOW,NOW,M,""PORTAGG"",""MEANR"")")</f>
        <v>1.4273549274273301</v>
      </c>
      <c r="J11" s="52" cm="1">
        <f t="array" ref="J11">IFERROR(_xll.FDS(D11,"FG_FCF_YIELD_NTM(0)"),(1/G11*100))</f>
        <v>4.1400585650806798</v>
      </c>
      <c r="K11" s="3" cm="1">
        <f t="array" ref="K11">_xll.FDS(D11,"FMA_EVAL_EBITDA(NTMA,0,,,""PORTAGG"",""MEANR"")")</f>
        <v>14.1834482797672</v>
      </c>
      <c r="L11" cm="1">
        <f t="array" ref="L11">_xll.FDS(D11,"FMA_EVAL_EBIT(LTMA,NOW,NOW,M,""PORTAGG"",""MEANR"")")</f>
        <v>20.742968069490502</v>
      </c>
      <c r="M11">
        <f>HLOOKUP(D11,'Index ROE'!$A$1:$N$25,25,FALSE)</f>
        <v>20.335735203929701</v>
      </c>
      <c r="N11">
        <f>VLOOKUP(A11,'LIQIDITY 2'!$A$3:$E$16,5,FALSE)</f>
        <v>4.3023999999999996</v>
      </c>
      <c r="O11" cm="1">
        <f t="array" ref="O11">IFERROR(IFERROR(_xll.FDS(B11,"IMF_IFS_RCPI_Q(0)"),_xll.FDS(B11,"IMF_IFS_RCPI_Q(-1AM)")),$D$23)</f>
        <v>3.2433991</v>
      </c>
      <c r="P11">
        <f>VLOOKUP(E11,GDP_GROWTH!$B$10:$W$165,22,FALSE)</f>
        <v>2.0868572594445189</v>
      </c>
      <c r="Q11">
        <f t="shared" si="0"/>
        <v>-2.8750450725726697</v>
      </c>
      <c r="R11" s="52">
        <f t="shared" si="1"/>
        <v>-0.16234143491931974</v>
      </c>
      <c r="S11">
        <f t="shared" si="2"/>
        <v>16.033335203929703</v>
      </c>
      <c r="T11">
        <f t="shared" si="3"/>
        <v>17.0923361039297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863</v>
      </c>
      <c r="B12" t="s">
        <v>867</v>
      </c>
      <c r="C12" t="str" cm="1">
        <f t="array" ref="C12">_xll.FDS(A12,"FG_COMPANY_NAME")</f>
        <v>iShares MSCI France ETF</v>
      </c>
      <c r="D12" t="s">
        <v>863</v>
      </c>
      <c r="E12" t="s">
        <v>621</v>
      </c>
      <c r="F12" s="2" cm="1">
        <f t="array" ref="F12">_xll.FDS(D12,"JULIAN(FMA_DIV_YLD(NTMA,NOW,NOW,M,""PORTAGG"",""MEANR"").dates)")</f>
        <v>45379</v>
      </c>
      <c r="G12" s="4" cm="1">
        <f t="array" ref="G12">_xll.FDS(D12,"FMA_PE(LTM,0,,,""PORTAGG"",""MEANR"")")</f>
        <v>16.599646238437</v>
      </c>
      <c r="H12" s="4" cm="1">
        <f t="array" ref="H12">_xll.FDS(D12,"FMA_PE(NTMA,0,,,""PORTAGG"",""MEANR"")")</f>
        <v>14.6382836571051</v>
      </c>
      <c r="I12" cm="1">
        <f t="array" ref="I12">_xll.FDS(D12,"FMA_DIV_YLD(NTMA,NOW,NOW,M,""PORTAGG"",""MEANR"")")</f>
        <v>3.05390122394535</v>
      </c>
      <c r="J12" s="52" cm="1">
        <f t="array" ref="J12">IFERROR(_xll.FDS(D12,"FG_FCF_YIELD_NTM(0)"),(1/G12*100))</f>
        <v>5.5376373083022097</v>
      </c>
      <c r="K12" s="3" cm="1">
        <f t="array" ref="K12">_xll.FDS(D12,"FMA_EVAL_EBITDA(NTMA,0,,,""PORTAGG"",""MEANR"")")</f>
        <v>9.3614236691674098</v>
      </c>
      <c r="L12" cm="1">
        <f t="array" ref="L12">_xll.FDS(D12,"FMA_EVAL_EBIT(LTMA,NOW,NOW,M,""PORTAGG"",""MEANR"")")</f>
        <v>13.287595942945201</v>
      </c>
      <c r="M12">
        <f>HLOOKUP(D12,'Index ROE'!$A$1:$N$25,25,FALSE)</f>
        <v>13.221059503291199</v>
      </c>
      <c r="N12">
        <f>VLOOKUP(A12,'LIQIDITY 2'!$A$3:$E$16,5,FALSE)</f>
        <v>2.8570000000000002</v>
      </c>
      <c r="O12" cm="1">
        <f t="array" ref="O12">IFERROR(IFERROR(_xll.FDS(B12,"IMF_IFS_RCPI_Q(0)"),_xll.FDS(B12,"IMF_IFS_RCPI_Q(-1AM)")),$D$23)</f>
        <v>3.7187451999999999</v>
      </c>
      <c r="P12">
        <f>VLOOKUP(E12,GDP_GROWTH!$B$10:$W$165,22,FALSE)</f>
        <v>0.9426946158151317</v>
      </c>
      <c r="Q12">
        <f t="shared" ref="Q12:Q15" si="4">I12-N12</f>
        <v>0.19690122394534981</v>
      </c>
      <c r="R12" s="52">
        <f t="shared" ref="R12:R15" si="5">J12-N12</f>
        <v>2.6806373083022095</v>
      </c>
      <c r="S12">
        <f t="shared" ref="S12:S15" si="6">M12-N12</f>
        <v>10.364059503291198</v>
      </c>
      <c r="T12">
        <f t="shared" ref="T12:T15" si="7">M12-O12</f>
        <v>9.5023143032912003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50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35.699999999999996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56.760000000000005</v>
      </c>
      <c r="AC12" cm="1">
        <f t="array" ref="AC12">_xlfn.PERCENTRANK.EXC(_xlfn._xlws.FILTER(AB$3:AB$15, ISNUMBER(AB$3:AB$15)),AB12)*100</f>
        <v>57.099999999999994</v>
      </c>
    </row>
    <row r="13" spans="1:29" x14ac:dyDescent="0.35">
      <c r="A13" t="s">
        <v>865</v>
      </c>
      <c r="B13" t="s">
        <v>868</v>
      </c>
      <c r="C13" t="str" cm="1">
        <f t="array" ref="C13">_xll.FDS(A13,"FG_COMPANY_NAME")</f>
        <v>iShares MSCI Netherlands ETF</v>
      </c>
      <c r="D13" t="s">
        <v>865</v>
      </c>
      <c r="E13" t="s">
        <v>673</v>
      </c>
      <c r="F13" s="2" cm="1">
        <f t="array" ref="F13">_xll.FDS(D13,"JULIAN(FMA_DIV_YLD(NTMA,NOW,NOW,M,""PORTAGG"",""MEANR"").dates)")</f>
        <v>45379</v>
      </c>
      <c r="G13" s="4" cm="1">
        <f t="array" ref="G13">_xll.FDS(D13,"FMA_PE(LTM,0,,,""PORTAGG"",""MEANR"")")</f>
        <v>23.8662778345888</v>
      </c>
      <c r="H13" s="4" cm="1">
        <f t="array" ref="H13">_xll.FDS(D13,"FMA_PE(NTMA,0,,,""PORTAGG"",""MEANR"")")</f>
        <v>16.2980432109986</v>
      </c>
      <c r="I13" cm="1">
        <f t="array" ref="I13">_xll.FDS(D13,"FMA_DIV_YLD(NTMA,NOW,NOW,M,""PORTAGG"",""MEANR"")")</f>
        <v>2.51696007967442</v>
      </c>
      <c r="J13" s="52" cm="1">
        <f t="array" ref="J13">IFERROR(_xll.FDS(D13,"FG_FCF_YIELD_NTM(0)"),(1/G13*100))</f>
        <v>3.8636954925258702</v>
      </c>
      <c r="K13" s="3" cm="1">
        <f t="array" ref="K13">_xll.FDS(D13,"FMA_EVAL_EBITDA(NTMA,0,,,""PORTAGG"",""MEANR"")")</f>
        <v>12.694801166012001</v>
      </c>
      <c r="L13" cm="1">
        <f t="array" ref="L13">_xll.FDS(D13,"FMA_EVAL_EBIT(LTMA,NOW,NOW,M,""PORTAGG"",""MEANR"")")</f>
        <v>22.314602388931601</v>
      </c>
      <c r="M13">
        <f>HLOOKUP(D13,'Index ROE'!$A$1:$N$25,25,FALSE)</f>
        <v>12.7459856653599</v>
      </c>
      <c r="N13">
        <f>VLOOKUP(A13,'LIQIDITY 2'!$A$3:$E$16,5,FALSE)</f>
        <v>2.653</v>
      </c>
      <c r="O13" cm="1">
        <f t="array" ref="O13">IFERROR(IFERROR(_xll.FDS(B13,"IMF_IFS_RCPI_Q(0)"),_xll.FDS(B13,"IMF_IFS_RCPI_Q(-1AM)")),$D$23)</f>
        <v>0.80520855999999996</v>
      </c>
      <c r="P13">
        <f>VLOOKUP(E13,GDP_GROWTH!$B$10:$W$165,22,FALSE)</f>
        <v>1.7793785730007783</v>
      </c>
      <c r="Q13">
        <f t="shared" si="4"/>
        <v>-0.13603992032557999</v>
      </c>
      <c r="R13" s="52">
        <f t="shared" si="5"/>
        <v>1.2106954925258702</v>
      </c>
      <c r="S13">
        <f t="shared" si="6"/>
        <v>10.092985665359899</v>
      </c>
      <c r="T13">
        <f t="shared" si="7"/>
        <v>11.940777105359899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64.2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42.135000000000005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862</v>
      </c>
      <c r="B14" t="s">
        <v>273</v>
      </c>
      <c r="C14" t="str" cm="1">
        <f t="array" ref="C14">_xll.FDS(A14,"FG_COMPANY_NAME")</f>
        <v>iShares MSCI Sweden ETF</v>
      </c>
      <c r="D14" t="s">
        <v>862</v>
      </c>
      <c r="E14" t="s">
        <v>705</v>
      </c>
      <c r="F14" s="2" cm="1">
        <f t="array" ref="F14">_xll.FDS(D14,"JULIAN(FMA_DIV_YLD(NTMA,NOW,NOW,M,""PORTAGG"",""MEANR"").dates)")</f>
        <v>45379</v>
      </c>
      <c r="G14" s="4" cm="1">
        <f t="array" ref="G14">_xll.FDS(D14,"FMA_PE(LTM,0,,,""PORTAGG"",""MEANR"")")</f>
        <v>14.669974866449699</v>
      </c>
      <c r="H14" s="4" cm="1">
        <f t="array" ref="H14">_xll.FDS(D14,"FMA_PE(NTMA,0,,,""PORTAGG"",""MEANR"")")</f>
        <v>16.374361805979799</v>
      </c>
      <c r="I14" cm="1">
        <f t="array" ref="I14">_xll.FDS(D14,"FMA_DIV_YLD(NTMA,NOW,NOW,M,""PORTAGG"",""MEANR"")")</f>
        <v>3.22735950403511</v>
      </c>
      <c r="J14" s="52" cm="1">
        <f t="array" ref="J14">IFERROR(_xll.FDS(D14,"FG_FCF_YIELD_NTM(0)"),(1/G14*100))</f>
        <v>5.1620500485690304</v>
      </c>
      <c r="K14" s="3" cm="1">
        <f t="array" ref="K14">_xll.FDS(D14,"FMA_EVAL_EBITDA(NTMA,0,,,""PORTAGG"",""MEANR"")")</f>
        <v>11.240327185096801</v>
      </c>
      <c r="L14" cm="1">
        <f t="array" ref="L14">_xll.FDS(D14,"FMA_EVAL_EBIT(LTMA,NOW,NOW,M,""PORTAGG"",""MEANR"")")</f>
        <v>15.9478545682506</v>
      </c>
      <c r="M14">
        <f>HLOOKUP(D14,'Index ROE'!$A$1:$N$25,25,FALSE)</f>
        <v>15.368050598212299</v>
      </c>
      <c r="N14">
        <f>VLOOKUP(A14,'LIQIDITY 2'!$A$3:$E$16,5,FALSE)</f>
        <v>2.456</v>
      </c>
      <c r="O14" cm="1">
        <f t="array" ref="O14">IFERROR(IFERROR(_xll.FDS(B14,"IMF_IFS_RCPI_Q(0)"),_xll.FDS(B14,"IMF_IFS_RCPI_Q(-1AM)")),$D$23)</f>
        <v>5.5508369999999996</v>
      </c>
      <c r="P14">
        <f>VLOOKUP(E14,GDP_GROWTH!$B$10:$W$165,22,FALSE)</f>
        <v>1.8182767577278436</v>
      </c>
      <c r="Q14">
        <f t="shared" si="4"/>
        <v>0.77135950403511</v>
      </c>
      <c r="R14" s="52">
        <f t="shared" si="5"/>
        <v>2.7060500485690304</v>
      </c>
      <c r="S14">
        <f t="shared" si="6"/>
        <v>12.9120505982123</v>
      </c>
      <c r="T14">
        <f t="shared" si="7"/>
        <v>9.8172135982122999</v>
      </c>
      <c r="U14" cm="1">
        <f t="array" ref="U14">_xlfn.PERCENTRANK.EXC(_xlfn._xlws.FILTER(Q$3:Q$15, ISNUMBER(Q$3:Q$15)),Q14)*100</f>
        <v>64.2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71.500000000000014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42.8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61.080000000000005</v>
      </c>
      <c r="AC14" cm="1">
        <f t="array" ref="AC14">_xlfn.PERCENTRANK.EXC(_xlfn._xlws.FILTER(AB$3:AB$15, ISNUMBER(AB$3:AB$15)),AB14)*100</f>
        <v>64.2</v>
      </c>
    </row>
    <row r="15" spans="1:29" x14ac:dyDescent="0.35">
      <c r="A15" t="s">
        <v>864</v>
      </c>
      <c r="B15" t="s">
        <v>866</v>
      </c>
      <c r="C15" t="str" cm="1">
        <f t="array" ref="C15">_xll.FDS(A15,"FG_COMPANY_NAME")</f>
        <v>iShares MSCI Italy ETF</v>
      </c>
      <c r="D15" t="s">
        <v>864</v>
      </c>
      <c r="E15" t="s">
        <v>641</v>
      </c>
      <c r="F15" s="2" cm="1">
        <f t="array" ref="F15">_xll.FDS(D15,"JULIAN(FMA_DIV_YLD(NTMA,NOW,NOW,M,""PORTAGG"",""MEANR"").dates)")</f>
        <v>45379</v>
      </c>
      <c r="G15" s="4" cm="1">
        <f t="array" ref="G15">_xll.FDS(D15,"FMA_PE(LTM,0,,,""PORTAGG"",""MEANR"")")</f>
        <v>10.6663807327059</v>
      </c>
      <c r="H15" s="4" cm="1">
        <f t="array" ref="H15">_xll.FDS(D15,"FMA_PE(NTMA,0,,,""PORTAGG"",""MEANR"")")</f>
        <v>9.7408251707358602</v>
      </c>
      <c r="I15" cm="1">
        <f t="array" ref="I15">_xll.FDS(D15,"FMA_DIV_YLD(NTMA,NOW,NOW,M,""PORTAGG"",""MEANR"")")</f>
        <v>5.0752224170755396</v>
      </c>
      <c r="J15" s="52" cm="1">
        <f t="array" ref="J15">IFERROR(_xll.FDS(D15,"FG_FCF_YIELD_NTM(0)"),(1/G15*100))</f>
        <v>6.2700048306877196</v>
      </c>
      <c r="K15" s="3" cm="1">
        <f t="array" ref="K15">_xll.FDS(D15,"FMA_EVAL_EBITDA(NTMA,0,,,""PORTAGG"",""MEANR"")")</f>
        <v>7.2504055882985003</v>
      </c>
      <c r="L15" cm="1">
        <f t="array" ref="L15">_xll.FDS(D15,"FMA_EVAL_EBIT(LTMA,NOW,NOW,M,""PORTAGG"",""MEANR"")")</f>
        <v>11.148447647099401</v>
      </c>
      <c r="M15">
        <f>HLOOKUP(D15,'Index ROE'!$A$1:$N$25,25,FALSE)</f>
        <v>13.3572177464321</v>
      </c>
      <c r="N15">
        <f>VLOOKUP(A15,'LIQIDITY 2'!$A$3:$E$16,5,FALSE)</f>
        <v>3.7029999999999998</v>
      </c>
      <c r="O15" cm="1">
        <f t="array" ref="O15">IFERROR(IFERROR(_xll.FDS(B15,"IMF_IFS_RCPI_Q(0)"),_xll.FDS(B15,"IMF_IFS_RCPI_Q(-1AM)")),$D$23)</f>
        <v>0.98369783</v>
      </c>
      <c r="P15">
        <f>VLOOKUP(E15,GDP_GROWTH!$B$10:$W$165,22,FALSE)</f>
        <v>0.32855305426654491</v>
      </c>
      <c r="Q15">
        <f t="shared" si="4"/>
        <v>1.3722224170755397</v>
      </c>
      <c r="R15" s="52">
        <f t="shared" si="5"/>
        <v>2.5670048306877198</v>
      </c>
      <c r="S15">
        <f t="shared" si="6"/>
        <v>9.6542177464321011</v>
      </c>
      <c r="T15">
        <f t="shared" si="7"/>
        <v>12.3735199164321</v>
      </c>
      <c r="U15" cm="1">
        <f t="array" ref="U15">_xlfn.PERCENTRANK.EXC(_xlfn._xlws.FILTER(Q$3:Q$15, ISNUMBER(Q$3:Q$15)),Q15)*100</f>
        <v>78.5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42.8</v>
      </c>
      <c r="X15" cm="1">
        <f t="array" ref="X15">(1-_xlfn.PERCENTRANK.EXC(_xlfn._xlws.FILTER(G$3:G$15, ISNUMBER(G$3:G$15)),G15))*100</f>
        <v>85.8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74.295000000000002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45351</v>
      </c>
      <c r="G19" s="4" cm="1">
        <f t="array" ref="G19">_xll.FDS(D19,"FG_PE(0)")</f>
        <v>12.7837027837717</v>
      </c>
      <c r="H19" s="4" cm="1">
        <f t="array" ref="H19">_xll.FDS(D19,"FG_PE_NTM(0,,,90,0)")</f>
        <v>13.197261195963</v>
      </c>
      <c r="I19" cm="1">
        <f t="array" ref="I19">_xll.FDS(D19,"FMA_DIV_YLD(NTMA,NOW,NOW,M,""PORTAGG"",""MEANR"")")</f>
        <v>3.5869157036596899</v>
      </c>
      <c r="J19" s="52" cm="1">
        <f t="array" ref="J19">_xll.FDS(D19,"FG_FCF_YIELD_NTM(0)")</f>
        <v>5.4458744821653902</v>
      </c>
      <c r="K19" s="3" cm="1">
        <f t="array" ref="K19">_xll.FDS(D19,"FMA_EVAL_EBITDA(NTMA,0,,,""PORTAGG"",""MEANR"")")</f>
        <v>8.8166337045112595</v>
      </c>
      <c r="L19" cm="1">
        <f t="array" ref="L19">_xll.FDS(D19,"FMA_EVAL_EBIT(LTMA,NOW,NOW,M,""PORTAGG"",""MEANR"")")</f>
        <v>13.208786169740099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45351</v>
      </c>
      <c r="G20" s="4" cm="1">
        <f t="array" ref="G20">_xll.FDS(D20,"FG_PE(0)")</f>
        <v>13.8764634594074</v>
      </c>
      <c r="H20" s="4" cm="1">
        <f t="array" ref="H20">_xll.FDS(D20,"FG_PE_NTM(0,,,90,0)")</f>
        <v>12.3139757849831</v>
      </c>
      <c r="I20" cm="1">
        <f t="array" ref="I20">_xll.FDS(D20,"FMA_DIV_YLD(NTMA,NOW,NOW,M,""PORTAGG"",""MEANR"")")</f>
        <v>3.0701616319644902</v>
      </c>
      <c r="J20" s="52" cm="1">
        <f t="array" ref="J20">_xll.FDS(D20,"FG_FCF_YIELD_NTM(0)")</f>
        <v>5.5827130472723097</v>
      </c>
      <c r="K20" s="3" cm="1">
        <f t="array" ref="K20">_xll.FDS(D20,"FMA_EVAL_EBITDA(NTMA,0,,,""PORTAGG"",""MEANR"")")</f>
        <v>8.5044549544620001</v>
      </c>
      <c r="L20" cm="1">
        <f t="array" ref="L20">_xll.FDS(D20,"FMA_EVAL_EBIT(LTMA,NOW,NOW,M,""PORTAGG"",""MEANR"")")</f>
        <v>14.373312442464799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774</v>
      </c>
      <c r="C22" t="s">
        <v>544</v>
      </c>
      <c r="D22" t="s">
        <v>775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IFERROR(_xll.FDS(B23,"IMF_IFS_RCPI_Q(0)"),_xll.FDS(B23,"IMF_IFS_RCPI_Q(-1AM)"))</f>
        <v>3.2433991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905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4.6540999999999997</v>
      </c>
      <c r="G3" s="26" cm="1">
        <f t="array" ref="G3">_xll.FDSB(C3,"PCTCHG(FG_YIELD(0,,,,""YTM""),FG_YIELD(-1AM,,,,""YTM""))")</f>
        <v>-1.7977301999999999</v>
      </c>
      <c r="H3" s="26" cm="1">
        <f t="array" ref="H3">_xll.FDSB(C3,"PCTCHG(FG_YIELD(0,,,,""YTM""),FG_YIELD(-3AM,,,,""YTM""))")</f>
        <v>2.5742145000000001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0.84590000000000032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0</v>
      </c>
      <c r="V3" s="47">
        <f t="shared" ref="V3:V15" si="4">SUMPRODUCT($S$1:$U$1,S3:U3)</f>
        <v>0.25</v>
      </c>
      <c r="X3">
        <f>_xlfn.PERCENTRANK.EXC($V$3:$V$15,V3)*100</f>
        <v>50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4.18</v>
      </c>
      <c r="G4" s="26" cm="1">
        <f t="array" ref="G4">_xll.FDSB(C4,"PCTCHG(FG_YIELD(0,,,,""YTM""),FG_YIELD(-1AM,,,,""YTM""))")</f>
        <v>1.8270355</v>
      </c>
      <c r="H4" s="26" cm="1">
        <f t="array" ref="H4">_xll.FDSB(C4,"PCTCHG(FG_YIELD(0,,,,""YTM""),FG_YIELD(-3AM,,,,""YTM""))")</f>
        <v>3.2608687999999999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0.16999999999999993</v>
      </c>
      <c r="S4">
        <f t="shared" si="1"/>
        <v>0</v>
      </c>
      <c r="T4">
        <f t="shared" si="2"/>
        <v>0</v>
      </c>
      <c r="U4">
        <f t="shared" si="3"/>
        <v>0</v>
      </c>
      <c r="V4" s="47">
        <f t="shared" si="4"/>
        <v>0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3.5533000000000001</v>
      </c>
      <c r="G5" s="26" cm="1">
        <f t="array" ref="G5">_xll.FDSB(C5,"PCTCHG(FG_YIELD(0,,,,""YTM""),FG_YIELD(-1AM,,,,""YTM""))")</f>
        <v>3.1616488</v>
      </c>
      <c r="H5" s="26" cm="1">
        <f t="array" ref="H5">_xll.FDSB(C5,"PCTCHG(FG_YIELD(0,,,,""YTM""),FG_YIELD(-3AM,,,,""YTM""))")</f>
        <v>10.227695000000001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O5" s="26">
        <f t="shared" si="5"/>
        <v>1.4466999999999999</v>
      </c>
      <c r="S5">
        <f t="shared" si="1"/>
        <v>0</v>
      </c>
      <c r="T5">
        <f t="shared" si="2"/>
        <v>0</v>
      </c>
      <c r="U5">
        <f t="shared" si="3"/>
        <v>0</v>
      </c>
      <c r="V5" s="47">
        <f t="shared" si="4"/>
        <v>0</v>
      </c>
      <c r="X5">
        <f t="shared" si="6"/>
        <v>7.1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2.355</v>
      </c>
      <c r="G6" s="26" cm="1">
        <f t="array" ref="G6">_xll.FDSB(C6,"PCTCHG(FG_YIELD(0,,,,""YTM""),FG_YIELD(-1AM,,,,""YTM""))")</f>
        <v>-2.0790000000000002</v>
      </c>
      <c r="H6" s="26" cm="1">
        <f t="array" ref="H6">_xll.FDSB(C6,"PCTCHG(FG_YIELD(0,,,,""YTM""),FG_YIELD(-3AM,,,,""YTM""))")</f>
        <v>11.189800999999999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O6" s="26">
        <f t="shared" si="5"/>
        <v>2.145</v>
      </c>
      <c r="S6">
        <f t="shared" si="1"/>
        <v>0</v>
      </c>
      <c r="T6">
        <f t="shared" si="2"/>
        <v>1</v>
      </c>
      <c r="U6">
        <f t="shared" si="3"/>
        <v>0</v>
      </c>
      <c r="V6" s="47">
        <f t="shared" si="4"/>
        <v>0.25</v>
      </c>
      <c r="X6">
        <f t="shared" si="6"/>
        <v>50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0.77049999999999996</v>
      </c>
      <c r="G7" s="26" cm="1">
        <f t="array" ref="G7">_xll.FDSB(C7,"PCTCHG(FG_YIELD(0,,,,""YTM""),FG_YIELD(-1AM,,,,""YTM""))")</f>
        <v>8.2923419999999997</v>
      </c>
      <c r="H7" s="26" cm="1">
        <f t="array" ref="H7">_xll.FDSB(C7,"PCTCHG(FG_YIELD(0,,,,""YTM""),FG_YIELD(-3AM,,,,""YTM""))")</f>
        <v>25.182783000000001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20</v>
      </c>
      <c r="N7" s="38">
        <f t="shared" si="0"/>
        <v>-20</v>
      </c>
      <c r="O7" s="26">
        <f t="shared" si="5"/>
        <v>-0.67049999999999998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0.72199999999999998</v>
      </c>
      <c r="G8" s="26" cm="1">
        <f t="array" ref="G8">_xll.FDSB(C8,"PCTCHG(FG_YIELD(0,,,,""YTM""),FG_YIELD(-1AM,,,,""YTM""))")</f>
        <v>-8.0254799999999999</v>
      </c>
      <c r="H8" s="26" cm="1">
        <f t="array" ref="H8">_xll.FDSB(C8,"PCTCHG(FG_YIELD(0,,,,""YTM""),FG_YIELD(-3AM,,,,""YTM""))")</f>
        <v>-11.627903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0.77800000000000002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92.800000000000011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4.0090000000000003</v>
      </c>
      <c r="G9" s="26" cm="1">
        <f t="array" ref="G9">_xll.FDSB(C9,"PCTCHG(FG_YIELD(0,,,,""YTM""),FG_YIELD(-1AM,,,,""YTM""))")</f>
        <v>-5.3364887000000003</v>
      </c>
      <c r="H9" s="26" cm="1">
        <f t="array" ref="H9">_xll.FDSB(C9,"PCTCHG(FG_YIELD(0,,,,""YTM""),FG_YIELD(-3AM,,,,""YTM""))")</f>
        <v>8.1175800000000002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1.2409999999999997</v>
      </c>
      <c r="S9">
        <f t="shared" si="1"/>
        <v>0</v>
      </c>
      <c r="T9">
        <f t="shared" si="2"/>
        <v>1</v>
      </c>
      <c r="U9">
        <f t="shared" si="3"/>
        <v>0</v>
      </c>
      <c r="V9" s="47">
        <f t="shared" si="4"/>
        <v>0.25</v>
      </c>
      <c r="X9">
        <f t="shared" si="6"/>
        <v>50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4.3023999999999996</v>
      </c>
      <c r="G10" s="26" cm="1">
        <f t="array" ref="G10">_xll.FDSB(C10,"PCTCHG(FG_YIELD(0,,,,""YTM""),FG_YIELD(-1AM,,,,""YTM""))")</f>
        <v>2.0493367</v>
      </c>
      <c r="H10" s="26" cm="1">
        <f t="array" ref="H10">_xll.FDSB(C10,"PCTCHG(FG_YIELD(0,,,,""YTM""),FG_YIELD(-3AM,,,,""YTM""))")</f>
        <v>7.7728539999999997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1.1976000000000004</v>
      </c>
      <c r="S10">
        <f t="shared" si="1"/>
        <v>0</v>
      </c>
      <c r="T10">
        <f t="shared" si="2"/>
        <v>0</v>
      </c>
      <c r="U10">
        <f t="shared" si="3"/>
        <v>0</v>
      </c>
      <c r="V10" s="47">
        <f t="shared" si="4"/>
        <v>0</v>
      </c>
      <c r="X10">
        <f t="shared" si="6"/>
        <v>7.1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4.3023999999999996</v>
      </c>
      <c r="G11" s="26" cm="1">
        <f t="array" ref="G11">_xll.FDSB(C11,"PCTCHG(FG_YIELD(0,,,,""YTM""),FG_YIELD(-1AM,,,,""YTM""))")</f>
        <v>2.0493367</v>
      </c>
      <c r="H11" s="26" cm="1">
        <f t="array" ref="H11">_xll.FDSB(C11,"PCTCHG(FG_YIELD(0,,,,""YTM""),FG_YIELD(-3AM,,,,""YTM""))")</f>
        <v>7.7728539999999997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1.1976000000000004</v>
      </c>
      <c r="S11">
        <f t="shared" si="1"/>
        <v>0</v>
      </c>
      <c r="T11">
        <f t="shared" si="2"/>
        <v>0</v>
      </c>
      <c r="U11">
        <f t="shared" si="3"/>
        <v>0</v>
      </c>
      <c r="V11" s="47">
        <f t="shared" si="4"/>
        <v>0</v>
      </c>
      <c r="X11">
        <f t="shared" si="6"/>
        <v>7.1</v>
      </c>
    </row>
    <row r="12" spans="1:24" x14ac:dyDescent="0.35">
      <c r="A12" t="s">
        <v>863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2.8570000000000002</v>
      </c>
      <c r="G12" s="26" cm="1">
        <f t="array" ref="G12">_xll.FDSB(C12,"PCTCHG(FG_YIELD(0,,,,""YTM""),FG_YIELD(-1AM,,,,""YTM""))")</f>
        <v>-0.79861115999999999</v>
      </c>
      <c r="H12" s="26" cm="1">
        <f t="array" ref="H12">_xll.FDSB(C12,"PCTCHG(FG_YIELD(0,,,,""YTM""),FG_YIELD(-3AM,,,,""YTM""))")</f>
        <v>7.3253254999999999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O12" s="26">
        <f t="shared" si="5"/>
        <v>1.6429999999999998</v>
      </c>
      <c r="S12">
        <f t="shared" si="1"/>
        <v>0</v>
      </c>
      <c r="T12">
        <f t="shared" si="2"/>
        <v>1</v>
      </c>
      <c r="U12">
        <f t="shared" si="3"/>
        <v>0</v>
      </c>
      <c r="V12" s="47">
        <f t="shared" si="4"/>
        <v>0.25</v>
      </c>
      <c r="X12">
        <f t="shared" si="6"/>
        <v>50</v>
      </c>
    </row>
    <row r="13" spans="1:24" x14ac:dyDescent="0.35">
      <c r="A13" t="s">
        <v>865</v>
      </c>
      <c r="B13" t="s">
        <v>873</v>
      </c>
      <c r="C13" t="s">
        <v>875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2.653</v>
      </c>
      <c r="G13" s="26" cm="1">
        <f t="array" ref="G13">_xll.FDSB(C13,"PCTCHG(FG_YIELD(0,,,,""YTM""),FG_YIELD(-1AM,,,,""YTM""))")</f>
        <v>-2.6064560000000001</v>
      </c>
      <c r="H13" s="26" cm="1">
        <f t="array" ref="H13">_xll.FDSB(C13,"PCTCHG(FG_YIELD(0,,,,""YTM""),FG_YIELD(-3AM,,,,""YTM""))")</f>
        <v>9.4471989999999995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O13" s="26">
        <f t="shared" si="5"/>
        <v>1.847</v>
      </c>
      <c r="S13">
        <f t="shared" si="1"/>
        <v>0</v>
      </c>
      <c r="T13">
        <f t="shared" si="2"/>
        <v>1</v>
      </c>
      <c r="U13">
        <f t="shared" si="3"/>
        <v>0</v>
      </c>
      <c r="V13" s="47">
        <f t="shared" si="4"/>
        <v>0.25</v>
      </c>
      <c r="X13">
        <f t="shared" si="6"/>
        <v>50</v>
      </c>
    </row>
    <row r="14" spans="1:24" x14ac:dyDescent="0.35">
      <c r="A14" t="s">
        <v>862</v>
      </c>
      <c r="B14" t="s">
        <v>272</v>
      </c>
      <c r="C14" t="s">
        <v>876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2.456</v>
      </c>
      <c r="G14" s="26" cm="1">
        <f t="array" ref="G14">_xll.FDSB(C14,"PCTCHG(FG_YIELD(0,,,,""YTM""),FG_YIELD(-1AM,,,,""YTM""))")</f>
        <v>1.3201346</v>
      </c>
      <c r="H14" s="26" cm="1">
        <f t="array" ref="H14">_xll.FDSB(C14,"PCTCHG(FG_YIELD(0,,,,""YTM""),FG_YIELD(-3AM,,,,""YTM""))")</f>
        <v>15.576475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4</v>
      </c>
      <c r="M14" s="36" cm="1">
        <f t="array" ref="M14">_xll.FDSB(J14,"(SUBARRAY(NOT_NA(NO_REPEAT_F(FG_YIELD(now,-10AY,D))),0,1)-SUBARRAY(NOT_NA(NO_REPEAT_F(FG_YIELD(now,-10AY,D))),1,1))*100")</f>
        <v>25</v>
      </c>
      <c r="N14" s="38">
        <f t="shared" si="0"/>
        <v>-25</v>
      </c>
      <c r="O14" s="26">
        <f t="shared" si="5"/>
        <v>1.544</v>
      </c>
      <c r="S14">
        <f t="shared" si="1"/>
        <v>0</v>
      </c>
      <c r="T14">
        <f t="shared" si="2"/>
        <v>0</v>
      </c>
      <c r="U14">
        <f t="shared" si="3"/>
        <v>0</v>
      </c>
      <c r="V14" s="47">
        <f t="shared" si="4"/>
        <v>0</v>
      </c>
      <c r="X14">
        <f t="shared" si="6"/>
        <v>7.1</v>
      </c>
    </row>
    <row r="15" spans="1:24" x14ac:dyDescent="0.35">
      <c r="A15" t="s">
        <v>864</v>
      </c>
      <c r="B15" t="s">
        <v>874</v>
      </c>
      <c r="C15" t="s">
        <v>877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3.7029999999999998</v>
      </c>
      <c r="G15" s="26" cm="1">
        <f t="array" ref="G15">_xll.FDSB(C15,"PCTCHG(FG_YIELD(0,,,,""YTM""),FG_YIELD(-1AM,,,,""YTM""))")</f>
        <v>-3.5928146999999999</v>
      </c>
      <c r="H15" s="26" cm="1">
        <f t="array" ref="H15">_xll.FDSB(C15,"PCTCHG(FG_YIELD(0,,,,""YTM""),FG_YIELD(-3AM,,,,""YTM""))")</f>
        <v>-2.8083955999999999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O15" s="26">
        <f t="shared" si="5"/>
        <v>0.79700000000000015</v>
      </c>
      <c r="S15">
        <f t="shared" si="1"/>
        <v>0</v>
      </c>
      <c r="T15">
        <f t="shared" si="2"/>
        <v>1</v>
      </c>
      <c r="U15">
        <f t="shared" si="3"/>
        <v>1</v>
      </c>
      <c r="V15" s="47">
        <f t="shared" si="4"/>
        <v>0.5</v>
      </c>
      <c r="X15">
        <f t="shared" si="6"/>
        <v>85.7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4.3023999999999996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4.6540999999999997</v>
      </c>
      <c r="H2" cm="1">
        <f t="array" ref="H2">_xll.FDS(B2,"FG_ROE(0)")</f>
        <v>5.5980628279606002</v>
      </c>
      <c r="I2">
        <f>HLOOKUP(B2,'Index ROE'!$B$1:$N$25,24,FALSE)</f>
        <v>9.8238973987983247</v>
      </c>
      <c r="J2" cm="1">
        <f t="array" ref="J2">_xll.FDS(B2, "FMA_RBICS_REV_CURRENT(30, LOC, ""PORTAGG"")")</f>
        <v>13.7517044499309</v>
      </c>
      <c r="K2" s="74">
        <f>HLOOKUP(B2,'Index earnings'!$B$1:$N$25,25,FALSE)</f>
        <v>-9.3586273078509752E-3</v>
      </c>
      <c r="L2">
        <f>HLOOKUP(A2,'Yearly returns'!$B$1:$N$128,126,FALSE)</f>
        <v>-30.241371000000001</v>
      </c>
      <c r="M2">
        <f t="shared" ref="M2:M10" si="0">I2-G2</f>
        <v>5.169797398798325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50</v>
      </c>
      <c r="R2">
        <f>N2*Assumption!$F$64 + O2*Assumption!$F$61 + P2*Assumption!$F$62 + Q2*Assumption!$F$63</f>
        <v>33.924999999999997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4.18</v>
      </c>
      <c r="H3" cm="1">
        <f t="array" ref="H3">_xll.FDS(B3,"FG_ROE(0)")</f>
        <v>12.8660004597465</v>
      </c>
      <c r="I3">
        <f>HLOOKUP(B3,'Index ROE'!$B$1:$N$25,24,FALSE)</f>
        <v>13.020733299173699</v>
      </c>
      <c r="J3" cm="1">
        <f t="array" ref="J3">_xll.FDS(B3, "FMA_RBICS_REV_CURRENT(30, LOC, ""PORTAGG"")")</f>
        <v>40.7151096463949</v>
      </c>
      <c r="K3" s="74">
        <f>HLOOKUP(B3,'Index earnings'!$B$1:$N$25,25,FALSE)</f>
        <v>1.1173841089814562E-2</v>
      </c>
      <c r="L3">
        <f>HLOOKUP(A3,'Yearly returns'!$B$1:$N$128,126,FALSE)</f>
        <v>-31.930900000000001</v>
      </c>
      <c r="M3">
        <f t="shared" si="0"/>
        <v>8.8407332991736993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14.3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35.699999999999996</v>
      </c>
      <c r="R3">
        <f>N3*Assumption!$F$64 + O3*Assumption!$F$61 + P3*Assumption!$F$62 + Q3*Assumption!$F$63</f>
        <v>28.549999999999997</v>
      </c>
      <c r="S3" cm="1">
        <f t="array" ref="S3">_xlfn.PERCENTRANK.EXC(_xlfn._xlws.FILTER(R$2:R$14, ISNUMBER(R$2:R$14)),R3)*100</f>
        <v>7.1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3.5533000000000001</v>
      </c>
      <c r="H4" cm="1">
        <f t="array" ref="H4">_xll.FDS(B4,"FG_ROE(0)")</f>
        <v>11.251228020132899</v>
      </c>
      <c r="I4">
        <f>HLOOKUP(B4,'Index ROE'!$B$1:$N$25,24,FALSE)</f>
        <v>12.7516875895064</v>
      </c>
      <c r="J4" cm="1">
        <f t="array" ref="J4">_xll.FDS(B4, "FMA_RBICS_REV_CURRENT(30, LOC, ""PORTAGG"")")</f>
        <v>40.919830747367698</v>
      </c>
      <c r="K4" s="74">
        <f>HLOOKUP(B4,'Index earnings'!$B$1:$N$25,25,FALSE)</f>
        <v>4.0909866878857226E-2</v>
      </c>
      <c r="L4">
        <f>HLOOKUP(A4,'Yearly returns'!$B$1:$N$128,126,FALSE)</f>
        <v>-27.210014000000001</v>
      </c>
      <c r="M4">
        <f t="shared" si="0"/>
        <v>9.1983875895063996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7.1999999999999957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64.2</v>
      </c>
      <c r="R4">
        <f>N4*Assumption!$F$64 + O4*Assumption!$F$61 + P4*Assumption!$F$62 + Q4*Assumption!$F$63</f>
        <v>46.399999999999991</v>
      </c>
      <c r="S4" cm="1">
        <f t="array" ref="S4">_xlfn.PERCENTRANK.EXC(_xlfn._xlws.FILTER(R$2:R$14, ISNUMBER(R$2:R$14)),R4)*100</f>
        <v>57.099999999999994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2.355</v>
      </c>
      <c r="H5" cm="1">
        <f t="array" ref="H5">_xll.FDS(B5,"FG_ROE(0)")</f>
        <v>12.500677691387001</v>
      </c>
      <c r="I5">
        <f>HLOOKUP(B5,'Index ROE'!$B$1:$N$25,24,FALSE)</f>
        <v>11.984660608723701</v>
      </c>
      <c r="J5" cm="1">
        <f t="array" ref="J5">_xll.FDS(B5, "FMA_RBICS_REV_CURRENT(30, LOC, ""PORTAGG"")")</f>
        <v>22.665656730962102</v>
      </c>
      <c r="K5" s="74">
        <f>HLOOKUP(B5,'Index earnings'!$B$1:$N$25,25,FALSE)</f>
        <v>2.829167218053974E-2</v>
      </c>
      <c r="L5">
        <f>HLOOKUP(A5,'Yearly returns'!$B$1:$N$128,126,FALSE)</f>
        <v>-36.912260000000003</v>
      </c>
      <c r="M5">
        <f t="shared" si="0"/>
        <v>9.6296606087237002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N5*Assumption!$F$64 + O5*Assumption!$F$61 + P5*Assumption!$F$62 + Q5*Assumption!$F$63</f>
        <v>41.05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0.77049999999999996</v>
      </c>
      <c r="H6" cm="1">
        <f t="array" ref="H6">_xll.FDS(B6,"FG_ROE(0)")</f>
        <v>9.8236280673038703</v>
      </c>
      <c r="I6">
        <f>HLOOKUP(B6,'Index ROE'!$B$1:$N$25,24,FALSE)</f>
        <v>8.994618118763011</v>
      </c>
      <c r="J6" cm="1">
        <f t="array" ref="J6">_xll.FDS(B6, "FMA_RBICS_REV_CURRENT(30, LOC, ""PORTAGG"")")</f>
        <v>17.709190961877699</v>
      </c>
      <c r="K6" s="74">
        <f>HLOOKUP(B6,'Index earnings'!$B$1:$N$25,25,FALSE)</f>
        <v>2.4097093275216253E-2</v>
      </c>
      <c r="L6">
        <f>HLOOKUP(A6,'Yearly returns'!$B$1:$N$128,126,FALSE)</f>
        <v>-25.928979999999999</v>
      </c>
      <c r="M6">
        <f t="shared" si="0"/>
        <v>8.2241181187630108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64.3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71.399999999999991</v>
      </c>
      <c r="R6">
        <f>N6*Assumption!$F$64 + O6*Assumption!$F$61 + P6*Assumption!$F$62 + Q6*Assumption!$F$63</f>
        <v>49.974999999999994</v>
      </c>
      <c r="S6" cm="1">
        <f t="array" ref="S6">_xlfn.PERCENTRANK.EXC(_xlfn._xlws.FILTER(R$2:R$14, ISNUMBER(R$2:R$14)),R6)*100</f>
        <v>64.2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0.72199999999999998</v>
      </c>
      <c r="H7" cm="1">
        <f t="array" ref="H7">_xll.FDS(B7,"FG_ROE(0)")</f>
        <v>24.172107091656301</v>
      </c>
      <c r="I7">
        <f>HLOOKUP(B7,'Index ROE'!$B$1:$N$25,24,FALSE)</f>
        <v>15.55096443559315</v>
      </c>
      <c r="J7" cm="1">
        <f t="array" ref="J7">_xll.FDS(B7, "FMA_RBICS_REV_CURRENT(30, LOC, ""PORTAGG"")")</f>
        <v>18.538187285443801</v>
      </c>
      <c r="K7" s="74">
        <f>HLOOKUP(B7,'Index earnings'!$B$1:$N$25,25,FALSE)</f>
        <v>4.6608631187242899E-2</v>
      </c>
      <c r="L7">
        <f>HLOOKUP(A7,'Yearly returns'!$B$1:$N$128,126,FALSE)</f>
        <v>-21.577942</v>
      </c>
      <c r="M7">
        <f t="shared" si="0"/>
        <v>14.82896443559315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50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74.974999999999994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4.0090000000000003</v>
      </c>
      <c r="H8" cm="1">
        <f t="array" ref="H8">_xll.FDS(B8,"FG_ROE(0)")</f>
        <v>17.027513943847101</v>
      </c>
      <c r="I8">
        <f>HLOOKUP(B8,'Index ROE'!$B$1:$N$25,24,FALSE)</f>
        <v>14.561964916400001</v>
      </c>
      <c r="J8" cm="1">
        <f t="array" ref="J8">_xll.FDS(B8, "FMA_RBICS_REV_CURRENT(30, LOC, ""PORTAGG"")")</f>
        <v>17.713937164803198</v>
      </c>
      <c r="K8" s="74">
        <f>HLOOKUP(B8,'Index earnings'!$B$1:$N$25,25,FALSE)</f>
        <v>3.7532801015660588E-3</v>
      </c>
      <c r="L8">
        <f>HLOOKUP(A8,'Yearly returns'!$B$1:$N$128,126,FALSE)</f>
        <v>-30.456178999999999</v>
      </c>
      <c r="M8">
        <f t="shared" si="0"/>
        <v>10.552964916400001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57.2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42.8</v>
      </c>
      <c r="R8">
        <f>N8*Assumption!$F$64 + O8*Assumption!$F$61 + P8*Assumption!$F$62 + Q8*Assumption!$F$63</f>
        <v>44.599999999999994</v>
      </c>
      <c r="S8" cm="1">
        <f t="array" ref="S8">_xlfn.PERCENTRANK.EXC(_xlfn._xlws.FILTER(R$2:R$14, ISNUMBER(R$2:R$14)),R8)*100</f>
        <v>50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4.3023999999999996</v>
      </c>
      <c r="H9" cm="1">
        <f t="array" ref="H9">_xll.FDS(B9,"FG_ROE(0)")</f>
        <v>21.594733180333101</v>
      </c>
      <c r="I9">
        <f>HLOOKUP(B9,'Index ROE'!$B$1:$N$25,24,FALSE)</f>
        <v>21.036882269896502</v>
      </c>
      <c r="J9" cm="1">
        <f t="array" ref="J9">_xll.FDS(B9, "FMA_RBICS_REV_CURRENT(30, LOC, ""PORTAGG"")")</f>
        <v>0.86103906844516198</v>
      </c>
      <c r="K9" s="74">
        <f>HLOOKUP(B9,'Index earnings'!$B$1:$N$25,25,FALSE)</f>
        <v>0.1298893227578648</v>
      </c>
      <c r="L9">
        <f>HLOOKUP(A9,'Yearly returns'!$B$1:$N$128,126,FALSE)</f>
        <v>-33.122017</v>
      </c>
      <c r="M9">
        <f t="shared" si="0"/>
        <v>16.734482269896503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4.3023999999999996</v>
      </c>
      <c r="H10" cm="1">
        <f t="array" ref="H10">_xll.FDS(B10,"FG_ROE(0)")</f>
        <v>18.046393728096799</v>
      </c>
      <c r="I10">
        <f>HLOOKUP(B10,'Index ROE'!$B$1:$N$25,24,FALSE)</f>
        <v>16.391058174766847</v>
      </c>
      <c r="J10" cm="1">
        <f t="array" ref="J10">_xll.FDS(B10, "FMA_RBICS_REV_CURRENT(30, LOC, ""PORTAGG"")")</f>
        <v>12.5169610337793</v>
      </c>
      <c r="K10" s="74">
        <f>HLOOKUP(B10,'Index earnings'!$B$1:$N$25,25,FALSE)</f>
        <v>5.9820135432536281E-2</v>
      </c>
      <c r="L10">
        <f>HLOOKUP(A10,'Yearly returns'!$B$1:$N$128,126,FALSE)</f>
        <v>-18.332439999999998</v>
      </c>
      <c r="M10">
        <f t="shared" si="0"/>
        <v>12.088658174766849</v>
      </c>
      <c r="N10" cm="1">
        <f t="array" ref="N10">_xlfn.PERCENTRANK.EXC(_xlfn._xlws.FILTER(M$2:M$14, ISNUMBER(M$2:M$14)),M10)*100</f>
        <v>78.5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83.9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863</v>
      </c>
      <c r="B11" t="s">
        <v>863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2.8570000000000002</v>
      </c>
      <c r="H11" cm="1">
        <f t="array" ref="H11">_xll.FDS(B11,"FG_ROE(0)")</f>
        <v>12.8395372170296</v>
      </c>
      <c r="I11">
        <f>HLOOKUP(B11,'Index ROE'!$B$1:$N$25,24,FALSE)</f>
        <v>11.16089938202855</v>
      </c>
      <c r="J11" cm="1">
        <f t="array" ref="J11">_xll.FDS(B11, "FMA_RBICS_REV_CURRENT(30, LOC, ""PORTAGG"")")</f>
        <v>10.7938787406678</v>
      </c>
      <c r="K11" s="74">
        <f>HLOOKUP(B11,'Index earnings'!$B$1:$N$25,25,FALSE)</f>
        <v>1.8533725345370788E-2</v>
      </c>
      <c r="L11">
        <f>HLOOKUP(A11,'Yearly returns'!$B$1:$N$128,126,FALSE)</f>
        <v>-25.598568</v>
      </c>
      <c r="M11">
        <f t="shared" ref="M11:M14" si="1">I11-G11</f>
        <v>8.3038993820285505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57.125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865</v>
      </c>
      <c r="B12" t="s">
        <v>865</v>
      </c>
      <c r="C12" t="str" cm="1">
        <f t="array" ref="C12">_xll.FDS(B12,"FG_COMPANY_NAME")</f>
        <v>iShares MSCI Netherlands ETF</v>
      </c>
      <c r="D12" t="s">
        <v>873</v>
      </c>
      <c r="E12" t="s">
        <v>875</v>
      </c>
      <c r="F12" t="str" cm="1">
        <f t="array" ref="F12">_xll.FDS(E12,"FG_YIELD_NAME")</f>
        <v>Netherlands Benchmark Bond - 10 Year</v>
      </c>
      <c r="G12">
        <f>VLOOKUP(A12,'LIQIDITY 2'!$A$3:$E$15,5,FALSE)</f>
        <v>2.653</v>
      </c>
      <c r="H12" cm="1">
        <f t="array" ref="H12">_xll.FDS(B12,"FG_ROE(0)")</f>
        <v>9.6034192812924299</v>
      </c>
      <c r="I12">
        <f>HLOOKUP(B12,'Index ROE'!$B$1:$N$25,24,FALSE)</f>
        <v>13.049660814670499</v>
      </c>
      <c r="J12" cm="1">
        <f t="array" ref="J12">_xll.FDS(B12, "FMA_RBICS_REV_CURRENT(30, LOC, ""PORTAGG"")")</f>
        <v>24.720039405119099</v>
      </c>
      <c r="K12" s="74">
        <f>HLOOKUP(B12,'Index earnings'!$B$1:$N$25,25,FALSE)</f>
        <v>3.4801405278536146E-2</v>
      </c>
      <c r="L12">
        <f>HLOOKUP(A12,'Yearly returns'!$B$1:$N$128,126,FALSE)</f>
        <v>-37.342323</v>
      </c>
      <c r="M12">
        <f t="shared" si="1"/>
        <v>10.396660814670499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862</v>
      </c>
      <c r="B13" t="s">
        <v>862</v>
      </c>
      <c r="C13" t="str" cm="1">
        <f t="array" ref="C13">_xll.FDS(B13,"FG_COMPANY_NAME")</f>
        <v>iShares MSCI Sweden ETF</v>
      </c>
      <c r="D13" t="s">
        <v>272</v>
      </c>
      <c r="E13" t="s">
        <v>876</v>
      </c>
      <c r="F13" t="str" cm="1">
        <f t="array" ref="F13">_xll.FDS(E13,"FG_YIELD_NAME")</f>
        <v>Sweden Benchmark Bond - 10 Year</v>
      </c>
      <c r="G13">
        <f>VLOOKUP(A13,'LIQIDITY 2'!$A$3:$E$15,5,FALSE)</f>
        <v>2.456</v>
      </c>
      <c r="H13" cm="1">
        <f t="array" ref="H13">_xll.FDS(B13,"FG_ROE(0)")</f>
        <v>16.089092752547</v>
      </c>
      <c r="I13">
        <f>HLOOKUP(B13,'Index ROE'!$B$1:$N$25,24,FALSE)</f>
        <v>14.4428230567203</v>
      </c>
      <c r="J13" cm="1">
        <f t="array" ref="J13">_xll.FDS(B13, "FMA_RBICS_REV_CURRENT(30, LOC, ""PORTAGG"")")</f>
        <v>27.199824277955098</v>
      </c>
      <c r="K13" s="74">
        <f>HLOOKUP(B13,'Index earnings'!$B$1:$N$25,25,FALSE)</f>
        <v>2.4305006380541672E-2</v>
      </c>
      <c r="L13">
        <f>HLOOKUP(A13,'Yearly returns'!$B$1:$N$128,126,FALSE)</f>
        <v>-36.708280000000002</v>
      </c>
      <c r="M13">
        <f t="shared" si="1"/>
        <v>11.986823056720301</v>
      </c>
      <c r="N13" cm="1">
        <f t="array" ref="N13">_xlfn.PERCENTRANK.EXC(_xlfn._xlws.FILTER(M$2:M$14, ISNUMBER(M$2:M$14)),M13)*100</f>
        <v>71.399999999999991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42.85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864</v>
      </c>
      <c r="B14" t="s">
        <v>864</v>
      </c>
      <c r="C14" t="str" cm="1">
        <f t="array" ref="C14">_xll.FDS(B14,"FG_COMPANY_NAME")</f>
        <v>iShares MSCI Italy ETF</v>
      </c>
      <c r="D14" t="s">
        <v>874</v>
      </c>
      <c r="E14" t="s">
        <v>877</v>
      </c>
      <c r="F14" t="str" cm="1">
        <f t="array" ref="F14">_xll.FDS(E14,"FG_YIELD_NAME")</f>
        <v>Italy Benchmark Bond - 10 Year</v>
      </c>
      <c r="G14">
        <f>VLOOKUP(A14,'LIQIDITY 2'!$A$3:$E$15,5,FALSE)</f>
        <v>3.7029999999999998</v>
      </c>
      <c r="H14" cm="1">
        <f t="array" ref="H14">_xll.FDS(B14,"FG_ROE(0)")</f>
        <v>13.3049481481239</v>
      </c>
      <c r="I14">
        <f>HLOOKUP(B14,'Index ROE'!$B$1:$N$25,24,FALSE)</f>
        <v>9.6445775045501065</v>
      </c>
      <c r="J14" cm="1">
        <f t="array" ref="J14">_xll.FDS(B14, "FMA_RBICS_REV_CURRENT(30, LOC, ""PORTAGG"")")</f>
        <v>34.5462492743982</v>
      </c>
      <c r="K14" s="74">
        <f>HLOOKUP(B14,'Index earnings'!$B$1:$N$25,25,FALSE)</f>
        <v>9.2744046638129074E-3</v>
      </c>
      <c r="L14">
        <f>HLOOKUP(A14,'Yearly returns'!$B$1:$N$128,126,FALSE)</f>
        <v>-28.350645</v>
      </c>
      <c r="M14">
        <f t="shared" si="1"/>
        <v>5.9415775045501071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57.099999999999994</v>
      </c>
      <c r="R14">
        <f>N14*Assumption!$F$64 + O14*Assumption!$F$61 + P14*Assumption!$F$62 + Q14*Assumption!$F$63</f>
        <v>28.549999999999997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W1" activePane="topRight" state="frozen"/>
      <selection pane="topRight" activeCell="AH3" sqref="AH3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8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859</v>
      </c>
      <c r="E1" s="72" t="s">
        <v>860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906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8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861</v>
      </c>
      <c r="AF1" s="72" t="s">
        <v>763</v>
      </c>
      <c r="AG1" s="72" t="s">
        <v>907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199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1">
        <f>VLOOKUP(C3,'Market Capitalisation'!$C$2:$G$14,5,FALSE)</f>
        <v>92688.42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3</v>
      </c>
      <c r="G3" cm="1">
        <f t="array" ref="G3">_xll.FDS(A3,"SIZE(FG_CONSTITUENTS)")</f>
        <v>15</v>
      </c>
      <c r="H3" s="9">
        <f t="shared" ref="H3:H11" si="0">E3/$G3</f>
        <v>0.26666666666666666</v>
      </c>
      <c r="I3" s="9">
        <f t="shared" ref="I3:I11" si="1">F3/$G3</f>
        <v>0.2</v>
      </c>
      <c r="J3" s="9">
        <f t="shared" ref="J3:J11" si="2">H3-I3</f>
        <v>6.6666666666666652E-2</v>
      </c>
      <c r="K3" s="5" cm="1">
        <f t="array" ref="K3">_xll.FDS(A3,"FMA_PCT_ABOVE_MAVG(200,0,,,,""PORTAGG"")")/100</f>
        <v>0.5</v>
      </c>
      <c r="L3" s="41" cm="1">
        <f t="array" ref="L3">_xll.FDSB(A3,"PERCENT_CHANGE(FMA_EPS(+1,0,,,,""PORTAGG"",""MEAN""),FMA_EPS(+1,-1AM,,,,""PORTAGG"",""MEAN""))")</f>
        <v>-2.1916533106382401</v>
      </c>
      <c r="M3" s="41" cm="1">
        <f t="array" ref="M3">_xll.FDSB(A3,"PERCENT_CHANGE(FMA_EPS(+1,0,,,,""PORTAGG"",""MEAN""),FMA_EPS(+1,-3AM,,,,""PORTAGG"",""MEAN""))")</f>
        <v>-15.5920994913438</v>
      </c>
      <c r="N3" s="3" cm="1">
        <f t="array" ref="N3">_xll.FDS(C3,"FG_TOTAL_RETURNC(0,-1AM)")</f>
        <v>0.47116279999999999</v>
      </c>
      <c r="O3" s="3" cm="1">
        <f t="array" ref="O3">_xll.FDS(C3,"FG_TOTAL_RETURNC(0,-3AM)")</f>
        <v>-4.6074095000000002</v>
      </c>
      <c r="P3" s="3" cm="1">
        <f t="array" ref="P3">_xll.FDS(C3,"FG_TOTAL_RETURNC(0,-6AM)")</f>
        <v>5.3427695999999996</v>
      </c>
      <c r="Q3" s="9" cm="1">
        <f t="array" ref="Q3">_xll.FDS(C3,"P_PRICE(0)/P_PRICE_HIGH_PR(0,,,USD,,,""PRICE"",""INTRA"",""52W"")")</f>
        <v>0.88289280000000003</v>
      </c>
      <c r="R3" s="9" cm="1">
        <f t="array" ref="R3">_xll.FDS(C3,"P_PRICE(0)/P_PRICE_low_PR(0,,,USD,,,""PRICE"",""INTRA"",""52W"")-1")</f>
        <v>0.10388219</v>
      </c>
      <c r="S3" s="3" cm="1">
        <f t="array" ref="S3">_xll.FDS(C3,"FG_TOTAL_RETURNC(0,-12AM)")</f>
        <v>-7.1061015000000003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Y3" s="200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71.399999999999991</v>
      </c>
      <c r="AC3" s="4">
        <f t="shared" ref="AC3:AC15" si="4">_xlfn.PERCENTRANK.EXC($L$3:$L$15,L3)*100</f>
        <v>7.1</v>
      </c>
      <c r="AD3" s="4">
        <f t="shared" ref="AD3:AD15" si="5">_xlfn.PERCENTRANK.EXC($M$3:$M$15,M3)*100</f>
        <v>7.1</v>
      </c>
      <c r="AE3" s="4">
        <f t="shared" ref="AE3:AE15" si="6">_xlfn.PERCENTRANK.EXC($D$3:$D$15,D3)*100</f>
        <v>7.1</v>
      </c>
      <c r="AF3" s="4">
        <f ca="1">IFERROR('Economic Momentum'!P4,0)</f>
        <v>42.8</v>
      </c>
      <c r="AG3" s="4">
        <f ca="1">IFERROR('Economic Momentum'!Q4,0)</f>
        <v>7.1</v>
      </c>
      <c r="AH3" s="4">
        <f t="shared" ref="AH3:AH15" ca="1" si="7">SUMPRODUCT($U$2:$AG$2,U3:AG3)</f>
        <v>7.1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1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1">
        <f>VLOOKUP(C4,'Market Capitalisation'!$C$2:$G$14,5,FALSE)</f>
        <v>1697173.9</v>
      </c>
      <c r="E4" cm="1">
        <f t="array" ref="E4">_xll.FDS(C4,"FMA_COS_UP(""EPS"",""1M"",+1,0,,,""PORTAGG"",""MEANR"")")</f>
        <v>22</v>
      </c>
      <c r="F4" cm="1">
        <f t="array" ref="F4">_xll.FDS(C4,"FMA_COS_DOWN(""EPS"",""1M"",+1,0,,,""PORTAGG"",""MEANR"")")</f>
        <v>19</v>
      </c>
      <c r="G4" cm="1">
        <f t="array" ref="G4">_xll.FDS(A4,"SIZE(FG_CONSTITUENTS)")</f>
        <v>59</v>
      </c>
      <c r="H4" s="9">
        <f t="shared" si="0"/>
        <v>0.3728813559322034</v>
      </c>
      <c r="I4" s="9">
        <f t="shared" si="1"/>
        <v>0.32203389830508472</v>
      </c>
      <c r="J4" s="9">
        <f t="shared" si="2"/>
        <v>5.0847457627118675E-2</v>
      </c>
      <c r="K4" s="5" cm="1">
        <f t="array" ref="K4">_xll.FDS(A4,"FMA_PCT_ABOVE_MAVG(200,0,,,,""PORTAGG"")")/100</f>
        <v>0.76271186440677996</v>
      </c>
      <c r="L4" s="41" cm="1">
        <f t="array" ref="L4">_xll.FDSB(A4,"PERCENT_CHANGE(FMA_EPS(+1,0,,,,""PORTAGG"",""MEAN""),FMA_EPS(+1,-1AM,,,,""PORTAGG"",""MEAN""))")</f>
        <v>1.96229351400412</v>
      </c>
      <c r="M4" s="41" cm="1">
        <f t="array" ref="M4">_xll.FDSB(A4,"PERCENT_CHANGE(FMA_EPS(+1,0,,,,""PORTAGG"",""MEAN""),FMA_EPS(+1,-3AM,,,,""PORTAGG"",""MEAN""))")</f>
        <v>-4.8070196662778099E-2</v>
      </c>
      <c r="N4" s="3" cm="1">
        <f t="array" ref="N4">_xll.FDS(C4,"FG_TOTAL_RETURNC(0,-1AM)")</f>
        <v>1.7069101</v>
      </c>
      <c r="O4" s="3" cm="1">
        <f t="array" ref="O4">_xll.FDS(C4,"FG_TOTAL_RETURNC(0,-3AM)")</f>
        <v>2.5608778000000001</v>
      </c>
      <c r="P4" s="3" cm="1">
        <f t="array" ref="P4">_xll.FDS(C4,"FG_TOTAL_RETURNC(0,-6AM)")</f>
        <v>19.298279000000001</v>
      </c>
      <c r="Q4" s="9" cm="1">
        <f t="array" ref="Q4">_xll.FDS(C4,"P_PRICE(0)/P_PRICE_HIGH_PR(0,,,USD,,,""PRICE"",""INTRA"",""52W"")")</f>
        <v>0.97563889999999998</v>
      </c>
      <c r="R4" s="9" cm="1">
        <f t="array" ref="R4">_xll.FDS(C4,"P_PRICE(0)/P_PRICE_low_PR(0,,,USD,,,""PRICE"",""INTRA"",""52W"")-1")</f>
        <v>0.19403719999999999</v>
      </c>
      <c r="S4" s="3" cm="1">
        <f t="array" ref="S4">_xll.FDS(C4,"FG_TOTAL_RETURNC(0,-12AM)")</f>
        <v>9.7391970000000008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50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35.699999999999996</v>
      </c>
      <c r="Y4" s="200" cm="1">
        <f t="array" ref="Y4">_xlfn.PERCENTRANK.EXC(_xlfn._xlws.FILTER($S$3:$S$15, ISNUMBER($S$3:$S$15)),S4)*100</f>
        <v>35.699999999999996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50</v>
      </c>
      <c r="AB4" s="4" cm="1">
        <f t="array" ref="AB4">_xlfn.PERCENTRANK.EXC(_xlfn._xlws.FILTER($J$3:$J$15, ISNUMBER($J$3:$J$15)),J4)*100</f>
        <v>64.2</v>
      </c>
      <c r="AC4" s="4">
        <f t="shared" si="4"/>
        <v>92.800000000000011</v>
      </c>
      <c r="AD4" s="4">
        <f t="shared" si="5"/>
        <v>71.399999999999991</v>
      </c>
      <c r="AE4" s="4">
        <f t="shared" si="6"/>
        <v>35.699999999999996</v>
      </c>
      <c r="AF4" s="4">
        <f ca="1">IFERROR('Economic Momentum'!P5,0)</f>
        <v>28.499999999999996</v>
      </c>
      <c r="AG4" s="4">
        <f ca="1">IFERROR('Economic Momentum'!Q5,0)</f>
        <v>21.4</v>
      </c>
      <c r="AH4" s="4">
        <f t="shared" ca="1" si="7"/>
        <v>37.129999999999995</v>
      </c>
      <c r="AJ4" s="3" cm="1">
        <f t="array" aca="1" ref="AJ4" ca="1">_xlfn.PERCENTRANK.EXC(_xlfn._xlws.FILTER($AH$3:$AH$15, ISNUMBER($AH$3:$AH$15)),AH4)*100</f>
        <v>21.4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1">
        <f>VLOOKUP(C5,'Market Capitalisation'!$C$2:$G$14,5,FALSE)</f>
        <v>2745289</v>
      </c>
      <c r="E5" cm="1">
        <f t="array" ref="E5">_xll.FDS(C5,"FMA_COS_UP(""EPS"",""1M"",+1,0,,,""PORTAGG"",""MEANR"")")</f>
        <v>25</v>
      </c>
      <c r="F5" cm="1">
        <f t="array" ref="F5">_xll.FDS(C5,"FMA_COS_DOWN(""EPS"",""1M"",+1,0,,,""PORTAGG"",""MEANR"")")</f>
        <v>29</v>
      </c>
      <c r="G5" cm="1">
        <f t="array" ref="G5">_xll.FDS(A5,"SIZE(FG_CONSTITUENTS)")</f>
        <v>88</v>
      </c>
      <c r="H5" s="9">
        <f t="shared" si="0"/>
        <v>0.28409090909090912</v>
      </c>
      <c r="I5" s="9">
        <f t="shared" si="1"/>
        <v>0.32954545454545453</v>
      </c>
      <c r="J5" s="9">
        <f t="shared" si="2"/>
        <v>-4.5454545454545414E-2</v>
      </c>
      <c r="K5" s="5" cm="1">
        <f t="array" ref="K5">_xll.FDS(A5,"FMA_PCT_ABOVE_MAVG(200,0,,,,""PORTAGG"")")/100</f>
        <v>0.69318181818181801</v>
      </c>
      <c r="L5" s="41" cm="1">
        <f t="array" ref="L5">_xll.FDSB(A5,"PERCENT_CHANGE(FMA_EPS(+1,0,,,,""PORTAGG"",""MEAN""),FMA_EPS(+1,-1AM,,,,""PORTAGG"",""MEAN""))")</f>
        <v>0.35667102513210702</v>
      </c>
      <c r="M5" s="41" cm="1">
        <f t="array" ref="M5">_xll.FDSB(A5,"PERCENT_CHANGE(FMA_EPS(+1,0,,,,""PORTAGG"",""MEAN""),FMA_EPS(+1,-3AM,,,,""PORTAGG"",""MEAN""))")</f>
        <v>-4.2855225354792204</v>
      </c>
      <c r="N5" s="3" cm="1">
        <f t="array" ref="N5">_xll.FDS(C5,"FG_TOTAL_RETURNC(0,-1AM)")</f>
        <v>2.7282476</v>
      </c>
      <c r="O5" s="3" cm="1">
        <f t="array" ref="O5">_xll.FDS(C5,"FG_TOTAL_RETURNC(0,-3AM)")</f>
        <v>4.9392820000000004</v>
      </c>
      <c r="P5" s="3" cm="1">
        <f t="array" ref="P5">_xll.FDS(C5,"FG_TOTAL_RETURNC(0,-6AM)")</f>
        <v>19.677638999999999</v>
      </c>
      <c r="Q5" s="9" cm="1">
        <f t="array" ref="Q5">_xll.FDS(C5,"P_PRICE(0)/P_PRICE_HIGH_PR(0,,,USD,,,""PRICE"",""INTRA"",""52W"")")</f>
        <v>0.98548840000000004</v>
      </c>
      <c r="R5" s="9" cm="1">
        <f t="array" ref="R5">_xll.FDS(C5,"P_PRICE(0)/P_PRICE_low_PR(0,,,USD,,,""PRICE"",""INTRA"",""52W"")-1")</f>
        <v>0.21076083000000001</v>
      </c>
      <c r="S5" s="3" cm="1">
        <f t="array" ref="S5">_xll.FDS(C5,"FG_TOTAL_RETURNC(0,-12AM)")</f>
        <v>12.150717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42.8</v>
      </c>
      <c r="Y5" s="200" cm="1">
        <f t="array" ref="Y5">_xlfn.PERCENTRANK.EXC(_xlfn._xlws.FILTER($S$3:$S$15, ISNUMBER($S$3:$S$15)),S5)*100</f>
        <v>42.8</v>
      </c>
      <c r="Z5" s="4" cm="1">
        <f t="array" ref="Z5">_xlfn.PERCENTRANK.EXC(_xlfn._xlws.FILTER($K$3:$K$15, ISNUMBER($K$3:$K$15)),K5)*100</f>
        <v>57.099999999999994</v>
      </c>
      <c r="AA5" s="4" cm="1">
        <f t="array" ref="AA5">_xlfn.PERCENTRANK.EXC(_xlfn._xlws.FILTER($H$3:$H$15, ISNUMBER($H$3:$H$15)),H5)*100</f>
        <v>14.2</v>
      </c>
      <c r="AB5" s="4" cm="1">
        <f t="array" ref="AB5">_xlfn.PERCENTRANK.EXC(_xlfn._xlws.FILTER($J$3:$J$15, ISNUMBER($J$3:$J$15)),J5)*100</f>
        <v>28.499999999999996</v>
      </c>
      <c r="AC5" s="4">
        <f t="shared" si="4"/>
        <v>71.399999999999991</v>
      </c>
      <c r="AD5" s="4">
        <f t="shared" si="5"/>
        <v>35.699999999999996</v>
      </c>
      <c r="AE5" s="4">
        <f t="shared" si="6"/>
        <v>57.099999999999994</v>
      </c>
      <c r="AF5" s="4">
        <f ca="1">IFERROR('Economic Momentum'!P6,0)</f>
        <v>64.2</v>
      </c>
      <c r="AG5" s="4">
        <f ca="1">IFERROR('Economic Momentum'!Q6,0)</f>
        <v>42.8</v>
      </c>
      <c r="AH5" s="4">
        <f t="shared" ca="1" si="7"/>
        <v>59.959999999999994</v>
      </c>
      <c r="AJ5" s="3" cm="1">
        <f t="array" aca="1" ref="AJ5" ca="1">_xlfn.PERCENTRANK.EXC(_xlfn._xlws.FILTER($AH$3:$AH$15, ISNUMBER($AH$3:$AH$15)),AH5)*100</f>
        <v>64.2</v>
      </c>
      <c r="AK5">
        <f t="shared" si="8"/>
        <v>1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1">
        <f>VLOOKUP(C6,'Market Capitalisation'!$C$2:$G$14,5,FALSE)</f>
        <v>2351418.2999999998</v>
      </c>
      <c r="E6" cm="1">
        <f t="array" ref="E6">_xll.FDS(C6,"FMA_COS_UP(""EPS"",""1M"",+1,0,,,""PORTAGG"",""MEANR"")")</f>
        <v>26</v>
      </c>
      <c r="F6" cm="1">
        <f t="array" ref="F6">_xll.FDS(C6,"FMA_COS_DOWN(""EPS"",""1M"",+1,0,,,""PORTAGG"",""MEANR"")")</f>
        <v>27</v>
      </c>
      <c r="G6" cm="1">
        <f t="array" ref="G6">_xll.FDS(A6,"SIZE(FG_CONSTITUENTS)")</f>
        <v>57</v>
      </c>
      <c r="H6" s="9">
        <f t="shared" si="0"/>
        <v>0.45614035087719296</v>
      </c>
      <c r="I6" s="9">
        <f t="shared" si="1"/>
        <v>0.47368421052631576</v>
      </c>
      <c r="J6" s="9">
        <f t="shared" si="2"/>
        <v>-1.7543859649122806E-2</v>
      </c>
      <c r="K6" s="5" cm="1">
        <f t="array" ref="K6">_xll.FDS(A6,"FMA_PCT_ABOVE_MAVG(200,0,,,,""PORTAGG"")")/100</f>
        <v>0.78947368421052599</v>
      </c>
      <c r="L6" s="41" cm="1">
        <f t="array" ref="L6">_xll.FDSB(A6,"PERCENT_CHANGE(FMA_EPS(+1,0,,,,""PORTAGG"",""MEAN""),FMA_EPS(+1,-1AM,,,,""PORTAGG"",""MEAN""))")</f>
        <v>-0.77237326503861803</v>
      </c>
      <c r="M6" s="41" cm="1">
        <f t="array" ref="M6">_xll.FDSB(A6,"PERCENT_CHANGE(FMA_EPS(+1,0,,,,""PORTAGG"",""MEAN""),FMA_EPS(+1,-3AM,,,,""PORTAGG"",""MEAN""))")</f>
        <v>-4.8652907082308001</v>
      </c>
      <c r="N6" s="3" cm="1">
        <f t="array" ref="N6">_xll.FDS(C6,"FG_TOTAL_RETURNC(0,-1AM)")</f>
        <v>2.0826577999999998</v>
      </c>
      <c r="O6" s="3" cm="1">
        <f t="array" ref="O6">_xll.FDS(C6,"FG_TOTAL_RETURNC(0,-3AM)")</f>
        <v>8.0606220000000004</v>
      </c>
      <c r="P6" s="3" cm="1">
        <f t="array" ref="P6">_xll.FDS(C6,"FG_TOTAL_RETURNC(0,-6AM)")</f>
        <v>22.116161000000002</v>
      </c>
      <c r="Q6" s="9" cm="1">
        <f t="array" ref="Q6">_xll.FDS(C6,"P_PRICE(0)/P_PRICE_HIGH_PR(0,,,USD,,,""PRICE"",""INTRA"",""52W"")")</f>
        <v>0.98123245999999997</v>
      </c>
      <c r="R6" s="9" cm="1">
        <f t="array" ref="R6">_xll.FDS(C6,"P_PRICE(0)/P_PRICE_low_PR(0,,,USD,,,""PRICE"",""INTRA"",""52W"")-1")</f>
        <v>0.26978350000000001</v>
      </c>
      <c r="S6" s="3" cm="1">
        <f t="array" ref="S6">_xll.FDS(C6,"FG_TOTAL_RETURNC(0,-12AM)")</f>
        <v>12.467098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78.5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71.399999999999991</v>
      </c>
      <c r="Y6" s="200" cm="1">
        <f t="array" ref="Y6">_xlfn.PERCENTRANK.EXC(_xlfn._xlws.FILTER($S$3:$S$15, ISNUMBER($S$3:$S$15)),S6)*100</f>
        <v>50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35.699999999999996</v>
      </c>
      <c r="AC6" s="4">
        <f t="shared" si="4"/>
        <v>21.4</v>
      </c>
      <c r="AD6" s="4">
        <f t="shared" si="5"/>
        <v>21.4</v>
      </c>
      <c r="AE6" s="4">
        <f t="shared" si="6"/>
        <v>50</v>
      </c>
      <c r="AF6" s="4">
        <f ca="1">IFERROR('Economic Momentum'!P7,0)</f>
        <v>7.1</v>
      </c>
      <c r="AG6" s="4">
        <f ca="1">IFERROR('Economic Momentum'!Q7,0)</f>
        <v>28.499999999999996</v>
      </c>
      <c r="AH6" s="4">
        <f t="shared" ca="1" si="7"/>
        <v>69.95</v>
      </c>
      <c r="AJ6" s="3" cm="1">
        <f t="array" aca="1" ref="AJ6" ca="1">_xlfn.PERCENTRANK.EXC(_xlfn._xlws.FILTER($AH$3:$AH$15, ISNUMBER($AH$3:$AH$15)),AH6)*100</f>
        <v>78.5</v>
      </c>
      <c r="AK6">
        <f t="shared" si="8"/>
        <v>4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1">
        <f>VLOOKUP(C7,'Market Capitalisation'!$C$2:$G$14,5,FALSE)</f>
        <v>6647382</v>
      </c>
      <c r="E7" cm="1">
        <f t="array" ref="E7">_xll.FDS(C7,"FMA_COS_UP(""EPS"",""1M"",+1,0,,,""PORTAGG"",""MEANR"")")</f>
        <v>108</v>
      </c>
      <c r="F7" cm="1">
        <f t="array" ref="F7">_xll.FDS(C7,"FMA_COS_DOWN(""EPS"",""1M"",+1,0,,,""PORTAGG"",""MEANR"")")</f>
        <v>90</v>
      </c>
      <c r="G7" cm="1">
        <f t="array" ref="G7">_xll.FDS(A7,"SIZE(FG_CONSTITUENTS)")</f>
        <v>219</v>
      </c>
      <c r="H7" s="9">
        <f t="shared" si="0"/>
        <v>0.49315068493150682</v>
      </c>
      <c r="I7" s="9">
        <f t="shared" si="1"/>
        <v>0.41095890410958902</v>
      </c>
      <c r="J7" s="9">
        <f t="shared" si="2"/>
        <v>8.2191780821917804E-2</v>
      </c>
      <c r="K7" s="5" cm="1">
        <f t="array" ref="K7">_xll.FDS(A7,"FMA_PCT_ABOVE_MAVG(200,0,,,,""PORTAGG"")")/100</f>
        <v>0.6803652968036531</v>
      </c>
      <c r="L7" s="41" cm="1">
        <f t="array" ref="L7">_xll.FDSB(A7,"PERCENT_CHANGE(FMA_EPS(+1,0,,,,""PORTAGG"",""MEAN""),FMA_EPS(+1,-1AM,,,,""PORTAGG"",""MEAN""))")</f>
        <v>1.8835957897557201</v>
      </c>
      <c r="M7" s="41" cm="1">
        <f t="array" ref="M7">_xll.FDSB(A7,"PERCENT_CHANGE(FMA_EPS(+1,0,,,,""PORTAGG"",""MEAN""),FMA_EPS(+1,-3AM,,,,""PORTAGG"",""MEAN""))")</f>
        <v>-0.831345080175099</v>
      </c>
      <c r="N7" s="3" cm="1">
        <f t="array" ref="N7">_xll.FDS(C7,"FG_TOTAL_RETURNC(0,-1AM)")</f>
        <v>-0.35755038</v>
      </c>
      <c r="O7" s="3" cm="1">
        <f t="array" ref="O7">_xll.FDS(C7,"FG_TOTAL_RETURNC(0,-3AM)")</f>
        <v>10.482073</v>
      </c>
      <c r="P7" s="3" cm="1">
        <f t="array" ref="P7">_xll.FDS(C7,"FG_TOTAL_RETURNC(0,-6AM)")</f>
        <v>21.625053000000001</v>
      </c>
      <c r="Q7" s="9" cm="1">
        <f t="array" ref="Q7">_xll.FDS(C7,"P_PRICE(0)/P_PRICE_HIGH_PR(0,,,USD,,,""PRICE"",""INTRA"",""52W"")")</f>
        <v>0.96676605999999998</v>
      </c>
      <c r="R7" s="9" cm="1">
        <f t="array" ref="R7">_xll.FDS(C7,"P_PRICE(0)/P_PRICE_low_PR(0,,,USD,,,""PRICE"",""INTRA"",""52W"")-1")</f>
        <v>0.21800696999999999</v>
      </c>
      <c r="S7" s="3" cm="1">
        <f t="array" ref="S7">_xll.FDS(C7,"FG_TOTAL_RETURNC(0,-12AM)")</f>
        <v>20.717312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28.499999999999996</v>
      </c>
      <c r="W7" s="4" cm="1">
        <f t="array" ref="W7">_xlfn.PERCENTRANK.EXC(_xlfn._xlws.FILTER($O$3:$O$15, ISNUMBER($O$3:$O$15)),O7)*100</f>
        <v>85.7</v>
      </c>
      <c r="X7" s="4" cm="1">
        <f t="array" ref="X7">_xlfn.PERCENTRANK.EXC(_xlfn._xlws.FILTER($P$3:$P$15, ISNUMBER($P$3:$P$15)),P7)*100</f>
        <v>57.099999999999994</v>
      </c>
      <c r="Y7" s="200" cm="1">
        <f t="array" ref="Y7">_xlfn.PERCENTRANK.EXC(_xlfn._xlws.FILTER($S$3:$S$15, ISNUMBER($S$3:$S$15)),S7)*100</f>
        <v>71.399999999999991</v>
      </c>
      <c r="Z7" s="4" cm="1">
        <f t="array" ref="Z7">_xlfn.PERCENTRANK.EXC(_xlfn._xlws.FILTER($K$3:$K$15, ISNUMBER($K$3:$K$15)),K7)*100</f>
        <v>50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78.5</v>
      </c>
      <c r="AC7" s="4">
        <f t="shared" si="4"/>
        <v>85.7</v>
      </c>
      <c r="AD7" s="4">
        <f t="shared" si="5"/>
        <v>57.099999999999994</v>
      </c>
      <c r="AE7" s="4">
        <f t="shared" si="6"/>
        <v>78.5</v>
      </c>
      <c r="AF7" s="4">
        <f ca="1">IFERROR('Economic Momentum'!P8,0)</f>
        <v>35.699999999999996</v>
      </c>
      <c r="AG7" s="4">
        <f ca="1">IFERROR('Economic Momentum'!Q8,0)</f>
        <v>14.2</v>
      </c>
      <c r="AH7" s="4">
        <f t="shared" ca="1" si="7"/>
        <v>54.239999999999995</v>
      </c>
      <c r="AJ7" s="3" cm="1">
        <f t="array" aca="1" ref="AJ7" ca="1">_xlfn.PERCENTRANK.EXC(_xlfn._xlws.FILTER($AH$3:$AH$15, ISNUMBER($AH$3:$AH$15)),AH7)*100</f>
        <v>57.099999999999994</v>
      </c>
      <c r="AK7">
        <f t="shared" si="8"/>
        <v>4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1">
        <f>VLOOKUP(C8,'Market Capitalisation'!$C$2:$G$14,5,FALSE)</f>
        <v>2110690</v>
      </c>
      <c r="E8" cm="1">
        <f t="array" ref="E8">_xll.FDS(C8,"FMA_COS_UP(""EPS"",""1M"",+1,0,,,""PORTAGG"",""MEANR"")")</f>
        <v>19</v>
      </c>
      <c r="F8" cm="1">
        <f t="array" ref="F8">_xll.FDS(C8,"FMA_COS_DOWN(""EPS"",""1M"",+1,0,,,""PORTAGG"",""MEANR"")")</f>
        <v>24</v>
      </c>
      <c r="G8" cm="1">
        <f t="array" ref="G8">_xll.FDS(A8,"SIZE(FG_CONSTITUENTS)")</f>
        <v>46</v>
      </c>
      <c r="H8" s="9">
        <f t="shared" si="0"/>
        <v>0.41304347826086957</v>
      </c>
      <c r="I8" s="9">
        <f t="shared" si="1"/>
        <v>0.52173913043478259</v>
      </c>
      <c r="J8" s="9">
        <f t="shared" si="2"/>
        <v>-0.10869565217391303</v>
      </c>
      <c r="K8" s="5" cm="1">
        <f t="array" ref="K8">_xll.FDS(A8,"FMA_PCT_ABOVE_MAVG(200,0,,,,""PORTAGG"")")/100</f>
        <v>0.57777777777777795</v>
      </c>
      <c r="L8" s="41" cm="1">
        <f t="array" ref="L8">_xll.FDSB(A8,"PERCENT_CHANGE(FMA_EPS(+1,0,,,,""PORTAGG"",""MEAN""),FMA_EPS(+1,-1AM,,,,""PORTAGG"",""MEAN""))")</f>
        <v>-1.07612703773263</v>
      </c>
      <c r="M8" s="41" cm="1">
        <f t="array" ref="M8">_xll.FDSB(A8,"PERCENT_CHANGE(FMA_EPS(+1,0,,,,""PORTAGG"",""MEAN""),FMA_EPS(+1,-3AM,,,,""PORTAGG"",""MEAN""))")</f>
        <v>-7.6342885107889202</v>
      </c>
      <c r="N8" s="3" cm="1">
        <f t="array" ref="N8">_xll.FDS(C8,"FG_TOTAL_RETURNC(0,-1AM)")</f>
        <v>-4.2653084000000001E-2</v>
      </c>
      <c r="O8" s="3" cm="1">
        <f t="array" ref="O8">_xll.FDS(C8,"FG_TOTAL_RETURNC(0,-3AM)")</f>
        <v>-2.0889937999999999</v>
      </c>
      <c r="P8" s="3" cm="1">
        <f t="array" ref="P8">_xll.FDS(C8,"FG_TOTAL_RETURNC(0,-6AM)")</f>
        <v>9.0760950000000005</v>
      </c>
      <c r="Q8" s="9" cm="1">
        <f t="array" ref="Q8">_xll.FDS(C8,"P_PRICE(0)/P_PRICE_HIGH_PR(0,,,USD,,,""PRICE"",""INTRA"",""52W"")")</f>
        <v>0.95780109999999996</v>
      </c>
      <c r="R8" s="9" cm="1">
        <f t="array" ref="R8">_xll.FDS(C8,"P_PRICE(0)/P_PRICE_low_PR(0,,,USD,,,""PRICE"",""INTRA"",""52W"")-1")</f>
        <v>0.12803853000000001</v>
      </c>
      <c r="S8" s="3" cm="1">
        <f t="array" ref="S8">_xll.FDS(C8,"FG_TOTAL_RETURNC(0,-12AM)")</f>
        <v>5.3003907000000003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Y8" s="200" cm="1">
        <f t="array" ref="Y8">_xlfn.PERCENTRANK.EXC(_xlfn._xlws.FILTER($S$3:$S$15, ISNUMBER($S$3:$S$15)),S8)*100</f>
        <v>14.2</v>
      </c>
      <c r="Z8" s="4" cm="1">
        <f t="array" ref="Z8">_xlfn.PERCENTRANK.EXC(_xlfn._xlws.FILTER($K$3:$K$15, ISNUMBER($K$3:$K$15)),K8)*100</f>
        <v>14.2</v>
      </c>
      <c r="AA8" s="4" cm="1">
        <f t="array" ref="AA8">_xlfn.PERCENTRANK.EXC(_xlfn._xlws.FILTER($H$3:$H$15, ISNUMBER($H$3:$H$15)),H8)*100</f>
        <v>64.2</v>
      </c>
      <c r="AB8" s="4" cm="1">
        <f t="array" ref="AB8">_xlfn.PERCENTRANK.EXC(_xlfn._xlws.FILTER($J$3:$J$15, ISNUMBER($J$3:$J$15)),J8)*100</f>
        <v>21.4</v>
      </c>
      <c r="AC8" s="4">
        <f t="shared" si="4"/>
        <v>14.2</v>
      </c>
      <c r="AD8" s="4">
        <f t="shared" si="5"/>
        <v>14.2</v>
      </c>
      <c r="AE8" s="4">
        <f t="shared" si="6"/>
        <v>42.8</v>
      </c>
      <c r="AF8" s="4">
        <f ca="1">IFERROR('Economic Momentum'!P9,0)</f>
        <v>14.2</v>
      </c>
      <c r="AG8" s="4">
        <f ca="1">IFERROR('Economic Momentum'!Q9,0)</f>
        <v>50</v>
      </c>
      <c r="AH8" s="4">
        <f t="shared" ca="1" si="7"/>
        <v>14.2</v>
      </c>
      <c r="AJ8" s="3" cm="1">
        <f t="array" aca="1" ref="AJ8" ca="1">_xlfn.PERCENTRANK.EXC(_xlfn._xlws.FILTER($AH$3:$AH$15, ISNUMBER($AH$3:$AH$15)),AH8)*100</f>
        <v>14.2</v>
      </c>
      <c r="AK8">
        <f t="shared" si="8"/>
        <v>0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1">
        <f>VLOOKUP(C9,'Market Capitalisation'!$C$2:$G$14,5,FALSE)</f>
        <v>3158312.5</v>
      </c>
      <c r="E9" cm="1">
        <f t="array" ref="E9">_xll.FDS(C9,"FMA_COS_UP(""EPS"",""1M"",+1,0,,,""PORTAGG"",""MEANR"")")</f>
        <v>38</v>
      </c>
      <c r="F9" cm="1">
        <f t="array" ref="F9">_xll.FDS(C9,"FMA_COS_DOWN(""EPS"",""1M"",+1,0,,,""PORTAGG"",""MEANR"")")</f>
        <v>38</v>
      </c>
      <c r="G9" cm="1">
        <f t="array" ref="G9">_xll.FDS(A9,"SIZE(FG_CONSTITUENTS)")</f>
        <v>85</v>
      </c>
      <c r="H9" s="9">
        <f t="shared" si="0"/>
        <v>0.44705882352941179</v>
      </c>
      <c r="I9" s="9">
        <f t="shared" si="1"/>
        <v>0.44705882352941179</v>
      </c>
      <c r="J9" s="9">
        <f t="shared" si="2"/>
        <v>0</v>
      </c>
      <c r="K9" s="5" cm="1">
        <f t="array" ref="K9">_xll.FDS(A9,"FMA_PCT_ABOVE_MAVG(200,0,,,,""PORTAGG"")")/100</f>
        <v>0.61904761904761896</v>
      </c>
      <c r="L9" s="41" cm="1">
        <f t="array" ref="L9">_xll.FDSB(A9,"PERCENT_CHANGE(FMA_EPS(+1,0,,,,""PORTAGG"",""MEAN""),FMA_EPS(+1,-1AM,,,,""PORTAGG"",""MEAN""))")</f>
        <v>0.309978804183697</v>
      </c>
      <c r="M9" s="41" cm="1">
        <f t="array" ref="M9">_xll.FDSB(A9,"PERCENT_CHANGE(FMA_EPS(+1,0,,,,""PORTAGG"",""MEAN""),FMA_EPS(+1,-3AM,,,,""PORTAGG"",""MEAN""))")</f>
        <v>-2.5073416592128699</v>
      </c>
      <c r="N9" s="3" cm="1">
        <f t="array" ref="N9">_xll.FDS(C9,"FG_TOTAL_RETURNC(0,-1AM)")</f>
        <v>3.6867738000000001</v>
      </c>
      <c r="O9" s="3" cm="1">
        <f t="array" ref="O9">_xll.FDS(C9,"FG_TOTAL_RETURNC(0,-3AM)")</f>
        <v>3.6236286</v>
      </c>
      <c r="P9" s="3" cm="1">
        <f t="array" ref="P9">_xll.FDS(C9,"FG_TOTAL_RETURNC(0,-6AM)")</f>
        <v>12.810826</v>
      </c>
      <c r="Q9" s="9" cm="1">
        <f t="array" ref="Q9">_xll.FDS(C9,"P_PRICE(0)/P_PRICE_HIGH_PR(0,,,USD,,,""PRICE"",""INTRA"",""52W"")")</f>
        <v>0.98564255000000001</v>
      </c>
      <c r="R9" s="9" cm="1">
        <f t="array" ref="R9">_xll.FDS(C9,"P_PRICE(0)/P_PRICE_low_PR(0,,,USD,,,""PRICE"",""INTRA"",""52W"")-1")</f>
        <v>0.12906432000000001</v>
      </c>
      <c r="S9" s="3" cm="1">
        <f t="array" ref="S9">_xll.FDS(C9,"FG_TOTAL_RETURNC(0,-12AM)")</f>
        <v>8.5643650000000004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28.499999999999996</v>
      </c>
      <c r="X9" s="4" cm="1">
        <f t="array" ref="X9">_xlfn.PERCENTRANK.EXC(_xlfn._xlws.FILTER($P$3:$P$15, ISNUMBER($P$3:$P$15)),P9)*100</f>
        <v>21.4</v>
      </c>
      <c r="Y9" s="200" cm="1">
        <f t="array" ref="Y9">_xlfn.PERCENTRANK.EXC(_xlfn._xlws.FILTER($S$3:$S$15, ISNUMBER($S$3:$S$15)),S9)*100</f>
        <v>21.4</v>
      </c>
      <c r="Z9" s="4" cm="1">
        <f t="array" ref="Z9">_xlfn.PERCENTRANK.EXC(_xlfn._xlws.FILTER($K$3:$K$15, ISNUMBER($K$3:$K$15)),K9)*100</f>
        <v>21.4</v>
      </c>
      <c r="AA9" s="4" cm="1">
        <f t="array" ref="AA9">_xlfn.PERCENTRANK.EXC(_xlfn._xlws.FILTER($H$3:$H$15, ISNUMBER($H$3:$H$15)),H9)*100</f>
        <v>71.399999999999991</v>
      </c>
      <c r="AB9" s="4" cm="1">
        <f t="array" ref="AB9">_xlfn.PERCENTRANK.EXC(_xlfn._xlws.FILTER($J$3:$J$15, ISNUMBER($J$3:$J$15)),J9)*100</f>
        <v>42.8</v>
      </c>
      <c r="AC9" s="4">
        <f t="shared" si="4"/>
        <v>64.2</v>
      </c>
      <c r="AD9" s="4">
        <f t="shared" si="5"/>
        <v>50</v>
      </c>
      <c r="AE9" s="4">
        <f t="shared" si="6"/>
        <v>64.2</v>
      </c>
      <c r="AF9" s="4">
        <f ca="1">IFERROR('Economic Momentum'!P10,0)</f>
        <v>71.399999999999991</v>
      </c>
      <c r="AG9" s="4">
        <f ca="1">IFERROR('Economic Momentum'!Q10,0)</f>
        <v>57.099999999999994</v>
      </c>
      <c r="AH9" s="4">
        <f t="shared" ca="1" si="7"/>
        <v>52.09</v>
      </c>
      <c r="AJ9" s="3" cm="1">
        <f t="array" aca="1" ref="AJ9" ca="1">_xlfn.PERCENTRANK.EXC(_xlfn._xlws.FILTER($AH$3:$AH$15, ISNUMBER($AH$3:$AH$15)),AH9)*100</f>
        <v>50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1">
        <f>VLOOKUP(C10,'Market Capitalisation'!$C$2:$G$14,5,FALSE)</f>
        <v>53909212</v>
      </c>
      <c r="E10" cm="1">
        <f t="array" ref="E10">_xll.FDS(C10,"FMA_COS_UP(""EPS"",""1M"",+1,0,,,""PORTAGG"",""MEANR"")")</f>
        <v>39</v>
      </c>
      <c r="F10" cm="1">
        <f t="array" ref="F10">_xll.FDS(C10,"FMA_COS_DOWN(""EPS"",""1M"",+1,0,,,""PORTAGG"",""MEANR"")")</f>
        <v>27</v>
      </c>
      <c r="G10" cm="1">
        <f t="array" ref="G10">_xll.FDS(A10,"SIZE(FG_CONSTITUENTS)")</f>
        <v>102</v>
      </c>
      <c r="H10" s="9">
        <f t="shared" si="0"/>
        <v>0.38235294117647056</v>
      </c>
      <c r="I10" s="9">
        <f t="shared" si="1"/>
        <v>0.26470588235294118</v>
      </c>
      <c r="J10" s="9">
        <f t="shared" si="2"/>
        <v>0.11764705882352938</v>
      </c>
      <c r="K10" s="5" cm="1">
        <f t="array" ref="K10">_xll.FDS(A10,"FMA_PCT_ABOVE_MAVG(200,0,,,,""PORTAGG"")")/100</f>
        <v>0.66666666666666696</v>
      </c>
      <c r="L10" s="41" cm="1">
        <f t="array" ref="L10">_xll.FDSB(A10,"PERCENT_CHANGE(FMA_EPS(+1,0,,,,""PORTAGG"",""MEAN""),FMA_EPS(+1,-1AM,,,,""PORTAGG"",""MEAN""))")</f>
        <v>5.0914245072172098E-2</v>
      </c>
      <c r="M10" s="41" cm="1">
        <f t="array" ref="M10">_xll.FDSB(A10,"PERCENT_CHANGE(FMA_EPS(+1,0,,,,""PORTAGG"",""MEAN""),FMA_EPS(+1,-3AM,,,,""PORTAGG"",""MEAN""))")</f>
        <v>0.26660821888466402</v>
      </c>
      <c r="N10" s="3" cm="1">
        <f t="array" ref="N10">_xll.FDS(C10,"FG_TOTAL_RETURNC(0,-1AM)")</f>
        <v>-1.8263459</v>
      </c>
      <c r="O10" s="3" cm="1">
        <f t="array" ref="O10">_xll.FDS(C10,"FG_TOTAL_RETURNC(0,-3AM)")</f>
        <v>10.000669500000001</v>
      </c>
      <c r="P10" s="3" cm="1">
        <f t="array" ref="P10">_xll.FDS(C10,"FG_TOTAL_RETURNC(0,-6AM)")</f>
        <v>21.474695000000001</v>
      </c>
      <c r="Q10" s="9" cm="1">
        <f t="array" ref="Q10">_xll.FDS(C10,"P_PRICE(0)/P_PRICE_HIGH_PR(0,,,USD,,,""PRICE"",""INTRA"",""52W"")")</f>
        <v>0.96884320000000002</v>
      </c>
      <c r="R10" s="9" cm="1">
        <f t="array" ref="R10">_xll.FDS(C10,"P_PRICE(0)/P_PRICE_low_PR(0,,,USD,,,""PRICE"",""INTRA"",""52W"")-1")</f>
        <v>0.40482104000000002</v>
      </c>
      <c r="S10" s="3" cm="1">
        <f t="array" ref="S10">_xll.FDS(C10,"FG_TOTAL_RETURNC(0,-12AM)")</f>
        <v>37.348460000000003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35.699999999999996</v>
      </c>
      <c r="W10" s="4" cm="1">
        <f t="array" ref="W10">_xlfn.PERCENTRANK.EXC(_xlfn._xlws.FILTER($O$3:$O$15, ISNUMBER($O$3:$O$15)),O10)*100</f>
        <v>64.2</v>
      </c>
      <c r="X10" s="4" cm="1">
        <f t="array" ref="X10">_xlfn.PERCENTRANK.EXC(_xlfn._xlws.FILTER($P$3:$P$15, ISNUMBER($P$3:$P$15)),P10)*100</f>
        <v>50</v>
      </c>
      <c r="Y10" s="200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35.699999999999996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85.7</v>
      </c>
      <c r="AC10" s="4">
        <f t="shared" si="4"/>
        <v>57.099999999999994</v>
      </c>
      <c r="AD10" s="4">
        <f t="shared" si="5"/>
        <v>78.5</v>
      </c>
      <c r="AE10" s="4">
        <f t="shared" si="6"/>
        <v>85.7</v>
      </c>
      <c r="AF10" s="4">
        <f ca="1">IFERROR('Economic Momentum'!P11,0)</f>
        <v>85.7</v>
      </c>
      <c r="AG10" s="4">
        <f ca="1">IFERROR('Economic Momentum'!Q11,0)</f>
        <v>64.2</v>
      </c>
      <c r="AH10" s="4">
        <f t="shared" ca="1" si="7"/>
        <v>48.54</v>
      </c>
      <c r="AJ10" s="3" cm="1">
        <f t="array" aca="1" ref="AJ10" ca="1">_xlfn.PERCENTRANK.EXC(_xlfn._xlws.FILTER($AH$3:$AH$15, ISNUMBER($AH$3:$AH$15)),AH10)*100</f>
        <v>42.8</v>
      </c>
      <c r="AK10">
        <f t="shared" si="8"/>
        <v>2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1">
        <f>VLOOKUP(C11,'Market Capitalisation'!$C$2:$G$14,5,FALSE)</f>
        <v>53909212</v>
      </c>
      <c r="E11" cm="1">
        <f t="array" ref="E11">_xll.FDS(C11,"FMA_COS_UP(""EPS"",""1M"",+1,0,,,""PORTAGG"",""MEANR"")")</f>
        <v>180</v>
      </c>
      <c r="F11" cm="1">
        <f t="array" ref="F11">_xll.FDS(C11,"FMA_COS_DOWN(""EPS"",""1M"",+1,0,,,""PORTAGG"",""MEANR"")")</f>
        <v>156</v>
      </c>
      <c r="G11" cm="1">
        <f t="array" ref="G11">_xll.FDS(A11,"SIZE(FG_CONSTITUENTS)")</f>
        <v>504</v>
      </c>
      <c r="H11" s="9">
        <f t="shared" si="0"/>
        <v>0.35714285714285715</v>
      </c>
      <c r="I11" s="9">
        <f t="shared" si="1"/>
        <v>0.30952380952380953</v>
      </c>
      <c r="J11" s="9">
        <f t="shared" si="2"/>
        <v>4.7619047619047616E-2</v>
      </c>
      <c r="K11" s="5" cm="1">
        <f t="array" ref="K11">_xll.FDS(A11,"FMA_PCT_ABOVE_MAVG(200,0,,,,""PORTAGG"")")/100</f>
        <v>0.78243512974051899</v>
      </c>
      <c r="L11" s="41" cm="1">
        <f t="array" ref="L11">_xll.FDSB(A11,"PERCENT_CHANGE(FMA_EPS(+1,0,,,,""PORTAGG"",""MEAN""),FMA_EPS(+1,-1AM,,,,""PORTAGG"",""MEAN""))")</f>
        <v>-0.223682852506911</v>
      </c>
      <c r="M11" s="41" cm="1">
        <f t="array" ref="M11">_xll.FDSB(A11,"PERCENT_CHANGE(FMA_EPS(+1,0,,,,""PORTAGG"",""MEAN""),FMA_EPS(+1,-3AM,,,,""PORTAGG"",""MEAN""))")</f>
        <v>-0.22144348322083801</v>
      </c>
      <c r="N11" s="3" cm="1">
        <f t="array" ref="N11">_xll.FDS(C11,"FG_TOTAL_RETURNC(0,-1AM)")</f>
        <v>0.46360493000000003</v>
      </c>
      <c r="O11" s="3" cm="1">
        <f t="array" ref="O11">_xll.FDS(C11,"FG_TOTAL_RETURNC(0,-3AM)")</f>
        <v>10.1427555</v>
      </c>
      <c r="P11" s="3" cm="1">
        <f t="array" ref="P11">_xll.FDS(C11,"FG_TOTAL_RETURNC(0,-6AM)")</f>
        <v>21.689188000000001</v>
      </c>
      <c r="Q11" s="9" cm="1">
        <f t="array" ref="Q11">_xll.FDS(C11,"P_PRICE(0)/P_PRICE_HIGH_PR(0,,,USD,,,""PRICE"",""INTRA"",""52W"")")</f>
        <v>0.9780027</v>
      </c>
      <c r="R11" s="9" cm="1">
        <f t="array" ref="R11">_xll.FDS(C11,"P_PRICE(0)/P_PRICE_low_PR(0,,,USD,,,""PRICE"",""INTRA"",""52W"")-1")</f>
        <v>0.27079308000000002</v>
      </c>
      <c r="S11" s="3" cm="1">
        <f t="array" ref="S11">_xll.FDS(C11,"FG_TOTAL_RETURNC(0,-12AM)")</f>
        <v>27.375136999999999</v>
      </c>
      <c r="T11" s="4" cm="1">
        <f t="array" ref="T11">_xlfn.PERCENTRANK.EXC(_xlfn._xlws.FILTER($R$3:$R$15, ISNUMBER($R$3:$R$15)),R11)*100</f>
        <v>64.2</v>
      </c>
      <c r="U11" s="4">
        <f t="shared" si="3"/>
        <v>35.799999999999997</v>
      </c>
      <c r="V11" s="4" cm="1">
        <f t="array" ref="V11">_xlfn.PERCENTRANK.EXC(_xlfn._xlws.FILTER($Q$3:$Q$15, ISNUMBER($Q$3:$Q$15)),Q11)*100</f>
        <v>64.2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64.2</v>
      </c>
      <c r="Y11" s="200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57.099999999999994</v>
      </c>
      <c r="AC11" s="4">
        <f t="shared" si="4"/>
        <v>42.8</v>
      </c>
      <c r="AD11" s="4">
        <f t="shared" si="5"/>
        <v>64.2</v>
      </c>
      <c r="AE11" s="4">
        <f t="shared" si="6"/>
        <v>85.7</v>
      </c>
      <c r="AF11" s="4">
        <f ca="1">IFERROR('Economic Momentum'!P12,0)</f>
        <v>85.7</v>
      </c>
      <c r="AG11" s="4">
        <f ca="1">IFERROR('Economic Momentum'!Q12,0)</f>
        <v>64.2</v>
      </c>
      <c r="AH11" s="4">
        <f t="shared" ca="1" si="7"/>
        <v>66.36</v>
      </c>
      <c r="AJ11" s="3" cm="1">
        <f t="array" aca="1" ref="AJ11" ca="1">_xlfn.PERCENTRANK.EXC(_xlfn._xlws.FILTER($AH$3:$AH$15, ISNUMBER($AH$3:$AH$15)),AH11)*100</f>
        <v>71.399999999999991</v>
      </c>
      <c r="AK11">
        <f t="shared" si="8"/>
        <v>3</v>
      </c>
      <c r="AM11" s="4"/>
    </row>
    <row r="12" spans="1:39" x14ac:dyDescent="0.35">
      <c r="A12" t="s">
        <v>863</v>
      </c>
      <c r="B12" t="str" cm="1">
        <f t="array" ref="B12">_xll.FDS(A12,"FG_COMPANY_NAME")</f>
        <v>iShares MSCI France ETF</v>
      </c>
      <c r="C12" t="s">
        <v>863</v>
      </c>
      <c r="D12" s="141">
        <f>VLOOKUP(C12,'Market Capitalisation'!$C$2:$G$14,5,FALSE)</f>
        <v>3436206.5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30</v>
      </c>
      <c r="G12" cm="1">
        <f t="array" ref="G12">_xll.FDS(A12,"SIZE(FG_CONSTITUENTS)")</f>
        <v>63</v>
      </c>
      <c r="H12" s="9">
        <f t="shared" ref="H12:H15" si="9">E12/$G12</f>
        <v>0.33333333333333331</v>
      </c>
      <c r="I12" s="9">
        <f t="shared" ref="I12:I15" si="10">F12/$G12</f>
        <v>0.47619047619047616</v>
      </c>
      <c r="J12" s="9">
        <f t="shared" ref="J12:J15" si="11">H12-I12</f>
        <v>-0.14285714285714285</v>
      </c>
      <c r="K12" s="5" cm="1">
        <f t="array" ref="K12">_xll.FDS(A12,"FMA_PCT_ABOVE_MAVG(200,0,,,,""PORTAGG"")")/100</f>
        <v>0.73015873015873001</v>
      </c>
      <c r="L12" s="41" cm="1">
        <f t="array" ref="L12">_xll.FDSB(A12,"PERCENT_CHANGE(FMA_EPS(+1,0,,,,""PORTAGG"",""MEAN""),FMA_EPS(+1,-1AM,,,,""PORTAGG"",""MEAN""))")</f>
        <v>-0.59121323365638401</v>
      </c>
      <c r="M12" s="41" cm="1">
        <f t="array" ref="M12">_xll.FDSB(A12,"PERCENT_CHANGE(FMA_EPS(+1,0,,,,""PORTAGG"",""MEAN""),FMA_EPS(+1,-3AM,,,,""PORTAGG"",""MEAN""))")</f>
        <v>-4.4537812458776402</v>
      </c>
      <c r="N12" s="3" cm="1">
        <f t="array" ref="N12">_xll.FDS(C12,"FG_TOTAL_RETURNC(0,-1AM)")</f>
        <v>0.96606015999999995</v>
      </c>
      <c r="O12" s="3" cm="1">
        <f t="array" ref="O12">_xll.FDS(C12,"FG_TOTAL_RETURNC(0,-3AM)")</f>
        <v>6.6457269999999999</v>
      </c>
      <c r="P12" s="3" cm="1">
        <f t="array" ref="P12">_xll.FDS(C12,"FG_TOTAL_RETURNC(0,-6AM)")</f>
        <v>17.753934999999998</v>
      </c>
      <c r="Q12" s="9" cm="1">
        <f t="array" ref="Q12">_xll.FDS(C12,"P_PRICE(0)/P_PRICE_HIGH_PR(0,,,USD,,,""PRICE"",""INTRA"",""52W"")")</f>
        <v>0.97337309999999999</v>
      </c>
      <c r="R12" s="9" cm="1">
        <f t="array" ref="R12">_xll.FDS(C12,"P_PRICE(0)/P_PRICE_low_PR(0,,,USD,,,""PRICE"",""INTRA"",""52W"")-1")</f>
        <v>0.21093285000000001</v>
      </c>
      <c r="S12" s="3" cm="1">
        <f t="array" ref="S12">_xll.FDS(C12,"FG_TOTAL_RETURNC(0,-12AM)")</f>
        <v>9.6539970000000004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42.8</v>
      </c>
      <c r="W12" s="4" cm="1">
        <f t="array" ref="W12">_xlfn.PERCENTRANK.EXC(_xlfn._xlws.FILTER($O$3:$O$15, ISNUMBER($O$3:$O$15)),O12)*100</f>
        <v>50</v>
      </c>
      <c r="X12" s="4" cm="1">
        <f t="array" ref="X12">_xlfn.PERCENTRANK.EXC(_xlfn._xlws.FILTER($P$3:$P$15, ISNUMBER($P$3:$P$15)),P12)*100</f>
        <v>28.499999999999996</v>
      </c>
      <c r="Y12" s="200" cm="1">
        <f t="array" ref="Y12">_xlfn.PERCENTRANK.EXC(_xlfn._xlws.FILTER($S$3:$S$15, ISNUMBER($S$3:$S$15)),S12)*100</f>
        <v>28.499999999999996</v>
      </c>
      <c r="Z12" s="4" cm="1">
        <f t="array" ref="Z12">_xlfn.PERCENTRANK.EXC(_xlfn._xlws.FILTER($K$3:$K$15, ISNUMBER($K$3:$K$15)),K12)*100</f>
        <v>64.2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14.2</v>
      </c>
      <c r="AC12" s="4">
        <f t="shared" si="4"/>
        <v>28.499999999999996</v>
      </c>
      <c r="AD12" s="4">
        <f t="shared" si="5"/>
        <v>28.499999999999996</v>
      </c>
      <c r="AE12" s="4">
        <f t="shared" si="6"/>
        <v>71.399999999999991</v>
      </c>
      <c r="AF12" s="4">
        <f ca="1">IFERROR('Economic Momentum'!P13,0)</f>
        <v>21.4</v>
      </c>
      <c r="AG12" s="4">
        <f ca="1">IFERROR('Economic Momentum'!Q13,0)</f>
        <v>78.5</v>
      </c>
      <c r="AH12" s="4">
        <f t="shared" ca="1" si="7"/>
        <v>40.67</v>
      </c>
      <c r="AJ12" s="3" cm="1">
        <f t="array" aca="1" ref="AJ12" ca="1">_xlfn.PERCENTRANK.EXC(_xlfn._xlws.FILTER($AH$3:$AH$15, ISNUMBER($AH$3:$AH$15)),AH12)*100</f>
        <v>28.499999999999996</v>
      </c>
      <c r="AK12">
        <f t="shared" si="8"/>
        <v>0</v>
      </c>
    </row>
    <row r="13" spans="1:39" x14ac:dyDescent="0.35">
      <c r="A13" t="s">
        <v>865</v>
      </c>
      <c r="B13" t="str" cm="1">
        <f t="array" ref="B13">_xll.FDS(A13,"FG_COMPANY_NAME")</f>
        <v>iShares MSCI Netherlands ETF</v>
      </c>
      <c r="C13" t="s">
        <v>865</v>
      </c>
      <c r="D13" s="141">
        <f>VLOOKUP(C13,'Market Capitalisation'!$C$2:$G$14,5,FALSE)</f>
        <v>1152263.1000000001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27</v>
      </c>
      <c r="G13" cm="1">
        <f t="array" ref="G13">_xll.FDS(A13,"SIZE(FG_CONSTITUENTS)")</f>
        <v>55</v>
      </c>
      <c r="H13" s="9">
        <f t="shared" si="9"/>
        <v>0.30909090909090908</v>
      </c>
      <c r="I13" s="9">
        <f t="shared" si="10"/>
        <v>0.49090909090909091</v>
      </c>
      <c r="J13" s="9">
        <f t="shared" si="11"/>
        <v>-0.18181818181818182</v>
      </c>
      <c r="K13" s="5" cm="1">
        <f t="array" ref="K13">_xll.FDS(A13,"FMA_PCT_ABOVE_MAVG(200,0,,,,""PORTAGG"")")/100</f>
        <v>0.62962962962962998</v>
      </c>
      <c r="L13" s="41" cm="1">
        <f t="array" ref="L13">_xll.FDSB(A13,"PERCENT_CHANGE(FMA_EPS(+1,0,,,,""PORTAGG"",""MEAN""),FMA_EPS(+1,-1AM,,,,""PORTAGG"",""MEAN""))")</f>
        <v>-8.7074386183455602E-2</v>
      </c>
      <c r="M13" s="41" cm="1">
        <f t="array" ref="M13">_xll.FDSB(A13,"PERCENT_CHANGE(FMA_EPS(+1,0,,,,""PORTAGG"",""MEAN""),FMA_EPS(+1,-3AM,,,,""PORTAGG"",""MEAN""))")</f>
        <v>0.82963347019366995</v>
      </c>
      <c r="N13" s="3" cm="1">
        <f t="array" ref="N13">_xll.FDS(C13,"FG_TOTAL_RETURNC(0,-1AM)")</f>
        <v>1.5689611000000001</v>
      </c>
      <c r="O13" s="3" cm="1">
        <f t="array" ref="O13">_xll.FDS(C13,"FG_TOTAL_RETURNC(0,-3AM)")</f>
        <v>14.631880000000001</v>
      </c>
      <c r="P13" s="3" cm="1">
        <f t="array" ref="P13">_xll.FDS(C13,"FG_TOTAL_RETURNC(0,-6AM)")</f>
        <v>32.084200000000003</v>
      </c>
      <c r="Q13" s="9" cm="1">
        <f t="array" ref="Q13">_xll.FDS(C13,"P_PRICE(0)/P_PRICE_HIGH_PR(0,,,USD,,,""PRICE"",""INTRA"",""52W"")")</f>
        <v>0.97813123000000002</v>
      </c>
      <c r="R13" s="9" cm="1">
        <f t="array" ref="R13">_xll.FDS(C13,"P_PRICE(0)/P_PRICE_low_PR(0,,,USD,,,""PRICE"",""INTRA"",""52W"")-1")</f>
        <v>0.35574531999999998</v>
      </c>
      <c r="S13" s="3" cm="1">
        <f t="array" ref="S13">_xll.FDS(C13,"FG_TOTAL_RETURNC(0,-12AM)")</f>
        <v>18.139469999999999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71.399999999999991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92.800000000000011</v>
      </c>
      <c r="Y13" s="200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21.4</v>
      </c>
      <c r="AB13" s="4" cm="1">
        <f t="array" ref="AB13">_xlfn.PERCENTRANK.EXC(_xlfn._xlws.FILTER($J$3:$J$15, ISNUMBER($J$3:$J$15)),J13)*100</f>
        <v>7.1</v>
      </c>
      <c r="AC13" s="4">
        <f t="shared" si="4"/>
        <v>50</v>
      </c>
      <c r="AD13" s="4">
        <f t="shared" si="5"/>
        <v>85.7</v>
      </c>
      <c r="AE13" s="4">
        <f t="shared" si="6"/>
        <v>28.499999999999996</v>
      </c>
      <c r="AF13" s="4">
        <f ca="1">IFERROR('Economic Momentum'!P14,0)</f>
        <v>57.099999999999994</v>
      </c>
      <c r="AG13" s="4">
        <f ca="1">IFERROR('Economic Momentum'!Q14,0)</f>
        <v>92.800000000000011</v>
      </c>
      <c r="AH13" s="4">
        <f t="shared" ca="1" si="7"/>
        <v>84.240000000000009</v>
      </c>
      <c r="AJ13" s="3" cm="1">
        <f t="array" aca="1" ref="AJ13" ca="1">_xlfn.PERCENTRANK.EXC(_xlfn._xlws.FILTER($AH$3:$AH$15, ISNUMBER($AH$3:$AH$15)),AH13)*100</f>
        <v>92.800000000000011</v>
      </c>
      <c r="AK13">
        <f t="shared" si="8"/>
        <v>3</v>
      </c>
    </row>
    <row r="14" spans="1:39" x14ac:dyDescent="0.35">
      <c r="A14" t="s">
        <v>862</v>
      </c>
      <c r="B14" t="str" cm="1">
        <f t="array" ref="B14">_xll.FDS(A14,"FG_COMPANY_NAME")</f>
        <v>iShares MSCI Sweden ETF</v>
      </c>
      <c r="C14" t="s">
        <v>862</v>
      </c>
      <c r="D14" s="141">
        <f>VLOOKUP(C14,'Market Capitalisation'!$C$2:$G$14,5,FALSE)</f>
        <v>1048298.5</v>
      </c>
      <c r="E14" cm="1">
        <f t="array" ref="E14">_xll.FDS(C14,"FMA_COS_UP(""EPS"",""1M"",+1,0,,,""PORTAGG"",""MEANR"")")</f>
        <v>14</v>
      </c>
      <c r="F14" cm="1">
        <f t="array" ref="F14">_xll.FDS(C14,"FMA_COS_DOWN(""EPS"",""1M"",+1,0,,,""PORTAGG"",""MEANR"")")</f>
        <v>13</v>
      </c>
      <c r="G14" cm="1">
        <f t="array" ref="G14">_xll.FDS(A14,"SIZE(FG_CONSTITUENTS)")</f>
        <v>44</v>
      </c>
      <c r="H14" s="9">
        <f t="shared" si="9"/>
        <v>0.31818181818181818</v>
      </c>
      <c r="I14" s="9">
        <f t="shared" si="10"/>
        <v>0.29545454545454547</v>
      </c>
      <c r="J14" s="9">
        <f t="shared" si="11"/>
        <v>2.2727272727272707E-2</v>
      </c>
      <c r="K14" s="5" cm="1">
        <f t="array" ref="K14">_xll.FDS(A14,"FMA_PCT_ABOVE_MAVG(200,0,,,,""PORTAGG"")")/100</f>
        <v>0.93023255813953498</v>
      </c>
      <c r="L14" s="41" cm="1">
        <f t="array" ref="L14">_xll.FDSB(A14,"PERCENT_CHANGE(FMA_EPS(+1,0,,,,""PORTAGG"",""MEAN""),FMA_EPS(+1,-1AM,,,,""PORTAGG"",""MEAN""))")</f>
        <v>0.42685972477884299</v>
      </c>
      <c r="M14" s="41" cm="1">
        <f t="array" ref="M14">_xll.FDSB(A14,"PERCENT_CHANGE(FMA_EPS(+1,0,,,,""PORTAGG"",""MEAN""),FMA_EPS(+1,-3AM,,,,""PORTAGG"",""MEAN""))")</f>
        <v>-3.11421002630814</v>
      </c>
      <c r="N14" s="3" cm="1">
        <f t="array" ref="N14">_xll.FDS(C14,"FG_TOTAL_RETURNC(0,-1AM)")</f>
        <v>0.75911282999999996</v>
      </c>
      <c r="O14" s="3" cm="1">
        <f t="array" ref="O14">_xll.FDS(C14,"FG_TOTAL_RETURNC(0,-3AM)")</f>
        <v>4.7619103999999997</v>
      </c>
      <c r="P14" s="3" cm="1">
        <f t="array" ref="P14">_xll.FDS(C14,"FG_TOTAL_RETURNC(0,-6AM)")</f>
        <v>26.915465999999999</v>
      </c>
      <c r="Q14" s="9" cm="1">
        <f t="array" ref="Q14">_xll.FDS(C14,"P_PRICE(0)/P_PRICE_HIGH_PR(0,,,USD,,,""PRICE"",""INTRA"",""52W"")")</f>
        <v>0.95813280000000001</v>
      </c>
      <c r="R14" s="9" cm="1">
        <f t="array" ref="R14">_xll.FDS(C14,"P_PRICE(0)/P_PRICE_low_PR(0,,,USD,,,""PRICE"",""INTRA"",""52W"")-1")</f>
        <v>0.29770243000000002</v>
      </c>
      <c r="S14" s="3" cm="1">
        <f t="array" ref="S14">_xll.FDS(C14,"FG_TOTAL_RETURNC(0,-12AM)")</f>
        <v>13.975763000000001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35.699999999999996</v>
      </c>
      <c r="X14" s="4" cm="1">
        <f t="array" ref="X14">_xlfn.PERCENTRANK.EXC(_xlfn._xlws.FILTER($P$3:$P$15, ISNUMBER($P$3:$P$15)),P14)*100</f>
        <v>78.5</v>
      </c>
      <c r="Y14" s="200" cm="1">
        <f t="array" ref="Y14">_xlfn.PERCENTRANK.EXC(_xlfn._xlws.FILTER($S$3:$S$15, ISNUMBER($S$3:$S$15)),S14)*100</f>
        <v>57.099999999999994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28.499999999999996</v>
      </c>
      <c r="AB14" s="4" cm="1">
        <f t="array" ref="AB14">_xlfn.PERCENTRANK.EXC(_xlfn._xlws.FILTER($J$3:$J$15, ISNUMBER($J$3:$J$15)),J14)*100</f>
        <v>50</v>
      </c>
      <c r="AC14" s="4">
        <f t="shared" si="4"/>
        <v>78.5</v>
      </c>
      <c r="AD14" s="4">
        <f t="shared" si="5"/>
        <v>42.8</v>
      </c>
      <c r="AE14" s="4">
        <f t="shared" si="6"/>
        <v>21.4</v>
      </c>
      <c r="AF14" s="4">
        <f ca="1">IFERROR('Economic Momentum'!P15,0)</f>
        <v>50</v>
      </c>
      <c r="AG14" s="4">
        <f ca="1">IFERROR('Economic Momentum'!Q15,0)</f>
        <v>35.699999999999996</v>
      </c>
      <c r="AH14" s="4">
        <f t="shared" ca="1" si="7"/>
        <v>42.82</v>
      </c>
      <c r="AJ14" s="3" cm="1">
        <f t="array" aca="1" ref="AJ14" ca="1">_xlfn.PERCENTRANK.EXC(_xlfn._xlws.FILTER($AH$3:$AH$15, ISNUMBER($AH$3:$AH$15)),AH14)*100</f>
        <v>35.699999999999996</v>
      </c>
      <c r="AK14">
        <f t="shared" si="8"/>
        <v>2</v>
      </c>
    </row>
    <row r="15" spans="1:39" x14ac:dyDescent="0.35">
      <c r="A15" t="s">
        <v>864</v>
      </c>
      <c r="B15" t="str" cm="1">
        <f t="array" ref="B15">_xll.FDS(A15,"FG_COMPANY_NAME")</f>
        <v>iShares MSCI Italy ETF</v>
      </c>
      <c r="C15" t="s">
        <v>864</v>
      </c>
      <c r="D15" s="141">
        <f>VLOOKUP(C15,'Market Capitalisation'!$C$2:$G$14,5,FALSE)</f>
        <v>894254.8</v>
      </c>
      <c r="E15" cm="1">
        <f t="array" ref="E15">_xll.FDS(C15,"FMA_COS_UP(""EPS"",""1M"",+1,0,,,""PORTAGG"",""MEANR"")")</f>
        <v>13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26</v>
      </c>
      <c r="H15" s="9">
        <f t="shared" si="9"/>
        <v>0.5</v>
      </c>
      <c r="I15" s="9">
        <f t="shared" si="10"/>
        <v>0.30769230769230771</v>
      </c>
      <c r="J15" s="9">
        <f t="shared" si="11"/>
        <v>0.19230769230769229</v>
      </c>
      <c r="K15" s="5" cm="1">
        <f t="array" ref="K15">_xll.FDS(A15,"FMA_PCT_ABOVE_MAVG(200,0,,,,""PORTAGG"")")/100</f>
        <v>0.68</v>
      </c>
      <c r="L15" s="41" cm="1">
        <f t="array" ref="L15">_xll.FDSB(A15,"PERCENT_CHANGE(FMA_EPS(+1,0,,,,""PORTAGG"",""MEAN""),FMA_EPS(+1,-1AM,,,,""PORTAGG"",""MEAN""))")</f>
        <v>-0.25226481663394801</v>
      </c>
      <c r="M15" s="41" cm="1">
        <f t="array" ref="M15">_xll.FDSB(A15,"PERCENT_CHANGE(FMA_EPS(+1,0,,,,""PORTAGG"",""MEAN""),FMA_EPS(+1,-3AM,,,,""PORTAGG"",""MEAN""))")</f>
        <v>1.8331139899348701</v>
      </c>
      <c r="N15" s="3" cm="1">
        <f t="array" ref="N15">_xll.FDS(C15,"FG_TOTAL_RETURNC(0,-1AM)")</f>
        <v>3.1737327999999998</v>
      </c>
      <c r="O15" s="3" cm="1">
        <f t="array" ref="O15">_xll.FDS(C15,"FG_TOTAL_RETURNC(0,-3AM)")</f>
        <v>10.461997999999999</v>
      </c>
      <c r="P15" s="3" cm="1">
        <f t="array" ref="P15">_xll.FDS(C15,"FG_TOTAL_RETURNC(0,-6AM)")</f>
        <v>27.341557000000002</v>
      </c>
      <c r="Q15" s="9" cm="1">
        <f t="array" ref="Q15">_xll.FDS(C15,"P_PRICE(0)/P_PRICE_HIGH_PR(0,,,USD,,,""PRICE"",""INTRA"",""52W"")")</f>
        <v>0.97629089999999996</v>
      </c>
      <c r="R15" s="9" cm="1">
        <f t="array" ref="R15">_xll.FDS(C15,"P_PRICE(0)/P_PRICE_low_PR(0,,,USD,,,""PRICE"",""INTRA"",""52W"")-1")</f>
        <v>0.27727044000000001</v>
      </c>
      <c r="S15" s="3" cm="1">
        <f t="array" ref="S15">_xll.FDS(C15,"FG_TOTAL_RETURNC(0,-12AM)")</f>
        <v>25.484252999999999</v>
      </c>
      <c r="T15" s="4" cm="1">
        <f t="array" ref="T15">_xlfn.PERCENTRANK.EXC(_xlfn._xlws.FILTER($R$3:$R$15, ISNUMBER($R$3:$R$15)),R15)*100</f>
        <v>71.399999999999991</v>
      </c>
      <c r="U15" s="4">
        <f t="shared" si="12"/>
        <v>28.600000000000009</v>
      </c>
      <c r="V15" s="4" cm="1">
        <f t="array" ref="V15">_xlfn.PERCENTRANK.EXC(_xlfn._xlws.FILTER($Q$3:$Q$15, ISNUMBER($Q$3:$Q$15)),Q15)*100</f>
        <v>57.099999999999994</v>
      </c>
      <c r="W15" s="4" cm="1">
        <f t="array" ref="W15">_xlfn.PERCENTRANK.EXC(_xlfn._xlws.FILTER($O$3:$O$15, ISNUMBER($O$3:$O$15)),O15)*100</f>
        <v>78.5</v>
      </c>
      <c r="X15" s="4" cm="1">
        <f t="array" ref="X15">_xlfn.PERCENTRANK.EXC(_xlfn._xlws.FILTER($P$3:$P$15, ISNUMBER($P$3:$P$15)),P15)*100</f>
        <v>85.7</v>
      </c>
      <c r="Y15" s="200" cm="1">
        <f t="array" ref="Y15">_xlfn.PERCENTRANK.EXC(_xlfn._xlws.FILTER($S$3:$S$15, ISNUMBER($S$3:$S$15)),S15)*100</f>
        <v>78.5</v>
      </c>
      <c r="Z15" s="4" cm="1">
        <f t="array" ref="Z15">_xlfn.PERCENTRANK.EXC(_xlfn._xlws.FILTER($K$3:$K$15, ISNUMBER($K$3:$K$15)),K15)*100</f>
        <v>42.8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4"/>
        <v>35.699999999999996</v>
      </c>
      <c r="AD15" s="4">
        <f t="shared" si="5"/>
        <v>92.800000000000011</v>
      </c>
      <c r="AE15" s="4">
        <f t="shared" si="6"/>
        <v>14.2</v>
      </c>
      <c r="AF15" s="4">
        <f ca="1">IFERROR('Economic Momentum'!P16,0)</f>
        <v>78.5</v>
      </c>
      <c r="AG15" s="4">
        <f ca="1">IFERROR('Economic Momentum'!Q16,0)</f>
        <v>85.7</v>
      </c>
      <c r="AH15" s="4">
        <f t="shared" ca="1" si="7"/>
        <v>72.099999999999994</v>
      </c>
      <c r="AJ15" s="3" cm="1">
        <f t="array" aca="1" ref="AJ15" ca="1">_xlfn.PERCENTRANK.EXC(_xlfn._xlws.FILTER($AH$3:$AH$15, ISNUMBER($AH$3:$AH$15)),AH15)*100</f>
        <v>85.7</v>
      </c>
      <c r="AK15">
        <f t="shared" si="8"/>
        <v>5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777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421</v>
      </c>
      <c r="F18" cm="1">
        <f t="array" ref="F18">_xll.FDS(C18,"FMA_COS_DOWN(""EPS"",""1M"",+1,0,,,""PORTAGG"",""MEANR"")")</f>
        <v>558</v>
      </c>
      <c r="G18" cm="1">
        <f t="array" ref="G18">_xll.FDS(A18,"SIZE(FG_CONSTITUENTS)")</f>
        <v>1296</v>
      </c>
      <c r="H18" s="9">
        <f>E18/$G18</f>
        <v>0.32484567901234568</v>
      </c>
      <c r="I18" s="9">
        <f>F18/$G18</f>
        <v>0.43055555555555558</v>
      </c>
      <c r="J18" s="9">
        <f t="shared" ref="J18" si="13">H18-I18</f>
        <v>-0.1057098765432099</v>
      </c>
      <c r="K18" s="5" cm="1">
        <f t="array" ref="K18">_xll.FDS(A18,"FMA_PCT_ABOVE_MAVG(200,0,,,,""PORTAGG"")")/100</f>
        <v>0.584313725490196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-3.9303138975959699</v>
      </c>
      <c r="N18" s="3" cm="1">
        <f t="array" ref="N18">_xll.FDS(C18,"FG_TOTAL_RETURNC(0,-1AM)")</f>
        <v>1.9485950000000001</v>
      </c>
      <c r="O18" s="3" cm="1">
        <f t="array" ref="O18">_xll.FDS(C18,"FG_TOTAL_RETURNC(0,-3AM)")</f>
        <v>5.4651737000000002</v>
      </c>
      <c r="P18" s="3" cm="1">
        <f t="array" ref="P18">_xll.FDS(C18,"FG_TOTAL_RETURNC(0,-6AM)")</f>
        <v>19.138062000000001</v>
      </c>
      <c r="Q18" s="9" cm="1">
        <f t="array" ref="Q18">_xll.FDS(C18,"P_PRICE(0)/P_PRICE_HIGH_PR(0,,,USD,,,""PRICE"",""INTRA"",""52W"")")</f>
        <v>0.98244315000000004</v>
      </c>
      <c r="R18" s="9" cm="1">
        <f t="array" ref="R18">_xll.FDS(C18,"P_PRICE(0)/P_PRICE_low_PR(0,,,USD,,,""PRICE"",""INTRA"",""52W"")-1")</f>
        <v>0.20940780000000001</v>
      </c>
      <c r="S18" s="3" cm="1">
        <f t="array" ref="S18">_xll.FDS(C18,"FG_TOTAL_RETURNC(0,-12AM)")</f>
        <v>12.320983999999999</v>
      </c>
      <c r="W18" s="4"/>
      <c r="X18" s="4"/>
      <c r="Y18" s="200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747</v>
      </c>
      <c r="C19" t="str">
        <f>A19</f>
        <v>VWO</v>
      </c>
      <c r="E19" cm="1">
        <f t="array" ref="E19">_xll.FDS(C19,"FMA_COS_UP(""EPS"",""1M"",+1,0,,,""PORTAGG"",""MEANR"")")</f>
        <v>724</v>
      </c>
      <c r="F19" cm="1">
        <f t="array" ref="F19">_xll.FDS(C19,"FMA_COS_DOWN(""EPS"",""1M"",+1,0,,,""PORTAGG"",""MEANR"")")</f>
        <v>1127</v>
      </c>
      <c r="G19" cm="1">
        <f t="array" ref="G19">_xll.FDS(A19,"SIZE(FG_CONSTITUENTS)")</f>
        <v>4715</v>
      </c>
      <c r="H19" s="9">
        <f>E19/$G19</f>
        <v>0.15355249204665961</v>
      </c>
      <c r="I19" s="9">
        <f>F19/$G19</f>
        <v>0.23902439024390243</v>
      </c>
      <c r="J19" s="9">
        <f t="shared" ref="J19" si="14">H19-I19</f>
        <v>-8.5471898197242824E-2</v>
      </c>
      <c r="K19" s="5" cm="1">
        <f t="array" ref="K19">_xll.FDS(A19,"FMA_PCT_ABOVE_MAVG(200,0,,,,""PORTAGG"")")/100</f>
        <v>0.40496948561464696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-3.8195452883450098</v>
      </c>
      <c r="N19" s="3" cm="1">
        <f t="array" ref="N19">_xll.FDS(C19,"FG_TOTAL_RETURNC(0,-1AM)")</f>
        <v>1.5189885999999999</v>
      </c>
      <c r="O19" s="3" cm="1">
        <f t="array" ref="O19">_xll.FDS(C19,"FG_TOTAL_RETURNC(0,-3AM)")</f>
        <v>3.9546489999999999</v>
      </c>
      <c r="P19" s="3" cm="1">
        <f t="array" ref="P19">_xll.FDS(C19,"FG_TOTAL_RETURNC(0,-6AM)")</f>
        <v>11.775874999999999</v>
      </c>
      <c r="Q19" s="9" cm="1">
        <f t="array" ref="Q19">_xll.FDS(C19,"P_PRICE(0)/P_PRICE_HIGH_PR(0,,,USD,,,""PRICE"",""INTRA"",""52W"")")</f>
        <v>0.97424599999999995</v>
      </c>
      <c r="R19" s="9" cm="1">
        <f t="array" ref="R19">_xll.FDS(C19,"P_PRICE(0)/P_PRICE_low_PR(0,,,USD,,,""PRICE"",""INTRA"",""52W"")-1")</f>
        <v>0.12107861</v>
      </c>
      <c r="S19" s="3" cm="1">
        <f t="array" ref="S19">_xll.FDS(C19,"FG_TOTAL_RETURNC(0,-12AM)")</f>
        <v>7.172644</v>
      </c>
    </row>
    <row r="20" spans="1:37" x14ac:dyDescent="0.35">
      <c r="A20" t="s">
        <v>778</v>
      </c>
      <c r="B20" t="s">
        <v>779</v>
      </c>
      <c r="C20" t="str">
        <f t="shared" ref="C20" si="15">A20</f>
        <v>URTH</v>
      </c>
      <c r="E20" cm="1">
        <f t="array" ref="E20">_xll.FDS(C20,"FMA_COS_UP(""EPS"",""1M"",+1,0,,,""PORTAGG"",""MEANR"")")</f>
        <v>557</v>
      </c>
      <c r="F20" cm="1">
        <f t="array" ref="F20">_xll.FDS(C20,"FMA_COS_DOWN(""EPS"",""1M"",+1,0,,,""PORTAGG"",""MEANR"")")</f>
        <v>536</v>
      </c>
      <c r="G20" cm="1">
        <f t="array" ref="G20">_xll.FDS(A20,"SIZE(FG_CONSTITUENTS)")</f>
        <v>1469</v>
      </c>
      <c r="H20" s="9">
        <f t="shared" ref="H20" si="16">E20/$G20</f>
        <v>0.37916950306330838</v>
      </c>
      <c r="I20" s="9">
        <f t="shared" ref="I20" si="17">F20/$G20</f>
        <v>0.36487406398910821</v>
      </c>
      <c r="J20" s="9">
        <f t="shared" ref="J20" si="18">H20-I20</f>
        <v>1.4295439074200167E-2</v>
      </c>
      <c r="K20" s="5" cm="1">
        <f t="array" ref="K20">_xll.FDS(A20,"FMA_PCT_ABOVE_MAVG(200,0,,,,""PORTAGG"")")/100</f>
        <v>0.73019125683060093</v>
      </c>
      <c r="L20" s="41" cm="1">
        <f t="array" ref="L20">_xll.FDSB(A20,"PERCENT_CHANGE(FMA_EPS(+1,0,,,,""PORTAGG"",""MEAN""),FMA_EPS(+1,-1AM,,,,""PORTAGG"",""MEAN""))")</f>
        <v>7.4723921059137999E-2</v>
      </c>
      <c r="M20" s="41" cm="1">
        <f t="array" ref="M20">_xll.FDSB(A20,"PERCENT_CHANGE(FMA_EPS(+1,0,,,,""PORTAGG"",""MEAN""),FMA_EPS(+1,-3AM,,,,""PORTAGG"",""MEAN""))")</f>
        <v>-1.1682643650050699</v>
      </c>
      <c r="N20" s="3" cm="1">
        <f t="array" ref="N20">_xll.FDS(C20,"FG_TOTAL_RETURNC(0,-1AM)")</f>
        <v>0.65785645999999998</v>
      </c>
      <c r="O20" s="3" cm="1">
        <f t="array" ref="O20">_xll.FDS(C20,"FG_TOTAL_RETURNC(0,-3AM)")</f>
        <v>8.8752859999999991</v>
      </c>
      <c r="P20" s="3" cm="1">
        <f t="array" ref="P20">_xll.FDS(C20,"FG_TOTAL_RETURNC(0,-6AM)")</f>
        <v>20.953119999999998</v>
      </c>
      <c r="Q20" s="9" cm="1">
        <f t="array" ref="Q20">_xll.FDS(C20,"P_PRICE(0)/P_PRICE_HIGH_PR(0,,,USD,,,""PRICE"",""INTRA"",""52W"")")</f>
        <v>0.98009500000000005</v>
      </c>
      <c r="R20" s="9" cm="1">
        <f t="array" ref="R20">_xll.FDS(C20,"P_PRICE(0)/P_PRICE_low_PR(0,,,USD,,,""PRICE"",""INTRA"",""52W"")-1")</f>
        <v>0.24062776999999999</v>
      </c>
      <c r="S20" s="3" cm="1">
        <f t="array" ref="S20">_xll.FDS(C20,"FG_TOTAL_RETURNC(0,-12AM)")</f>
        <v>23.022402</v>
      </c>
    </row>
    <row r="21" spans="1:37" x14ac:dyDescent="0.35">
      <c r="A21" t="s">
        <v>46</v>
      </c>
      <c r="B21" t="s">
        <v>814</v>
      </c>
      <c r="C21" t="str">
        <f t="shared" ref="C21:C22" si="19">A21</f>
        <v>EWJ</v>
      </c>
      <c r="E21" cm="1">
        <f t="array" ref="E21">_xll.FDS(C21,"FMA_COS_UP(""EPS"",""1M"",+1,0,,,""PORTAGG"",""MEANR"")")</f>
        <v>108</v>
      </c>
      <c r="F21" cm="1">
        <f t="array" ref="F21">_xll.FDS(C21,"FMA_COS_DOWN(""EPS"",""1M"",+1,0,,,""PORTAGG"",""MEANR"")")</f>
        <v>90</v>
      </c>
      <c r="G21" cm="1">
        <f t="array" ref="G21">_xll.FDS(A21,"SIZE(FG_CONSTITUENTS)")</f>
        <v>219</v>
      </c>
      <c r="H21" s="9">
        <f t="shared" ref="H21:H22" si="20">E21/$G21</f>
        <v>0.49315068493150682</v>
      </c>
      <c r="I21" s="9">
        <f t="shared" ref="I21:I22" si="21">F21/$G21</f>
        <v>0.41095890410958902</v>
      </c>
      <c r="J21" s="9">
        <f t="shared" ref="J21:J22" si="22">H21-I21</f>
        <v>8.2191780821917804E-2</v>
      </c>
      <c r="K21" s="5" cm="1">
        <f t="array" ref="K21">_xll.FDS(A21,"FMA_PCT_ABOVE_MAVG(200,0,,,,""PORTAGG"")")/100</f>
        <v>0.6803652968036531</v>
      </c>
      <c r="L21" s="41" cm="1">
        <f t="array" ref="L21">_xll.FDSB(A21,"PERCENT_CHANGE(FMA_EPS(+1,0,,,,""PORTAGG"",""MEAN""),FMA_EPS(+1,-1AM,,,,""PORTAGG"",""MEAN""))")</f>
        <v>1.8835957897557201</v>
      </c>
      <c r="M21" s="41" cm="1">
        <f t="array" ref="M21">_xll.FDSB(A21,"PERCENT_CHANGE(FMA_EPS(+1,0,,,,""PORTAGG"",""MEAN""),FMA_EPS(+1,-3AM,,,,""PORTAGG"",""MEAN""))")</f>
        <v>-0.831345080175099</v>
      </c>
      <c r="N21" s="3" cm="1">
        <f t="array" ref="N21">_xll.FDS(C21,"FG_TOTAL_RETURNC(0,-1AM)")</f>
        <v>-0.35755038</v>
      </c>
      <c r="O21" s="3" cm="1">
        <f t="array" ref="O21">_xll.FDS(C21,"FG_TOTAL_RETURNC(0,-3AM)")</f>
        <v>10.482073</v>
      </c>
      <c r="P21" s="3" cm="1">
        <f t="array" ref="P21">_xll.FDS(C21,"FG_TOTAL_RETURNC(0,-6AM)")</f>
        <v>21.625053000000001</v>
      </c>
      <c r="Q21" s="9" cm="1">
        <f t="array" ref="Q21">_xll.FDS(C21,"P_PRICE(0)/P_PRICE_HIGH_PR(0,,,USD,,,""PRICE"",""INTRA"",""52W"")")</f>
        <v>0.96676605999999998</v>
      </c>
      <c r="R21" s="9" cm="1">
        <f t="array" ref="R21">_xll.FDS(C21,"P_PRICE(0)/P_PRICE_low_PR(0,,,USD,,,""PRICE"",""INTRA"",""52W"")-1")</f>
        <v>0.21800696999999999</v>
      </c>
      <c r="S21" s="3" cm="1">
        <f t="array" ref="S21">_xll.FDS(C21,"FG_TOTAL_RETURNC(0,-12AM)")</f>
        <v>20.717312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180</v>
      </c>
      <c r="F22" cm="1">
        <f t="array" ref="F22">_xll.FDS(C22,"FMA_COS_DOWN(""EPS"",""1M"",+1,0,,,""PORTAGG"",""MEANR"")")</f>
        <v>156</v>
      </c>
      <c r="G22" cm="1">
        <f t="array" ref="G22">_xll.FDS(A22,"SIZE(FG_CONSTITUENTS)")</f>
        <v>504</v>
      </c>
      <c r="H22" s="9">
        <f t="shared" si="20"/>
        <v>0.35714285714285715</v>
      </c>
      <c r="I22" s="9">
        <f t="shared" si="21"/>
        <v>0.30952380952380953</v>
      </c>
      <c r="J22" s="9">
        <f t="shared" si="22"/>
        <v>4.7619047619047616E-2</v>
      </c>
      <c r="K22" s="5" cm="1">
        <f t="array" ref="K22">_xll.FDS(A22,"FMA_PCT_ABOVE_MAVG(200,0,,,,""PORTAGG"")")/100</f>
        <v>0.78243512974051899</v>
      </c>
      <c r="L22" s="41" cm="1">
        <f t="array" ref="L22">_xll.FDSB(A22,"PERCENT_CHANGE(FMA_EPS(+1,0,,,,""PORTAGG"",""MEAN""),FMA_EPS(+1,-1AM,,,,""PORTAGG"",""MEAN""))")</f>
        <v>-0.223682852506911</v>
      </c>
      <c r="M22" s="41" cm="1">
        <f t="array" ref="M22">_xll.FDSB(A22,"PERCENT_CHANGE(FMA_EPS(+1,0,,,,""PORTAGG"",""MEAN""),FMA_EPS(+1,-3AM,,,,""PORTAGG"",""MEAN""))")</f>
        <v>-0.22144348322083801</v>
      </c>
      <c r="N22" s="3" cm="1">
        <f t="array" ref="N22">_xll.FDS(C22,"FG_TOTAL_RETURNC(0,-1AM)")</f>
        <v>0.46360493000000003</v>
      </c>
      <c r="O22" s="3" cm="1">
        <f t="array" ref="O22">_xll.FDS(C22,"FG_TOTAL_RETURNC(0,-3AM)")</f>
        <v>10.1427555</v>
      </c>
      <c r="P22" s="3" cm="1">
        <f t="array" ref="P22">_xll.FDS(C22,"FG_TOTAL_RETURNC(0,-6AM)")</f>
        <v>21.689188000000001</v>
      </c>
      <c r="Q22" s="9" cm="1">
        <f t="array" ref="Q22">_xll.FDS(C22,"P_PRICE(0)/P_PRICE_HIGH_PR(0,,,USD,,,""PRICE"",""INTRA"",""52W"")")</f>
        <v>0.9780027</v>
      </c>
      <c r="R22" s="9" cm="1">
        <f t="array" ref="R22">_xll.FDS(C22,"P_PRICE(0)/P_PRICE_low_PR(0,,,USD,,,""PRICE"",""INTRA"",""52W"")-1")</f>
        <v>0.27079308000000002</v>
      </c>
      <c r="S22" s="3" cm="1">
        <f t="array" ref="S22">_xll.FDS(C22,"FG_TOTAL_RETURNC(0,-12AM)")</f>
        <v>27.375136999999999</v>
      </c>
    </row>
    <row r="23" spans="1:37" x14ac:dyDescent="0.35">
      <c r="A23" t="s">
        <v>893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13</v>
      </c>
      <c r="F23" cm="1">
        <f t="array" ref="F23">_xll.FDS(C23,"FMA_COS_DOWN(""EPS"",""1M"",+1,0,,,""PORTAGG"",""MEANR"")")</f>
        <v>33</v>
      </c>
      <c r="G23" cm="1">
        <f t="array" ref="G23">_xll.FDS(A23,"SIZE(FG_CONSTITUENTS)")</f>
        <v>51</v>
      </c>
      <c r="H23" s="9">
        <f t="shared" ref="H23" si="24">E23/$G23</f>
        <v>0.25490196078431371</v>
      </c>
      <c r="I23" s="9">
        <f t="shared" ref="I23" si="25">F23/$G23</f>
        <v>0.6470588235294118</v>
      </c>
      <c r="J23" s="9">
        <f t="shared" ref="J23" si="26">H23-I23</f>
        <v>-0.39215686274509809</v>
      </c>
      <c r="K23" s="5" cm="1">
        <f t="array" ref="K23">_xll.FDS(A23,"FMA_PCT_ABOVE_MAVG(200,0,,,,""PORTAGG"")")/100</f>
        <v>0.50980392156862697</v>
      </c>
      <c r="L23" s="41" cm="1">
        <f t="array" ref="L23">_xll.FDSB(A23,"PERCENT_CHANGE(FMA_EPS(+1,0,,,,""PORTAGG"",""MEAN""),FMA_EPS(+1,-1AM,,,,""PORTAGG"",""MEAN""))")</f>
        <v>0.79004980181962303</v>
      </c>
      <c r="M23" s="41" cm="1">
        <f t="array" ref="M23">_xll.FDSB(A23,"PERCENT_CHANGE(FMA_EPS(+1,0,,,,""PORTAGG"",""MEAN""),FMA_EPS(+1,-3AM,,,,""PORTAGG"",""MEAN""))")</f>
        <v>-1.5528520262468299</v>
      </c>
      <c r="N23" s="3" cm="1">
        <f t="array" ref="N23">_xll.FDS(C23,"FG_TOTAL_RETURNC(0,-1AM)")</f>
        <v>3.9760589999999998</v>
      </c>
      <c r="O23" s="3" cm="1">
        <f t="array" ref="O23">_xll.FDS(C23,"FG_TOTAL_RETURNC(0,-3AM)")</f>
        <v>4.1095853</v>
      </c>
      <c r="P23" s="3" cm="1">
        <f t="array" ref="P23">_xll.FDS(C23,"FG_TOTAL_RETURNC(0,-6AM)")</f>
        <v>-2.2137760000000002</v>
      </c>
      <c r="Q23" s="9" cm="1">
        <f t="array" ref="Q23">_xll.FDS(C23,"P_PRICE(0)/P_PRICE_HIGH_PR(0,,,USD,,,""PRICE"",""INTRA"",""52W"")")</f>
        <v>0.79633266000000003</v>
      </c>
      <c r="R23" s="9" cm="1">
        <f t="array" ref="R23">_xll.FDS(C23,"P_PRICE(0)/P_PRICE_low_PR(0,,,USD,,,""PRICE"",""INTRA"",""52W"")-1")</f>
        <v>0.16586769000000001</v>
      </c>
      <c r="S23" s="3" cm="1">
        <f t="array" ref="S23">_xll.FDS(C23,"FG_TOTAL_RETURNC(0,-12AM)")</f>
        <v>-14.229697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2" bestFit="1" customWidth="1"/>
    <col min="11" max="11" width="13.453125" style="182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3"/>
      <c r="P3" t="s">
        <v>908</v>
      </c>
      <c r="R3" t="s">
        <v>909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-0.19453715999999999</v>
      </c>
      <c r="E4" s="9">
        <f>HLOOKUP(B4,'Monthly Returns'!$A$1:$Q$134, 132, FALSE)</f>
        <v>0.10743801652892562</v>
      </c>
      <c r="H4" s="9">
        <f>HLOOKUP(B4,'Yearly returns'!$B$1:$N$140, 133, FALSE)</f>
        <v>0.14049586776859505</v>
      </c>
      <c r="I4" s="9">
        <f>HLOOKUP(B4,'Yearly returns'!$B$1:$N$140, 138, FALSE)</f>
        <v>0.188</v>
      </c>
      <c r="J4" s="182">
        <f>1/E4</f>
        <v>9.3076923076923066</v>
      </c>
      <c r="K4" s="184">
        <f>PERCENTRANK($J$4:$J$16,J4)*100</f>
        <v>58.3</v>
      </c>
      <c r="L4" s="47">
        <f>(1-PERCENTRANK($E$4:$E$16,E4))*100</f>
        <v>75</v>
      </c>
      <c r="M4" s="47">
        <f>(1-PERCENTRANK($H$4:$H$16,H4))*100</f>
        <v>50</v>
      </c>
      <c r="N4" s="47">
        <f>(1-PERCENTRANK($I$4:$I$16,I4))*100</f>
        <v>100</v>
      </c>
      <c r="P4">
        <f>L4*Assumption!$E$53 + M4*Assumption!$F$53 + N4*Assumption!$G$53</f>
        <v>81.25</v>
      </c>
      <c r="R4" cm="1">
        <f t="array" ref="R4">_xlfn.PERCENTRANK.EXC(_xlfn._xlws.FILTER(P$4:P$16, ISNUMBER(P$4:P$16)),P4)*100</f>
        <v>85.7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-0.2859894</v>
      </c>
      <c r="E5" s="9">
        <f>HLOOKUP(B5,'Monthly Returns'!$A$1:$Q$134, 132, FALSE)</f>
        <v>0.10743801652892562</v>
      </c>
      <c r="H5" s="9">
        <f>HLOOKUP(B5,'Yearly returns'!$B$1:$N$140, 133, FALSE)</f>
        <v>0.15702479338842976</v>
      </c>
      <c r="I5" s="9">
        <f>HLOOKUP(B5,'Yearly returns'!$B$1:$N$140, 138, FALSE)</f>
        <v>0.64700000000000002</v>
      </c>
      <c r="J5" s="182">
        <f t="shared" ref="J5:J16" si="0">1/E5</f>
        <v>9.3076923076923066</v>
      </c>
      <c r="K5" s="184">
        <f t="shared" ref="K5:K16" si="1">PERCENTRANK($J$4:$J$16,J5)*100</f>
        <v>58.3</v>
      </c>
      <c r="L5" s="47">
        <f t="shared" ref="L5:L16" si="2">(1-PERCENTRANK($E$4:$E$16,E5))*100</f>
        <v>75</v>
      </c>
      <c r="M5" s="47">
        <f t="shared" ref="M5:M16" si="3">(1-PERCENTRANK($H$4:$H$16,H5))*100</f>
        <v>33.4</v>
      </c>
      <c r="N5" s="47">
        <f t="shared" ref="N5:N16" si="4">(1-PERCENTRANK($I$4:$I$16,I5))*100</f>
        <v>75</v>
      </c>
      <c r="P5">
        <f>L5*Assumption!$E$53 + M5*Assumption!$F$53 + N5*Assumption!$G$53</f>
        <v>64.599999999999994</v>
      </c>
      <c r="R5" cm="1">
        <f t="array" ref="R5">_xlfn.PERCENTRANK.EXC(_xlfn._xlws.FILTER(P$4:P$16, ISNUMBER(P$4:P$16)),P5)*100</f>
        <v>71.399999999999991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-0.25864500000000001</v>
      </c>
      <c r="E6" s="9">
        <f>HLOOKUP(B6,'Monthly Returns'!$A$1:$Q$134, 132, FALSE)</f>
        <v>0.10743801652892562</v>
      </c>
      <c r="H6" s="9">
        <f>HLOOKUP(B6,'Yearly returns'!$B$1:$N$140, 133, FALSE)</f>
        <v>0.14049586776859505</v>
      </c>
      <c r="I6" s="9">
        <f>HLOOKUP(B6,'Yearly returns'!$B$1:$N$140, 138, FALSE)</f>
        <v>0.70399999999999996</v>
      </c>
      <c r="J6" s="182">
        <f t="shared" si="0"/>
        <v>9.3076923076923066</v>
      </c>
      <c r="K6" s="184">
        <f t="shared" si="1"/>
        <v>58.3</v>
      </c>
      <c r="L6" s="47">
        <f t="shared" si="2"/>
        <v>75</v>
      </c>
      <c r="M6" s="47">
        <f t="shared" si="3"/>
        <v>50</v>
      </c>
      <c r="N6" s="47">
        <f t="shared" si="4"/>
        <v>33.4</v>
      </c>
      <c r="P6">
        <f>L6*Assumption!$E$53 + M6*Assumption!$F$53 + N6*Assumption!$G$53</f>
        <v>47.95</v>
      </c>
      <c r="R6" cm="1">
        <f t="array" ref="R6">_xlfn.PERCENTRANK.EXC(_xlfn._xlws.FILTER(P$4:P$16, ISNUMBER(P$4:P$16)),P6)*100</f>
        <v>42.8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-0.24668144000000003</v>
      </c>
      <c r="E7" s="9">
        <f>HLOOKUP(B7,'Monthly Returns'!$A$1:$Q$134, 132, FALSE)</f>
        <v>0.1487603305785124</v>
      </c>
      <c r="H7" s="9">
        <f>HLOOKUP(B7,'Yearly returns'!$B$1:$N$140, 133, FALSE)</f>
        <v>0.23140495867768596</v>
      </c>
      <c r="I7" s="9">
        <f>HLOOKUP(B7,'Yearly returns'!$B$1:$N$140, 138, FALSE)</f>
        <v>0.64700000000000002</v>
      </c>
      <c r="J7" s="182">
        <f t="shared" si="0"/>
        <v>6.7222222222222223</v>
      </c>
      <c r="K7" s="184">
        <f t="shared" si="1"/>
        <v>8.3000000000000007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75</v>
      </c>
      <c r="P7">
        <f>L7*Assumption!$E$53 + M7*Assumption!$F$53 + N7*Assumption!$G$53</f>
        <v>41.699999999999996</v>
      </c>
      <c r="R7" cm="1">
        <f t="array" ref="R7">_xlfn.PERCENTRANK.EXC(_xlfn._xlws.FILTER(P$4:P$16, ISNUMBER(P$4:P$16)),P7)*100</f>
        <v>35.699999999999996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-0.13902754000000001</v>
      </c>
      <c r="E8" s="9">
        <f>HLOOKUP(B8,'Monthly Returns'!$A$1:$Q$134, 132, FALSE)</f>
        <v>9.9173553719008267E-2</v>
      </c>
      <c r="H8" s="9">
        <f>HLOOKUP(B8,'Yearly returns'!$B$1:$N$140, 133, FALSE)</f>
        <v>0.11570247933884298</v>
      </c>
      <c r="I8" s="9">
        <f>HLOOKUP(B8,'Yearly returns'!$B$1:$N$140, 138, FALSE)</f>
        <v>0.89300000000000002</v>
      </c>
      <c r="J8" s="182">
        <f t="shared" si="0"/>
        <v>10.083333333333334</v>
      </c>
      <c r="K8" s="184">
        <f t="shared" si="1"/>
        <v>83.3</v>
      </c>
      <c r="L8" s="47">
        <f t="shared" si="2"/>
        <v>83.399999999999991</v>
      </c>
      <c r="M8" s="47">
        <f t="shared" si="3"/>
        <v>58.400000000000006</v>
      </c>
      <c r="N8" s="47">
        <f t="shared" si="4"/>
        <v>8.3999999999999968</v>
      </c>
      <c r="P8">
        <f>L8*Assumption!$E$53 + M8*Assumption!$F$53 + N8*Assumption!$G$53</f>
        <v>39.65</v>
      </c>
      <c r="R8" cm="1">
        <f t="array" ref="R8">_xlfn.PERCENTRANK.EXC(_xlfn._xlws.FILTER(P$4:P$16, ISNUMBER(P$4:P$16)),P8)*100</f>
        <v>28.499999999999996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-0.13881999</v>
      </c>
      <c r="E9" s="9">
        <f>HLOOKUP(B9,'Monthly Returns'!$A$1:$Q$134, 132, FALSE)</f>
        <v>0.11570247933884298</v>
      </c>
      <c r="H9" s="9">
        <f>HLOOKUP(B9,'Yearly returns'!$B$1:$N$140, 133, FALSE)</f>
        <v>8.2644628099173556E-2</v>
      </c>
      <c r="I9" s="9">
        <f>HLOOKUP(B9,'Yearly returns'!$B$1:$N$140, 138, FALSE)</f>
        <v>0.42599999999999999</v>
      </c>
      <c r="J9" s="182">
        <f t="shared" si="0"/>
        <v>8.6428571428571423</v>
      </c>
      <c r="K9" s="184">
        <f t="shared" si="1"/>
        <v>41.6</v>
      </c>
      <c r="L9" s="47">
        <f t="shared" si="2"/>
        <v>50</v>
      </c>
      <c r="M9" s="47">
        <f t="shared" si="3"/>
        <v>91.7</v>
      </c>
      <c r="N9" s="47">
        <f t="shared" si="4"/>
        <v>91.7</v>
      </c>
      <c r="P9">
        <f>L9*Assumption!$E$53 + M9*Assumption!$F$53 + N9*Assumption!$G$53</f>
        <v>81.275000000000006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-0.25651174999999998</v>
      </c>
      <c r="E10" s="9">
        <f>HLOOKUP(B10,'Monthly Returns'!$A$1:$Q$134, 132, FALSE)</f>
        <v>9.0909090909090912E-2</v>
      </c>
      <c r="H10" s="9">
        <f>HLOOKUP(B10,'Yearly returns'!$B$1:$N$140, 133, FALSE)</f>
        <v>0.16528925619834711</v>
      </c>
      <c r="I10" s="9">
        <f>HLOOKUP(B10,'Yearly returns'!$B$1:$N$140, 138, FALSE)</f>
        <v>0.67200000000000004</v>
      </c>
      <c r="J10" s="182">
        <f t="shared" si="0"/>
        <v>11</v>
      </c>
      <c r="K10" s="184">
        <f t="shared" si="1"/>
        <v>91.600000000000009</v>
      </c>
      <c r="L10" s="47">
        <f t="shared" si="2"/>
        <v>100</v>
      </c>
      <c r="M10" s="47">
        <f t="shared" si="3"/>
        <v>25</v>
      </c>
      <c r="N10" s="47">
        <f t="shared" si="4"/>
        <v>58.400000000000006</v>
      </c>
      <c r="P10">
        <f>L10*Assumption!$E$53 + M10*Assumption!$F$53 + N10*Assumption!$G$53</f>
        <v>60.45</v>
      </c>
      <c r="R10" cm="1">
        <f t="array" ref="R10">_xlfn.PERCENTRANK.EXC(_xlfn._xlws.FILTER(P$4:P$16, ISNUMBER(P$4:P$16)),P10)*100</f>
        <v>64.2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-0.15791339000000001</v>
      </c>
      <c r="E11" s="9">
        <f>HLOOKUP(B11,'Monthly Returns'!$A$1:$Q$134, 132, FALSE)</f>
        <v>0.13223140495867769</v>
      </c>
      <c r="H11" s="9">
        <f>HLOOKUP(B11,'Yearly returns'!$B$1:$N$140, 133, FALSE)</f>
        <v>8.2644628099173556E-2</v>
      </c>
      <c r="I11" s="9">
        <f>HLOOKUP(B11,'Yearly returns'!$B$1:$N$140, 138, FALSE)</f>
        <v>0.84399999999999997</v>
      </c>
      <c r="J11" s="182">
        <f t="shared" si="0"/>
        <v>7.5625</v>
      </c>
      <c r="K11" s="184">
        <f t="shared" si="1"/>
        <v>16.600000000000001</v>
      </c>
      <c r="L11" s="47">
        <f t="shared" si="2"/>
        <v>16.700000000000003</v>
      </c>
      <c r="M11" s="47">
        <f t="shared" si="3"/>
        <v>91.7</v>
      </c>
      <c r="N11" s="47">
        <f t="shared" si="4"/>
        <v>16.700000000000003</v>
      </c>
      <c r="P11">
        <f>L11*Assumption!$E$53 + M11*Assumption!$F$53 + N11*Assumption!$G$53</f>
        <v>35.450000000000003</v>
      </c>
      <c r="R11" cm="1">
        <f t="array" ref="R11">_xlfn.PERCENTRANK.EXC(_xlfn._xlws.FILTER(P$4:P$16, ISNUMBER(P$4:P$16)),P11)*100</f>
        <v>14.2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-0.20183247000000001</v>
      </c>
      <c r="E12" s="9">
        <f>HLOOKUP(B12,'Monthly Returns'!$A$1:$Q$134, 132, FALSE)</f>
        <v>9.0909090909090912E-2</v>
      </c>
      <c r="H12" s="9">
        <f>HLOOKUP(B12,'Yearly returns'!$B$1:$N$140, 133, FALSE)</f>
        <v>4.9586776859504134E-2</v>
      </c>
      <c r="I12" s="9">
        <f>HLOOKUP(B12,'Yearly returns'!$B$1:$N$140, 138, FALSE)</f>
        <v>0.90100000000000002</v>
      </c>
      <c r="J12" s="182">
        <f t="shared" si="0"/>
        <v>11</v>
      </c>
      <c r="K12" s="184">
        <f t="shared" si="1"/>
        <v>91.600000000000009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863</v>
      </c>
      <c r="C13" t="str" cm="1">
        <f t="array" ref="C13">_xll.FDS(B13,"FG_COMPANY_NAME")</f>
        <v>iShares MSCI France ETF</v>
      </c>
      <c r="D13" s="9">
        <f>HLOOKUP(B13,'Monthly Returns'!$A$1:$Q$134, 127, FALSE)</f>
        <v>-0.27744704999999997</v>
      </c>
      <c r="E13" s="9">
        <f>HLOOKUP(B13,'Monthly Returns'!$A$1:$Q$134, 132, FALSE)</f>
        <v>0.12396694214876033</v>
      </c>
      <c r="H13" s="9">
        <f>HLOOKUP(B13,'Yearly returns'!$B$1:$N$140, 133, FALSE)</f>
        <v>9.0909090909090912E-2</v>
      </c>
      <c r="I13" s="9">
        <f>HLOOKUP(B13,'Yearly returns'!$B$1:$N$140, 138, FALSE)</f>
        <v>0.58099999999999996</v>
      </c>
      <c r="J13" s="182">
        <f t="shared" si="0"/>
        <v>8.0666666666666664</v>
      </c>
      <c r="K13" s="184">
        <f t="shared" si="1"/>
        <v>25</v>
      </c>
      <c r="L13" s="47">
        <f t="shared" si="2"/>
        <v>33.4</v>
      </c>
      <c r="M13" s="47">
        <f t="shared" si="3"/>
        <v>75</v>
      </c>
      <c r="N13" s="47">
        <f t="shared" si="4"/>
        <v>83.399999999999991</v>
      </c>
      <c r="P13">
        <f>L13*Assumption!$E$53 + M13*Assumption!$F$53 + N13*Assumption!$G$53</f>
        <v>68.8</v>
      </c>
      <c r="R13" cm="1">
        <f t="array" ref="R13">_xlfn.PERCENTRANK.EXC(_xlfn._xlws.FILTER(P$4:P$16, ISNUMBER(P$4:P$16)),P13)*100</f>
        <v>78.5</v>
      </c>
    </row>
    <row r="14" spans="2:18" x14ac:dyDescent="0.35">
      <c r="B14" t="s">
        <v>865</v>
      </c>
      <c r="C14" t="str" cm="1">
        <f t="array" ref="C14">_xll.FDS(B14,"FG_COMPANY_NAME")</f>
        <v>iShares MSCI Netherlands ETF</v>
      </c>
      <c r="D14" s="9">
        <f>HLOOKUP(B14,'Monthly Returns'!$A$1:$Q$134, 127, FALSE)</f>
        <v>-0.22734355999999997</v>
      </c>
      <c r="E14" s="9">
        <f>HLOOKUP(B14,'Monthly Returns'!$A$1:$Q$134, 132, FALSE)</f>
        <v>0.11570247933884298</v>
      </c>
      <c r="H14" s="9">
        <f>HLOOKUP(B14,'Yearly returns'!$B$1:$N$140, 133, FALSE)</f>
        <v>9.9173553719008267E-2</v>
      </c>
      <c r="I14" s="9">
        <f>HLOOKUP(B14,'Yearly returns'!$B$1:$N$140, 138, FALSE)</f>
        <v>0.69599999999999995</v>
      </c>
      <c r="J14" s="182">
        <f t="shared" si="0"/>
        <v>8.6428571428571423</v>
      </c>
      <c r="K14" s="184">
        <f t="shared" si="1"/>
        <v>41.6</v>
      </c>
      <c r="L14" s="47">
        <f t="shared" si="2"/>
        <v>50</v>
      </c>
      <c r="M14" s="47">
        <f t="shared" si="3"/>
        <v>66.7</v>
      </c>
      <c r="N14" s="47">
        <f t="shared" si="4"/>
        <v>41.7</v>
      </c>
      <c r="P14">
        <f>L14*Assumption!$E$53 + M14*Assumption!$F$53 + N14*Assumption!$G$53</f>
        <v>50.025000000000006</v>
      </c>
      <c r="R14" cm="1">
        <f t="array" ref="R14">_xlfn.PERCENTRANK.EXC(_xlfn._xlws.FILTER(P$4:P$16, ISNUMBER(P$4:P$16)),P14)*100</f>
        <v>57.099999999999994</v>
      </c>
    </row>
    <row r="15" spans="2:18" x14ac:dyDescent="0.35">
      <c r="B15" t="s">
        <v>862</v>
      </c>
      <c r="C15" t="str" cm="1">
        <f t="array" ref="C15">_xll.FDS(B15,"FG_COMPANY_NAME")</f>
        <v>iShares MSCI Sweden ETF</v>
      </c>
      <c r="D15" s="9">
        <f>HLOOKUP(B15,'Monthly Returns'!$A$1:$Q$134, 127, FALSE)</f>
        <v>-0.248502</v>
      </c>
      <c r="E15" s="9">
        <f>HLOOKUP(B15,'Monthly Returns'!$A$1:$Q$134, 132, FALSE)</f>
        <v>0.12396694214876033</v>
      </c>
      <c r="H15" s="9">
        <f>HLOOKUP(B15,'Yearly returns'!$B$1:$N$140, 133, FALSE)</f>
        <v>0.18181818181818182</v>
      </c>
      <c r="I15" s="9">
        <f>HLOOKUP(B15,'Yearly returns'!$B$1:$N$140, 138, FALSE)</f>
        <v>0.68</v>
      </c>
      <c r="J15" s="182">
        <f t="shared" si="0"/>
        <v>8.0666666666666664</v>
      </c>
      <c r="K15" s="184">
        <f t="shared" si="1"/>
        <v>25</v>
      </c>
      <c r="L15" s="47">
        <f t="shared" si="2"/>
        <v>33.4</v>
      </c>
      <c r="M15" s="47">
        <f t="shared" si="3"/>
        <v>16.700000000000003</v>
      </c>
      <c r="N15" s="47">
        <f t="shared" si="4"/>
        <v>50</v>
      </c>
      <c r="P15">
        <f>L15*Assumption!$E$53 + M15*Assumption!$F$53 + N15*Assumption!$G$53</f>
        <v>37.524999999999999</v>
      </c>
      <c r="R15" cm="1">
        <f t="array" ref="R15">_xlfn.PERCENTRANK.EXC(_xlfn._xlws.FILTER(P$4:P$16, ISNUMBER(P$4:P$16)),P15)*100</f>
        <v>21.4</v>
      </c>
    </row>
    <row r="16" spans="2:18" x14ac:dyDescent="0.35">
      <c r="B16" t="s">
        <v>864</v>
      </c>
      <c r="C16" t="str" cm="1">
        <f t="array" ref="C16">_xll.FDS(B16,"FG_COMPANY_NAME")</f>
        <v>iShares MSCI Italy ETF</v>
      </c>
      <c r="D16" s="9">
        <f>HLOOKUP(B16,'Monthly Returns'!$A$1:$Q$134, 127, FALSE)</f>
        <v>-0.29150086999999997</v>
      </c>
      <c r="E16" s="9">
        <f>HLOOKUP(B16,'Monthly Returns'!$A$1:$Q$134, 132, FALSE)</f>
        <v>0.17355371900826447</v>
      </c>
      <c r="H16" s="9">
        <f>HLOOKUP(B16,'Yearly returns'!$B$1:$N$140, 133, FALSE)</f>
        <v>0.26446280991735538</v>
      </c>
      <c r="I16" s="9">
        <f>HLOOKUP(B16,'Yearly returns'!$B$1:$N$140, 138, FALSE)</f>
        <v>0.73699999999999999</v>
      </c>
      <c r="J16" s="182">
        <f t="shared" si="0"/>
        <v>5.7619047619047619</v>
      </c>
      <c r="K16" s="184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25</v>
      </c>
      <c r="P16">
        <f>L16*Assumption!$E$53 + M16*Assumption!$F$53 + N16*Assumption!$G$53</f>
        <v>12.5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819</v>
      </c>
      <c r="B4" t="s">
        <v>519</v>
      </c>
      <c r="C4" t="s">
        <v>818</v>
      </c>
      <c r="D4" t="s">
        <v>544</v>
      </c>
      <c r="F4" t="s">
        <v>781</v>
      </c>
      <c r="G4" s="110" t="s">
        <v>816</v>
      </c>
      <c r="H4" s="110" t="s">
        <v>815</v>
      </c>
      <c r="I4" s="110" t="s">
        <v>835</v>
      </c>
      <c r="J4" s="110" t="s">
        <v>817</v>
      </c>
      <c r="S4" s="110" t="s">
        <v>816</v>
      </c>
      <c r="T4" s="110" t="s">
        <v>815</v>
      </c>
      <c r="U4" s="110" t="s">
        <v>835</v>
      </c>
      <c r="V4" s="110" t="s">
        <v>817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0.48299999999999998</v>
      </c>
      <c r="G5" s="140" cm="1">
        <f t="array" ref="G5">_xll.FDSZ(C5,"FG_PRICE(0)")</f>
        <v>45.292400000000001</v>
      </c>
      <c r="H5" s="140" cm="1">
        <f t="array" ref="H5">_xll.FDSZ(C5,"FG_PRICE_MAVG(0,,,,30)")</f>
        <v>45.468913999999998</v>
      </c>
      <c r="I5" s="140" cm="1">
        <f t="array" ref="I5">_xll.FDSZ(C5,"FG_PRICE_MAVG(0,,,,60)")</f>
        <v>45.927289999999999</v>
      </c>
      <c r="J5" s="140" cm="1">
        <f t="array" ref="J5">_xll.FDSZ(C5,"FG_PRICE_MAVG(0,,,,200)")</f>
        <v>46.058036999999999</v>
      </c>
      <c r="L5">
        <f>IF($G5&gt;H5, 1, 0)</f>
        <v>0</v>
      </c>
      <c r="M5">
        <f>IF($G5&gt;I5, 1, 0)</f>
        <v>0</v>
      </c>
      <c r="N5">
        <f>IF($G5&gt;J5, 1, 0)</f>
        <v>0</v>
      </c>
      <c r="P5">
        <f>SUM(L5:N5)</f>
        <v>0</v>
      </c>
      <c r="R5" t="s">
        <v>837</v>
      </c>
      <c r="S5" s="7" cm="1">
        <f t="array" ref="S5">_xll.FDSZ($R5,"FG_PRICE(0)")</f>
        <v>391.72735999999998</v>
      </c>
      <c r="T5" s="7" cm="1">
        <f t="array" ref="T5">_xll.FDSZ($R5,"FG_PRICE(0)")</f>
        <v>391.72735999999998</v>
      </c>
      <c r="U5" s="7" cm="1">
        <f t="array" ref="U5">_xll.FDSZ($R5,"FG_PRICE(0)")</f>
        <v>391.72735999999998</v>
      </c>
      <c r="V5" s="7" cm="1">
        <f t="array" ref="V5">_xll.FDSZ($R5,"FG_PRICE(0)")</f>
        <v>391.72735999999998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0.56499999999999995</v>
      </c>
      <c r="G6" s="140" cm="1">
        <f t="array" ref="G6">_xll.FDSZ(C6,"FG_PRICE(0)")</f>
        <v>24.43</v>
      </c>
      <c r="H6" s="140" cm="1">
        <f t="array" ref="H6">_xll.FDSZ(C6,"FG_PRICE_MAVG(0,,,,30)")</f>
        <v>24.273333000000001</v>
      </c>
      <c r="I6" s="140" cm="1">
        <f t="array" ref="I6">_xll.FDSZ(C6,"FG_PRICE_MAVG(0,,,,60)")</f>
        <v>23.900333</v>
      </c>
      <c r="J6" s="140" cm="1">
        <f t="array" ref="J6">_xll.FDSZ(C6,"FG_PRICE_MAVG(0,,,,200)")</f>
        <v>22.7745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838</v>
      </c>
      <c r="S6" s="7" cm="1">
        <f t="array" ref="S6">_xll.FDSZ($R6,"FG_PRICE(0)")</f>
        <v>362.33640000000003</v>
      </c>
      <c r="T6" s="7" cm="1">
        <f t="array" ref="T6">_xll.FDSZ($R6,"FG_PRICE(0)")</f>
        <v>362.33640000000003</v>
      </c>
      <c r="U6" s="7" cm="1">
        <f t="array" ref="U6">_xll.FDSZ($R6,"FG_PRICE(0)")</f>
        <v>362.33640000000003</v>
      </c>
      <c r="V6" s="7" cm="1">
        <f t="array" ref="V6">_xll.FDSZ($R6,"FG_PRICE(0)")</f>
        <v>362.33640000000003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0.70399999999999996</v>
      </c>
      <c r="G7" s="140" cm="1">
        <f t="array" ref="G7">_xll.FDSZ(C7,"FG_PRICE(0)")</f>
        <v>38.03</v>
      </c>
      <c r="H7" s="140" cm="1">
        <f t="array" ref="H7">_xll.FDSZ(C7,"FG_PRICE_MAVG(0,,,,30)")</f>
        <v>37.593000000000004</v>
      </c>
      <c r="I7" s="140" cm="1">
        <f t="array" ref="I7">_xll.FDSZ(C7,"FG_PRICE_MAVG(0,,,,60)")</f>
        <v>36.917999999999999</v>
      </c>
      <c r="J7" s="140" cm="1">
        <f t="array" ref="J7">_xll.FDSZ(C7,"FG_PRICE_MAVG(0,,,,200)")</f>
        <v>35.186349999999997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839</v>
      </c>
      <c r="S7" s="7" cm="1">
        <f t="array" ref="S7">_xll.FDSZ($R7,"FG_PRICE(0)")</f>
        <v>293.12993999999998</v>
      </c>
      <c r="T7" s="7" cm="1">
        <f t="array" ref="T7">_xll.FDSZ($R7,"FG_PRICE(0)")</f>
        <v>293.12993999999998</v>
      </c>
      <c r="U7" s="7" cm="1">
        <f t="array" ref="U7">_xll.FDSZ($R7,"FG_PRICE(0)")</f>
        <v>293.12993999999998</v>
      </c>
      <c r="V7" s="7" cm="1">
        <f t="array" ref="V7">_xll.FDSZ($R7,"FG_PRICE(0)")</f>
        <v>293.12993999999998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0.63900000000000001</v>
      </c>
      <c r="G8" s="140" cm="1">
        <f t="array" ref="G8">_xll.FDSZ(C8,"FG_PRICE(0)")</f>
        <v>31.37</v>
      </c>
      <c r="H8" s="140" cm="1">
        <f t="array" ref="H8">_xll.FDSZ(C8,"FG_PRICE_MAVG(0,,,,30)")</f>
        <v>31.088000000000001</v>
      </c>
      <c r="I8" s="140" cm="1">
        <f t="array" ref="I8">_xll.FDSZ(C8,"FG_PRICE_MAVG(0,,,,60)")</f>
        <v>30.141166999999999</v>
      </c>
      <c r="J8" s="140" cm="1">
        <f t="array" ref="J8">_xll.FDSZ(C8,"FG_PRICE_MAVG(0,,,,200)")</f>
        <v>28.413450000000001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836</v>
      </c>
      <c r="S8" s="7" cm="1">
        <f t="array" ref="S8">_xll.FDSZ($R8,"FG_PRICE(0)")</f>
        <v>9.4322280000000003</v>
      </c>
      <c r="T8" s="7" cm="1">
        <f t="array" ref="T8">_xll.FDSZ($R8,"FG_PRICE(0)")</f>
        <v>9.4322280000000003</v>
      </c>
      <c r="U8" s="7" cm="1">
        <f t="array" ref="U8">_xll.FDSZ($R8,"FG_PRICE(0)")</f>
        <v>9.4322280000000003</v>
      </c>
      <c r="V8" s="7" cm="1">
        <f t="array" ref="V8">_xll.FDSZ($R8,"FG_PRICE(0)")</f>
        <v>9.4322280000000003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0.39300000000000002</v>
      </c>
      <c r="G9" s="140" cm="1">
        <f t="array" ref="G9">_xll.FDSZ(C9,"FG_PRICE(0)")</f>
        <v>69.67</v>
      </c>
      <c r="H9" s="140" cm="1">
        <f t="array" ref="H9">_xll.FDSZ(C9,"FG_PRICE_MAVG(0,,,,30)")</f>
        <v>70.270330000000001</v>
      </c>
      <c r="I9" s="140" cm="1">
        <f t="array" ref="I9">_xll.FDSZ(C9,"FG_PRICE_MAVG(0,,,,60)")</f>
        <v>68.299329999999998</v>
      </c>
      <c r="J9" s="140" cm="1">
        <f t="array" ref="J9">_xll.FDSZ(C9,"FG_PRICE_MAVG(0,,,,200)")</f>
        <v>63.559199999999997</v>
      </c>
      <c r="L9">
        <f t="shared" si="0"/>
        <v>0</v>
      </c>
      <c r="M9">
        <f t="shared" si="1"/>
        <v>1</v>
      </c>
      <c r="N9">
        <f t="shared" si="2"/>
        <v>1</v>
      </c>
      <c r="P9">
        <f t="shared" si="3"/>
        <v>2</v>
      </c>
      <c r="R9" t="s">
        <v>840</v>
      </c>
      <c r="S9" s="7" cm="1">
        <f t="array" ref="S9">_xll.FDSZ($R9,"FG_PRICE(0)")</f>
        <v>178.14484999999999</v>
      </c>
      <c r="T9" s="7" cm="1">
        <f t="array" ref="T9">_xll.FDSZ($R9,"FG_PRICE(0)")</f>
        <v>178.14484999999999</v>
      </c>
      <c r="U9" s="7" cm="1">
        <f t="array" ref="U9">_xll.FDSZ($R9,"FG_PRICE(0)")</f>
        <v>178.14484999999999</v>
      </c>
      <c r="V9" s="7" cm="1">
        <f t="array" ref="V9">_xll.FDSZ($R9,"FG_PRICE(0)")</f>
        <v>178.14484999999999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0.40100000000000002</v>
      </c>
      <c r="G10" s="140" cm="1">
        <f t="array" ref="G10">_xll.FDSZ(C10,"FG_PRICE(0)")</f>
        <v>46.87</v>
      </c>
      <c r="H10" s="140" cm="1">
        <f t="array" ref="H10">_xll.FDSZ(C10,"FG_PRICE_MAVG(0,,,,30)")</f>
        <v>47.507668000000002</v>
      </c>
      <c r="I10" s="140" cm="1">
        <f t="array" ref="I10">_xll.FDSZ(C10,"FG_PRICE_MAVG(0,,,,60)")</f>
        <v>47.3185</v>
      </c>
      <c r="J10" s="140" cm="1">
        <f t="array" ref="J10">_xll.FDSZ(C10,"FG_PRICE_MAVG(0,,,,200)")</f>
        <v>45.943300000000001</v>
      </c>
      <c r="L10">
        <f t="shared" si="0"/>
        <v>0</v>
      </c>
      <c r="M10">
        <f t="shared" si="1"/>
        <v>0</v>
      </c>
      <c r="N10">
        <f t="shared" si="2"/>
        <v>1</v>
      </c>
      <c r="P10">
        <f t="shared" si="3"/>
        <v>1</v>
      </c>
      <c r="R10" t="s">
        <v>841</v>
      </c>
      <c r="S10" s="7" cm="1">
        <f t="array" ref="S10">_xll.FDSZ($R10,"FG_PRICE(0)")</f>
        <v>321.37313999999998</v>
      </c>
      <c r="T10" s="7" cm="1">
        <f t="array" ref="T10">_xll.FDSZ($R10,"FG_PRICE(0)")</f>
        <v>321.37313999999998</v>
      </c>
      <c r="U10" s="7" cm="1">
        <f t="array" ref="U10">_xll.FDSZ($R10,"FG_PRICE(0)")</f>
        <v>321.37313999999998</v>
      </c>
      <c r="V10" s="7" cm="1">
        <f t="array" ref="V10">_xll.FDSZ($R10,"FG_PRICE(0)")</f>
        <v>321.37313999999998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0.82699999999999996</v>
      </c>
      <c r="G11" s="140" cm="1">
        <f t="array" ref="G11">_xll.FDSZ(C11,"FG_PRICE(0)")</f>
        <v>34.03</v>
      </c>
      <c r="H11" s="140" cm="1">
        <f t="array" ref="H11">_xll.FDSZ(C11,"FG_PRICE_MAVG(0,,,,30)")</f>
        <v>33.459000000000003</v>
      </c>
      <c r="I11" s="140" cm="1">
        <f t="array" ref="I11">_xll.FDSZ(C11,"FG_PRICE_MAVG(0,,,,60)")</f>
        <v>32.916668000000001</v>
      </c>
      <c r="J11" s="140" cm="1">
        <f t="array" ref="J11">_xll.FDSZ(C11,"FG_PRICE_MAVG(0,,,,200)")</f>
        <v>32.341349999999998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842</v>
      </c>
      <c r="S11" s="7" cm="1">
        <f t="array" ref="S11">_xll.FDSZ($R11,"FG_PRICE(0)")</f>
        <v>123.53009</v>
      </c>
      <c r="T11" s="7" cm="1">
        <f t="array" ref="T11">_xll.FDSZ($R11,"FG_PRICE(0)")</f>
        <v>123.53009</v>
      </c>
      <c r="U11" s="7" cm="1">
        <f t="array" ref="U11">_xll.FDSZ($R11,"FG_PRICE(0)")</f>
        <v>123.53009</v>
      </c>
      <c r="V11" s="7" cm="1">
        <f t="array" ref="V11">_xll.FDSZ($R11,"FG_PRICE(0)")</f>
        <v>123.53009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0.27</v>
      </c>
      <c r="G12" s="140" cm="1">
        <f t="array" ref="G12">_xll.FDSZ(C12,"FG_PRICE(0)")</f>
        <v>435.34</v>
      </c>
      <c r="H12" s="140" cm="1">
        <f t="array" ref="H12">_xll.FDSZ(C12,"FG_PRICE_MAVG(0,,,,30)")</f>
        <v>440.63535000000002</v>
      </c>
      <c r="I12" s="140" cm="1">
        <f t="array" ref="I12">_xll.FDSZ(C12,"FG_PRICE_MAVG(0,,,,60)")</f>
        <v>431.97699999999998</v>
      </c>
      <c r="J12" s="140" cm="1">
        <f t="array" ref="J12">_xll.FDSZ(C12,"FG_PRICE_MAVG(0,,,,200)")</f>
        <v>392.36200000000002</v>
      </c>
      <c r="L12">
        <f t="shared" si="0"/>
        <v>0</v>
      </c>
      <c r="M12">
        <f t="shared" si="1"/>
        <v>1</v>
      </c>
      <c r="N12">
        <f t="shared" si="2"/>
        <v>1</v>
      </c>
      <c r="P12">
        <f t="shared" si="3"/>
        <v>2</v>
      </c>
      <c r="R12" t="s">
        <v>843</v>
      </c>
      <c r="S12" s="7" cm="1">
        <f t="array" ref="S12">_xll.FDSZ($R12,"FG_PRICE(0)")</f>
        <v>387.33037999999999</v>
      </c>
      <c r="T12" s="7" cm="1">
        <f t="array" ref="T12">_xll.FDSZ($R12,"FG_PRICE(0)")</f>
        <v>387.33037999999999</v>
      </c>
      <c r="U12" s="7" cm="1">
        <f t="array" ref="U12">_xll.FDSZ($R12,"FG_PRICE(0)")</f>
        <v>387.33037999999999</v>
      </c>
      <c r="V12" s="7" cm="1">
        <f t="array" ref="V12">_xll.FDSZ($R12,"FG_PRICE(0)")</f>
        <v>387.33037999999999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0.39300000000000002</v>
      </c>
      <c r="G13" s="140" cm="1">
        <f t="array" ref="G13">_xll.FDSZ(C13,"FG_PRICE(0)")</f>
        <v>513.07000000000005</v>
      </c>
      <c r="H13" s="140" cm="1">
        <f t="array" ref="H13">_xll.FDSZ(C13,"FG_PRICE_MAVG(0,,,,30)")</f>
        <v>514.35969999999998</v>
      </c>
      <c r="I13" s="140" cm="1">
        <f t="array" ref="I13">_xll.FDSZ(C13,"FG_PRICE_MAVG(0,,,,60)")</f>
        <v>501.52334999999999</v>
      </c>
      <c r="J13" s="140" cm="1">
        <f t="array" ref="J13">_xll.FDSZ(C13,"FG_PRICE_MAVG(0,,,,200)")</f>
        <v>462.27280000000002</v>
      </c>
      <c r="L13">
        <f t="shared" si="0"/>
        <v>0</v>
      </c>
      <c r="M13">
        <f t="shared" si="1"/>
        <v>1</v>
      </c>
      <c r="N13">
        <f t="shared" si="2"/>
        <v>1</v>
      </c>
      <c r="P13">
        <f t="shared" si="3"/>
        <v>2</v>
      </c>
      <c r="R13" t="s">
        <v>843</v>
      </c>
      <c r="S13" s="7" cm="1">
        <f t="array" ref="S13">_xll.FDSZ($R13,"FG_PRICE(0)")</f>
        <v>387.33037999999999</v>
      </c>
      <c r="T13" s="7" cm="1">
        <f t="array" ref="T13">_xll.FDSZ($R13,"FG_PRICE(0)")</f>
        <v>387.33037999999999</v>
      </c>
      <c r="U13" s="7" cm="1">
        <f t="array" ref="U13">_xll.FDSZ($R13,"FG_PRICE(0)")</f>
        <v>387.33037999999999</v>
      </c>
      <c r="V13" s="7" cm="1">
        <f t="array" ref="V13">_xll.FDSZ($R13,"FG_PRICE(0)")</f>
        <v>387.33037999999999</v>
      </c>
    </row>
    <row r="14" spans="1:22" x14ac:dyDescent="0.35">
      <c r="A14" t="s">
        <v>867</v>
      </c>
      <c r="B14" t="str" cm="1">
        <f t="array" ref="B14">_xll.FDS(C14,"FG_COMPANY_NAME")</f>
        <v>iShares MSCI France ETF</v>
      </c>
      <c r="C14" t="s">
        <v>863</v>
      </c>
      <c r="D14" t="s">
        <v>621</v>
      </c>
      <c r="E14" t="s">
        <v>863</v>
      </c>
      <c r="F14" s="9">
        <f>HLOOKUP(E14,'Monthly Returns'!$A$1:$AE$136,134,FALSE)</f>
        <v>0.45</v>
      </c>
      <c r="G14" s="140" cm="1">
        <f t="array" ref="G14">_xll.FDSZ(C14,"FG_PRICE(0)")</f>
        <v>40.76</v>
      </c>
      <c r="H14" s="140" cm="1">
        <f t="array" ref="H14">_xll.FDSZ(C14,"FG_PRICE_MAVG(0,,,,30)")</f>
        <v>40.951332000000001</v>
      </c>
      <c r="I14" s="140" cm="1">
        <f t="array" ref="I14">_xll.FDSZ(C14,"FG_PRICE_MAVG(0,,,,60)")</f>
        <v>39.743830000000003</v>
      </c>
      <c r="J14" s="140" cm="1">
        <f t="array" ref="J14">_xll.FDSZ(C14,"FG_PRICE_MAVG(0,,,,200)")</f>
        <v>37.961075000000001</v>
      </c>
      <c r="L14">
        <f t="shared" si="0"/>
        <v>0</v>
      </c>
      <c r="M14">
        <f t="shared" si="1"/>
        <v>1</v>
      </c>
      <c r="N14">
        <f t="shared" si="2"/>
        <v>1</v>
      </c>
      <c r="P14">
        <f t="shared" si="3"/>
        <v>2</v>
      </c>
      <c r="R14" t="s">
        <v>843</v>
      </c>
      <c r="S14" s="7" cm="1">
        <f t="array" ref="S14">_xll.FDSZ($R14,"FG_PRICE(0)")</f>
        <v>387.33037999999999</v>
      </c>
      <c r="T14" s="7" cm="1">
        <f t="array" ref="T14">_xll.FDSZ($R14,"FG_PRICE(0)")</f>
        <v>387.33037999999999</v>
      </c>
      <c r="U14" s="7" cm="1">
        <f t="array" ref="U14">_xll.FDSZ($R14,"FG_PRICE(0)")</f>
        <v>387.33037999999999</v>
      </c>
      <c r="V14" s="7" cm="1">
        <f t="array" ref="V14">_xll.FDSZ($R14,"FG_PRICE(0)")</f>
        <v>387.33037999999999</v>
      </c>
    </row>
    <row r="15" spans="1:22" x14ac:dyDescent="0.35">
      <c r="A15" t="s">
        <v>868</v>
      </c>
      <c r="B15" t="str" cm="1">
        <f t="array" ref="B15">_xll.FDS(C15,"FG_COMPANY_NAME")</f>
        <v>iShares MSCI Netherlands ETF</v>
      </c>
      <c r="C15" t="s">
        <v>865</v>
      </c>
      <c r="D15" t="s">
        <v>673</v>
      </c>
      <c r="E15" t="s">
        <v>865</v>
      </c>
      <c r="F15" s="9">
        <f>HLOOKUP(E15,'Monthly Returns'!$A$1:$AE$136,134,FALSE)</f>
        <v>0.54900000000000004</v>
      </c>
      <c r="G15" s="140" cm="1">
        <f t="array" ref="G15">_xll.FDSZ(C15,"FG_PRICE(0)")</f>
        <v>49.2</v>
      </c>
      <c r="H15" s="140" cm="1">
        <f t="array" ref="H15">_xll.FDSZ(C15,"FG_PRICE_MAVG(0,,,,30)")</f>
        <v>48.695999999999998</v>
      </c>
      <c r="I15" s="140" cm="1">
        <f t="array" ref="I15">_xll.FDSZ(C15,"FG_PRICE_MAVG(0,,,,60)")</f>
        <v>47.049416000000001</v>
      </c>
      <c r="J15" s="140" cm="1">
        <f t="array" ref="J15">_xll.FDSZ(C15,"FG_PRICE_MAVG(0,,,,200)")</f>
        <v>43.055553000000003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843</v>
      </c>
      <c r="S15" s="7" cm="1">
        <f t="array" ref="S15">_xll.FDSZ($R15,"FG_PRICE(0)")</f>
        <v>387.33037999999999</v>
      </c>
      <c r="T15" s="7" cm="1">
        <f t="array" ref="T15">_xll.FDSZ($R15,"FG_PRICE(0)")</f>
        <v>387.33037999999999</v>
      </c>
      <c r="U15" s="7" cm="1">
        <f t="array" ref="U15">_xll.FDSZ($R15,"FG_PRICE(0)")</f>
        <v>387.33037999999999</v>
      </c>
      <c r="V15" s="7" cm="1">
        <f t="array" ref="V15">_xll.FDSZ($R15,"FG_PRICE(0)")</f>
        <v>387.33037999999999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862</v>
      </c>
      <c r="D16" t="s">
        <v>705</v>
      </c>
      <c r="E16" t="s">
        <v>862</v>
      </c>
      <c r="F16" s="9">
        <f>HLOOKUP(E16,'Monthly Returns'!$A$1:$AE$136,134,FALSE)</f>
        <v>0.50800000000000001</v>
      </c>
      <c r="G16" s="140" cm="1">
        <f t="array" ref="G16">_xll.FDSZ(C16,"FG_PRICE(0)")</f>
        <v>39.82</v>
      </c>
      <c r="H16" s="140" cm="1">
        <f t="array" ref="H16">_xll.FDSZ(C16,"FG_PRICE_MAVG(0,,,,30)")</f>
        <v>40.204334000000003</v>
      </c>
      <c r="I16" s="140" cm="1">
        <f t="array" ref="I16">_xll.FDSZ(C16,"FG_PRICE_MAVG(0,,,,60)")</f>
        <v>38.812829999999998</v>
      </c>
      <c r="J16" s="140" cm="1">
        <f t="array" ref="J16">_xll.FDSZ(C16,"FG_PRICE_MAVG(0,,,,200)")</f>
        <v>35.904200000000003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843</v>
      </c>
      <c r="S16" s="7" cm="1">
        <f t="array" ref="S16">_xll.FDSZ($R16,"FG_PRICE(0)")</f>
        <v>387.33037999999999</v>
      </c>
      <c r="T16" s="7" cm="1">
        <f t="array" ref="T16">_xll.FDSZ($R16,"FG_PRICE(0)")</f>
        <v>387.33037999999999</v>
      </c>
      <c r="U16" s="7" cm="1">
        <f t="array" ref="U16">_xll.FDSZ($R16,"FG_PRICE(0)")</f>
        <v>387.33037999999999</v>
      </c>
      <c r="V16" s="7" cm="1">
        <f t="array" ref="V16">_xll.FDSZ($R16,"FG_PRICE(0)")</f>
        <v>387.33037999999999</v>
      </c>
    </row>
    <row r="17" spans="1:22" x14ac:dyDescent="0.35">
      <c r="A17" t="s">
        <v>866</v>
      </c>
      <c r="B17" t="str" cm="1">
        <f t="array" ref="B17">_xll.FDS(C17,"FG_COMPANY_NAME")</f>
        <v>iShares MSCI Italy ETF</v>
      </c>
      <c r="C17" t="s">
        <v>864</v>
      </c>
      <c r="D17" t="s">
        <v>641</v>
      </c>
      <c r="E17" t="s">
        <v>864</v>
      </c>
      <c r="F17" s="9">
        <f>HLOOKUP(E17,'Monthly Returns'!$A$1:$AE$136,134,FALSE)</f>
        <v>0.72899999999999998</v>
      </c>
      <c r="G17" s="140" cm="1">
        <f t="array" ref="G17">_xll.FDSZ(C17,"FG_PRICE(0)")</f>
        <v>37.06</v>
      </c>
      <c r="H17" s="140" cm="1">
        <f t="array" ref="H17">_xll.FDSZ(C17,"FG_PRICE_MAVG(0,,,,30)")</f>
        <v>36.83</v>
      </c>
      <c r="I17" s="140" cm="1">
        <f t="array" ref="I17">_xll.FDSZ(C17,"FG_PRICE_MAVG(0,,,,60)")</f>
        <v>35.277000000000001</v>
      </c>
      <c r="J17" s="140" cm="1">
        <f t="array" ref="J17">_xll.FDSZ(C17,"FG_PRICE_MAVG(0,,,,200)")</f>
        <v>32.862000000000002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843</v>
      </c>
      <c r="S17" s="7" cm="1">
        <f t="array" ref="S17">_xll.FDSZ($R17,"FG_PRICE(0)")</f>
        <v>387.33037999999999</v>
      </c>
      <c r="T17" s="7" cm="1">
        <f t="array" ref="T17">_xll.FDSZ($R17,"FG_PRICE(0)")</f>
        <v>387.33037999999999</v>
      </c>
      <c r="U17" s="7" cm="1">
        <f t="array" ref="U17">_xll.FDSZ($R17,"FG_PRICE(0)")</f>
        <v>387.33037999999999</v>
      </c>
      <c r="V17" s="7" cm="1">
        <f t="array" ref="V17">_xll.FDSZ($R17,"FG_PRICE(0)")</f>
        <v>387.33037999999999</v>
      </c>
    </row>
    <row r="19" spans="1:22" x14ac:dyDescent="0.35">
      <c r="K19" s="1" t="s">
        <v>904</v>
      </c>
      <c r="L19" s="1">
        <f>SUM(L5:L17)</f>
        <v>6</v>
      </c>
      <c r="M19" s="1">
        <f t="shared" ref="M19:N19" si="4">SUM(M5:M17)</f>
        <v>11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1">
        <f>L19/L20</f>
        <v>0.46153846153846156</v>
      </c>
      <c r="M22" s="181">
        <f t="shared" ref="M22:N22" si="6">M19/M20</f>
        <v>0.84615384615384615</v>
      </c>
      <c r="N22" s="181">
        <f t="shared" si="6"/>
        <v>0.92307692307692313</v>
      </c>
    </row>
    <row r="23" spans="1:22" x14ac:dyDescent="0.35">
      <c r="A23" t="s">
        <v>863</v>
      </c>
      <c r="B23" t="s">
        <v>867</v>
      </c>
      <c r="C23" t="str" cm="1">
        <f t="array" ref="C23">_xll.FDS(A23,"FG_COMPANY_NAME")</f>
        <v>iShares MSCI France ETF</v>
      </c>
      <c r="D23" t="s">
        <v>863</v>
      </c>
    </row>
    <row r="24" spans="1:22" x14ac:dyDescent="0.35">
      <c r="A24" t="s">
        <v>865</v>
      </c>
      <c r="B24" t="s">
        <v>868</v>
      </c>
      <c r="C24" t="str" cm="1">
        <f t="array" ref="C24">_xll.FDS(A24,"FG_COMPANY_NAME")</f>
        <v>iShares MSCI Netherlands ETF</v>
      </c>
      <c r="D24" t="s">
        <v>865</v>
      </c>
    </row>
    <row r="25" spans="1:22" x14ac:dyDescent="0.35">
      <c r="A25" t="s">
        <v>862</v>
      </c>
      <c r="B25" t="s">
        <v>273</v>
      </c>
      <c r="C25" t="str" cm="1">
        <f t="array" ref="C25">_xll.FDS(A25,"FG_COMPANY_NAME")</f>
        <v>iShares MSCI Sweden ETF</v>
      </c>
      <c r="D25" t="s">
        <v>862</v>
      </c>
    </row>
    <row r="26" spans="1:22" x14ac:dyDescent="0.35">
      <c r="A26" t="s">
        <v>864</v>
      </c>
      <c r="B26" t="s">
        <v>866</v>
      </c>
      <c r="C26" t="str" cm="1">
        <f t="array" ref="C26">_xll.FDS(A26,"FG_COMPANY_NAME")</f>
        <v>iShares MSCI Italy ETF</v>
      </c>
      <c r="D26" t="s">
        <v>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782</v>
      </c>
      <c r="C2" t="s">
        <v>783</v>
      </c>
      <c r="D2" t="s">
        <v>784</v>
      </c>
      <c r="E2" t="s">
        <v>785</v>
      </c>
      <c r="F2" t="s">
        <v>786</v>
      </c>
      <c r="G2" t="s">
        <v>787</v>
      </c>
      <c r="H2" t="s">
        <v>788</v>
      </c>
      <c r="I2" t="s">
        <v>789</v>
      </c>
      <c r="J2" t="s">
        <v>790</v>
      </c>
      <c r="S2" t="s">
        <v>791</v>
      </c>
    </row>
    <row r="3" spans="1:20" x14ac:dyDescent="0.35">
      <c r="A3" t="s">
        <v>792</v>
      </c>
      <c r="B3" t="s">
        <v>793</v>
      </c>
      <c r="C3" cm="1">
        <f t="array" ref="C3">_xll.FDS($A3,"FG_PRICE(0)")</f>
        <v>99.89</v>
      </c>
      <c r="D3" cm="1">
        <f t="array" ref="D3">_xll.FDS($A3,"FG_PRICE_MAVG(0,,,,30)")</f>
        <v>113.77433000000001</v>
      </c>
      <c r="E3" s="47" cm="1">
        <f t="array" ref="E3">_xll.FDS($A3,"FG_PRICE_CHANGE(0,-1AM)")</f>
        <v>-14.580126560629401</v>
      </c>
      <c r="F3" s="47" cm="1">
        <f t="array" ref="F3">_xll.FDS($A3,"FG_PRICE_CHANGE(0,-3AM)")</f>
        <v>-30.122420426722599</v>
      </c>
      <c r="G3" s="47" cm="1">
        <f t="array" ref="G3">_xll.FDS($A3,"FG_PRICE_CHANGE(0,-6AM)")</f>
        <v>-15.3689739896636</v>
      </c>
      <c r="H3" s="47" cm="1">
        <f t="array" ref="H3">_xll.FDS($A3,"FG_PRICE_CHANGE(0,-1AY)")</f>
        <v>-16.924484364604101</v>
      </c>
      <c r="I3" s="47" cm="1">
        <f t="array" ref="I3">_xll.FDS($A3,"FG_PRICE(0)/MAX(FG_PRICE(0,-1AY))")</f>
        <v>0.69291065482796899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794</v>
      </c>
      <c r="B4" t="s">
        <v>795</v>
      </c>
      <c r="C4" cm="1">
        <f t="array" ref="C4">_xll.FDS($A4,"FG_PRICE(0)")</f>
        <v>4.2465000000000002</v>
      </c>
      <c r="D4" cm="1">
        <f t="array" ref="D4">_xll.FDS($A4,"FG_PRICE_MAVG(0,,,,30)")</f>
        <v>3.9726834000000002</v>
      </c>
      <c r="E4" s="47" cm="1">
        <f t="array" ref="E4">_xll.FDS($A4,"FG_PRICE_CHANGE(0,-1AM)")</f>
        <v>10.2414330218069</v>
      </c>
      <c r="F4" s="47" cm="1">
        <f t="array" ref="F4">_xll.FDS($A4,"FG_PRICE_CHANGE(0,-3AM)")</f>
        <v>10.845732184808201</v>
      </c>
      <c r="G4" s="47" cm="1">
        <f t="array" ref="G4">_xll.FDS($A4,"FG_PRICE_CHANGE(0,-6AM)")</f>
        <v>18.484933035714299</v>
      </c>
      <c r="H4" s="47" cm="1">
        <f t="array" ref="H4">_xll.FDS($A4,"FG_PRICE_CHANGE(0,-1AY)")</f>
        <v>6.6022342161415901</v>
      </c>
      <c r="I4" s="47" cm="1">
        <f t="array" ref="I4">_xll.FDS($A4,"FG_PRICE(0)/MAX(FG_PRICE(0,-1AY))")</f>
        <v>1</v>
      </c>
      <c r="J4" cm="1">
        <f t="array" ref="J4">_xll.FDS($A4,"MAX(FG_PRICE(0,-5AY))")</f>
        <v>4.9290000000000003</v>
      </c>
      <c r="P4" t="s">
        <v>27</v>
      </c>
      <c r="Q4" t="s">
        <v>433</v>
      </c>
      <c r="R4" t="s">
        <v>27</v>
      </c>
      <c r="S4">
        <f>IF(E4&lt;$C$19, 1, IF(E4&gt;$C$20,-1,0))</f>
        <v>-1</v>
      </c>
      <c r="T4">
        <f t="shared" ref="T4:T5" si="0">S4</f>
        <v>-1</v>
      </c>
    </row>
    <row r="5" spans="1:20" x14ac:dyDescent="0.35">
      <c r="A5" t="s">
        <v>796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-8.2103912764592692</v>
      </c>
      <c r="H5" s="47" cm="1">
        <f t="array" ref="H5">_xll.FDS($A5,"FG_PRICE_CHANGE(0,-1AY)")</f>
        <v>-0.48678720445062301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797</v>
      </c>
      <c r="B6" t="s">
        <v>798</v>
      </c>
      <c r="C6" cm="1">
        <f t="array" ref="C6">_xll.FDS($A6,"FG_PRICE(0)")</f>
        <v>5.5625</v>
      </c>
      <c r="D6" cm="1">
        <f t="array" ref="D6">_xll.FDS($A6,"FG_PRICE_MAVG(0,,,,30)")</f>
        <v>5.5074167000000003</v>
      </c>
      <c r="E6" s="47" cm="1">
        <f t="array" ref="E6">_xll.FDS($A6,"FG_PRICE_CHANGE(0,-1AM)")</f>
        <v>-1.2866015971606</v>
      </c>
      <c r="F6" s="47" cm="1">
        <f t="array" ref="F6">_xll.FDS($A6,"FG_PRICE_CHANGE(0,-3AM)")</f>
        <v>-9.3317033414832906</v>
      </c>
      <c r="G6" s="47" cm="1">
        <f t="array" ref="G6">_xll.FDS($A6,"FG_PRICE_CHANGE(0,-6AM)")</f>
        <v>-0.66964285714284899</v>
      </c>
      <c r="H6" s="47" cm="1">
        <f t="array" ref="H6">_xll.FDS($A6,"FG_PRICE_CHANGE(0,-1AY)")</f>
        <v>-19.5589298626175</v>
      </c>
      <c r="I6" s="47" cm="1">
        <f t="array" ref="I6">_xll.FDS($A6,"FG_PRICE(0)/MAX(FG_PRICE(0,-1AY))")</f>
        <v>0.73166721473199603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799</v>
      </c>
      <c r="B7" t="s">
        <v>800</v>
      </c>
      <c r="C7" cm="1">
        <f t="array" ref="C7">_xll.FDS($A7,"FG_PRICE(0)")</f>
        <v>4577</v>
      </c>
      <c r="D7" cm="1">
        <f t="array" ref="D7">_xll.FDS($A7,"FG_PRICE_MAVG(0,,,,30)")</f>
        <v>4222.8999999999996</v>
      </c>
      <c r="E7" s="47" cm="1">
        <f t="array" ref="E7">_xll.FDS($A7,"FG_PRICE_CHANGE(0,-1AM)")</f>
        <v>13.9407518048295</v>
      </c>
      <c r="F7" s="47" cm="1">
        <f t="array" ref="F7">_xll.FDS($A7,"FG_PRICE_CHANGE(0,-3AM)")</f>
        <v>24.239956568946798</v>
      </c>
      <c r="G7" s="47" cm="1">
        <f t="array" ref="G7">_xll.FDS($A7,"FG_PRICE_CHANGE(0,-6AM)")</f>
        <v>25.534832693362599</v>
      </c>
      <c r="H7" s="47" cm="1">
        <f t="array" ref="H7">_xll.FDS($A7,"FG_PRICE_CHANGE(0,-1AY)")</f>
        <v>7.8972182932578896</v>
      </c>
      <c r="I7" s="47" cm="1">
        <f t="array" ref="I7">_xll.FDS($A7,"FG_PRICE(0)/MAX(FG_PRICE(0,-1AY))")</f>
        <v>0.99956322341122505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801</v>
      </c>
      <c r="B8" t="s">
        <v>802</v>
      </c>
      <c r="C8" cm="1">
        <f t="array" ref="C8">_xll.FDS($A8,"FG_PRICE(0)")</f>
        <v>940</v>
      </c>
      <c r="D8" cm="1">
        <f t="array" ref="D8">_xll.FDS($A8,"FG_PRICE_MAVG(0,,,,30)")</f>
        <v>913.9</v>
      </c>
      <c r="E8" s="47" cm="1">
        <f t="array" ref="E8">_xll.FDS($A8,"FG_PRICE_CHANGE(0,-1AM)")</f>
        <v>5.1454138702460996</v>
      </c>
      <c r="F8" s="47" cm="1">
        <f t="array" ref="F8">_xll.FDS($A8,"FG_PRICE_CHANGE(0,-3AM)")</f>
        <v>-3.5897435897435899</v>
      </c>
      <c r="G8" s="47" cm="1">
        <f t="array" ref="G8">_xll.FDS($A8,"FG_PRICE_CHANGE(0,-6AM)")</f>
        <v>6.9397042093287897</v>
      </c>
      <c r="H8" s="47" cm="1">
        <f t="array" ref="H8">_xll.FDS($A8,"FG_PRICE_CHANGE(0,-1AY)")</f>
        <v>-7.6620825147347702</v>
      </c>
      <c r="I8" s="47" cm="1">
        <f t="array" ref="I8">_xll.FDS($A8,"FG_PRICE(0)/MAX(FG_PRICE(0,-1AY))")</f>
        <v>0.82819383259911905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803</v>
      </c>
      <c r="B9" t="s">
        <v>804</v>
      </c>
      <c r="C9" cm="1">
        <f t="array" ref="C9">_xll.FDS($A9,"FG_PRICE(0)")</f>
        <v>17230</v>
      </c>
      <c r="D9" cm="1">
        <f t="array" ref="D9">_xll.FDS($A9,"FG_PRICE_MAVG(0,,,,30)")</f>
        <v>17302.833999999999</v>
      </c>
      <c r="E9" s="47" cm="1">
        <f t="array" ref="E9">_xll.FDS($A9,"FG_PRICE_CHANGE(0,-1AM)")</f>
        <v>-1.9630156472261699</v>
      </c>
      <c r="F9" s="47" cm="1">
        <f t="array" ref="F9">_xll.FDS($A9,"FG_PRICE_CHANGE(0,-3AM)")</f>
        <v>7.5195007800312101</v>
      </c>
      <c r="G9" s="47" cm="1">
        <f t="array" ref="G9">_xll.FDS($A9,"FG_PRICE_CHANGE(0,-6AM)")</f>
        <v>-7.3655913978494603</v>
      </c>
      <c r="H9" s="47" cm="1">
        <f t="array" ref="H9">_xll.FDS($A9,"FG_PRICE_CHANGE(0,-1AY)")</f>
        <v>-24.792666957660401</v>
      </c>
      <c r="I9" s="47" cm="1">
        <f t="array" ref="I9">_xll.FDS($A9,"FG_PRICE(0)/MAX(FG_PRICE(0,-1AY))")</f>
        <v>0.67462803445575603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-1</v>
      </c>
      <c r="T9">
        <f t="shared" ref="T9" si="1">S9</f>
        <v>-1</v>
      </c>
    </row>
    <row r="10" spans="1:20" x14ac:dyDescent="0.35">
      <c r="A10" t="s">
        <v>805</v>
      </c>
      <c r="B10" t="s">
        <v>806</v>
      </c>
      <c r="C10" cm="1">
        <f t="array" ref="C10">_xll.FDS($A10,"FG_PRICE(0)")</f>
        <v>1030</v>
      </c>
      <c r="D10" cm="1">
        <f t="array" ref="D10">_xll.FDS($A10,"FG_PRICE_MAVG(0,,,,30)")</f>
        <v>1014.8333</v>
      </c>
      <c r="E10" s="47" cm="1">
        <f t="array" ref="E10">_xll.FDS($A10,"FG_PRICE_CHANGE(0,-1AM)")</f>
        <v>7.2916666666666696</v>
      </c>
      <c r="F10" s="47" cm="1">
        <f t="array" ref="F10">_xll.FDS($A10,"FG_PRICE_CHANGE(0,-3AM)")</f>
        <v>-3.2863849765258202</v>
      </c>
      <c r="G10" s="47" cm="1">
        <f t="array" ref="G10">_xll.FDS($A10,"FG_PRICE_CHANGE(0,-6AM)")</f>
        <v>-13.445378151260501</v>
      </c>
      <c r="H10" s="47" cm="1">
        <f t="array" ref="H10">_xll.FDS($A10,"FG_PRICE_CHANGE(0,-1AY)")</f>
        <v>-30.8724832214765</v>
      </c>
      <c r="I10" s="47" cm="1">
        <f t="array" ref="I10">_xll.FDS($A10,"FG_PRICE(0)/MAX(FG_PRICE(0,-1AY))")</f>
        <v>0.62804878048780499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807</v>
      </c>
      <c r="C11" cm="1">
        <f t="array" ref="C11">_xll.FDS($A11,"FG_PRICE(0)")</f>
        <v>650.70000000000005</v>
      </c>
      <c r="D11" cm="1">
        <f t="array" ref="D11">_xll.FDS($A11,"FG_PRICE_MAVG(0,,,,30)")</f>
        <v>625.65</v>
      </c>
      <c r="E11" s="47" cm="1">
        <f t="array" ref="E11">_xll.FDS($A11,"FG_PRICE_CHANGE(0,-1AM)")</f>
        <v>9.7301854974704902</v>
      </c>
      <c r="F11" s="47" cm="1">
        <f t="array" ref="F11">_xll.FDS($A11,"FG_PRICE_CHANGE(0,-3AM)")</f>
        <v>7.1816834129467999</v>
      </c>
      <c r="G11" s="47" cm="1">
        <f t="array" ref="G11">_xll.FDS($A11,"FG_PRICE_CHANGE(0,-6AM)")</f>
        <v>-5.859375</v>
      </c>
      <c r="H11" s="47" cm="1">
        <f t="array" ref="H11">_xll.FDS($A11,"FG_PRICE_CHANGE(0,-1AY)")</f>
        <v>2.1827889447236299</v>
      </c>
      <c r="I11" s="47" cm="1">
        <f t="array" ref="I11">_xll.FDS($A11,"FG_PRICE(0)/MAX(FG_PRICE(0,-1AY))")</f>
        <v>0.85237097196751399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808</v>
      </c>
      <c r="B12" t="s">
        <v>809</v>
      </c>
      <c r="C12" cm="1">
        <f t="array" ref="C12">_xll.FDS($A12,"FG_PRICE(0)")</f>
        <v>0.95903780000000005</v>
      </c>
      <c r="D12" cm="1">
        <f t="array" ref="D12">_xll.FDS($A12,"FG_PRICE_MAVG(0,,,,30)")</f>
        <v>0.9644781</v>
      </c>
      <c r="E12" s="47" cm="1">
        <f t="array" ref="E12">_xll.FDS($A12,"FG_PRICE_CHANGE(0,-1AM)")</f>
        <v>-1.04229007222739</v>
      </c>
      <c r="F12" s="47" cm="1">
        <f t="array" ref="F12">_xll.FDS($A12,"FG_PRICE_CHANGE(0,-3AM)")</f>
        <v>-1.8451865865834001</v>
      </c>
      <c r="G12" s="47" cm="1">
        <f t="array" ref="G12">_xll.FDS($A12,"FG_PRICE_CHANGE(0,-6AM)")</f>
        <v>-3.9621126941661302</v>
      </c>
      <c r="H12" s="47" cm="1">
        <f t="array" ref="H12">_xll.FDS($A12,"FG_PRICE_CHANGE(0,-1AY)")</f>
        <v>-15.1068677430408</v>
      </c>
      <c r="I12" s="47" cm="1">
        <f t="array" ref="I12">_xll.FDS($A12,"FG_PRICE(0)/MAX(FG_PRICE(0,-1AY))")</f>
        <v>0.84893132256959203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811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812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863</v>
      </c>
      <c r="L1" t="s">
        <v>865</v>
      </c>
      <c r="M1" t="s">
        <v>862</v>
      </c>
      <c r="N1" t="s">
        <v>864</v>
      </c>
    </row>
    <row r="2" spans="1:14" x14ac:dyDescent="0.35">
      <c r="A2" s="2" cm="1">
        <f t="array" ref="A2:A122">_xll.FDS(B1,"JULIAN(FMA_DIV_YLD(LTMA,-10AY,0,AM,""PORTAGG"",""MEANR"").dates)")</f>
        <v>41733</v>
      </c>
      <c r="B2" s="3" cm="1">
        <f t="array" ref="B2:B122">_xll.FDS(B1,"FMA_PE(LTMA,-10AY,0,AM,""PORTAGG"",""MEANR"")")</f>
        <v>17.953196085379499</v>
      </c>
      <c r="C2" s="3" cm="1">
        <f t="array" ref="C2:C122">_xll.FDS(C1,"FMA_PE(LTMA,-10AY,0,AM,""PORTAGG"",""MEANR"")")</f>
        <v>15.294188005753</v>
      </c>
      <c r="D2" s="3" cm="1">
        <f t="array" ref="D2:D122">_xll.FDS(D1,"FMA_PE(LTMA,-10AY,0,AM,""PORTAGG"",""MEANR"")")</f>
        <v>16.427785395628302</v>
      </c>
      <c r="E2" s="3" cm="1">
        <f t="array" ref="E2:E122">_xll.FDS(E1,"FMA_PE(LTMA,-10AY,0,AM,""PORTAGG"",""MEANR"")")</f>
        <v>14.7775784949163</v>
      </c>
      <c r="F2" s="3" cm="1">
        <f t="array" ref="F2:F122">_xll.FDS(F1,"FMA_PE(LTMA,-10AY,0,AM,""PORTAGG"",""MEANR"")")</f>
        <v>15.579669332252299</v>
      </c>
      <c r="G2" s="3" cm="1">
        <f t="array" ref="G2:G122">_xll.FDS(G1,"FMA_PE(LTMA,-10AY,0,AM,""PORTAGG"",""MEANR"")")</f>
        <v>17.106056205101901</v>
      </c>
      <c r="H2" s="3" cm="1">
        <f t="array" ref="H2:H122">_xll.FDS(H1,"FMA_PE(LTMA,-10AY,0,AM,""PORTAGG"",""MEANR"")")</f>
        <v>14.321614372864</v>
      </c>
      <c r="I2" s="3" cm="1">
        <f t="array" ref="I2:I122">_xll.FDS(I1,"FMA_PE(LTMA,-10AY,0,AM,""PORTAGG"",""MEANR"")")</f>
        <v>18.960458963043401</v>
      </c>
      <c r="J2" s="3" cm="1">
        <f t="array" ref="J2:J122">_xll.FDS(J1,"FMA_PE(LTMA,-10AY,0,AM,""PORTAGG"",""MEANR"")")</f>
        <v>16.296835942729299</v>
      </c>
      <c r="K2" s="3" cm="1">
        <f t="array" ref="K2:K122">_xll.FDS(K1,"FMA_PE(LTMA,-10AY,0,AM,""PORTAGG"",""MEANR"")")</f>
        <v>15.9383009228067</v>
      </c>
      <c r="L2" s="3" cm="1">
        <f t="array" ref="L2:L122">_xll.FDS(L1,"FMA_PE(LTMA,-10AY,0,AM,""PORTAGG"",""MEANR"")")</f>
        <v>17.205620078844099</v>
      </c>
      <c r="M2" s="3" cm="1">
        <f t="array" ref="M2:M122">_xll.FDS(M1,"FMA_PE(LTMA,-10AY,0,AM,""PORTAGG"",""MEANR"")")</f>
        <v>15.3798180919709</v>
      </c>
      <c r="N2" s="3" cm="1">
        <f t="array" ref="N2:N122">_xll.FDS(N1,"FMA_PE(LTMA,-10AY,0,AM,""PORTAGG"",""MEANR"")")</f>
        <v>17.4136802869271</v>
      </c>
    </row>
    <row r="3" spans="1:14" x14ac:dyDescent="0.35">
      <c r="A3" s="2">
        <v>41761</v>
      </c>
      <c r="B3" s="3">
        <v>18.108130290989902</v>
      </c>
      <c r="C3" s="3">
        <v>15.231693050812099</v>
      </c>
      <c r="D3" s="3">
        <v>16.374325786381</v>
      </c>
      <c r="E3" s="3">
        <v>14.6330415699914</v>
      </c>
      <c r="F3" s="3">
        <v>15.281219950093799</v>
      </c>
      <c r="G3" s="3">
        <v>17.125061312620801</v>
      </c>
      <c r="H3" s="3">
        <v>14.3893722187413</v>
      </c>
      <c r="I3" s="3">
        <v>18.7783283384728</v>
      </c>
      <c r="J3" s="3">
        <v>16.237206265538699</v>
      </c>
      <c r="K3" s="3">
        <v>15.817404028698</v>
      </c>
      <c r="L3" s="3">
        <v>16.883858252727801</v>
      </c>
      <c r="M3" s="3">
        <v>15.445727716658901</v>
      </c>
      <c r="N3" s="3">
        <v>17.1929215138145</v>
      </c>
    </row>
    <row r="4" spans="1:14" x14ac:dyDescent="0.35">
      <c r="A4" s="2">
        <v>41794</v>
      </c>
      <c r="B4" s="3">
        <v>17.9438382345737</v>
      </c>
      <c r="C4" s="3">
        <v>15.128892634459801</v>
      </c>
      <c r="D4" s="3">
        <v>16.1929648993416</v>
      </c>
      <c r="E4" s="3">
        <v>14.6863869111369</v>
      </c>
      <c r="F4" s="3">
        <v>15.3222103260505</v>
      </c>
      <c r="G4" s="3">
        <v>17.2102811360228</v>
      </c>
      <c r="H4" s="3">
        <v>14.3635178916582</v>
      </c>
      <c r="I4" s="3">
        <v>18.901796969651802</v>
      </c>
      <c r="J4" s="3">
        <v>16.300320402102901</v>
      </c>
      <c r="K4" s="3">
        <v>15.832703114269201</v>
      </c>
      <c r="L4" s="3">
        <v>16.823521385803701</v>
      </c>
      <c r="M4" s="3">
        <v>15.739347939926001</v>
      </c>
      <c r="N4" s="3">
        <v>17.167262290833001</v>
      </c>
    </row>
    <row r="5" spans="1:14" x14ac:dyDescent="0.35">
      <c r="A5" s="2">
        <v>41823</v>
      </c>
      <c r="B5" s="3">
        <v>18.0160973330219</v>
      </c>
      <c r="C5" s="3">
        <v>15.2291980254451</v>
      </c>
      <c r="D5" s="3">
        <v>16.3289123304105</v>
      </c>
      <c r="E5" s="3">
        <v>14.702121243614901</v>
      </c>
      <c r="F5" s="3">
        <v>15.3810728766151</v>
      </c>
      <c r="G5" s="3">
        <v>17.259770299676699</v>
      </c>
      <c r="H5" s="3">
        <v>14.4635631367125</v>
      </c>
      <c r="I5" s="3">
        <v>19.2148765330994</v>
      </c>
      <c r="J5" s="3">
        <v>16.4996505616026</v>
      </c>
      <c r="K5" s="3">
        <v>15.7590828940171</v>
      </c>
      <c r="L5" s="3">
        <v>16.9181601049196</v>
      </c>
      <c r="M5" s="3">
        <v>15.9551548654774</v>
      </c>
      <c r="N5" s="3">
        <v>17.640297195701802</v>
      </c>
    </row>
    <row r="6" spans="1:14" x14ac:dyDescent="0.35">
      <c r="A6" s="2">
        <v>41855</v>
      </c>
      <c r="B6" s="3">
        <v>17.877323610628601</v>
      </c>
      <c r="C6" s="3">
        <v>15.387841081114599</v>
      </c>
      <c r="D6" s="3">
        <v>16.2632147956074</v>
      </c>
      <c r="E6" s="3">
        <v>14.004567940695599</v>
      </c>
      <c r="F6" s="3">
        <v>15.170494544131</v>
      </c>
      <c r="G6" s="3">
        <v>16.986619835484198</v>
      </c>
      <c r="H6" s="3">
        <v>14.222954675865701</v>
      </c>
      <c r="I6" s="3">
        <v>18.9741970650072</v>
      </c>
      <c r="J6" s="3">
        <v>16.202902415607799</v>
      </c>
      <c r="K6" s="3">
        <v>15.1972458005869</v>
      </c>
      <c r="L6" s="3">
        <v>16.216911557230201</v>
      </c>
      <c r="M6" s="3">
        <v>15.835576050057499</v>
      </c>
      <c r="N6" s="3">
        <v>17.0263482508288</v>
      </c>
    </row>
    <row r="7" spans="1:14" x14ac:dyDescent="0.35">
      <c r="A7" s="2">
        <v>41886</v>
      </c>
      <c r="B7" s="3">
        <v>17.9058782108598</v>
      </c>
      <c r="C7" s="3">
        <v>15.4910241359794</v>
      </c>
      <c r="D7" s="3">
        <v>16.4672018357723</v>
      </c>
      <c r="E7" s="3">
        <v>14.3741780433513</v>
      </c>
      <c r="F7" s="3">
        <v>15.137734514436699</v>
      </c>
      <c r="G7" s="3">
        <v>17.503472935642701</v>
      </c>
      <c r="H7" s="3">
        <v>14.3259661532883</v>
      </c>
      <c r="I7" s="3">
        <v>19.411945706486598</v>
      </c>
      <c r="J7" s="3">
        <v>16.484999991237402</v>
      </c>
      <c r="K7" s="3">
        <v>15.635916992945299</v>
      </c>
      <c r="L7" s="3">
        <v>16.834057766948</v>
      </c>
      <c r="M7" s="3">
        <v>15.9221746553735</v>
      </c>
      <c r="N7" s="3">
        <v>18.139817191373101</v>
      </c>
    </row>
    <row r="8" spans="1:14" x14ac:dyDescent="0.35">
      <c r="A8" s="2">
        <v>41915</v>
      </c>
      <c r="B8" s="3">
        <v>17.872677820667899</v>
      </c>
      <c r="C8" s="3">
        <v>14.7038804114428</v>
      </c>
      <c r="D8" s="3">
        <v>15.823903717389699</v>
      </c>
      <c r="E8" s="3">
        <v>13.737405136245799</v>
      </c>
      <c r="F8" s="3">
        <v>15.069695567942</v>
      </c>
      <c r="G8" s="3">
        <v>17.0624895336422</v>
      </c>
      <c r="H8" s="3">
        <v>13.6852686540251</v>
      </c>
      <c r="I8" s="3">
        <v>19.252508713617701</v>
      </c>
      <c r="J8" s="3">
        <v>16.3629751097438</v>
      </c>
      <c r="K8" s="3">
        <v>15.0806966009467</v>
      </c>
      <c r="L8" s="3">
        <v>16.576628969631098</v>
      </c>
      <c r="M8" s="3">
        <v>15.7984597954535</v>
      </c>
      <c r="N8" s="3">
        <v>17.212070444637799</v>
      </c>
    </row>
    <row r="9" spans="1:14" x14ac:dyDescent="0.35">
      <c r="A9" s="2">
        <v>41947</v>
      </c>
      <c r="B9" s="3">
        <v>18.509148380531101</v>
      </c>
      <c r="C9" s="3">
        <v>15.2981878829492</v>
      </c>
      <c r="D9" s="3">
        <v>15.4701758949802</v>
      </c>
      <c r="E9" s="3">
        <v>13.5698955378554</v>
      </c>
      <c r="F9" s="3">
        <v>15.7358656321379</v>
      </c>
      <c r="G9" s="3">
        <v>17.154358166735399</v>
      </c>
      <c r="H9" s="3">
        <v>13.657158470656499</v>
      </c>
      <c r="I9" s="3">
        <v>19.753561668357701</v>
      </c>
      <c r="J9" s="3">
        <v>16.684921910294999</v>
      </c>
      <c r="K9" s="3">
        <v>14.653620154262001</v>
      </c>
      <c r="L9" s="3">
        <v>16.721061615281599</v>
      </c>
      <c r="M9" s="3">
        <v>16.500299658823401</v>
      </c>
      <c r="N9" s="3">
        <v>16.725589534334699</v>
      </c>
    </row>
    <row r="10" spans="1:14" x14ac:dyDescent="0.35">
      <c r="A10" s="2">
        <v>41977</v>
      </c>
      <c r="B10" s="3">
        <v>18.9501389366444</v>
      </c>
      <c r="C10" s="3">
        <v>14.623705300778401</v>
      </c>
      <c r="D10" s="3">
        <v>15.550300057249601</v>
      </c>
      <c r="E10" s="3">
        <v>14.4128656326982</v>
      </c>
      <c r="F10" s="3">
        <v>16.170512808374799</v>
      </c>
      <c r="G10" s="3">
        <v>17.618400863013399</v>
      </c>
      <c r="H10" s="3">
        <v>13.967138466389599</v>
      </c>
      <c r="I10" s="3">
        <v>20.434339110332601</v>
      </c>
      <c r="J10" s="3">
        <v>17.191135755462501</v>
      </c>
      <c r="K10" s="3">
        <v>15.303283709282899</v>
      </c>
      <c r="L10" s="3">
        <v>17.892454109324699</v>
      </c>
      <c r="M10" s="3">
        <v>17.230893150017</v>
      </c>
      <c r="N10" s="3">
        <v>18.648259477793701</v>
      </c>
    </row>
    <row r="11" spans="1:14" x14ac:dyDescent="0.35">
      <c r="A11" s="2">
        <v>42006</v>
      </c>
      <c r="B11" s="3">
        <v>19.2341389813833</v>
      </c>
      <c r="C11" s="3">
        <v>14.8442549418679</v>
      </c>
      <c r="D11" s="3">
        <v>15.707015656399999</v>
      </c>
      <c r="E11" s="3">
        <v>14.231859602878901</v>
      </c>
      <c r="F11" s="3">
        <v>15.885694894027001</v>
      </c>
      <c r="G11" s="3">
        <v>17.1892387956023</v>
      </c>
      <c r="H11" s="3">
        <v>13.6760489520509</v>
      </c>
      <c r="I11" s="3">
        <v>20.069196892801799</v>
      </c>
      <c r="J11" s="3">
        <v>17.2880609023596</v>
      </c>
      <c r="K11" s="3">
        <v>15.009791213125499</v>
      </c>
      <c r="L11" s="3">
        <v>17.529095243753101</v>
      </c>
      <c r="M11" s="3">
        <v>17.561130428326699</v>
      </c>
      <c r="N11" s="3">
        <v>18.346663817029398</v>
      </c>
    </row>
    <row r="12" spans="1:14" x14ac:dyDescent="0.35">
      <c r="A12" s="2">
        <v>42039</v>
      </c>
      <c r="B12" s="3">
        <v>20.0151700555164</v>
      </c>
      <c r="C12" s="3">
        <v>15.713370957347699</v>
      </c>
      <c r="D12" s="3">
        <v>16.1719455372154</v>
      </c>
      <c r="E12" s="3">
        <v>15.7488294396175</v>
      </c>
      <c r="F12" s="3">
        <v>15.610818172755501</v>
      </c>
      <c r="G12" s="3">
        <v>17.068815033498701</v>
      </c>
      <c r="H12" s="3">
        <v>14.449291240652</v>
      </c>
      <c r="I12" s="3">
        <v>19.740834485461701</v>
      </c>
      <c r="J12" s="3">
        <v>17.0995495528243</v>
      </c>
      <c r="K12" s="3">
        <v>16.536158839755199</v>
      </c>
      <c r="L12" s="3">
        <v>18.7344712361256</v>
      </c>
      <c r="M12" s="3">
        <v>18.730659523669701</v>
      </c>
      <c r="N12" s="3">
        <v>24.2183373091815</v>
      </c>
    </row>
    <row r="13" spans="1:14" x14ac:dyDescent="0.35">
      <c r="A13" s="2">
        <v>42067</v>
      </c>
      <c r="B13" s="3">
        <v>20.5075127779875</v>
      </c>
      <c r="C13" s="3">
        <v>16.206964430523701</v>
      </c>
      <c r="D13" s="3">
        <v>17.0129997181938</v>
      </c>
      <c r="E13" s="3">
        <v>16.466104540685901</v>
      </c>
      <c r="F13" s="3">
        <v>16.899702562958801</v>
      </c>
      <c r="G13" s="3">
        <v>17.9632836391579</v>
      </c>
      <c r="H13" s="3">
        <v>15.1825389702884</v>
      </c>
      <c r="I13" s="3">
        <v>20.7570925544997</v>
      </c>
      <c r="J13" s="3">
        <v>17.579970827453501</v>
      </c>
      <c r="K13" s="3">
        <v>17.525983365885601</v>
      </c>
      <c r="L13" s="3">
        <v>20.095781271109601</v>
      </c>
      <c r="M13" s="3">
        <v>20.205884736424501</v>
      </c>
      <c r="N13" s="3">
        <v>44.843274398269401</v>
      </c>
    </row>
    <row r="14" spans="1:14" x14ac:dyDescent="0.35">
      <c r="A14" s="2">
        <v>42096</v>
      </c>
      <c r="B14" s="3">
        <v>20.270112697210699</v>
      </c>
      <c r="C14" s="3">
        <v>16.264467527338599</v>
      </c>
      <c r="D14" s="3">
        <v>17.095456503967</v>
      </c>
      <c r="E14" s="3">
        <v>16.5142576521012</v>
      </c>
      <c r="F14" s="3">
        <v>16.846137982127001</v>
      </c>
      <c r="G14" s="3">
        <v>18.028330397076001</v>
      </c>
      <c r="H14" s="3">
        <v>15.260198360748401</v>
      </c>
      <c r="I14" s="3">
        <v>20.457636356411999</v>
      </c>
      <c r="J14" s="3">
        <v>17.486201614717402</v>
      </c>
      <c r="K14" s="3">
        <v>17.570205694985201</v>
      </c>
      <c r="L14" s="3">
        <v>19.935824790479</v>
      </c>
      <c r="M14" s="3">
        <v>19.957723936774499</v>
      </c>
      <c r="N14" s="3">
        <v>42.280248173087699</v>
      </c>
    </row>
    <row r="15" spans="1:14" x14ac:dyDescent="0.35">
      <c r="A15" s="2">
        <v>42128</v>
      </c>
      <c r="B15" s="3">
        <v>20.059656737241902</v>
      </c>
      <c r="C15" s="3">
        <v>16.3503942993752</v>
      </c>
      <c r="D15" s="3">
        <v>17.3722715313449</v>
      </c>
      <c r="E15" s="3">
        <v>16.2530129504283</v>
      </c>
      <c r="F15" s="3">
        <v>16.874282906575001</v>
      </c>
      <c r="G15" s="3">
        <v>18.093218302737199</v>
      </c>
      <c r="H15" s="3">
        <v>15.5735600312179</v>
      </c>
      <c r="I15" s="3">
        <v>20.378524493119599</v>
      </c>
      <c r="J15" s="3">
        <v>17.567068883018599</v>
      </c>
      <c r="K15" s="3">
        <v>17.491382396168099</v>
      </c>
      <c r="L15" s="3">
        <v>19.628550220652301</v>
      </c>
      <c r="M15" s="3">
        <v>19.2326555199115</v>
      </c>
      <c r="N15" s="3">
        <v>39.356824531247902</v>
      </c>
    </row>
    <row r="16" spans="1:14" x14ac:dyDescent="0.35">
      <c r="A16" s="2">
        <v>42159</v>
      </c>
      <c r="B16" s="3">
        <v>20.027227599638302</v>
      </c>
      <c r="C16" s="3">
        <v>15.918615479362501</v>
      </c>
      <c r="D16" s="3">
        <v>17.236909321769701</v>
      </c>
      <c r="E16" s="3">
        <v>15.844581796504199</v>
      </c>
      <c r="F16" s="3">
        <v>17.1444175773998</v>
      </c>
      <c r="G16" s="3">
        <v>18.101501850645601</v>
      </c>
      <c r="H16" s="3">
        <v>15.6596009526017</v>
      </c>
      <c r="I16" s="3">
        <v>20.195556889235299</v>
      </c>
      <c r="J16" s="3">
        <v>17.4719082405555</v>
      </c>
      <c r="K16" s="3">
        <v>17.359290626453099</v>
      </c>
      <c r="L16" s="3">
        <v>19.324686649491401</v>
      </c>
      <c r="M16" s="3">
        <v>19.150692837615001</v>
      </c>
      <c r="N16" s="3">
        <v>36.349931929491497</v>
      </c>
    </row>
    <row r="17" spans="1:14" x14ac:dyDescent="0.35">
      <c r="A17" s="2">
        <v>42187</v>
      </c>
      <c r="B17" s="3">
        <v>19.8755888358466</v>
      </c>
      <c r="C17" s="3">
        <v>16.060629673591801</v>
      </c>
      <c r="D17" s="3">
        <v>17.084285553942699</v>
      </c>
      <c r="E17" s="3">
        <v>15.471700557444001</v>
      </c>
      <c r="F17" s="3">
        <v>16.830358136769402</v>
      </c>
      <c r="G17" s="3">
        <v>17.8155523923486</v>
      </c>
      <c r="H17" s="3">
        <v>15.5181994991463</v>
      </c>
      <c r="I17" s="3">
        <v>19.945281380103701</v>
      </c>
      <c r="J17" s="3">
        <v>17.388139830441599</v>
      </c>
      <c r="K17" s="3">
        <v>16.9947151139488</v>
      </c>
      <c r="L17" s="3">
        <v>18.9265659133696</v>
      </c>
      <c r="M17" s="3">
        <v>18.559482320071101</v>
      </c>
      <c r="N17" s="3">
        <v>33.483948253963</v>
      </c>
    </row>
    <row r="18" spans="1:14" x14ac:dyDescent="0.35">
      <c r="A18" s="2">
        <v>42220</v>
      </c>
      <c r="B18" s="3">
        <v>19.876420317649298</v>
      </c>
      <c r="C18" s="3">
        <v>16.209831336209501</v>
      </c>
      <c r="D18" s="3">
        <v>17.0369251442477</v>
      </c>
      <c r="E18" s="3">
        <v>15.5201783458508</v>
      </c>
      <c r="F18" s="3">
        <v>16.8289068810816</v>
      </c>
      <c r="G18" s="3">
        <v>18.268093479209298</v>
      </c>
      <c r="H18" s="3">
        <v>15.732632723499799</v>
      </c>
      <c r="I18" s="3">
        <v>20.365528965046099</v>
      </c>
      <c r="J18" s="3">
        <v>17.4804102529502</v>
      </c>
      <c r="K18" s="3">
        <v>17.235708337358801</v>
      </c>
      <c r="L18" s="3">
        <v>19.101481324005501</v>
      </c>
      <c r="M18" s="3">
        <v>18.423455501306101</v>
      </c>
      <c r="N18" s="3">
        <v>30.9211640184065</v>
      </c>
    </row>
    <row r="19" spans="1:14" x14ac:dyDescent="0.35">
      <c r="A19" s="2">
        <v>42251</v>
      </c>
      <c r="B19" s="3">
        <v>18.960416878998998</v>
      </c>
      <c r="C19" s="3">
        <v>15.0967343099177</v>
      </c>
      <c r="D19" s="3">
        <v>16.328975682907299</v>
      </c>
      <c r="E19" s="3">
        <v>14.191533718031399</v>
      </c>
      <c r="F19" s="3">
        <v>15.257443794033801</v>
      </c>
      <c r="G19" s="3">
        <v>17.169183261872099</v>
      </c>
      <c r="H19" s="3">
        <v>14.7873240569561</v>
      </c>
      <c r="I19" s="3">
        <v>19.164703830244701</v>
      </c>
      <c r="J19" s="3">
        <v>16.521673327667699</v>
      </c>
      <c r="K19" s="3">
        <v>15.8143877385292</v>
      </c>
      <c r="L19" s="3">
        <v>17.284342800923898</v>
      </c>
      <c r="M19" s="3">
        <v>17.170688106377501</v>
      </c>
      <c r="N19" s="3">
        <v>27.2539900020776</v>
      </c>
    </row>
    <row r="20" spans="1:14" x14ac:dyDescent="0.35">
      <c r="A20" s="2">
        <v>42279</v>
      </c>
      <c r="B20" s="3">
        <v>18.610096778714301</v>
      </c>
      <c r="C20" s="3">
        <v>15.12316260996</v>
      </c>
      <c r="D20" s="3">
        <v>16.379755799467599</v>
      </c>
      <c r="E20" s="3">
        <v>13.6947369017506</v>
      </c>
      <c r="F20" s="3">
        <v>15.056033931794399</v>
      </c>
      <c r="G20" s="3">
        <v>17.010568067186199</v>
      </c>
      <c r="H20" s="3">
        <v>15.108163670465199</v>
      </c>
      <c r="I20" s="3">
        <v>19.263553972015501</v>
      </c>
      <c r="J20" s="3">
        <v>16.649623432428101</v>
      </c>
      <c r="K20" s="3">
        <v>15.5019152118394</v>
      </c>
      <c r="L20" s="3">
        <v>16.641171054896098</v>
      </c>
      <c r="M20" s="3">
        <v>16.468132530313198</v>
      </c>
      <c r="N20" s="3">
        <v>24.845951245741301</v>
      </c>
    </row>
    <row r="21" spans="1:14" x14ac:dyDescent="0.35">
      <c r="A21" s="2">
        <v>42312</v>
      </c>
      <c r="B21" s="3">
        <v>19.693715579253801</v>
      </c>
      <c r="C21" s="3">
        <v>15.647124004256501</v>
      </c>
      <c r="D21" s="3">
        <v>16.7688649740271</v>
      </c>
      <c r="E21" s="3">
        <v>14.516801692985499</v>
      </c>
      <c r="F21" s="3">
        <v>15.724053523122899</v>
      </c>
      <c r="G21" s="3">
        <v>17.7759852895907</v>
      </c>
      <c r="H21" s="3">
        <v>15.992339361788201</v>
      </c>
      <c r="I21" s="3">
        <v>20.561137335886499</v>
      </c>
      <c r="J21" s="3">
        <v>17.592413735780902</v>
      </c>
      <c r="K21" s="3">
        <v>16.5025623679388</v>
      </c>
      <c r="L21" s="3">
        <v>17.5348300846867</v>
      </c>
      <c r="M21" s="3">
        <v>17.444666748898101</v>
      </c>
      <c r="N21" s="3">
        <v>23.062878838328501</v>
      </c>
    </row>
    <row r="22" spans="1:14" x14ac:dyDescent="0.35">
      <c r="A22" s="2">
        <v>42342</v>
      </c>
      <c r="B22" s="3">
        <v>19.565970804072499</v>
      </c>
      <c r="C22" s="3">
        <v>15.5206311202538</v>
      </c>
      <c r="D22" s="3">
        <v>16.577150937627099</v>
      </c>
      <c r="E22" s="3">
        <v>14.2539952798487</v>
      </c>
      <c r="F22" s="3">
        <v>16.030834578885599</v>
      </c>
      <c r="G22" s="3">
        <v>17.490270163684499</v>
      </c>
      <c r="H22" s="3">
        <v>15.703416970626501</v>
      </c>
      <c r="I22" s="3">
        <v>20.606448980712599</v>
      </c>
      <c r="J22" s="3">
        <v>17.494984232058801</v>
      </c>
      <c r="K22" s="3">
        <v>15.8426349844756</v>
      </c>
      <c r="L22" s="3">
        <v>17.515579687661301</v>
      </c>
      <c r="M22" s="3">
        <v>16.808565884435801</v>
      </c>
      <c r="N22" s="3">
        <v>20.6936266018261</v>
      </c>
    </row>
    <row r="23" spans="1:14" x14ac:dyDescent="0.35">
      <c r="A23" s="2">
        <v>42373</v>
      </c>
      <c r="B23" s="3">
        <v>19.842051952774401</v>
      </c>
      <c r="C23" s="3">
        <v>15.936529979108499</v>
      </c>
      <c r="D23" s="3">
        <v>15.6579007267959</v>
      </c>
      <c r="E23" s="3">
        <v>13.4391708993985</v>
      </c>
      <c r="F23" s="3">
        <v>15.329647011982299</v>
      </c>
      <c r="G23" s="3">
        <v>17.0028712522052</v>
      </c>
      <c r="H23" s="3">
        <v>15.284676095247701</v>
      </c>
      <c r="I23" s="3">
        <v>19.905071006360298</v>
      </c>
      <c r="J23" s="3">
        <v>16.874073156084499</v>
      </c>
      <c r="K23" s="3">
        <v>15.0428137283207</v>
      </c>
      <c r="L23" s="3">
        <v>16.4498228701346</v>
      </c>
      <c r="M23" s="3">
        <v>15.450058104012999</v>
      </c>
      <c r="N23" s="3">
        <v>17.639572017828499</v>
      </c>
    </row>
    <row r="24" spans="1:14" x14ac:dyDescent="0.35">
      <c r="A24" s="2">
        <v>42404</v>
      </c>
      <c r="B24" s="3">
        <v>19.0315333903199</v>
      </c>
      <c r="C24" s="3">
        <v>15.2788830878205</v>
      </c>
      <c r="D24" s="3">
        <v>15.5497195772734</v>
      </c>
      <c r="E24" s="3">
        <v>12.4680152645594</v>
      </c>
      <c r="F24" s="3">
        <v>14.2759044732099</v>
      </c>
      <c r="G24" s="3">
        <v>16.7287673022491</v>
      </c>
      <c r="H24" s="3">
        <v>14.9951856990591</v>
      </c>
      <c r="I24" s="3">
        <v>18.261936199192199</v>
      </c>
      <c r="J24" s="3">
        <v>16.2966838906097</v>
      </c>
      <c r="K24" s="3">
        <v>14.175965675904701</v>
      </c>
      <c r="L24" s="3">
        <v>15.8892948026478</v>
      </c>
      <c r="M24" s="3">
        <v>14.807627108827599</v>
      </c>
      <c r="N24" s="3">
        <v>14.450592525219101</v>
      </c>
    </row>
    <row r="25" spans="1:14" x14ac:dyDescent="0.35">
      <c r="A25" s="2">
        <v>42433</v>
      </c>
      <c r="B25" s="3">
        <v>19.330163946949298</v>
      </c>
      <c r="C25" s="3">
        <v>15.0670649567759</v>
      </c>
      <c r="D25" s="3">
        <v>15.806776648673001</v>
      </c>
      <c r="E25" s="3">
        <v>12.7186772140856</v>
      </c>
      <c r="F25" s="3">
        <v>13.9379006042755</v>
      </c>
      <c r="G25" s="3">
        <v>16.6344526418168</v>
      </c>
      <c r="H25" s="3">
        <v>15.5936516191535</v>
      </c>
      <c r="I25" s="3">
        <v>18.251666686771301</v>
      </c>
      <c r="J25" s="3">
        <v>16.188193427520002</v>
      </c>
      <c r="K25" s="3">
        <v>15.1988117677065</v>
      </c>
      <c r="L25" s="3">
        <v>16.4170373863784</v>
      </c>
      <c r="M25" s="3">
        <v>15.649399920353799</v>
      </c>
      <c r="N25" s="3">
        <v>15.4230131530954</v>
      </c>
    </row>
    <row r="26" spans="1:14" x14ac:dyDescent="0.35">
      <c r="A26" s="2">
        <v>42464</v>
      </c>
      <c r="B26" s="3">
        <v>19.3533326936641</v>
      </c>
      <c r="C26" s="3">
        <v>15.097191436869901</v>
      </c>
      <c r="D26" s="3">
        <v>15.976252021084701</v>
      </c>
      <c r="E26" s="3">
        <v>12.746533436784899</v>
      </c>
      <c r="F26" s="3">
        <v>13.7142439212548</v>
      </c>
      <c r="G26" s="3">
        <v>16.6263275456812</v>
      </c>
      <c r="H26" s="3">
        <v>15.760115127206699</v>
      </c>
      <c r="I26" s="3">
        <v>18.424510052226399</v>
      </c>
      <c r="J26" s="3">
        <v>16.445215307047398</v>
      </c>
      <c r="K26" s="3">
        <v>15.1071167204815</v>
      </c>
      <c r="L26" s="3">
        <v>16.3473649918568</v>
      </c>
      <c r="M26" s="3">
        <v>15.5552695103873</v>
      </c>
      <c r="N26" s="3">
        <v>15.1690932607388</v>
      </c>
    </row>
    <row r="27" spans="1:14" x14ac:dyDescent="0.35">
      <c r="A27" s="2">
        <v>42494</v>
      </c>
      <c r="B27" s="3">
        <v>19.4656168983397</v>
      </c>
      <c r="C27" s="3">
        <v>15.543142534506501</v>
      </c>
      <c r="D27" s="3">
        <v>16.301516958882001</v>
      </c>
      <c r="E27" s="3">
        <v>12.758359008786501</v>
      </c>
      <c r="F27" s="3">
        <v>13.6427150737928</v>
      </c>
      <c r="G27" s="3">
        <v>16.7108407562324</v>
      </c>
      <c r="H27" s="3">
        <v>15.7990387706362</v>
      </c>
      <c r="I27" s="3">
        <v>18.273746125296299</v>
      </c>
      <c r="J27" s="3">
        <v>16.565182572190999</v>
      </c>
      <c r="K27" s="3">
        <v>15.0809115659005</v>
      </c>
      <c r="L27" s="3">
        <v>16.114788182754101</v>
      </c>
      <c r="M27" s="3">
        <v>15.507465050001599</v>
      </c>
      <c r="N27" s="3">
        <v>15.0923711033051</v>
      </c>
    </row>
    <row r="28" spans="1:14" x14ac:dyDescent="0.35">
      <c r="A28" s="2">
        <v>42524</v>
      </c>
      <c r="B28" s="3">
        <v>19.816584877094598</v>
      </c>
      <c r="C28" s="3">
        <v>15.7232898649166</v>
      </c>
      <c r="D28" s="3">
        <v>16.7490838649762</v>
      </c>
      <c r="E28" s="3">
        <v>12.865397474548599</v>
      </c>
      <c r="F28" s="3">
        <v>14.0461427162594</v>
      </c>
      <c r="G28" s="3">
        <v>17.112112660667002</v>
      </c>
      <c r="H28" s="3">
        <v>15.9914968248398</v>
      </c>
      <c r="I28" s="3">
        <v>18.612662159573901</v>
      </c>
      <c r="J28" s="3">
        <v>16.775348219495299</v>
      </c>
      <c r="K28" s="3">
        <v>15.158762902613301</v>
      </c>
      <c r="L28" s="3">
        <v>16.276474067442798</v>
      </c>
      <c r="M28" s="3">
        <v>15.4832213384227</v>
      </c>
      <c r="N28" s="3">
        <v>14.945608473552801</v>
      </c>
    </row>
    <row r="29" spans="1:14" x14ac:dyDescent="0.35">
      <c r="A29" s="2">
        <v>42552</v>
      </c>
      <c r="B29" s="3">
        <v>19.7077987621199</v>
      </c>
      <c r="C29" s="3">
        <v>15.7835404267062</v>
      </c>
      <c r="D29" s="3">
        <v>16.793466531645301</v>
      </c>
      <c r="E29" s="3">
        <v>12.705984699086001</v>
      </c>
      <c r="F29" s="3">
        <v>13.7030448296098</v>
      </c>
      <c r="G29" s="3">
        <v>17.203716797535701</v>
      </c>
      <c r="H29" s="3">
        <v>16.3512579053777</v>
      </c>
      <c r="I29" s="3">
        <v>18.644045727668701</v>
      </c>
      <c r="J29" s="3">
        <v>16.9159239183927</v>
      </c>
      <c r="K29" s="3">
        <v>14.851521350003001</v>
      </c>
      <c r="L29" s="3">
        <v>15.8183783091024</v>
      </c>
      <c r="M29" s="3">
        <v>15.4538294040505</v>
      </c>
      <c r="N29" s="3">
        <v>14.425996843363199</v>
      </c>
    </row>
    <row r="30" spans="1:14" x14ac:dyDescent="0.35">
      <c r="A30" s="2">
        <v>42586</v>
      </c>
      <c r="B30" s="3">
        <v>20.476304330804801</v>
      </c>
      <c r="C30" s="3">
        <v>16.3289112045486</v>
      </c>
      <c r="D30" s="3">
        <v>17.2097209866306</v>
      </c>
      <c r="E30" s="3">
        <v>13.040980888138799</v>
      </c>
      <c r="F30" s="3">
        <v>13.8376662261681</v>
      </c>
      <c r="G30" s="3">
        <v>17.573550911832498</v>
      </c>
      <c r="H30" s="3">
        <v>16.6939965588228</v>
      </c>
      <c r="I30" s="3">
        <v>19.412035999545001</v>
      </c>
      <c r="J30" s="3">
        <v>17.368712866299798</v>
      </c>
      <c r="K30" s="3">
        <v>14.8466669722864</v>
      </c>
      <c r="L30" s="3">
        <v>15.959568566178501</v>
      </c>
      <c r="M30" s="3">
        <v>15.700000200356399</v>
      </c>
      <c r="N30" s="3">
        <v>14.500863008465601</v>
      </c>
    </row>
    <row r="31" spans="1:14" x14ac:dyDescent="0.35">
      <c r="A31" s="2">
        <v>42615</v>
      </c>
      <c r="B31" s="3">
        <v>20.963367602413001</v>
      </c>
      <c r="C31" s="3">
        <v>16.3823856602455</v>
      </c>
      <c r="D31" s="3">
        <v>17.6838143347528</v>
      </c>
      <c r="E31" s="3">
        <v>13.4928239289522</v>
      </c>
      <c r="F31" s="3">
        <v>14.381164911327</v>
      </c>
      <c r="G31" s="3">
        <v>17.997480192462302</v>
      </c>
      <c r="H31" s="3">
        <v>17.149282739420901</v>
      </c>
      <c r="I31" s="3">
        <v>19.605800662066599</v>
      </c>
      <c r="J31" s="3">
        <v>17.6159089870747</v>
      </c>
      <c r="K31" s="3">
        <v>15.1507258838969</v>
      </c>
      <c r="L31" s="3">
        <v>16.416986301033202</v>
      </c>
      <c r="M31" s="3">
        <v>16.2003736307799</v>
      </c>
      <c r="N31" s="3">
        <v>15.1038076396175</v>
      </c>
    </row>
    <row r="32" spans="1:14" x14ac:dyDescent="0.35">
      <c r="A32" s="2">
        <v>42647</v>
      </c>
      <c r="B32" s="3">
        <v>20.962838625225999</v>
      </c>
      <c r="C32" s="3">
        <v>16.8355205006416</v>
      </c>
      <c r="D32" s="3">
        <v>17.749803669430602</v>
      </c>
      <c r="E32" s="3">
        <v>13.7048395117176</v>
      </c>
      <c r="F32" s="3">
        <v>14.2740130702519</v>
      </c>
      <c r="G32" s="3">
        <v>18.130538636234299</v>
      </c>
      <c r="H32" s="3">
        <v>17.3296677766435</v>
      </c>
      <c r="I32" s="3">
        <v>19.946500807433502</v>
      </c>
      <c r="J32" s="3">
        <v>17.6604468683771</v>
      </c>
      <c r="K32" s="3">
        <v>15.005695514068901</v>
      </c>
      <c r="L32" s="3">
        <v>16.189072387100801</v>
      </c>
      <c r="M32" s="3">
        <v>16.606433066163</v>
      </c>
      <c r="N32" s="3">
        <v>14.5934601676255</v>
      </c>
    </row>
    <row r="33" spans="1:14" x14ac:dyDescent="0.35">
      <c r="A33" s="2">
        <v>42678</v>
      </c>
      <c r="B33" s="3">
        <v>19.476175382872999</v>
      </c>
      <c r="C33" s="3">
        <v>16.449703358597599</v>
      </c>
      <c r="D33" s="3">
        <v>17.970837064313599</v>
      </c>
      <c r="E33" s="3">
        <v>13.325628354474601</v>
      </c>
      <c r="F33" s="3">
        <v>14.347881767995</v>
      </c>
      <c r="G33" s="3">
        <v>17.241912086967499</v>
      </c>
      <c r="H33" s="3">
        <v>16.243146022489601</v>
      </c>
      <c r="I33" s="3">
        <v>19.247877803863201</v>
      </c>
      <c r="J33" s="3">
        <v>17.2918700891375</v>
      </c>
      <c r="K33" s="3">
        <v>14.5633468580625</v>
      </c>
      <c r="L33" s="3">
        <v>15.377786701034299</v>
      </c>
      <c r="M33" s="3">
        <v>16.520479815049299</v>
      </c>
      <c r="N33" s="3">
        <v>14.342818422267399</v>
      </c>
    </row>
    <row r="34" spans="1:14" x14ac:dyDescent="0.35">
      <c r="A34" s="2">
        <v>42706</v>
      </c>
      <c r="B34" s="3">
        <v>20.019952467457099</v>
      </c>
      <c r="C34" s="3">
        <v>17.0762607591871</v>
      </c>
      <c r="D34" s="3">
        <v>18.797750976536499</v>
      </c>
      <c r="E34" s="3">
        <v>13.5491630343979</v>
      </c>
      <c r="F34" s="3">
        <v>15.857984844771201</v>
      </c>
      <c r="G34" s="3">
        <v>17.330844736036301</v>
      </c>
      <c r="H34" s="3">
        <v>16.368469835686501</v>
      </c>
      <c r="I34" s="3">
        <v>19.626646221637799</v>
      </c>
      <c r="J34" s="3">
        <v>18.2194455870168</v>
      </c>
      <c r="K34" s="3">
        <v>14.867259728894799</v>
      </c>
      <c r="L34" s="3">
        <v>15.2558604741705</v>
      </c>
      <c r="M34" s="3">
        <v>17.300439509619501</v>
      </c>
      <c r="N34" s="3">
        <v>14.4867861339462</v>
      </c>
    </row>
    <row r="35" spans="1:14" x14ac:dyDescent="0.35">
      <c r="A35" s="2">
        <v>42739</v>
      </c>
      <c r="B35" s="3">
        <v>20.2433333891742</v>
      </c>
      <c r="C35" s="3">
        <v>17.940876973006102</v>
      </c>
      <c r="D35" s="3">
        <v>19.641747032865101</v>
      </c>
      <c r="E35" s="3">
        <v>14.915703331865</v>
      </c>
      <c r="F35" s="3">
        <v>16.7273383672959</v>
      </c>
      <c r="G35" s="3">
        <v>18.445841239283599</v>
      </c>
      <c r="H35" s="3">
        <v>17.2807209886432</v>
      </c>
      <c r="I35" s="3">
        <v>20.591310638802302</v>
      </c>
      <c r="J35" s="3">
        <v>19.053380573418099</v>
      </c>
      <c r="K35" s="3">
        <v>15.8679941802194</v>
      </c>
      <c r="L35" s="3">
        <v>16.4021809222975</v>
      </c>
      <c r="M35" s="3">
        <v>18.345961400334499</v>
      </c>
      <c r="N35" s="3">
        <v>28.041553075057301</v>
      </c>
    </row>
    <row r="36" spans="1:14" x14ac:dyDescent="0.35">
      <c r="A36" s="2">
        <v>42769</v>
      </c>
      <c r="B36" s="3">
        <v>20.5408386654425</v>
      </c>
      <c r="C36" s="3">
        <v>17.4936874239121</v>
      </c>
      <c r="D36" s="3">
        <v>19.652609400635601</v>
      </c>
      <c r="E36" s="3">
        <v>14.854522018650099</v>
      </c>
      <c r="F36" s="3">
        <v>16.149801285961502</v>
      </c>
      <c r="G36" s="3">
        <v>18.614309266236699</v>
      </c>
      <c r="H36" s="3">
        <v>17.173059394453201</v>
      </c>
      <c r="I36" s="3">
        <v>21.2572761468263</v>
      </c>
      <c r="J36" s="3">
        <v>19.047005828249301</v>
      </c>
      <c r="K36" s="3">
        <v>15.6304564442559</v>
      </c>
      <c r="L36" s="3">
        <v>16.169639708597899</v>
      </c>
      <c r="M36" s="3">
        <v>17.317713288185999</v>
      </c>
      <c r="N36" s="3">
        <v>20.4174498420508</v>
      </c>
    </row>
    <row r="37" spans="1:14" x14ac:dyDescent="0.35">
      <c r="A37" s="2">
        <v>42797</v>
      </c>
      <c r="B37" s="3">
        <v>19.813883577431898</v>
      </c>
      <c r="C37" s="3">
        <v>17.502128523886</v>
      </c>
      <c r="D37" s="3">
        <v>19.408432760869101</v>
      </c>
      <c r="E37" s="3">
        <v>15.0052215600377</v>
      </c>
      <c r="F37" s="3">
        <v>15.9673059796334</v>
      </c>
      <c r="G37" s="3">
        <v>19.6758440484471</v>
      </c>
      <c r="H37" s="3">
        <v>17.3620600606368</v>
      </c>
      <c r="I37" s="3">
        <v>21.721969833570299</v>
      </c>
      <c r="J37" s="3">
        <v>19.505996452940799</v>
      </c>
      <c r="K37" s="3">
        <v>15.6320599128845</v>
      </c>
      <c r="L37" s="3">
        <v>16.454638553325498</v>
      </c>
      <c r="M37" s="3">
        <v>17.4512606454946</v>
      </c>
      <c r="N37" s="3">
        <v>85.356461563519105</v>
      </c>
    </row>
    <row r="38" spans="1:14" x14ac:dyDescent="0.35">
      <c r="A38" s="2">
        <v>42829</v>
      </c>
      <c r="B38" s="3">
        <v>19.8144190932246</v>
      </c>
      <c r="C38" s="3">
        <v>17.352372215732501</v>
      </c>
      <c r="D38" s="3">
        <v>19.100142129976302</v>
      </c>
      <c r="E38" s="3">
        <v>14.954619085440299</v>
      </c>
      <c r="F38" s="3">
        <v>15.674716993182299</v>
      </c>
      <c r="G38" s="3">
        <v>19.454345632841601</v>
      </c>
      <c r="H38" s="3">
        <v>17.076425745943901</v>
      </c>
      <c r="I38" s="3">
        <v>21.653529109973601</v>
      </c>
      <c r="J38" s="3">
        <v>19.317063712276902</v>
      </c>
      <c r="K38" s="3">
        <v>15.6509322245355</v>
      </c>
      <c r="L38" s="3">
        <v>16.5017694481697</v>
      </c>
      <c r="M38" s="3">
        <v>17.547279516314699</v>
      </c>
      <c r="N38" s="3">
        <v>77.870542433568005</v>
      </c>
    </row>
    <row r="39" spans="1:14" x14ac:dyDescent="0.35">
      <c r="A39" s="2">
        <v>42859</v>
      </c>
      <c r="B39" s="3">
        <v>19.9320225867068</v>
      </c>
      <c r="C39" s="3">
        <v>17.2187550700021</v>
      </c>
      <c r="D39" s="3">
        <v>18.6826313037059</v>
      </c>
      <c r="E39" s="3">
        <v>14.9225134133883</v>
      </c>
      <c r="F39" s="3">
        <v>15.6297819494284</v>
      </c>
      <c r="G39" s="3">
        <v>19.533216512625899</v>
      </c>
      <c r="H39" s="3">
        <v>16.826208623660399</v>
      </c>
      <c r="I39" s="3">
        <v>21.783621959351802</v>
      </c>
      <c r="J39" s="3">
        <v>19.216452689207799</v>
      </c>
      <c r="K39" s="3">
        <v>15.861179977501999</v>
      </c>
      <c r="L39" s="3">
        <v>16.762977692846601</v>
      </c>
      <c r="M39" s="3">
        <v>17.682053378723602</v>
      </c>
      <c r="N39" s="3">
        <v>70.946032376912399</v>
      </c>
    </row>
    <row r="40" spans="1:14" x14ac:dyDescent="0.35">
      <c r="A40" s="2">
        <v>42888</v>
      </c>
      <c r="B40" s="3">
        <v>20.003494554571599</v>
      </c>
      <c r="C40" s="3">
        <v>16.921810799211901</v>
      </c>
      <c r="D40" s="3">
        <v>18.429527159460001</v>
      </c>
      <c r="E40" s="3">
        <v>14.8415014924809</v>
      </c>
      <c r="F40" s="3">
        <v>15.774348211501099</v>
      </c>
      <c r="G40" s="3">
        <v>19.626188078677899</v>
      </c>
      <c r="H40" s="3">
        <v>16.802054132181901</v>
      </c>
      <c r="I40" s="3">
        <v>22.1022740381737</v>
      </c>
      <c r="J40" s="3">
        <v>19.238310359635999</v>
      </c>
      <c r="K40" s="3">
        <v>15.827294319432999</v>
      </c>
      <c r="L40" s="3">
        <v>16.7707809086025</v>
      </c>
      <c r="M40" s="3">
        <v>18.152882914302701</v>
      </c>
      <c r="N40" s="3">
        <v>64.028562094599295</v>
      </c>
    </row>
    <row r="41" spans="1:14" x14ac:dyDescent="0.35">
      <c r="A41" s="2">
        <v>42919</v>
      </c>
      <c r="B41" s="3">
        <v>20.078004306107299</v>
      </c>
      <c r="C41" s="3">
        <v>16.718826319384501</v>
      </c>
      <c r="D41" s="3">
        <v>18.0241574110775</v>
      </c>
      <c r="E41" s="3">
        <v>14.5588854078196</v>
      </c>
      <c r="F41" s="3">
        <v>15.513769210478101</v>
      </c>
      <c r="G41" s="3">
        <v>19.4095821352218</v>
      </c>
      <c r="H41" s="3">
        <v>16.455012730799801</v>
      </c>
      <c r="I41" s="3">
        <v>21.539921838923199</v>
      </c>
      <c r="J41" s="3">
        <v>19.096139875721398</v>
      </c>
      <c r="K41" s="3">
        <v>15.6130143914712</v>
      </c>
      <c r="L41" s="3">
        <v>16.5334856240205</v>
      </c>
      <c r="M41" s="3">
        <v>17.6072549666568</v>
      </c>
      <c r="N41" s="3">
        <v>56.809207265115802</v>
      </c>
    </row>
    <row r="42" spans="1:14" x14ac:dyDescent="0.35">
      <c r="A42" s="2">
        <v>42951</v>
      </c>
      <c r="B42" s="3">
        <v>20.499315720976401</v>
      </c>
      <c r="C42" s="3">
        <v>16.7726012076477</v>
      </c>
      <c r="D42" s="3">
        <v>18.004535328454502</v>
      </c>
      <c r="E42" s="3">
        <v>14.384462145059601</v>
      </c>
      <c r="F42" s="3">
        <v>15.4156211265165</v>
      </c>
      <c r="G42" s="3">
        <v>19.469674832319999</v>
      </c>
      <c r="H42" s="3">
        <v>16.468691944279001</v>
      </c>
      <c r="I42" s="3">
        <v>22.085048652256098</v>
      </c>
      <c r="J42" s="3">
        <v>19.1759928307014</v>
      </c>
      <c r="K42" s="3">
        <v>15.6458437199166</v>
      </c>
      <c r="L42" s="3">
        <v>16.774660640371199</v>
      </c>
      <c r="M42" s="3">
        <v>17.073735810425301</v>
      </c>
      <c r="N42" s="3">
        <v>49.538256012372997</v>
      </c>
    </row>
    <row r="43" spans="1:14" x14ac:dyDescent="0.35">
      <c r="A43" s="2">
        <v>42979</v>
      </c>
      <c r="B43" s="3">
        <v>20.609137960041501</v>
      </c>
      <c r="C43" s="3">
        <v>16.621429923767</v>
      </c>
      <c r="D43" s="3">
        <v>17.527426507056902</v>
      </c>
      <c r="E43" s="3">
        <v>14.135047138466399</v>
      </c>
      <c r="F43" s="3">
        <v>14.971999226263399</v>
      </c>
      <c r="G43" s="3">
        <v>19.144466438426399</v>
      </c>
      <c r="H43" s="3">
        <v>16.103619870065</v>
      </c>
      <c r="I43" s="3">
        <v>22.3062549192523</v>
      </c>
      <c r="J43" s="3">
        <v>19.0917620071552</v>
      </c>
      <c r="K43" s="3">
        <v>15.528032370634</v>
      </c>
      <c r="L43" s="3">
        <v>16.601672298103399</v>
      </c>
      <c r="M43" s="3">
        <v>16.975588664667701</v>
      </c>
      <c r="N43" s="3">
        <v>42.932874403175397</v>
      </c>
    </row>
    <row r="44" spans="1:14" x14ac:dyDescent="0.35">
      <c r="A44" s="2">
        <v>43012</v>
      </c>
      <c r="B44" s="3">
        <v>20.6527194006466</v>
      </c>
      <c r="C44" s="3">
        <v>16.281312438197101</v>
      </c>
      <c r="D44" s="3">
        <v>17.690242658613101</v>
      </c>
      <c r="E44" s="3">
        <v>14.7434266607106</v>
      </c>
      <c r="F44" s="3">
        <v>15.089594206354301</v>
      </c>
      <c r="G44" s="3">
        <v>19.628030507309902</v>
      </c>
      <c r="H44" s="3">
        <v>15.871109634457699</v>
      </c>
      <c r="I44" s="3">
        <v>22.363092743029</v>
      </c>
      <c r="J44" s="3">
        <v>19.437309502112299</v>
      </c>
      <c r="K44" s="3">
        <v>15.9916048106414</v>
      </c>
      <c r="L44" s="3">
        <v>17.112553845868302</v>
      </c>
      <c r="M44" s="3">
        <v>17.854319953435802</v>
      </c>
      <c r="N44" s="3">
        <v>35.500666797059402</v>
      </c>
    </row>
    <row r="45" spans="1:14" x14ac:dyDescent="0.35">
      <c r="A45" s="2">
        <v>43042</v>
      </c>
      <c r="B45" s="3">
        <v>21.224425943874898</v>
      </c>
      <c r="C45" s="3">
        <v>16.7574925946574</v>
      </c>
      <c r="D45" s="3">
        <v>17.499644170045499</v>
      </c>
      <c r="E45" s="3">
        <v>15.484692573117099</v>
      </c>
      <c r="F45" s="3">
        <v>15.6429949377032</v>
      </c>
      <c r="G45" s="3">
        <v>20.4025119141339</v>
      </c>
      <c r="H45" s="3">
        <v>15.624330035030701</v>
      </c>
      <c r="I45" s="3">
        <v>22.922741628369302</v>
      </c>
      <c r="J45" s="3">
        <v>19.6418530820794</v>
      </c>
      <c r="K45" s="3">
        <v>16.355642955354501</v>
      </c>
      <c r="L45" s="3">
        <v>17.587829790568399</v>
      </c>
      <c r="M45" s="3">
        <v>18.554438201379099</v>
      </c>
      <c r="N45" s="3">
        <v>28.8236970843374</v>
      </c>
    </row>
    <row r="46" spans="1:14" x14ac:dyDescent="0.35">
      <c r="A46" s="2">
        <v>43073</v>
      </c>
      <c r="B46" s="3">
        <v>21.635607748045501</v>
      </c>
      <c r="C46" s="3">
        <v>16.619747827312299</v>
      </c>
      <c r="D46" s="3">
        <v>17.218501891430101</v>
      </c>
      <c r="E46" s="3">
        <v>15.380714612053</v>
      </c>
      <c r="F46" s="3">
        <v>16.009705215461299</v>
      </c>
      <c r="G46" s="3">
        <v>20.422749102522801</v>
      </c>
      <c r="H46" s="3">
        <v>15.115549395906299</v>
      </c>
      <c r="I46" s="3">
        <v>22.836898083103101</v>
      </c>
      <c r="J46" s="3">
        <v>19.9724142674525</v>
      </c>
      <c r="K46" s="3">
        <v>16.1607873199744</v>
      </c>
      <c r="L46" s="3">
        <v>17.100615585113601</v>
      </c>
      <c r="M46" s="3">
        <v>18.108418913450599</v>
      </c>
      <c r="N46" s="3">
        <v>21.7201860754476</v>
      </c>
    </row>
    <row r="47" spans="1:14" x14ac:dyDescent="0.35">
      <c r="A47" s="2">
        <v>43104</v>
      </c>
      <c r="B47" s="3">
        <v>22.477395915825099</v>
      </c>
      <c r="C47" s="3">
        <v>16.8120552642681</v>
      </c>
      <c r="D47" s="3">
        <v>17.439482475523601</v>
      </c>
      <c r="E47" s="3">
        <v>15.5347598394883</v>
      </c>
      <c r="F47" s="3">
        <v>16.774919602393801</v>
      </c>
      <c r="G47" s="3">
        <v>20.961873223253601</v>
      </c>
      <c r="H47" s="3">
        <v>15.543675967849101</v>
      </c>
      <c r="I47" s="3">
        <v>24.1540038512161</v>
      </c>
      <c r="J47" s="3">
        <v>20.596567785818799</v>
      </c>
      <c r="K47" s="3">
        <v>16.265697269469001</v>
      </c>
      <c r="L47" s="3">
        <v>17.4306698863031</v>
      </c>
      <c r="M47" s="3">
        <v>18.1977190468129</v>
      </c>
      <c r="N47" s="3">
        <v>15.424930335866501</v>
      </c>
    </row>
    <row r="48" spans="1:14" x14ac:dyDescent="0.35">
      <c r="A48" s="2">
        <v>43133</v>
      </c>
      <c r="B48" s="3">
        <v>22.462839133314201</v>
      </c>
      <c r="C48" s="3">
        <v>16.920882425996901</v>
      </c>
      <c r="D48" s="3">
        <v>16.3939027219064</v>
      </c>
      <c r="E48" s="3">
        <v>14.7787830038189</v>
      </c>
      <c r="F48" s="3">
        <v>16.446358399567899</v>
      </c>
      <c r="G48" s="3">
        <v>21.507578164466999</v>
      </c>
      <c r="H48" s="3">
        <v>15.0783485898368</v>
      </c>
      <c r="I48" s="3">
        <v>24.1449957666679</v>
      </c>
      <c r="J48" s="3">
        <v>20.422211009689601</v>
      </c>
      <c r="K48" s="3">
        <v>16.098504504713901</v>
      </c>
      <c r="L48" s="3">
        <v>17.280780092077801</v>
      </c>
      <c r="M48" s="3">
        <v>18.737164181478398</v>
      </c>
      <c r="N48" s="3">
        <v>15.4206696166956</v>
      </c>
    </row>
    <row r="49" spans="1:14" x14ac:dyDescent="0.35">
      <c r="A49" s="2">
        <v>43161</v>
      </c>
      <c r="B49" s="3">
        <v>22.5797765761439</v>
      </c>
      <c r="C49" s="3">
        <v>16.509358407469701</v>
      </c>
      <c r="D49" s="3">
        <v>15.8114070627831</v>
      </c>
      <c r="E49" s="3">
        <v>14.1641193569388</v>
      </c>
      <c r="F49" s="3">
        <v>14.4091154825721</v>
      </c>
      <c r="G49" s="3">
        <v>21.110063184241401</v>
      </c>
      <c r="H49" s="3">
        <v>13.8558218942637</v>
      </c>
      <c r="I49" s="3">
        <v>24.078848334065899</v>
      </c>
      <c r="J49" s="3">
        <v>19.753213097976001</v>
      </c>
      <c r="K49" s="3">
        <v>15.5409620442201</v>
      </c>
      <c r="L49" s="3">
        <v>16.589704813915102</v>
      </c>
      <c r="M49" s="3">
        <v>16.881574777400701</v>
      </c>
      <c r="N49" s="3">
        <v>14.169621227811399</v>
      </c>
    </row>
    <row r="50" spans="1:14" x14ac:dyDescent="0.35">
      <c r="A50" s="2">
        <v>43194</v>
      </c>
      <c r="B50" s="3">
        <v>22.410813836598901</v>
      </c>
      <c r="C50" s="3">
        <v>16.263254373172</v>
      </c>
      <c r="D50" s="3">
        <v>15.619892864104701</v>
      </c>
      <c r="E50" s="3">
        <v>14.0466151081835</v>
      </c>
      <c r="F50" s="3">
        <v>14.227681163702499</v>
      </c>
      <c r="G50" s="3">
        <v>20.539624506742101</v>
      </c>
      <c r="H50" s="3">
        <v>13.8741335923891</v>
      </c>
      <c r="I50" s="3">
        <v>23.5554020395594</v>
      </c>
      <c r="J50" s="3">
        <v>19.3882771370759</v>
      </c>
      <c r="K50" s="3">
        <v>15.429115274348399</v>
      </c>
      <c r="L50" s="3">
        <v>16.513052813395099</v>
      </c>
      <c r="M50" s="3">
        <v>16.700392754622399</v>
      </c>
      <c r="N50" s="3">
        <v>14.0440537018873</v>
      </c>
    </row>
    <row r="51" spans="1:14" x14ac:dyDescent="0.35">
      <c r="A51" s="2">
        <v>43224</v>
      </c>
      <c r="B51" s="3">
        <v>22.4001870149689</v>
      </c>
      <c r="C51" s="3">
        <v>16.318920521432101</v>
      </c>
      <c r="D51" s="3">
        <v>15.5888812557178</v>
      </c>
      <c r="E51" s="3">
        <v>14.2092224463604</v>
      </c>
      <c r="F51" s="3">
        <v>14.2649089849868</v>
      </c>
      <c r="G51" s="3">
        <v>20.244410889373601</v>
      </c>
      <c r="H51" s="3">
        <v>14.0284792862355</v>
      </c>
      <c r="I51" s="3">
        <v>23.265680097236999</v>
      </c>
      <c r="J51" s="3">
        <v>19.058499173026402</v>
      </c>
      <c r="K51" s="3">
        <v>15.6045680442604</v>
      </c>
      <c r="L51" s="3">
        <v>16.566287067404001</v>
      </c>
      <c r="M51" s="3">
        <v>16.767361780480702</v>
      </c>
      <c r="N51" s="3">
        <v>14.2418853683048</v>
      </c>
    </row>
    <row r="52" spans="1:14" x14ac:dyDescent="0.35">
      <c r="A52" s="2">
        <v>43255</v>
      </c>
      <c r="B52" s="3">
        <v>22.438359260461802</v>
      </c>
      <c r="C52" s="3">
        <v>16.172950216178801</v>
      </c>
      <c r="D52" s="3">
        <v>15.5250481268711</v>
      </c>
      <c r="E52" s="3">
        <v>14.107956356755</v>
      </c>
      <c r="F52" s="3">
        <v>14.1618130030585</v>
      </c>
      <c r="G52" s="3">
        <v>19.667936853738599</v>
      </c>
      <c r="H52" s="3">
        <v>14.0295664509961</v>
      </c>
      <c r="I52" s="3">
        <v>23.342769399111798</v>
      </c>
      <c r="J52" s="3">
        <v>18.928850843338601</v>
      </c>
      <c r="K52" s="3">
        <v>15.4644373506324</v>
      </c>
      <c r="L52" s="3">
        <v>16.637335723037001</v>
      </c>
      <c r="M52" s="3">
        <v>16.605794251381202</v>
      </c>
      <c r="N52" s="3">
        <v>13.5744665710781</v>
      </c>
    </row>
    <row r="53" spans="1:14" x14ac:dyDescent="0.35">
      <c r="A53" s="2">
        <v>43284</v>
      </c>
      <c r="B53" s="3">
        <v>22.978318263357998</v>
      </c>
      <c r="C53" s="3">
        <v>16.2822757692091</v>
      </c>
      <c r="D53" s="3">
        <v>15.464265835349</v>
      </c>
      <c r="E53" s="3">
        <v>13.9157714629475</v>
      </c>
      <c r="F53" s="3">
        <v>13.833812146095299</v>
      </c>
      <c r="G53" s="3">
        <v>19.242307457072599</v>
      </c>
      <c r="H53" s="3">
        <v>13.7950873312013</v>
      </c>
      <c r="I53" s="3">
        <v>22.902968450718799</v>
      </c>
      <c r="J53" s="3">
        <v>18.556298613355199</v>
      </c>
      <c r="K53" s="3">
        <v>15.137478200738901</v>
      </c>
      <c r="L53" s="3">
        <v>16.488735733697499</v>
      </c>
      <c r="M53" s="3">
        <v>16.371915952803299</v>
      </c>
      <c r="N53" s="3">
        <v>13.3079904494722</v>
      </c>
    </row>
    <row r="54" spans="1:14" x14ac:dyDescent="0.35">
      <c r="A54" s="2">
        <v>43315</v>
      </c>
      <c r="B54" s="3">
        <v>22.8067158433713</v>
      </c>
      <c r="C54" s="3">
        <v>16.2757098476572</v>
      </c>
      <c r="D54" s="3">
        <v>15.4898696571682</v>
      </c>
      <c r="E54" s="3">
        <v>14.100185674295901</v>
      </c>
      <c r="F54" s="3">
        <v>13.817542361079701</v>
      </c>
      <c r="G54" s="3">
        <v>19.2603756519011</v>
      </c>
      <c r="H54" s="3">
        <v>13.858750204557101</v>
      </c>
      <c r="I54" s="3">
        <v>23.1215312910434</v>
      </c>
      <c r="J54" s="3">
        <v>18.6694704620637</v>
      </c>
      <c r="K54" s="3">
        <v>15.233278584111501</v>
      </c>
      <c r="L54" s="3">
        <v>16.7994862466477</v>
      </c>
      <c r="M54" s="3">
        <v>16.591554833111299</v>
      </c>
      <c r="N54" s="3">
        <v>13.138708932178201</v>
      </c>
    </row>
    <row r="55" spans="1:14" x14ac:dyDescent="0.35">
      <c r="A55" s="2">
        <v>43347</v>
      </c>
      <c r="B55" s="3">
        <v>23.700163247393501</v>
      </c>
      <c r="C55" s="3">
        <v>16.272541313391201</v>
      </c>
      <c r="D55" s="3">
        <v>15.153028687669</v>
      </c>
      <c r="E55" s="3">
        <v>13.906043956318801</v>
      </c>
      <c r="F55" s="3">
        <v>13.5376714590235</v>
      </c>
      <c r="G55" s="3">
        <v>18.705839302740401</v>
      </c>
      <c r="H55" s="3">
        <v>13.484802596449301</v>
      </c>
      <c r="I55" s="3">
        <v>23.3721615278027</v>
      </c>
      <c r="J55" s="3">
        <v>18.654180542312002</v>
      </c>
      <c r="K55" s="3">
        <v>14.896197868243901</v>
      </c>
      <c r="L55" s="3">
        <v>16.6189635431497</v>
      </c>
      <c r="M55" s="3">
        <v>16.748752323118001</v>
      </c>
      <c r="N55" s="3">
        <v>12.454597348709401</v>
      </c>
    </row>
    <row r="56" spans="1:14" x14ac:dyDescent="0.35">
      <c r="A56" s="2">
        <v>43377</v>
      </c>
      <c r="B56" s="3">
        <v>23.529194813113399</v>
      </c>
      <c r="C56" s="3">
        <v>15.9215921867009</v>
      </c>
      <c r="D56" s="3">
        <v>15.001663536375199</v>
      </c>
      <c r="E56" s="3">
        <v>13.8898834325162</v>
      </c>
      <c r="F56" s="3">
        <v>13.8677022586385</v>
      </c>
      <c r="G56" s="3">
        <v>18.417069624263799</v>
      </c>
      <c r="H56" s="3">
        <v>13.5080738665326</v>
      </c>
      <c r="I56" s="3">
        <v>22.9338697397862</v>
      </c>
      <c r="J56" s="3">
        <v>18.505515221005599</v>
      </c>
      <c r="K56" s="3">
        <v>14.916056485171399</v>
      </c>
      <c r="L56" s="3">
        <v>16.133444020898999</v>
      </c>
      <c r="M56" s="3">
        <v>16.8242164943209</v>
      </c>
      <c r="N56" s="3">
        <v>12.2482589104941</v>
      </c>
    </row>
    <row r="57" spans="1:14" x14ac:dyDescent="0.35">
      <c r="A57" s="2">
        <v>43406</v>
      </c>
      <c r="B57" s="3">
        <v>22.824232228699</v>
      </c>
      <c r="C57" s="3">
        <v>15.3092180816754</v>
      </c>
      <c r="D57" s="3">
        <v>14.2201797377882</v>
      </c>
      <c r="E57" s="3">
        <v>13.1625388688089</v>
      </c>
      <c r="F57" s="3">
        <v>12.9119129900646</v>
      </c>
      <c r="G57" s="3">
        <v>17.992982509938599</v>
      </c>
      <c r="H57" s="3">
        <v>12.861120610642001</v>
      </c>
      <c r="I57" s="3">
        <v>21.1234186000788</v>
      </c>
      <c r="J57" s="3">
        <v>17.325055341558802</v>
      </c>
      <c r="K57" s="3">
        <v>14.1901749458689</v>
      </c>
      <c r="L57" s="3">
        <v>15.666116999648001</v>
      </c>
      <c r="M57" s="3">
        <v>15.4743853477997</v>
      </c>
      <c r="N57" s="3">
        <v>11.550165738910399</v>
      </c>
    </row>
    <row r="58" spans="1:14" x14ac:dyDescent="0.35">
      <c r="A58" s="2">
        <v>43438</v>
      </c>
      <c r="B58" s="3">
        <v>23.0470691600501</v>
      </c>
      <c r="C58" s="3">
        <v>14.9693648605516</v>
      </c>
      <c r="D58" s="3">
        <v>13.9417337044614</v>
      </c>
      <c r="E58" s="3">
        <v>12.951416712136201</v>
      </c>
      <c r="F58" s="3">
        <v>12.727544740148099</v>
      </c>
      <c r="G58" s="3">
        <v>17.745351839677699</v>
      </c>
      <c r="H58" s="3">
        <v>12.5983627836019</v>
      </c>
      <c r="I58" s="3">
        <v>20.285284100764599</v>
      </c>
      <c r="J58" s="3">
        <v>16.8848339833356</v>
      </c>
      <c r="K58" s="3">
        <v>13.8040310433241</v>
      </c>
      <c r="L58" s="3">
        <v>15.424903242302401</v>
      </c>
      <c r="M58" s="3">
        <v>14.7477333239919</v>
      </c>
      <c r="N58" s="3">
        <v>11.117628302912101</v>
      </c>
    </row>
    <row r="59" spans="1:14" x14ac:dyDescent="0.35">
      <c r="A59" s="2">
        <v>43469</v>
      </c>
      <c r="B59" s="3">
        <v>22.7918941770155</v>
      </c>
      <c r="C59" s="3">
        <v>14.604301598672601</v>
      </c>
      <c r="D59" s="3">
        <v>13.237324790273099</v>
      </c>
      <c r="E59" s="3">
        <v>12.276878693981701</v>
      </c>
      <c r="F59" s="3">
        <v>11.291793147776801</v>
      </c>
      <c r="G59" s="3">
        <v>16.4991314313888</v>
      </c>
      <c r="H59" s="3">
        <v>12.1286869949997</v>
      </c>
      <c r="I59" s="3">
        <v>19.047600141498201</v>
      </c>
      <c r="J59" s="3">
        <v>15.661848882611499</v>
      </c>
      <c r="K59" s="3">
        <v>12.936133117115</v>
      </c>
      <c r="L59" s="3">
        <v>14.3128616096014</v>
      </c>
      <c r="M59" s="3">
        <v>14.0807560582387</v>
      </c>
      <c r="N59" s="3">
        <v>10.7065671091417</v>
      </c>
    </row>
    <row r="60" spans="1:14" x14ac:dyDescent="0.35">
      <c r="A60" s="2">
        <v>43500</v>
      </c>
      <c r="B60" s="3">
        <v>23.209027268531798</v>
      </c>
      <c r="C60" s="3">
        <v>15.313687326696501</v>
      </c>
      <c r="D60" s="3">
        <v>14.619578773689399</v>
      </c>
      <c r="E60" s="3">
        <v>12.8443176067473</v>
      </c>
      <c r="F60" s="3">
        <v>12.308903361276201</v>
      </c>
      <c r="G60" s="3">
        <v>17.5755340496179</v>
      </c>
      <c r="H60" s="3">
        <v>12.667523613684899</v>
      </c>
      <c r="I60" s="3">
        <v>20.538959387185699</v>
      </c>
      <c r="J60" s="3">
        <v>16.801475669477199</v>
      </c>
      <c r="K60" s="3">
        <v>13.7741621896421</v>
      </c>
      <c r="L60" s="3">
        <v>15.3180523676928</v>
      </c>
      <c r="M60" s="3">
        <v>16.2360867570493</v>
      </c>
      <c r="N60" s="3">
        <v>11.0560606052493</v>
      </c>
    </row>
    <row r="61" spans="1:14" x14ac:dyDescent="0.35">
      <c r="A61" s="2">
        <v>43528</v>
      </c>
      <c r="B61" s="3">
        <v>24.186357280971599</v>
      </c>
      <c r="C61" s="3">
        <v>15.9249658654693</v>
      </c>
      <c r="D61" s="3">
        <v>14.7263630274139</v>
      </c>
      <c r="E61" s="3">
        <v>13.2311540599575</v>
      </c>
      <c r="F61" s="3">
        <v>12.719486748757401</v>
      </c>
      <c r="G61" s="3">
        <v>18.3394318160253</v>
      </c>
      <c r="H61" s="3">
        <v>12.9370712059007</v>
      </c>
      <c r="I61" s="3">
        <v>20.913814128786999</v>
      </c>
      <c r="J61" s="3">
        <v>17.111277646507101</v>
      </c>
      <c r="K61" s="3">
        <v>14.581421635759</v>
      </c>
      <c r="L61" s="3">
        <v>16.157865089211299</v>
      </c>
      <c r="M61" s="3">
        <v>18.141325446535401</v>
      </c>
      <c r="N61" s="3">
        <v>11.2886251924667</v>
      </c>
    </row>
    <row r="62" spans="1:14" x14ac:dyDescent="0.35">
      <c r="A62" s="2">
        <v>43559</v>
      </c>
      <c r="B62" s="3">
        <v>24.1646217208373</v>
      </c>
      <c r="C62" s="3">
        <v>15.884850484402</v>
      </c>
      <c r="D62" s="3">
        <v>14.745297682829399</v>
      </c>
      <c r="E62" s="3">
        <v>13.276173780286401</v>
      </c>
      <c r="F62" s="3">
        <v>12.745742370906401</v>
      </c>
      <c r="G62" s="3">
        <v>18.297796516673799</v>
      </c>
      <c r="H62" s="3">
        <v>13.0051016691814</v>
      </c>
      <c r="I62" s="3">
        <v>21.156725070516298</v>
      </c>
      <c r="J62" s="3">
        <v>17.199675066375299</v>
      </c>
      <c r="K62" s="3">
        <v>14.608134965552599</v>
      </c>
      <c r="L62" s="3">
        <v>16.241903477691601</v>
      </c>
      <c r="M62" s="3">
        <v>17.897562019940299</v>
      </c>
      <c r="N62" s="3">
        <v>11.351685085385</v>
      </c>
    </row>
    <row r="63" spans="1:14" x14ac:dyDescent="0.35">
      <c r="A63" s="2">
        <v>43588</v>
      </c>
      <c r="B63" s="3">
        <v>24.255195949096301</v>
      </c>
      <c r="C63" s="3">
        <v>15.8676886818646</v>
      </c>
      <c r="D63" s="3">
        <v>14.603299460824401</v>
      </c>
      <c r="E63" s="3">
        <v>13.427236034518</v>
      </c>
      <c r="F63" s="3">
        <v>12.7922780881325</v>
      </c>
      <c r="G63" s="3">
        <v>18.274824200920499</v>
      </c>
      <c r="H63" s="3">
        <v>13.0043341051328</v>
      </c>
      <c r="I63" s="3">
        <v>21.514255217652401</v>
      </c>
      <c r="J63" s="3">
        <v>17.321283988763401</v>
      </c>
      <c r="K63" s="3">
        <v>14.660294722462901</v>
      </c>
      <c r="L63" s="3">
        <v>16.360598730798401</v>
      </c>
      <c r="M63" s="3">
        <v>17.845865694235101</v>
      </c>
      <c r="N63" s="3">
        <v>11.344338989760001</v>
      </c>
    </row>
    <row r="64" spans="1:14" x14ac:dyDescent="0.35">
      <c r="A64" s="2">
        <v>43620</v>
      </c>
      <c r="B64" s="3">
        <v>24.063695940275899</v>
      </c>
      <c r="C64" s="3">
        <v>15.875755266678899</v>
      </c>
      <c r="D64" s="3">
        <v>14.410521083795199</v>
      </c>
      <c r="E64" s="3">
        <v>13.187117356036101</v>
      </c>
      <c r="F64" s="3">
        <v>12.567453882213201</v>
      </c>
      <c r="G64" s="3">
        <v>18.102830845607802</v>
      </c>
      <c r="H64" s="3">
        <v>12.8561353529555</v>
      </c>
      <c r="I64" s="3">
        <v>20.838136201160498</v>
      </c>
      <c r="J64" s="3">
        <v>16.994181105029099</v>
      </c>
      <c r="K64" s="3">
        <v>14.379395754051099</v>
      </c>
      <c r="L64" s="3">
        <v>16.100473129626099</v>
      </c>
      <c r="M64" s="3">
        <v>17.020629564476099</v>
      </c>
      <c r="N64" s="3">
        <v>10.9137950638932</v>
      </c>
    </row>
    <row r="65" spans="1:14" x14ac:dyDescent="0.35">
      <c r="A65" s="2">
        <v>43649</v>
      </c>
      <c r="B65" s="3">
        <v>24.767535308607901</v>
      </c>
      <c r="C65" s="3">
        <v>16.321577945621002</v>
      </c>
      <c r="D65" s="3">
        <v>14.5470594711168</v>
      </c>
      <c r="E65" s="3">
        <v>13.5682138672204</v>
      </c>
      <c r="F65" s="3">
        <v>12.971409283276101</v>
      </c>
      <c r="G65" s="3">
        <v>18.482691629553301</v>
      </c>
      <c r="H65" s="3">
        <v>13.1767581227365</v>
      </c>
      <c r="I65" s="3">
        <v>21.8952327009466</v>
      </c>
      <c r="J65" s="3">
        <v>17.579753954310899</v>
      </c>
      <c r="K65" s="3">
        <v>14.7858762106186</v>
      </c>
      <c r="L65" s="3">
        <v>16.516295899790101</v>
      </c>
      <c r="M65" s="3">
        <v>17.221980357240099</v>
      </c>
      <c r="N65" s="3">
        <v>11.283291138467799</v>
      </c>
    </row>
    <row r="66" spans="1:14" x14ac:dyDescent="0.35">
      <c r="A66" s="2">
        <v>43679</v>
      </c>
      <c r="B66" s="3">
        <v>25.413393880977399</v>
      </c>
      <c r="C66" s="3">
        <v>16.444072563301798</v>
      </c>
      <c r="D66" s="3">
        <v>14.3726991654181</v>
      </c>
      <c r="E66" s="3">
        <v>13.4258317322727</v>
      </c>
      <c r="F66" s="3">
        <v>12.8584558783755</v>
      </c>
      <c r="G66" s="3">
        <v>18.249473955742399</v>
      </c>
      <c r="H66" s="3">
        <v>12.974312612146401</v>
      </c>
      <c r="I66" s="3">
        <v>21.740363451591602</v>
      </c>
      <c r="J66" s="3">
        <v>17.492640726898301</v>
      </c>
      <c r="K66" s="3">
        <v>14.588479542227001</v>
      </c>
      <c r="L66" s="3">
        <v>16.3989457147716</v>
      </c>
      <c r="M66" s="3">
        <v>16.602151412973999</v>
      </c>
      <c r="N66" s="3">
        <v>11.061561296291099</v>
      </c>
    </row>
    <row r="67" spans="1:14" x14ac:dyDescent="0.35">
      <c r="A67" s="2">
        <v>43712</v>
      </c>
      <c r="B67" s="3">
        <v>28.436009800842601</v>
      </c>
      <c r="C67" s="3">
        <v>16.3845871089203</v>
      </c>
      <c r="D67" s="3">
        <v>14.447485942944301</v>
      </c>
      <c r="E67" s="3">
        <v>13.639682675254001</v>
      </c>
      <c r="F67" s="3">
        <v>12.8611004554771</v>
      </c>
      <c r="G67" s="3">
        <v>18.3374444233711</v>
      </c>
      <c r="H67" s="3">
        <v>12.950380943532901</v>
      </c>
      <c r="I67" s="3">
        <v>21.9106671441629</v>
      </c>
      <c r="J67" s="3">
        <v>17.585184937193201</v>
      </c>
      <c r="K67" s="3">
        <v>14.868353482164601</v>
      </c>
      <c r="L67" s="3">
        <v>16.7533524600581</v>
      </c>
      <c r="M67" s="3">
        <v>15.903296983155601</v>
      </c>
      <c r="N67" s="3">
        <v>11.2117209537195</v>
      </c>
    </row>
    <row r="68" spans="1:14" x14ac:dyDescent="0.35">
      <c r="A68" s="2">
        <v>43742</v>
      </c>
      <c r="B68" s="3">
        <v>28.5852947939103</v>
      </c>
      <c r="C68" s="3">
        <v>16.562423425799199</v>
      </c>
      <c r="D68" s="3">
        <v>14.515528308012501</v>
      </c>
      <c r="E68" s="3">
        <v>13.811260717159101</v>
      </c>
      <c r="F68" s="3">
        <v>13.334998314832999</v>
      </c>
      <c r="G68" s="3">
        <v>18.141719372984198</v>
      </c>
      <c r="H68" s="3">
        <v>12.8429168833659</v>
      </c>
      <c r="I68" s="3">
        <v>22.129203862312</v>
      </c>
      <c r="J68" s="3">
        <v>17.794563845827</v>
      </c>
      <c r="K68" s="3">
        <v>14.849826970461599</v>
      </c>
      <c r="L68" s="3">
        <v>16.862680333780901</v>
      </c>
      <c r="M68" s="3">
        <v>16.0615937473674</v>
      </c>
      <c r="N68" s="3">
        <v>11.077142392818899</v>
      </c>
    </row>
    <row r="69" spans="1:14" x14ac:dyDescent="0.35">
      <c r="A69" s="2">
        <v>43773</v>
      </c>
      <c r="B69" s="3">
        <v>28.9571935287515</v>
      </c>
      <c r="C69" s="3">
        <v>17.3242851775187</v>
      </c>
      <c r="D69" s="3">
        <v>14.907855307535</v>
      </c>
      <c r="E69" s="3">
        <v>14.995779534031101</v>
      </c>
      <c r="F69" s="3">
        <v>14.0758519660482</v>
      </c>
      <c r="G69" s="3">
        <v>18.886508348703298</v>
      </c>
      <c r="H69" s="3">
        <v>13.405584604104201</v>
      </c>
      <c r="I69" s="3">
        <v>23.277275172726199</v>
      </c>
      <c r="J69" s="3">
        <v>18.5597061398243</v>
      </c>
      <c r="K69" s="3">
        <v>15.843584576106</v>
      </c>
      <c r="L69" s="3">
        <v>17.588590400941701</v>
      </c>
      <c r="M69" s="3">
        <v>17.0926881905473</v>
      </c>
      <c r="N69" s="3">
        <v>11.9543291147804</v>
      </c>
    </row>
    <row r="70" spans="1:14" x14ac:dyDescent="0.35">
      <c r="A70" s="2">
        <v>43803</v>
      </c>
      <c r="B70" s="3">
        <v>30.9714244151956</v>
      </c>
      <c r="C70" s="3">
        <v>17.267437825946399</v>
      </c>
      <c r="D70" s="3">
        <v>14.981550358176399</v>
      </c>
      <c r="E70" s="3">
        <v>15.1701462453498</v>
      </c>
      <c r="F70" s="3">
        <v>14.8787135273739</v>
      </c>
      <c r="G70" s="3">
        <v>18.869292696917199</v>
      </c>
      <c r="H70" s="3">
        <v>13.359546354010501</v>
      </c>
      <c r="I70" s="3">
        <v>23.920965766215399</v>
      </c>
      <c r="J70" s="3">
        <v>18.959983645074999</v>
      </c>
      <c r="K70" s="3">
        <v>15.8902619236435</v>
      </c>
      <c r="L70" s="3">
        <v>17.9455010420806</v>
      </c>
      <c r="M70" s="3">
        <v>15.8071957858691</v>
      </c>
      <c r="N70" s="3">
        <v>11.787818170335701</v>
      </c>
    </row>
    <row r="71" spans="1:14" x14ac:dyDescent="0.35">
      <c r="A71" s="2">
        <v>43833</v>
      </c>
      <c r="B71" s="3">
        <v>32.558425784941399</v>
      </c>
      <c r="C71" s="3">
        <v>17.828102547769198</v>
      </c>
      <c r="D71" s="3">
        <v>15.2569832294954</v>
      </c>
      <c r="E71" s="3">
        <v>15.465178709635399</v>
      </c>
      <c r="F71" s="3">
        <v>15.3089015872559</v>
      </c>
      <c r="G71" s="3">
        <v>19.744936542487299</v>
      </c>
      <c r="H71" s="3">
        <v>14.207529510093201</v>
      </c>
      <c r="I71" s="3">
        <v>25.623483595699501</v>
      </c>
      <c r="J71" s="3">
        <v>19.895155488295</v>
      </c>
      <c r="K71" s="3">
        <v>16.6621930898946</v>
      </c>
      <c r="L71" s="3">
        <v>18.846283085614399</v>
      </c>
      <c r="M71" s="3">
        <v>16.330497870150101</v>
      </c>
      <c r="N71" s="3">
        <v>12.1860381147651</v>
      </c>
    </row>
    <row r="72" spans="1:14" x14ac:dyDescent="0.35">
      <c r="A72" s="2">
        <v>43865</v>
      </c>
      <c r="B72" s="3">
        <v>32.049194475598803</v>
      </c>
      <c r="C72" s="3">
        <v>18.295549423203202</v>
      </c>
      <c r="D72" s="3">
        <v>15.5367709968033</v>
      </c>
      <c r="E72" s="3">
        <v>15.3264041990838</v>
      </c>
      <c r="F72" s="3">
        <v>15.0493895702937</v>
      </c>
      <c r="G72" s="3">
        <v>19.9412311884975</v>
      </c>
      <c r="H72" s="3">
        <v>13.953128788167</v>
      </c>
      <c r="I72" s="3">
        <v>26.421089181033899</v>
      </c>
      <c r="J72" s="3">
        <v>20.072746630054901</v>
      </c>
      <c r="K72" s="3">
        <v>16.369539643672201</v>
      </c>
      <c r="L72" s="3">
        <v>18.8959175108475</v>
      </c>
      <c r="M72" s="3">
        <v>14.2536553446641</v>
      </c>
      <c r="N72" s="3">
        <v>12.2272469555023</v>
      </c>
    </row>
    <row r="73" spans="1:14" x14ac:dyDescent="0.35">
      <c r="A73" s="2">
        <v>43894</v>
      </c>
      <c r="B73" s="3">
        <v>31.059653507893799</v>
      </c>
      <c r="C73" s="3">
        <v>16.905160296356001</v>
      </c>
      <c r="D73" s="3">
        <v>14.4683396357362</v>
      </c>
      <c r="E73" s="3">
        <v>14.0643708168197</v>
      </c>
      <c r="F73" s="3">
        <v>13.9535475000269</v>
      </c>
      <c r="G73" s="3">
        <v>18.1288503168864</v>
      </c>
      <c r="H73" s="3">
        <v>12.4128108804773</v>
      </c>
      <c r="I73" s="3">
        <v>23.9970502388216</v>
      </c>
      <c r="J73" s="3">
        <v>18.074809250166101</v>
      </c>
      <c r="K73" s="3">
        <v>14.7059695519195</v>
      </c>
      <c r="L73" s="3">
        <v>17.430287836028</v>
      </c>
      <c r="M73" s="3">
        <v>12.9753017465392</v>
      </c>
      <c r="N73" s="3">
        <v>11.3447655393459</v>
      </c>
    </row>
    <row r="74" spans="1:14" x14ac:dyDescent="0.35">
      <c r="A74" s="2">
        <v>43924</v>
      </c>
      <c r="B74" s="3">
        <v>30.5614358771723</v>
      </c>
      <c r="C74" s="3">
        <v>16.362918386329699</v>
      </c>
      <c r="D74" s="3">
        <v>14.1660934537007</v>
      </c>
      <c r="E74" s="3">
        <v>13.8058123764859</v>
      </c>
      <c r="F74" s="3">
        <v>13.5911684044537</v>
      </c>
      <c r="G74" s="3">
        <v>17.795215902922902</v>
      </c>
      <c r="H74" s="3">
        <v>12.347459542401699</v>
      </c>
      <c r="I74" s="3">
        <v>23.3643675426848</v>
      </c>
      <c r="J74" s="3">
        <v>17.560276786991299</v>
      </c>
      <c r="K74" s="3">
        <v>14.385384855204</v>
      </c>
      <c r="L74" s="3">
        <v>16.821582440611099</v>
      </c>
      <c r="M74" s="3">
        <v>13.0287293315988</v>
      </c>
      <c r="N74" s="3">
        <v>11.0870115154984</v>
      </c>
    </row>
    <row r="75" spans="1:14" x14ac:dyDescent="0.35">
      <c r="A75" s="2">
        <v>43955</v>
      </c>
      <c r="B75" s="3">
        <v>31.5146193120544</v>
      </c>
      <c r="C75" s="3">
        <v>17.150715932366399</v>
      </c>
      <c r="D75" s="3">
        <v>15.686616010521799</v>
      </c>
      <c r="E75" s="3">
        <v>14.889686907394699</v>
      </c>
      <c r="F75" s="3">
        <v>14.2459510339768</v>
      </c>
      <c r="G75" s="3">
        <v>18.451590288947799</v>
      </c>
      <c r="H75" s="3">
        <v>13.562115520447</v>
      </c>
      <c r="I75" s="3">
        <v>25.084808598807701</v>
      </c>
      <c r="J75" s="3">
        <v>19.276801779578999</v>
      </c>
      <c r="K75" s="3">
        <v>15.729486394338901</v>
      </c>
      <c r="L75" s="3">
        <v>17.697135308196899</v>
      </c>
      <c r="M75" s="3">
        <v>14.758706366445001</v>
      </c>
      <c r="N75" s="3">
        <v>12.5056925735503</v>
      </c>
    </row>
    <row r="76" spans="1:14" x14ac:dyDescent="0.35">
      <c r="A76" s="2">
        <v>43986</v>
      </c>
      <c r="B76" s="3">
        <v>32.291240031222301</v>
      </c>
      <c r="C76" s="3">
        <v>18.5355421378509</v>
      </c>
      <c r="D76" s="3">
        <v>17.112887806876699</v>
      </c>
      <c r="E76" s="3">
        <v>16.973518328028799</v>
      </c>
      <c r="F76" s="3">
        <v>16.043532804722702</v>
      </c>
      <c r="G76" s="3">
        <v>19.308697123700099</v>
      </c>
      <c r="H76" s="3">
        <v>14.9545205930159</v>
      </c>
      <c r="I76" s="3">
        <v>26.645999576938699</v>
      </c>
      <c r="J76" s="3">
        <v>20.770855820793201</v>
      </c>
      <c r="K76" s="3">
        <v>17.739376274886698</v>
      </c>
      <c r="L76" s="3">
        <v>19.0536401527187</v>
      </c>
      <c r="M76" s="3">
        <v>16.4453890852946</v>
      </c>
      <c r="N76" s="3">
        <v>15.474421497449301</v>
      </c>
    </row>
    <row r="77" spans="1:14" x14ac:dyDescent="0.35">
      <c r="A77" s="2">
        <v>44014</v>
      </c>
      <c r="B77" s="3">
        <v>32.794103249587103</v>
      </c>
      <c r="C77" s="3">
        <v>18.669898551177301</v>
      </c>
      <c r="D77" s="3">
        <v>17.424769145146101</v>
      </c>
      <c r="E77" s="3">
        <v>17.969493827927401</v>
      </c>
      <c r="F77" s="3">
        <v>16.899773469980602</v>
      </c>
      <c r="G77" s="3">
        <v>19.7118619811028</v>
      </c>
      <c r="H77" s="3">
        <v>15.3088729985573</v>
      </c>
      <c r="I77" s="3">
        <v>27.975321176151201</v>
      </c>
      <c r="J77" s="3">
        <v>21.3713505701452</v>
      </c>
      <c r="K77" s="3">
        <v>18.965655791646</v>
      </c>
      <c r="L77" s="3">
        <v>19.7521423634253</v>
      </c>
      <c r="M77" s="3">
        <v>17.564006972394299</v>
      </c>
      <c r="N77" s="3">
        <v>17.0037692368536</v>
      </c>
    </row>
    <row r="78" spans="1:14" x14ac:dyDescent="0.35">
      <c r="A78" s="2">
        <v>44047</v>
      </c>
      <c r="B78" s="3">
        <v>33.856501072336002</v>
      </c>
      <c r="C78" s="3">
        <v>19.166610209171601</v>
      </c>
      <c r="D78" s="3">
        <v>18.196489672432399</v>
      </c>
      <c r="E78" s="3">
        <v>18.897714828907802</v>
      </c>
      <c r="F78" s="3">
        <v>17.904526986765902</v>
      </c>
      <c r="G78" s="3">
        <v>20.164339134133598</v>
      </c>
      <c r="H78" s="3">
        <v>15.9048126282025</v>
      </c>
      <c r="I78" s="3">
        <v>29.087242940424101</v>
      </c>
      <c r="J78" s="3">
        <v>22.308527211647299</v>
      </c>
      <c r="K78" s="3">
        <v>21.3208412733652</v>
      </c>
      <c r="L78" s="3">
        <v>20.543002012420398</v>
      </c>
      <c r="M78" s="3">
        <v>17.173146630446901</v>
      </c>
      <c r="N78" s="3">
        <v>17.286408265525299</v>
      </c>
    </row>
    <row r="79" spans="1:14" x14ac:dyDescent="0.35">
      <c r="A79" s="2">
        <v>44078</v>
      </c>
      <c r="B79" s="3">
        <v>33.615531316094803</v>
      </c>
      <c r="C79" s="3">
        <v>19.476047306060401</v>
      </c>
      <c r="D79" s="3">
        <v>18.101345600358702</v>
      </c>
      <c r="E79" s="3">
        <v>19.8788908704134</v>
      </c>
      <c r="F79" s="3">
        <v>19.182758679786598</v>
      </c>
      <c r="G79" s="3">
        <v>20.441986965586601</v>
      </c>
      <c r="H79" s="3">
        <v>16.338313495990299</v>
      </c>
      <c r="I79" s="3">
        <v>30.644888305062398</v>
      </c>
      <c r="J79" s="3">
        <v>23.393344524721801</v>
      </c>
      <c r="K79" s="3">
        <v>22.690134113237701</v>
      </c>
      <c r="L79" s="3">
        <v>21.0197924723028</v>
      </c>
      <c r="M79" s="3">
        <v>17.228450879193598</v>
      </c>
      <c r="N79" s="3">
        <v>17.700031294662299</v>
      </c>
    </row>
    <row r="80" spans="1:14" x14ac:dyDescent="0.35">
      <c r="A80" s="2">
        <v>44106</v>
      </c>
      <c r="B80" s="3">
        <v>33.904842131752403</v>
      </c>
      <c r="C80" s="3">
        <v>19.031166905424101</v>
      </c>
      <c r="D80" s="3">
        <v>18.405911721345198</v>
      </c>
      <c r="E80" s="3">
        <v>20.332643214516999</v>
      </c>
      <c r="F80" s="3">
        <v>19.898499006346199</v>
      </c>
      <c r="G80" s="3">
        <v>20.809381079509301</v>
      </c>
      <c r="H80" s="3">
        <v>16.8155783266292</v>
      </c>
      <c r="I80" s="3">
        <v>30.539924198361899</v>
      </c>
      <c r="J80" s="3">
        <v>23.523842070628799</v>
      </c>
      <c r="K80" s="3">
        <v>23.294720994892199</v>
      </c>
      <c r="L80" s="3">
        <v>22.107645528984801</v>
      </c>
      <c r="M80" s="3">
        <v>18.013685342095801</v>
      </c>
      <c r="N80" s="3">
        <v>18.115127925755001</v>
      </c>
    </row>
    <row r="81" spans="1:14" x14ac:dyDescent="0.35">
      <c r="A81" s="2">
        <v>44139</v>
      </c>
      <c r="B81" s="3">
        <v>35.335189748291199</v>
      </c>
      <c r="C81" s="3">
        <v>20.036351622813999</v>
      </c>
      <c r="D81" s="3">
        <v>18.4312175495254</v>
      </c>
      <c r="E81" s="3">
        <v>19.419613190755701</v>
      </c>
      <c r="F81" s="3">
        <v>20.630827635386101</v>
      </c>
      <c r="G81" s="3">
        <v>20.795930523637999</v>
      </c>
      <c r="H81" s="3">
        <v>16.5322753183077</v>
      </c>
      <c r="I81" s="3">
        <v>31.508914865543701</v>
      </c>
      <c r="J81" s="3">
        <v>23.9391688047047</v>
      </c>
      <c r="K81" s="3">
        <v>24.3606464340772</v>
      </c>
      <c r="L81" s="3">
        <v>22.629838809016501</v>
      </c>
      <c r="M81" s="3">
        <v>15.6753382238687</v>
      </c>
      <c r="N81" s="3">
        <v>19.343973031147399</v>
      </c>
    </row>
    <row r="82" spans="1:14" x14ac:dyDescent="0.35">
      <c r="A82" s="2">
        <v>44169</v>
      </c>
      <c r="B82" s="3">
        <v>35.846571145434602</v>
      </c>
      <c r="C82" s="3">
        <v>22.732353364668999</v>
      </c>
      <c r="D82" s="3">
        <v>20.0369285715154</v>
      </c>
      <c r="E82" s="3">
        <v>20.903721588683101</v>
      </c>
      <c r="F82" s="3">
        <v>22.463020862384202</v>
      </c>
      <c r="G82" s="3">
        <v>20.965129122798501</v>
      </c>
      <c r="H82" s="3">
        <v>19.3739861534205</v>
      </c>
      <c r="I82" s="3">
        <v>33.909425848716999</v>
      </c>
      <c r="J82" s="3">
        <v>25.908687902671801</v>
      </c>
      <c r="K82" s="3">
        <v>28.382626621961901</v>
      </c>
      <c r="L82" s="3">
        <v>25.989704423145199</v>
      </c>
      <c r="M82" s="3">
        <v>17.106952017666099</v>
      </c>
      <c r="N82" s="3">
        <v>22.390488446890501</v>
      </c>
    </row>
    <row r="83" spans="1:14" x14ac:dyDescent="0.35">
      <c r="A83" s="2">
        <v>44200</v>
      </c>
      <c r="B83" s="3">
        <v>37.911722805363901</v>
      </c>
      <c r="C83" s="3">
        <v>23.267319444057101</v>
      </c>
      <c r="D83" s="3">
        <v>20.596901292050699</v>
      </c>
      <c r="E83" s="3">
        <v>22.0574672671701</v>
      </c>
      <c r="F83" s="3">
        <v>23.438363934766201</v>
      </c>
      <c r="G83" s="3">
        <v>22.102822423398699</v>
      </c>
      <c r="H83" s="3">
        <v>19.8964655402159</v>
      </c>
      <c r="I83" s="3">
        <v>34.645374115433199</v>
      </c>
      <c r="J83" s="3">
        <v>26.950214086948002</v>
      </c>
      <c r="K83" s="3">
        <v>28.9307340994174</v>
      </c>
      <c r="L83" s="3">
        <v>27.392584034333101</v>
      </c>
      <c r="M83" s="3">
        <v>18.112154621843299</v>
      </c>
      <c r="N83" s="3">
        <v>23.339143722652899</v>
      </c>
    </row>
    <row r="84" spans="1:14" x14ac:dyDescent="0.35">
      <c r="A84" s="2">
        <v>44231</v>
      </c>
      <c r="B84" s="3">
        <v>36.285771768628699</v>
      </c>
      <c r="C84" s="3">
        <v>22.818540162999501</v>
      </c>
      <c r="D84" s="3">
        <v>20.864144309244701</v>
      </c>
      <c r="E84" s="3">
        <v>21.511522562176399</v>
      </c>
      <c r="F84" s="3">
        <v>23.4346969256177</v>
      </c>
      <c r="G84" s="3">
        <v>21.3736762243852</v>
      </c>
      <c r="H84" s="3">
        <v>19.307606914516999</v>
      </c>
      <c r="I84" s="3">
        <v>35.131854599239297</v>
      </c>
      <c r="J84" s="3">
        <v>27.154541137740502</v>
      </c>
      <c r="K84" s="3">
        <v>28.023679684128702</v>
      </c>
      <c r="L84" s="3">
        <v>28.4154492023603</v>
      </c>
      <c r="M84" s="3">
        <v>18.0343889978083</v>
      </c>
      <c r="N84" s="3">
        <v>21.1660835060948</v>
      </c>
    </row>
    <row r="85" spans="1:14" x14ac:dyDescent="0.35">
      <c r="A85" s="2">
        <v>44259</v>
      </c>
      <c r="B85" s="3">
        <v>34.355221581456902</v>
      </c>
      <c r="C85" s="3">
        <v>21.777351709278001</v>
      </c>
      <c r="D85" s="3">
        <v>19.915264230361899</v>
      </c>
      <c r="E85" s="3">
        <v>20.251177751759101</v>
      </c>
      <c r="F85" s="3">
        <v>21.598498285681298</v>
      </c>
      <c r="G85" s="3">
        <v>20.468883239490399</v>
      </c>
      <c r="H85" s="3">
        <v>18.7803725495001</v>
      </c>
      <c r="I85" s="3">
        <v>32.684540374847998</v>
      </c>
      <c r="J85" s="3">
        <v>26.1682926274439</v>
      </c>
      <c r="K85" s="3">
        <v>26.958476648816902</v>
      </c>
      <c r="L85" s="3">
        <v>28.7739830691593</v>
      </c>
      <c r="M85" s="3">
        <v>17.685985866539198</v>
      </c>
      <c r="N85" s="3">
        <v>20.200106364067601</v>
      </c>
    </row>
    <row r="86" spans="1:14" x14ac:dyDescent="0.35">
      <c r="A86" s="2">
        <v>44287</v>
      </c>
      <c r="B86" s="3">
        <v>34.431517242313603</v>
      </c>
      <c r="C86" s="3">
        <v>21.301203867256501</v>
      </c>
      <c r="D86" s="3">
        <v>19.611244996882402</v>
      </c>
      <c r="E86" s="3">
        <v>20.077781224517199</v>
      </c>
      <c r="F86" s="3">
        <v>21.313689101548601</v>
      </c>
      <c r="G86" s="3">
        <v>20.455490339658699</v>
      </c>
      <c r="H86" s="3">
        <v>18.2153961897661</v>
      </c>
      <c r="I86" s="3">
        <v>32.671643338802497</v>
      </c>
      <c r="J86" s="3">
        <v>26.045388799524201</v>
      </c>
      <c r="K86" s="3">
        <v>26.301609721213001</v>
      </c>
      <c r="L86" s="3">
        <v>28.641000200566499</v>
      </c>
      <c r="M86" s="3">
        <v>18.167370462360498</v>
      </c>
      <c r="N86" s="3">
        <v>19.789567172347599</v>
      </c>
    </row>
    <row r="87" spans="1:14" x14ac:dyDescent="0.35">
      <c r="A87" s="2">
        <v>44320</v>
      </c>
      <c r="B87" s="3">
        <v>34.7472819288108</v>
      </c>
      <c r="C87" s="3">
        <v>20.997810853460599</v>
      </c>
      <c r="D87" s="3">
        <v>19.174688829151801</v>
      </c>
      <c r="E87" s="3">
        <v>19.191627492227401</v>
      </c>
      <c r="F87" s="3">
        <v>20.659466247113301</v>
      </c>
      <c r="G87" s="3">
        <v>20.382307355988502</v>
      </c>
      <c r="H87" s="3">
        <v>17.5599835702292</v>
      </c>
      <c r="I87" s="3">
        <v>31.8645531272531</v>
      </c>
      <c r="J87" s="3">
        <v>25.4723356172567</v>
      </c>
      <c r="K87" s="3">
        <v>25.2973989635979</v>
      </c>
      <c r="L87" s="3">
        <v>27.6186372683411</v>
      </c>
      <c r="M87" s="3">
        <v>17.4105700913147</v>
      </c>
      <c r="N87" s="3">
        <v>18.980140533103199</v>
      </c>
    </row>
    <row r="88" spans="1:14" x14ac:dyDescent="0.35">
      <c r="A88" s="2">
        <v>44351</v>
      </c>
      <c r="B88" s="3">
        <v>35.276541148859302</v>
      </c>
      <c r="C88" s="3">
        <v>20.790936398748201</v>
      </c>
      <c r="D88" s="3">
        <v>18.776227756550501</v>
      </c>
      <c r="E88" s="3">
        <v>18.845082456769202</v>
      </c>
      <c r="F88" s="3">
        <v>20.270344746877999</v>
      </c>
      <c r="G88" s="3">
        <v>20.7389530193878</v>
      </c>
      <c r="H88" s="3">
        <v>17.055785212165201</v>
      </c>
      <c r="I88" s="3">
        <v>31.461699048407201</v>
      </c>
      <c r="J88" s="3">
        <v>25.069800985900901</v>
      </c>
      <c r="K88" s="3">
        <v>24.519073482684899</v>
      </c>
      <c r="L88" s="3">
        <v>27.0441754111053</v>
      </c>
      <c r="M88" s="3">
        <v>17.875187531042599</v>
      </c>
      <c r="N88" s="3">
        <v>18.585789715606001</v>
      </c>
    </row>
    <row r="89" spans="1:14" x14ac:dyDescent="0.35">
      <c r="A89" s="2">
        <v>44379</v>
      </c>
      <c r="B89" s="3">
        <v>36.260748414519703</v>
      </c>
      <c r="C89" s="3">
        <v>19.875008846007699</v>
      </c>
      <c r="D89" s="3">
        <v>18.430154729592498</v>
      </c>
      <c r="E89" s="3">
        <v>18.327067938409101</v>
      </c>
      <c r="F89" s="3">
        <v>19.794340204348501</v>
      </c>
      <c r="G89" s="3">
        <v>20.859253667377001</v>
      </c>
      <c r="H89" s="3">
        <v>16.340141488183701</v>
      </c>
      <c r="I89" s="3">
        <v>32.017160918153301</v>
      </c>
      <c r="J89" s="3">
        <v>24.935634416344399</v>
      </c>
      <c r="K89" s="3">
        <v>23.606791876821902</v>
      </c>
      <c r="L89" s="3">
        <v>26.571106760310698</v>
      </c>
      <c r="M89" s="3">
        <v>18.006169775958799</v>
      </c>
      <c r="N89" s="3">
        <v>17.976648403876101</v>
      </c>
    </row>
    <row r="90" spans="1:14" x14ac:dyDescent="0.35">
      <c r="A90" s="2">
        <v>44412</v>
      </c>
      <c r="B90" s="3">
        <v>36.981787268117699</v>
      </c>
      <c r="C90" s="3">
        <v>19.3326600132356</v>
      </c>
      <c r="D90" s="3">
        <v>17.721298657667099</v>
      </c>
      <c r="E90" s="3">
        <v>17.512728286601899</v>
      </c>
      <c r="F90" s="3">
        <v>18.988823095546401</v>
      </c>
      <c r="G90" s="3">
        <v>21.020109685097001</v>
      </c>
      <c r="H90" s="3">
        <v>15.4104004263092</v>
      </c>
      <c r="I90" s="3">
        <v>31.459418391512099</v>
      </c>
      <c r="J90" s="3">
        <v>24.099776032946501</v>
      </c>
      <c r="K90" s="3">
        <v>22.174395279754901</v>
      </c>
      <c r="L90" s="3">
        <v>26.389118037550102</v>
      </c>
      <c r="M90" s="3">
        <v>17.623020540987898</v>
      </c>
      <c r="N90" s="3">
        <v>16.380522373392701</v>
      </c>
    </row>
    <row r="91" spans="1:14" x14ac:dyDescent="0.35">
      <c r="A91" s="2">
        <v>44442</v>
      </c>
      <c r="B91" s="3">
        <v>38.508933029487501</v>
      </c>
      <c r="C91" s="3">
        <v>19.129416859843801</v>
      </c>
      <c r="D91" s="3">
        <v>17.2307850610811</v>
      </c>
      <c r="E91" s="3">
        <v>16.8385122702839</v>
      </c>
      <c r="F91" s="3">
        <v>18.6774611591423</v>
      </c>
      <c r="G91" s="3">
        <v>21.117430393887901</v>
      </c>
      <c r="H91" s="3">
        <v>14.735398063803499</v>
      </c>
      <c r="I91" s="3">
        <v>31.801079281760099</v>
      </c>
      <c r="J91" s="3">
        <v>24.013898496030901</v>
      </c>
      <c r="K91" s="3">
        <v>20.965827760530399</v>
      </c>
      <c r="L91" s="3">
        <v>25.910921258027201</v>
      </c>
      <c r="M91" s="3">
        <v>17.573062465836301</v>
      </c>
      <c r="N91" s="3">
        <v>15.5697007485226</v>
      </c>
    </row>
    <row r="92" spans="1:14" x14ac:dyDescent="0.35">
      <c r="A92" s="2">
        <v>44473</v>
      </c>
      <c r="B92" s="3">
        <v>39.0221460529621</v>
      </c>
      <c r="C92" s="3">
        <v>18.451243197666599</v>
      </c>
      <c r="D92" s="3">
        <v>16.323014391026799</v>
      </c>
      <c r="E92" s="3">
        <v>15.6985740723827</v>
      </c>
      <c r="F92" s="3">
        <v>17.728790058656301</v>
      </c>
      <c r="G92" s="3">
        <v>20.014303594446801</v>
      </c>
      <c r="H92" s="3">
        <v>13.782436994729499</v>
      </c>
      <c r="I92" s="3">
        <v>29.8608099612789</v>
      </c>
      <c r="J92" s="3">
        <v>22.810315019312299</v>
      </c>
      <c r="K92" s="3">
        <v>19.347797314002499</v>
      </c>
      <c r="L92" s="3">
        <v>23.791968747016501</v>
      </c>
      <c r="M92" s="3">
        <v>16.811243580915999</v>
      </c>
      <c r="N92" s="3">
        <v>14.514952867104901</v>
      </c>
    </row>
    <row r="93" spans="1:14" x14ac:dyDescent="0.35">
      <c r="A93" s="2">
        <v>44504</v>
      </c>
      <c r="B93" s="3">
        <v>39.052949493783601</v>
      </c>
      <c r="C93" s="3">
        <v>22.557450725701798</v>
      </c>
      <c r="D93" s="3">
        <v>16.671060755295901</v>
      </c>
      <c r="E93" s="3">
        <v>15.722649750655901</v>
      </c>
      <c r="F93" s="3">
        <v>17.759161378298799</v>
      </c>
      <c r="G93" s="3">
        <v>20.9752353615898</v>
      </c>
      <c r="H93" s="3">
        <v>13.4113483604817</v>
      </c>
      <c r="I93" s="3">
        <v>32.199235077598097</v>
      </c>
      <c r="J93" s="3">
        <v>23.525545073936101</v>
      </c>
      <c r="K93" s="3">
        <v>18.8578886242002</v>
      </c>
      <c r="L93" s="3">
        <v>24.962327564664999</v>
      </c>
      <c r="M93" s="3">
        <v>16.682649321229199</v>
      </c>
      <c r="N93" s="3">
        <v>14.1118136499835</v>
      </c>
    </row>
    <row r="94" spans="1:14" x14ac:dyDescent="0.35">
      <c r="A94" s="2">
        <v>44533</v>
      </c>
      <c r="B94" s="3">
        <v>37.468971940149402</v>
      </c>
      <c r="C94" s="3">
        <v>17.575416861578798</v>
      </c>
      <c r="D94" s="3">
        <v>15.4860500993552</v>
      </c>
      <c r="E94" s="3">
        <v>14.078951048714201</v>
      </c>
      <c r="F94" s="3">
        <v>16.526388078343</v>
      </c>
      <c r="G94" s="3">
        <v>20.422776657221402</v>
      </c>
      <c r="H94" s="3">
        <v>12.4710273516146</v>
      </c>
      <c r="I94" s="3">
        <v>30.833505196952899</v>
      </c>
      <c r="J94" s="3">
        <v>22.479791611917001</v>
      </c>
      <c r="K94" s="3">
        <v>17.283333043704001</v>
      </c>
      <c r="L94" s="3">
        <v>22.395513705844401</v>
      </c>
      <c r="M94" s="3">
        <v>16.115371948778801</v>
      </c>
      <c r="N94" s="3">
        <v>12.2946929957655</v>
      </c>
    </row>
    <row r="95" spans="1:14" x14ac:dyDescent="0.35">
      <c r="A95" s="2">
        <v>44565</v>
      </c>
      <c r="B95" s="3">
        <v>39.289100376668301</v>
      </c>
      <c r="C95" s="3">
        <v>18.093680554186999</v>
      </c>
      <c r="D95" s="3">
        <v>15.407257860330301</v>
      </c>
      <c r="E95" s="3">
        <v>14.363121230408099</v>
      </c>
      <c r="F95" s="3">
        <v>16.394633596326599</v>
      </c>
      <c r="G95" s="3">
        <v>21.675103968991099</v>
      </c>
      <c r="H95" s="3">
        <v>12.6066810315757</v>
      </c>
      <c r="I95" s="3">
        <v>31.7861775357966</v>
      </c>
      <c r="J95" s="3">
        <v>23.3506116896117</v>
      </c>
      <c r="K95" s="3">
        <v>17.5368649215816</v>
      </c>
      <c r="L95" s="3">
        <v>22.825090514246298</v>
      </c>
      <c r="M95" s="3">
        <v>17.151245089742499</v>
      </c>
      <c r="N95" s="3">
        <v>12.4145580059855</v>
      </c>
    </row>
    <row r="96" spans="1:14" x14ac:dyDescent="0.35">
      <c r="A96" s="2">
        <v>44596</v>
      </c>
      <c r="B96" s="3">
        <v>37.1341575039067</v>
      </c>
      <c r="C96" s="3">
        <v>16.039336176834201</v>
      </c>
      <c r="D96" s="3">
        <v>15.405300610655701</v>
      </c>
      <c r="E96" s="3">
        <v>13.283475255248399</v>
      </c>
      <c r="F96" s="3">
        <v>15.252225300100401</v>
      </c>
      <c r="G96" s="3">
        <v>19.727882474386401</v>
      </c>
      <c r="H96" s="3">
        <v>12.655281768700901</v>
      </c>
      <c r="I96" s="3">
        <v>27.800375698807098</v>
      </c>
      <c r="J96" s="3">
        <v>21.527466373113398</v>
      </c>
      <c r="K96" s="3">
        <v>16.202821234125</v>
      </c>
      <c r="L96" s="3">
        <v>19.916775436465802</v>
      </c>
      <c r="M96" s="3">
        <v>12.2284218628565</v>
      </c>
      <c r="N96" s="3">
        <v>11.715804815000199</v>
      </c>
    </row>
    <row r="97" spans="1:14" x14ac:dyDescent="0.35">
      <c r="A97" s="2">
        <v>44624</v>
      </c>
      <c r="B97" s="3">
        <v>35.300325103669103</v>
      </c>
      <c r="C97" s="3">
        <v>15.704104198327</v>
      </c>
      <c r="D97" s="3">
        <v>15.241983480751999</v>
      </c>
      <c r="E97" s="3">
        <v>12.3151823487368</v>
      </c>
      <c r="F97" s="3">
        <v>14.640345934695601</v>
      </c>
      <c r="G97" s="3">
        <v>18.328104130979401</v>
      </c>
      <c r="H97" s="3">
        <v>12.409122246847501</v>
      </c>
      <c r="I97" s="3">
        <v>26.557727857498399</v>
      </c>
      <c r="J97" s="3">
        <v>20.6664268299659</v>
      </c>
      <c r="K97" s="3">
        <v>15.2348864314195</v>
      </c>
      <c r="L97" s="3">
        <v>18.119072078258501</v>
      </c>
      <c r="M97" s="3">
        <v>11.515295008513499</v>
      </c>
      <c r="N97" s="3">
        <v>10.4791778418614</v>
      </c>
    </row>
    <row r="98" spans="1:14" x14ac:dyDescent="0.35">
      <c r="A98" s="2">
        <v>44655</v>
      </c>
      <c r="B98" s="3">
        <v>34.723085344213601</v>
      </c>
      <c r="C98" s="3">
        <v>15.781130181971699</v>
      </c>
      <c r="D98" s="3">
        <v>15.045709860289501</v>
      </c>
      <c r="E98" s="3">
        <v>12.465603536923201</v>
      </c>
      <c r="F98" s="3">
        <v>14.611692289214201</v>
      </c>
      <c r="G98" s="3">
        <v>18.6536954456422</v>
      </c>
      <c r="H98" s="3">
        <v>12.2767964995758</v>
      </c>
      <c r="I98" s="3">
        <v>26.968072895230101</v>
      </c>
      <c r="J98" s="3">
        <v>20.7519397174114</v>
      </c>
      <c r="K98" s="3">
        <v>15.2349355912676</v>
      </c>
      <c r="L98" s="3">
        <v>18.644275206439801</v>
      </c>
      <c r="M98" s="3">
        <v>12.1681805238753</v>
      </c>
      <c r="N98" s="3">
        <v>10.5554692981079</v>
      </c>
    </row>
    <row r="99" spans="1:14" x14ac:dyDescent="0.35">
      <c r="A99" s="2">
        <v>44685</v>
      </c>
      <c r="B99" s="3">
        <v>34.7306834235373</v>
      </c>
      <c r="C99" s="3">
        <v>15.342430660064</v>
      </c>
      <c r="D99" s="3">
        <v>14.6099308225907</v>
      </c>
      <c r="E99" s="3">
        <v>12.1852535335843</v>
      </c>
      <c r="F99" s="3">
        <v>14.3348252152062</v>
      </c>
      <c r="G99" s="3">
        <v>18.3624085092782</v>
      </c>
      <c r="H99" s="3">
        <v>11.932733400719201</v>
      </c>
      <c r="I99" s="3">
        <v>26.186066033764401</v>
      </c>
      <c r="J99" s="3">
        <v>20.234477956165499</v>
      </c>
      <c r="K99" s="3">
        <v>14.725375778545599</v>
      </c>
      <c r="L99" s="3">
        <v>18.1797984189955</v>
      </c>
      <c r="M99" s="3">
        <v>12.191336946140799</v>
      </c>
      <c r="N99" s="3">
        <v>10.292489485923801</v>
      </c>
    </row>
    <row r="100" spans="1:14" x14ac:dyDescent="0.35">
      <c r="A100" s="2">
        <v>44715</v>
      </c>
      <c r="B100" s="3">
        <v>33.661170665282299</v>
      </c>
      <c r="C100" s="3">
        <v>15.018466191485899</v>
      </c>
      <c r="D100" s="3">
        <v>14.263986808508699</v>
      </c>
      <c r="E100" s="3">
        <v>12.139573669484401</v>
      </c>
      <c r="F100" s="3">
        <v>14.254353039257101</v>
      </c>
      <c r="G100" s="3">
        <v>18.144834936701901</v>
      </c>
      <c r="H100" s="3">
        <v>11.6970434956876</v>
      </c>
      <c r="I100" s="3">
        <v>25.236945724813001</v>
      </c>
      <c r="J100" s="3">
        <v>19.674469331877901</v>
      </c>
      <c r="K100" s="3">
        <v>14.3780231575338</v>
      </c>
      <c r="L100" s="3">
        <v>18.538485549879301</v>
      </c>
      <c r="M100" s="3">
        <v>13.863057719996601</v>
      </c>
      <c r="N100" s="3">
        <v>9.9698620191019103</v>
      </c>
    </row>
    <row r="101" spans="1:14" x14ac:dyDescent="0.35">
      <c r="A101" s="2">
        <v>44743</v>
      </c>
      <c r="B101" s="3">
        <v>32.752413591950102</v>
      </c>
      <c r="C101" s="3">
        <v>13.9861244999995</v>
      </c>
      <c r="D101" s="3">
        <v>13.4335584086702</v>
      </c>
      <c r="E101" s="3">
        <v>11.3778626798294</v>
      </c>
      <c r="F101" s="3">
        <v>13.756236030581499</v>
      </c>
      <c r="G101" s="3">
        <v>17.572476822033099</v>
      </c>
      <c r="H101" s="3">
        <v>11.100034995698801</v>
      </c>
      <c r="I101" s="3">
        <v>24.1734814448847</v>
      </c>
      <c r="J101" s="3">
        <v>18.826473151434602</v>
      </c>
      <c r="K101" s="3">
        <v>13.529017828822701</v>
      </c>
      <c r="L101" s="3">
        <v>18.014375807422901</v>
      </c>
      <c r="M101" s="3">
        <v>13.306934710613699</v>
      </c>
      <c r="N101" s="3">
        <v>9.3205218249476491</v>
      </c>
    </row>
    <row r="102" spans="1:14" x14ac:dyDescent="0.35">
      <c r="A102" s="2">
        <v>44777</v>
      </c>
      <c r="B102" s="3">
        <v>33.558710531700498</v>
      </c>
      <c r="C102" s="3">
        <v>14.4611487327522</v>
      </c>
      <c r="D102" s="3">
        <v>13.2266529697451</v>
      </c>
      <c r="E102" s="3">
        <v>11.525619394588899</v>
      </c>
      <c r="F102" s="3">
        <v>13.8873629906813</v>
      </c>
      <c r="G102" s="3">
        <v>18.354704123947698</v>
      </c>
      <c r="H102" s="3">
        <v>10.8978553522272</v>
      </c>
      <c r="I102" s="3">
        <v>26.051474507689498</v>
      </c>
      <c r="J102" s="3">
        <v>19.383324573230901</v>
      </c>
      <c r="K102" s="3">
        <v>13.3308948564439</v>
      </c>
      <c r="L102" s="3">
        <v>19.852173791377201</v>
      </c>
      <c r="M102" s="3">
        <v>14.6692892492176</v>
      </c>
      <c r="N102" s="3">
        <v>8.9582662640401907</v>
      </c>
    </row>
    <row r="103" spans="1:14" x14ac:dyDescent="0.35">
      <c r="A103" s="2">
        <v>44806</v>
      </c>
      <c r="B103" s="3">
        <v>34.2485099116412</v>
      </c>
      <c r="C103" s="3">
        <v>14.130471376196001</v>
      </c>
      <c r="D103" s="3">
        <v>12.770141994763801</v>
      </c>
      <c r="E103" s="3">
        <v>10.7948767853942</v>
      </c>
      <c r="F103" s="3">
        <v>13.6686075203091</v>
      </c>
      <c r="G103" s="3">
        <v>17.901274099508701</v>
      </c>
      <c r="H103" s="3">
        <v>10.275909798449399</v>
      </c>
      <c r="I103" s="3">
        <v>24.488897986318001</v>
      </c>
      <c r="J103" s="3">
        <v>18.5485323225653</v>
      </c>
      <c r="K103" s="3">
        <v>12.541437890988499</v>
      </c>
      <c r="L103" s="3">
        <v>18.444319438954899</v>
      </c>
      <c r="M103" s="3">
        <v>14.4771349899775</v>
      </c>
      <c r="N103" s="3">
        <v>8.5164120764443805</v>
      </c>
    </row>
    <row r="104" spans="1:14" x14ac:dyDescent="0.35">
      <c r="A104" s="2">
        <v>44838</v>
      </c>
      <c r="B104" s="3">
        <v>31.761484098405901</v>
      </c>
      <c r="C104" s="3">
        <v>13.5754002565179</v>
      </c>
      <c r="D104" s="3">
        <v>12.5512527258382</v>
      </c>
      <c r="E104" s="3">
        <v>10.408465911053501</v>
      </c>
      <c r="F104" s="3">
        <v>13.287552024461601</v>
      </c>
      <c r="G104" s="3">
        <v>17.343049962054302</v>
      </c>
      <c r="H104" s="3">
        <v>9.7195087066351</v>
      </c>
      <c r="I104" s="3">
        <v>23.5367120069021</v>
      </c>
      <c r="J104" s="3">
        <v>17.919581380126701</v>
      </c>
      <c r="K104" s="3">
        <v>11.810797436631301</v>
      </c>
      <c r="L104" s="3">
        <v>17.9172716472711</v>
      </c>
      <c r="M104" s="3">
        <v>14.9465290510846</v>
      </c>
      <c r="N104" s="3">
        <v>8.2369752737346804</v>
      </c>
    </row>
    <row r="105" spans="1:14" x14ac:dyDescent="0.35">
      <c r="A105" s="2">
        <v>44869</v>
      </c>
      <c r="B105" s="3">
        <v>31.247719684499302</v>
      </c>
      <c r="C105" s="3">
        <v>13.520799388873501</v>
      </c>
      <c r="D105" s="3">
        <v>12.425173540975701</v>
      </c>
      <c r="E105" s="3">
        <v>10.5726579554231</v>
      </c>
      <c r="F105" s="3">
        <v>13.172881163768499</v>
      </c>
      <c r="G105" s="3">
        <v>18.691592554717701</v>
      </c>
      <c r="H105" s="3">
        <v>9.6052821879484096</v>
      </c>
      <c r="I105" s="3">
        <v>22.3801722673231</v>
      </c>
      <c r="J105" s="3">
        <v>17.673325132585699</v>
      </c>
      <c r="K105" s="3">
        <v>11.9131296250953</v>
      </c>
      <c r="L105" s="3">
        <v>17.413983299214699</v>
      </c>
      <c r="M105" s="3">
        <v>13.5804089871011</v>
      </c>
      <c r="N105" s="3">
        <v>8.2530279911071105</v>
      </c>
    </row>
    <row r="106" spans="1:14" x14ac:dyDescent="0.35">
      <c r="A106" s="2">
        <v>44897</v>
      </c>
      <c r="B106" s="3">
        <v>29.919097185723199</v>
      </c>
      <c r="C106" s="3">
        <v>14.4123445577826</v>
      </c>
      <c r="D106" s="3">
        <v>12.884439154145699</v>
      </c>
      <c r="E106" s="3">
        <v>11.0712193373567</v>
      </c>
      <c r="F106" s="3">
        <v>13.3674582848007</v>
      </c>
      <c r="G106" s="3">
        <v>19.9699113012793</v>
      </c>
      <c r="H106" s="3">
        <v>9.9880876774812997</v>
      </c>
      <c r="I106" s="3">
        <v>24.0273413937452</v>
      </c>
      <c r="J106" s="3">
        <v>18.6236096471427</v>
      </c>
      <c r="K106" s="3">
        <v>12.224129592273</v>
      </c>
      <c r="L106" s="3">
        <v>18.449923731403601</v>
      </c>
      <c r="M106" s="3">
        <v>14.5317646598554</v>
      </c>
      <c r="N106" s="3">
        <v>7.8833570699169897</v>
      </c>
    </row>
    <row r="107" spans="1:14" x14ac:dyDescent="0.35">
      <c r="A107" s="2">
        <v>44930</v>
      </c>
      <c r="B107" s="3">
        <v>29.331978114436001</v>
      </c>
      <c r="C107" s="3">
        <v>13.905794948117499</v>
      </c>
      <c r="D107" s="3">
        <v>12.152346087162201</v>
      </c>
      <c r="E107" s="3">
        <v>10.908270139891799</v>
      </c>
      <c r="F107" s="3">
        <v>12.592199380125001</v>
      </c>
      <c r="G107" s="3">
        <v>20.882484926032699</v>
      </c>
      <c r="H107" s="3">
        <v>9.7355198610133105</v>
      </c>
      <c r="I107" s="3">
        <v>22.650393980093501</v>
      </c>
      <c r="J107" s="3">
        <v>17.496254390804399</v>
      </c>
      <c r="K107" s="3">
        <v>11.995427886330599</v>
      </c>
      <c r="L107" s="3">
        <v>18.534012883159999</v>
      </c>
      <c r="M107" s="3">
        <v>15.979880520275101</v>
      </c>
      <c r="N107" s="3">
        <v>7.7163429242846497</v>
      </c>
    </row>
    <row r="108" spans="1:14" x14ac:dyDescent="0.35">
      <c r="A108" s="2">
        <v>44960</v>
      </c>
      <c r="B108" s="3">
        <v>30.202650613997299</v>
      </c>
      <c r="C108" s="3">
        <v>14.9855807887684</v>
      </c>
      <c r="D108" s="3">
        <v>12.920473763008401</v>
      </c>
      <c r="E108" s="3">
        <v>11.759315906175001</v>
      </c>
      <c r="F108" s="3">
        <v>13.392159732053701</v>
      </c>
      <c r="G108" s="3">
        <v>20.818385150250499</v>
      </c>
      <c r="H108" s="3">
        <v>10.098265639405099</v>
      </c>
      <c r="I108" s="3">
        <v>26.241355892589699</v>
      </c>
      <c r="J108" s="3">
        <v>18.815677531265099</v>
      </c>
      <c r="K108" s="3">
        <v>13.108060970018199</v>
      </c>
      <c r="L108" s="3">
        <v>19.876085652651501</v>
      </c>
      <c r="M108" s="3">
        <v>27.301263959211401</v>
      </c>
      <c r="N108" s="3">
        <v>8.1886299510881102</v>
      </c>
    </row>
    <row r="109" spans="1:14" x14ac:dyDescent="0.35">
      <c r="A109" s="2">
        <v>44988</v>
      </c>
      <c r="B109" s="3">
        <v>29.465369860344001</v>
      </c>
      <c r="C109" s="3">
        <v>14.2712508232755</v>
      </c>
      <c r="D109" s="3">
        <v>12.6284457678431</v>
      </c>
      <c r="E109" s="3">
        <v>11.376044513660201</v>
      </c>
      <c r="F109" s="3">
        <v>13.6918331763602</v>
      </c>
      <c r="G109" s="3">
        <v>20.6873810531803</v>
      </c>
      <c r="H109" s="3">
        <v>10.2641849383081</v>
      </c>
      <c r="I109" s="3">
        <v>25.3131845910093</v>
      </c>
      <c r="J109" s="3">
        <v>18.114691778451899</v>
      </c>
      <c r="K109" s="3">
        <v>12.9301910233758</v>
      </c>
      <c r="L109" s="3">
        <v>20.6609920433194</v>
      </c>
      <c r="M109" s="3">
        <v>25.587867252370401</v>
      </c>
      <c r="N109" s="3">
        <v>8.3207785911434797</v>
      </c>
    </row>
    <row r="110" spans="1:14" x14ac:dyDescent="0.35">
      <c r="A110" s="2">
        <v>45020</v>
      </c>
      <c r="B110" s="3">
        <v>28.849449519034401</v>
      </c>
      <c r="C110" s="3">
        <v>14.284765133320599</v>
      </c>
      <c r="D110" s="3">
        <v>12.6861018874315</v>
      </c>
      <c r="E110" s="3">
        <v>11.379367706424301</v>
      </c>
      <c r="F110" s="3">
        <v>13.689003721716499</v>
      </c>
      <c r="G110" s="3">
        <v>20.379261815360799</v>
      </c>
      <c r="H110" s="3">
        <v>10.2866241362122</v>
      </c>
      <c r="I110" s="3">
        <v>25.645733308135899</v>
      </c>
      <c r="J110" s="3">
        <v>18.225531554200799</v>
      </c>
      <c r="K110" s="3">
        <v>13.0297512075537</v>
      </c>
      <c r="L110" s="3">
        <v>20.293847693101199</v>
      </c>
      <c r="M110" s="3">
        <v>24.281610465690601</v>
      </c>
      <c r="N110" s="3">
        <v>8.3110489194993296</v>
      </c>
    </row>
    <row r="111" spans="1:14" x14ac:dyDescent="0.35">
      <c r="A111" s="2">
        <v>45050</v>
      </c>
      <c r="B111" s="3">
        <v>28.407649772342101</v>
      </c>
      <c r="C111" s="3">
        <v>14.276591375431099</v>
      </c>
      <c r="D111" s="3">
        <v>12.7339087787611</v>
      </c>
      <c r="E111" s="3">
        <v>11.348596859965401</v>
      </c>
      <c r="F111" s="3">
        <v>13.8191392390895</v>
      </c>
      <c r="G111" s="3">
        <v>20.266923056066801</v>
      </c>
      <c r="H111" s="3">
        <v>10.3401630577248</v>
      </c>
      <c r="I111" s="3">
        <v>25.509029659099799</v>
      </c>
      <c r="J111" s="3">
        <v>18.184888135896799</v>
      </c>
      <c r="K111" s="3">
        <v>13.1373582551883</v>
      </c>
      <c r="L111" s="3">
        <v>19.696615873507699</v>
      </c>
      <c r="M111" s="3">
        <v>23.1207611768837</v>
      </c>
      <c r="N111" s="3">
        <v>8.2853168655710991</v>
      </c>
    </row>
    <row r="112" spans="1:14" x14ac:dyDescent="0.35">
      <c r="A112" s="2">
        <v>45079</v>
      </c>
      <c r="B112" s="3">
        <v>26.854167700689601</v>
      </c>
      <c r="C112" s="3">
        <v>14.3006014082232</v>
      </c>
      <c r="D112" s="3">
        <v>12.895362110163701</v>
      </c>
      <c r="E112" s="3">
        <v>11.2754704877331</v>
      </c>
      <c r="F112" s="3">
        <v>14.1522157957013</v>
      </c>
      <c r="G112" s="3">
        <v>19.6827548274603</v>
      </c>
      <c r="H112" s="3">
        <v>10.304006490982101</v>
      </c>
      <c r="I112" s="3">
        <v>26.575666109258901</v>
      </c>
      <c r="J112" s="3">
        <v>18.611523386352498</v>
      </c>
      <c r="K112" s="3">
        <v>13.1285247139165</v>
      </c>
      <c r="L112" s="3">
        <v>19.446004406601901</v>
      </c>
      <c r="M112" s="3">
        <v>22.008261131145002</v>
      </c>
      <c r="N112" s="3">
        <v>8.4117543314041097</v>
      </c>
    </row>
    <row r="113" spans="1:25" x14ac:dyDescent="0.35">
      <c r="A113" s="2">
        <v>45110</v>
      </c>
      <c r="B113" s="3">
        <v>26.036798770494102</v>
      </c>
      <c r="C113" s="3">
        <v>14.655881954381901</v>
      </c>
      <c r="D113" s="3">
        <v>13.051981126626</v>
      </c>
      <c r="E113" s="3">
        <v>11.273303724594999</v>
      </c>
      <c r="F113" s="3">
        <v>14.708501196645599</v>
      </c>
      <c r="G113" s="3">
        <v>19.213921065351801</v>
      </c>
      <c r="H113" s="3">
        <v>10.3638248279089</v>
      </c>
      <c r="I113" s="3">
        <v>27.334085436393401</v>
      </c>
      <c r="J113" s="3">
        <v>19.172098308030598</v>
      </c>
      <c r="K113" s="3">
        <v>13.2964918046797</v>
      </c>
      <c r="L113" s="3">
        <v>19.2554152037535</v>
      </c>
      <c r="M113" s="3">
        <v>20.7749189327177</v>
      </c>
      <c r="N113" s="3">
        <v>8.6335889734295801</v>
      </c>
    </row>
    <row r="114" spans="1:25" x14ac:dyDescent="0.35">
      <c r="A114" s="2">
        <v>45142</v>
      </c>
      <c r="B114" s="3">
        <v>25.1828996616476</v>
      </c>
      <c r="C114" s="3">
        <v>14.978178529504</v>
      </c>
      <c r="D114" s="3">
        <v>13.414617895090601</v>
      </c>
      <c r="E114" s="3">
        <v>11.2131397350068</v>
      </c>
      <c r="F114" s="3">
        <v>14.5572498702946</v>
      </c>
      <c r="G114" s="3">
        <v>19.026707107467399</v>
      </c>
      <c r="H114" s="3">
        <v>10.5555070069723</v>
      </c>
      <c r="I114" s="3">
        <v>26.556177508137999</v>
      </c>
      <c r="J114" s="3">
        <v>19.3840946427162</v>
      </c>
      <c r="K114" s="3">
        <v>13.2909101033577</v>
      </c>
      <c r="L114" s="3">
        <v>18.727212456894499</v>
      </c>
      <c r="M114" s="3">
        <v>19.234564799650101</v>
      </c>
      <c r="N114" s="3">
        <v>8.3045536066359507</v>
      </c>
    </row>
    <row r="115" spans="1:25" x14ac:dyDescent="0.35">
      <c r="A115" s="2">
        <v>45170</v>
      </c>
      <c r="B115" s="3">
        <v>24.808472115398601</v>
      </c>
      <c r="C115" s="3">
        <v>15.1076587386803</v>
      </c>
      <c r="D115" s="3">
        <v>13.659225175889</v>
      </c>
      <c r="E115" s="3">
        <v>11.253688853490299</v>
      </c>
      <c r="F115" s="3">
        <v>14.861547667031299</v>
      </c>
      <c r="G115" s="3">
        <v>18.888645292324899</v>
      </c>
      <c r="H115" s="3">
        <v>10.5145387085705</v>
      </c>
      <c r="I115" s="3">
        <v>26.789102342160501</v>
      </c>
      <c r="J115" s="3">
        <v>19.5924662654269</v>
      </c>
      <c r="K115" s="3">
        <v>13.278602425706101</v>
      </c>
      <c r="L115" s="3">
        <v>17.816981810806901</v>
      </c>
      <c r="M115" s="3">
        <v>17.937565794286201</v>
      </c>
      <c r="N115" s="3">
        <v>8.3880642204020202</v>
      </c>
    </row>
    <row r="116" spans="1:25" x14ac:dyDescent="0.35">
      <c r="A116" s="2">
        <v>45203</v>
      </c>
      <c r="B116" s="3">
        <v>23.601817000727898</v>
      </c>
      <c r="C116" s="3">
        <v>14.420119345221501</v>
      </c>
      <c r="D116" s="3">
        <v>13.013337585511801</v>
      </c>
      <c r="E116" s="3">
        <v>10.899025483074301</v>
      </c>
      <c r="F116" s="3">
        <v>14.2975917211613</v>
      </c>
      <c r="G116" s="3">
        <v>18.074409029676701</v>
      </c>
      <c r="H116" s="3">
        <v>10.3397515321361</v>
      </c>
      <c r="I116" s="3">
        <v>26.043272321682899</v>
      </c>
      <c r="J116" s="3">
        <v>19.000977912393399</v>
      </c>
      <c r="K116" s="3">
        <v>12.775905660240999</v>
      </c>
      <c r="L116" s="3">
        <v>16.478258640407901</v>
      </c>
      <c r="M116" s="3">
        <v>16.332120417014099</v>
      </c>
      <c r="N116" s="3">
        <v>8.0769508552021794</v>
      </c>
    </row>
    <row r="117" spans="1:25" x14ac:dyDescent="0.35">
      <c r="A117" s="2">
        <v>45233</v>
      </c>
      <c r="B117" s="3">
        <v>22.807580722066302</v>
      </c>
      <c r="C117" s="3">
        <v>14.880567845816801</v>
      </c>
      <c r="D117" s="3">
        <v>13.483793899887299</v>
      </c>
      <c r="E117" s="3">
        <v>10.911738891519599</v>
      </c>
      <c r="F117" s="3">
        <v>14.853672352249101</v>
      </c>
      <c r="G117" s="3">
        <v>17.7779865908288</v>
      </c>
      <c r="H117" s="3">
        <v>10.528969728042201</v>
      </c>
      <c r="I117" s="3">
        <v>26.373315974131302</v>
      </c>
      <c r="J117" s="3">
        <v>19.5210638304467</v>
      </c>
      <c r="K117" s="3">
        <v>12.8915689332472</v>
      </c>
      <c r="L117" s="3">
        <v>16.208359564133801</v>
      </c>
      <c r="M117" s="3">
        <v>15.9296627065828</v>
      </c>
      <c r="N117" s="3">
        <v>8.2032424666784198</v>
      </c>
    </row>
    <row r="118" spans="1:25" x14ac:dyDescent="0.35">
      <c r="A118" s="2">
        <v>45264</v>
      </c>
      <c r="B118" s="3">
        <v>23.3527433969086</v>
      </c>
      <c r="C118" s="3">
        <v>15.345833015423301</v>
      </c>
      <c r="D118" s="3">
        <v>13.9992623852342</v>
      </c>
      <c r="E118" s="3">
        <v>11.6993156466224</v>
      </c>
      <c r="F118" s="3">
        <v>15.1144091124133</v>
      </c>
      <c r="G118" s="3">
        <v>18.033811073704801</v>
      </c>
      <c r="H118" s="3">
        <v>10.895644808788999</v>
      </c>
      <c r="I118" s="3">
        <v>27.492940873762901</v>
      </c>
      <c r="J118" s="3">
        <v>20.515682461205099</v>
      </c>
      <c r="K118" s="3">
        <v>13.5232540025799</v>
      </c>
      <c r="L118" s="3">
        <v>16.360309670439399</v>
      </c>
      <c r="M118" s="3">
        <v>17.488417753571799</v>
      </c>
      <c r="N118" s="3">
        <v>8.6420456407522295</v>
      </c>
    </row>
    <row r="119" spans="1:25" x14ac:dyDescent="0.35">
      <c r="A119" s="2">
        <v>45295</v>
      </c>
      <c r="B119" s="3">
        <v>23.908745500619499</v>
      </c>
      <c r="C119" s="3">
        <v>16.281278026307501</v>
      </c>
      <c r="D119" s="3">
        <v>14.545982374381699</v>
      </c>
      <c r="E119" s="3">
        <v>11.8420658192394</v>
      </c>
      <c r="F119" s="3">
        <v>15.315356368012299</v>
      </c>
      <c r="G119" s="3">
        <v>18.4701277401502</v>
      </c>
      <c r="H119" s="3">
        <v>11.3242206018346</v>
      </c>
      <c r="I119" s="3">
        <v>28.194121979585599</v>
      </c>
      <c r="J119" s="3">
        <v>21.381252085542801</v>
      </c>
      <c r="K119" s="3">
        <v>13.9274118681353</v>
      </c>
      <c r="L119" s="3">
        <v>16.240731311052599</v>
      </c>
      <c r="M119" s="3">
        <v>17.473383852680701</v>
      </c>
      <c r="N119" s="3">
        <v>8.8938263749870199</v>
      </c>
    </row>
    <row r="120" spans="1:25" x14ac:dyDescent="0.35">
      <c r="A120" s="2">
        <v>45324</v>
      </c>
      <c r="B120" s="3">
        <v>23.411647525860001</v>
      </c>
      <c r="C120" s="3">
        <v>16.642716893394098</v>
      </c>
      <c r="D120" s="3">
        <v>14.671379963149301</v>
      </c>
      <c r="E120" s="3">
        <v>12.0548326541092</v>
      </c>
      <c r="F120" s="3">
        <v>16.377317264819599</v>
      </c>
      <c r="G120" s="3">
        <v>18.5948668218516</v>
      </c>
      <c r="H120" s="3">
        <v>11.2548155373133</v>
      </c>
      <c r="I120" s="3">
        <v>30.012396360242601</v>
      </c>
      <c r="J120" s="3">
        <v>22.416067891457899</v>
      </c>
      <c r="K120" s="3">
        <v>14.397823926312601</v>
      </c>
      <c r="L120" s="3">
        <v>17.429178187360801</v>
      </c>
      <c r="M120" s="3">
        <v>15.241489552979401</v>
      </c>
      <c r="N120" s="3">
        <v>9.0844682599550399</v>
      </c>
    </row>
    <row r="121" spans="1:25" x14ac:dyDescent="0.35">
      <c r="A121" s="2">
        <v>45355</v>
      </c>
      <c r="B121" s="3">
        <v>23.7033802750753</v>
      </c>
      <c r="C121" s="3">
        <v>16.6168441148669</v>
      </c>
      <c r="D121" s="3">
        <v>14.8818201403529</v>
      </c>
      <c r="E121" s="3">
        <v>12.504162497044501</v>
      </c>
      <c r="F121" s="3">
        <v>17.075817977688001</v>
      </c>
      <c r="G121" s="3">
        <v>19.177051889470899</v>
      </c>
      <c r="H121" s="3">
        <v>11.4415806427006</v>
      </c>
      <c r="I121" s="3">
        <v>30.321128826460601</v>
      </c>
      <c r="J121" s="3">
        <v>22.799537673324402</v>
      </c>
      <c r="K121" s="3">
        <v>15.4907817374721</v>
      </c>
      <c r="L121" s="3">
        <v>18.532774531584302</v>
      </c>
      <c r="M121" s="3">
        <v>15.943869091116699</v>
      </c>
      <c r="N121" s="3">
        <v>9.3567987496861509</v>
      </c>
    </row>
    <row r="122" spans="1:25" x14ac:dyDescent="0.35">
      <c r="A122" s="2">
        <v>45385</v>
      </c>
      <c r="B122" s="3">
        <v>24.044257930058201</v>
      </c>
      <c r="C122" s="3">
        <v>16.6331112803949</v>
      </c>
      <c r="D122" s="3">
        <v>14.955691951503701</v>
      </c>
      <c r="E122" s="3">
        <v>12.5948940126307</v>
      </c>
      <c r="F122" s="3">
        <v>16.9212740311965</v>
      </c>
      <c r="G122" s="3">
        <v>19.0803321246017</v>
      </c>
      <c r="H122" s="3">
        <v>11.528377653471299</v>
      </c>
      <c r="I122" s="3">
        <v>29.85209870325</v>
      </c>
      <c r="J122" s="3">
        <v>22.712485124885799</v>
      </c>
      <c r="K122" s="3">
        <v>15.5064296094016</v>
      </c>
      <c r="L122" s="3">
        <v>18.448562568418701</v>
      </c>
      <c r="M122" s="3">
        <v>16.044592219226601</v>
      </c>
      <c r="N122" s="3">
        <v>9.47450214537586</v>
      </c>
    </row>
    <row r="124" spans="1:25" x14ac:dyDescent="0.35">
      <c r="A124" s="2" t="s">
        <v>91</v>
      </c>
      <c r="B124" s="3" cm="1">
        <f t="array" ref="B124">MIN(_xlfn._xlws.FILTER(B1:B122, ISNUMBER(B1:B122)))</f>
        <v>17.872677820667899</v>
      </c>
      <c r="C124" s="3" cm="1">
        <f t="array" ref="C124">MIN(_xlfn._xlws.FILTER(C1:C122, ISNUMBER(C1:C122)))</f>
        <v>13.520799388873501</v>
      </c>
      <c r="D124" s="3" cm="1">
        <f t="array" ref="D124">MIN(_xlfn._xlws.FILTER(D1:D122, ISNUMBER(D1:D122)))</f>
        <v>12.152346087162201</v>
      </c>
      <c r="E124" s="3" cm="1">
        <f t="array" ref="E124">MIN(_xlfn._xlws.FILTER(E1:E122, ISNUMBER(E1:E122)))</f>
        <v>10.408465911053501</v>
      </c>
      <c r="F124" s="3" cm="1">
        <f t="array" ref="F124">MIN(_xlfn._xlws.FILTER(F1:F122, ISNUMBER(F1:F122)))</f>
        <v>11.291793147776801</v>
      </c>
      <c r="G124" s="3" cm="1">
        <f t="array" ref="G124">MIN(_xlfn._xlws.FILTER(G1:G122, ISNUMBER(G1:G122)))</f>
        <v>16.4991314313888</v>
      </c>
      <c r="H124" s="3" cm="1">
        <f t="array" ref="H124">MIN(_xlfn._xlws.FILTER(H1:H122, ISNUMBER(H1:H122)))</f>
        <v>9.6052821879484096</v>
      </c>
      <c r="I124" s="3" cm="1">
        <f t="array" ref="I124">MIN(_xlfn._xlws.FILTER(I1:I122, ISNUMBER(I1:I122)))</f>
        <v>18.251666686771301</v>
      </c>
      <c r="J124" s="3" cm="1">
        <f t="array" ref="J124">MIN(_xlfn._xlws.FILTER(J1:J122, ISNUMBER(J1:J122)))</f>
        <v>15.661848882611499</v>
      </c>
      <c r="K124" s="3" cm="1">
        <f t="array" ref="K124">MIN(_xlfn._xlws.FILTER(K1:K122, ISNUMBER(K1:K122)))</f>
        <v>11.810797436631301</v>
      </c>
      <c r="L124" s="3" cm="1">
        <f t="array" ref="L124">MIN(_xlfn._xlws.FILTER(L1:L122, ISNUMBER(L1:L122)))</f>
        <v>14.3128616096014</v>
      </c>
      <c r="M124" s="3" cm="1">
        <f t="array" ref="M124">MIN(_xlfn._xlws.FILTER(M1:M122, ISNUMBER(M1:M122)))</f>
        <v>11.515295008513499</v>
      </c>
      <c r="N124" s="3" cm="1">
        <f t="array" ref="N124">MIN(_xlfn._xlws.FILTER(N1:N122, ISNUMBER(N1:N122)))</f>
        <v>7.7163429242846497</v>
      </c>
    </row>
    <row r="125" spans="1:25" x14ac:dyDescent="0.35">
      <c r="A125" s="2" t="s">
        <v>92</v>
      </c>
      <c r="B125" s="3" cm="1">
        <f t="array" ref="B125">MAX(_xlfn._xlws.FILTER(B1:B122, ISNUMBER(B1:B122)))</f>
        <v>39.289100376668301</v>
      </c>
      <c r="C125" s="3" cm="1">
        <f t="array" ref="C125">MAX(_xlfn._xlws.FILTER(C1:C122, ISNUMBER(C1:C122)))</f>
        <v>23.267319444057101</v>
      </c>
      <c r="D125" s="3" cm="1">
        <f t="array" ref="D125">MAX(_xlfn._xlws.FILTER(D1:D122, ISNUMBER(D1:D122)))</f>
        <v>20.864144309244701</v>
      </c>
      <c r="E125" s="3" cm="1">
        <f t="array" ref="E125">MAX(_xlfn._xlws.FILTER(E1:E122, ISNUMBER(E1:E122)))</f>
        <v>22.0574672671701</v>
      </c>
      <c r="F125" s="3" cm="1">
        <f t="array" ref="F125">MAX(_xlfn._xlws.FILTER(F1:F122, ISNUMBER(F1:F122)))</f>
        <v>23.438363934766201</v>
      </c>
      <c r="G125" s="3" cm="1">
        <f t="array" ref="G125">MAX(_xlfn._xlws.FILTER(G1:G122, ISNUMBER(G1:G122)))</f>
        <v>22.102822423398699</v>
      </c>
      <c r="H125" s="3" cm="1">
        <f t="array" ref="H125">MAX(_xlfn._xlws.FILTER(H1:H122, ISNUMBER(H1:H122)))</f>
        <v>19.8964655402159</v>
      </c>
      <c r="I125" s="3" cm="1">
        <f t="array" ref="I125">MAX(_xlfn._xlws.FILTER(I1:I122, ISNUMBER(I1:I122)))</f>
        <v>35.131854599239297</v>
      </c>
      <c r="J125" s="3" cm="1">
        <f t="array" ref="J125">MAX(_xlfn._xlws.FILTER(J1:J122, ISNUMBER(J1:J122)))</f>
        <v>27.154541137740502</v>
      </c>
      <c r="K125" s="3" cm="1">
        <f t="array" ref="K125">MAX(_xlfn._xlws.FILTER(K1:K122, ISNUMBER(K1:K122)))</f>
        <v>28.9307340994174</v>
      </c>
      <c r="L125" s="3" cm="1">
        <f t="array" ref="L125">MAX(_xlfn._xlws.FILTER(L1:L122, ISNUMBER(L1:L122)))</f>
        <v>28.7739830691593</v>
      </c>
      <c r="M125" s="3" cm="1">
        <f t="array" ref="M125">MAX(_xlfn._xlws.FILTER(M1:M122, ISNUMBER(M1:M122)))</f>
        <v>27.301263959211401</v>
      </c>
      <c r="N125" s="3" cm="1">
        <f t="array" ref="N125">MAX(_xlfn._xlws.FILTER(N1:N122, ISNUMBER(N1:N122)))</f>
        <v>85.356461563519105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0.52400000000000002</v>
      </c>
      <c r="C127" s="9" cm="1">
        <f t="array" ref="C127">_xlfn.PERCENTRANK.EXC(_xlfn._xlws.FILTER(C1:C122, ISNUMBER(C1:C122)),C121)</f>
        <v>0.63900000000000001</v>
      </c>
      <c r="D127" s="9" cm="1">
        <f t="array" ref="D127">_xlfn.PERCENTRANK.EXC(_xlfn._xlws.FILTER(D1:D122, ISNUMBER(D1:D122)),D121)</f>
        <v>0.30299999999999999</v>
      </c>
      <c r="E127" s="9" cm="1">
        <f t="array" ref="E127">_xlfn.PERCENTRANK.EXC(_xlfn._xlws.FILTER(E1:E122, ISNUMBER(E1:E122)),E121)</f>
        <v>0.221</v>
      </c>
      <c r="F127" s="9" cm="1">
        <f t="array" ref="F127">_xlfn.PERCENTRANK.EXC(_xlfn._xlws.FILTER(F1:F122, ISNUMBER(F1:F122)),F121)</f>
        <v>0.85199999999999998</v>
      </c>
      <c r="G127" s="9" cm="1">
        <f t="array" ref="G127">_xlfn.PERCENTRANK.EXC(_xlfn._xlws.FILTER(G1:G122, ISNUMBER(G1:G122)),G121)</f>
        <v>0.59799999999999998</v>
      </c>
      <c r="H127" s="9" cm="1">
        <f t="array" ref="H127">_xlfn.PERCENTRANK.EXC(_xlfn._xlws.FILTER(H1:H122, ISNUMBER(H1:H122)),H121)</f>
        <v>0.17199999999999999</v>
      </c>
      <c r="I127" s="9" cm="1">
        <f t="array" ref="I127">_xlfn.PERCENTRANK.EXC(_xlfn._xlws.FILTER(I1:I122, ISNUMBER(I1:I122)),I121)</f>
        <v>0.86</v>
      </c>
      <c r="J127" s="9" cm="1">
        <f t="array" ref="J127">_xlfn.PERCENTRANK.EXC(_xlfn._xlws.FILTER(J1:J122, ISNUMBER(J1:J122)),J121)</f>
        <v>0.86</v>
      </c>
      <c r="K127" s="9" cm="1">
        <f t="array" ref="K127">_xlfn.PERCENTRANK.EXC(_xlfn._xlws.FILTER(K1:K122, ISNUMBER(K1:K122)),K121)</f>
        <v>0.50800000000000001</v>
      </c>
      <c r="L127" s="9" cm="1">
        <f t="array" ref="L127">_xlfn.PERCENTRANK.EXC(_xlfn._xlws.FILTER(L1:L122, ISNUMBER(L1:L122)),L121)</f>
        <v>0.65500000000000003</v>
      </c>
      <c r="M127" s="9" cm="1">
        <f t="array" ref="M127">_xlfn.PERCENTRANK.EXC(_xlfn._xlws.FILTER(M1:M122, ISNUMBER(M1:M122)),M121)</f>
        <v>0.311</v>
      </c>
      <c r="N127" s="9" cm="1">
        <f t="array" ref="N127">_xlfn.PERCENTRANK.EXC(_xlfn._xlws.FILTER(N1:N122, ISNUMBER(N1:N122)),N121)</f>
        <v>0.17199999999999999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863</v>
      </c>
      <c r="L1" t="s">
        <v>865</v>
      </c>
      <c r="M1" t="s">
        <v>862</v>
      </c>
      <c r="N1" t="s">
        <v>864</v>
      </c>
    </row>
    <row r="2" spans="1:14" x14ac:dyDescent="0.35">
      <c r="A2" s="2" cm="1">
        <f t="array" ref="A2:A122">_xll.FDS(B1,"JULIAN(FMA_DIV_YLD(NTMA,-10AY,0,AM,""PORTAGG"",""MEANR"").dates)")</f>
        <v>41733</v>
      </c>
      <c r="B2" s="3" cm="1">
        <f t="array" ref="B2:B122">_xll.FDS(B1,"FMA_PE(NTMA,-10AY,0,AM,""PORTAGG"",""MEANR"")")</f>
        <v>17.277783017521301</v>
      </c>
      <c r="C2" s="3" cm="1">
        <f t="array" ref="C2:C122">_xll.FDS(C1,"FMA_PE(NTMA,-10AY,0,AM,""PORTAGG"",""MEANR"")")</f>
        <v>14.2984806195286</v>
      </c>
      <c r="D2" s="3" cm="1">
        <f t="array" ref="D2:D122">_xll.FDS(D1,"FMA_PE(NTMA,-10AY,0,AM,""PORTAGG"",""MEANR"")")</f>
        <v>14.984612367152801</v>
      </c>
      <c r="E2" s="3" cm="1">
        <f t="array" ref="E2:E122">_xll.FDS(E1,"FMA_PE(NTMA,-10AY,0,AM,""PORTAGG"",""MEANR"")")</f>
        <v>13.2413961484875</v>
      </c>
      <c r="F2" s="3" cm="1">
        <f t="array" ref="F2:F122">_xll.FDS(F1,"FMA_PE(NTMA,-10AY,0,AM,""PORTAGG"",""MEANR"")")</f>
        <v>13.4367439253404</v>
      </c>
      <c r="G2" s="3" cm="1">
        <f t="array" ref="G2:G122">_xll.FDS(G1,"FMA_PE(NTMA,-10AY,0,AM,""PORTAGG"",""MEANR"")")</f>
        <v>16.082729583948701</v>
      </c>
      <c r="H2" s="3" cm="1">
        <f t="array" ref="H2:H122">_xll.FDS(H1,"FMA_PE(NTMA,-10AY,0,AM,""PORTAGG"",""MEANR"")")</f>
        <v>13.246267781816901</v>
      </c>
      <c r="I2" s="3" cm="1">
        <f t="array" ref="I2:I122">_xll.FDS(I1,"FMA_PE(NTMA,-10AY,0,AM,""PORTAGG"",""MEANR"")")</f>
        <v>16.876151636883002</v>
      </c>
      <c r="J2" s="3" cm="1">
        <f t="array" ref="J2:J122">_xll.FDS(J1,"FMA_PE(NTMA,-10AY,0,AM,""PORTAGG"",""MEANR"")")</f>
        <v>15.003679825443699</v>
      </c>
      <c r="K2" s="3" cm="1">
        <f t="array" ref="K2:K122">_xll.FDS(K1,"FMA_PE(NTMA,-10AY,0,AM,""PORTAGG"",""MEANR"")")</f>
        <v>14.0521966377966</v>
      </c>
      <c r="L2" s="3" cm="1">
        <f t="array" ref="L2:L122">_xll.FDS(L1,"FMA_PE(NTMA,-10AY,0,AM,""PORTAGG"",""MEANR"")")</f>
        <v>14.418707515667</v>
      </c>
      <c r="M2" s="3" cm="1">
        <f t="array" ref="M2:M122">_xll.FDS(M1,"FMA_PE(NTMA,-10AY,0,AM,""PORTAGG"",""MEANR"")")</f>
        <v>15.9093508116535</v>
      </c>
      <c r="N2" s="3" cm="1">
        <f t="array" ref="N2:N122">_xll.FDS(N1,"FMA_PE(NTMA,-10AY,0,AM,""PORTAGG"",""MEANR"")")</f>
        <v>14.221259502154201</v>
      </c>
    </row>
    <row r="3" spans="1:14" x14ac:dyDescent="0.35">
      <c r="A3" s="2">
        <v>41761</v>
      </c>
      <c r="B3" s="3">
        <v>17.732776643829599</v>
      </c>
      <c r="C3" s="3">
        <v>14.272151506525599</v>
      </c>
      <c r="D3" s="3">
        <v>15.041731315027899</v>
      </c>
      <c r="E3" s="3">
        <v>13.0187563084919</v>
      </c>
      <c r="F3" s="3">
        <v>13.0292388408046</v>
      </c>
      <c r="G3" s="3">
        <v>16.189017613505602</v>
      </c>
      <c r="H3" s="3">
        <v>13.6001519615146</v>
      </c>
      <c r="I3" s="3">
        <v>16.676264867038199</v>
      </c>
      <c r="J3" s="3">
        <v>14.9807407222394</v>
      </c>
      <c r="K3" s="3">
        <v>14.017625601842701</v>
      </c>
      <c r="L3" s="3">
        <v>14.045131680247501</v>
      </c>
      <c r="M3" s="3">
        <v>15.644408150570399</v>
      </c>
      <c r="N3" s="3">
        <v>14.0708482211635</v>
      </c>
    </row>
    <row r="4" spans="1:14" x14ac:dyDescent="0.35">
      <c r="A4" s="2">
        <v>41794</v>
      </c>
      <c r="B4" s="3">
        <v>17.144372887401399</v>
      </c>
      <c r="C4" s="3">
        <v>14.177547108890099</v>
      </c>
      <c r="D4" s="3">
        <v>14.7787197898888</v>
      </c>
      <c r="E4" s="3">
        <v>13.304279949030899</v>
      </c>
      <c r="F4" s="3">
        <v>13.586848241800899</v>
      </c>
      <c r="G4" s="3">
        <v>16.3312494359756</v>
      </c>
      <c r="H4" s="3">
        <v>13.6100937018736</v>
      </c>
      <c r="I4" s="3">
        <v>17.183610319884998</v>
      </c>
      <c r="J4" s="3">
        <v>15.2064681803441</v>
      </c>
      <c r="K4" s="3">
        <v>14.2166335785692</v>
      </c>
      <c r="L4" s="3">
        <v>14.380056728040699</v>
      </c>
      <c r="M4" s="3">
        <v>15.853796393959</v>
      </c>
      <c r="N4" s="3">
        <v>14.171662550339599</v>
      </c>
    </row>
    <row r="5" spans="1:14" x14ac:dyDescent="0.35">
      <c r="A5" s="2">
        <v>41823</v>
      </c>
      <c r="B5" s="3">
        <v>17.320410063219999</v>
      </c>
      <c r="C5" s="3">
        <v>14.470144161433</v>
      </c>
      <c r="D5" s="3">
        <v>15.1112937218677</v>
      </c>
      <c r="E5" s="3">
        <v>13.331470047934101</v>
      </c>
      <c r="F5" s="3">
        <v>13.9379781926158</v>
      </c>
      <c r="G5" s="3">
        <v>16.2902501563557</v>
      </c>
      <c r="H5" s="3">
        <v>13.829542586351799</v>
      </c>
      <c r="I5" s="3">
        <v>17.765650288348201</v>
      </c>
      <c r="J5" s="3">
        <v>15.5382568404618</v>
      </c>
      <c r="K5" s="3">
        <v>14.1361001037127</v>
      </c>
      <c r="L5" s="3">
        <v>14.761088915433501</v>
      </c>
      <c r="M5" s="3">
        <v>15.849388564138501</v>
      </c>
      <c r="N5" s="3">
        <v>14.7785325321067</v>
      </c>
    </row>
    <row r="6" spans="1:14" x14ac:dyDescent="0.35">
      <c r="A6" s="2">
        <v>41855</v>
      </c>
      <c r="B6" s="3">
        <v>16.9940217661714</v>
      </c>
      <c r="C6" s="3">
        <v>14.7716754991309</v>
      </c>
      <c r="D6" s="3">
        <v>14.9547521407861</v>
      </c>
      <c r="E6" s="3">
        <v>12.251225144289799</v>
      </c>
      <c r="F6" s="3">
        <v>13.737711270388701</v>
      </c>
      <c r="G6" s="3">
        <v>15.6444494198816</v>
      </c>
      <c r="H6" s="3">
        <v>13.4148105526652</v>
      </c>
      <c r="I6" s="3">
        <v>17.257347515903799</v>
      </c>
      <c r="J6" s="3">
        <v>14.950522964994301</v>
      </c>
      <c r="K6" s="3">
        <v>13.2935719873864</v>
      </c>
      <c r="L6" s="3">
        <v>13.729491106385399</v>
      </c>
      <c r="M6" s="3">
        <v>15.163305978965999</v>
      </c>
      <c r="N6" s="3">
        <v>13.639656625980599</v>
      </c>
    </row>
    <row r="7" spans="1:14" x14ac:dyDescent="0.35">
      <c r="A7" s="2">
        <v>41886</v>
      </c>
      <c r="B7" s="3">
        <v>17.265195330417999</v>
      </c>
      <c r="C7" s="3">
        <v>14.890468192002199</v>
      </c>
      <c r="D7" s="3">
        <v>15.197763687283899</v>
      </c>
      <c r="E7" s="3">
        <v>12.881593873859501</v>
      </c>
      <c r="F7" s="3">
        <v>13.7710622815259</v>
      </c>
      <c r="G7" s="3">
        <v>16.3233933019232</v>
      </c>
      <c r="H7" s="3">
        <v>13.603810651615399</v>
      </c>
      <c r="I7" s="3">
        <v>17.7737630113152</v>
      </c>
      <c r="J7" s="3">
        <v>15.2883371364133</v>
      </c>
      <c r="K7" s="3">
        <v>13.952491944265001</v>
      </c>
      <c r="L7" s="3">
        <v>14.765368347774601</v>
      </c>
      <c r="M7" s="3">
        <v>14.7973149005033</v>
      </c>
      <c r="N7" s="3">
        <v>14.379610507255901</v>
      </c>
    </row>
    <row r="8" spans="1:14" x14ac:dyDescent="0.35">
      <c r="A8" s="2">
        <v>41915</v>
      </c>
      <c r="B8" s="3">
        <v>17.081729707762602</v>
      </c>
      <c r="C8" s="3">
        <v>13.9080576011534</v>
      </c>
      <c r="D8" s="3">
        <v>14.313503046320299</v>
      </c>
      <c r="E8" s="3">
        <v>12.1334345673536</v>
      </c>
      <c r="F8" s="3">
        <v>13.605547455641</v>
      </c>
      <c r="G8" s="3">
        <v>15.6369396707244</v>
      </c>
      <c r="H8" s="3">
        <v>12.809954481532101</v>
      </c>
      <c r="I8" s="3">
        <v>17.323363884406401</v>
      </c>
      <c r="J8" s="3">
        <v>14.992569331025701</v>
      </c>
      <c r="K8" s="3">
        <v>13.238198788532401</v>
      </c>
      <c r="L8" s="3">
        <v>14.396212173604701</v>
      </c>
      <c r="M8" s="3">
        <v>14.330609895646401</v>
      </c>
      <c r="N8" s="3">
        <v>13.2073275393212</v>
      </c>
    </row>
    <row r="9" spans="1:14" x14ac:dyDescent="0.35">
      <c r="A9" s="2">
        <v>41947</v>
      </c>
      <c r="B9" s="3">
        <v>17.737166875901401</v>
      </c>
      <c r="C9" s="3">
        <v>14.547157267694599</v>
      </c>
      <c r="D9" s="3">
        <v>14.129754335385099</v>
      </c>
      <c r="E9" s="3">
        <v>12.101190478682</v>
      </c>
      <c r="F9" s="3">
        <v>14.385529974717899</v>
      </c>
      <c r="G9" s="3">
        <v>15.749968674561099</v>
      </c>
      <c r="H9" s="3">
        <v>12.9963935824226</v>
      </c>
      <c r="I9" s="3">
        <v>17.717556975878701</v>
      </c>
      <c r="J9" s="3">
        <v>15.4304658501201</v>
      </c>
      <c r="K9" s="3">
        <v>12.901313762166</v>
      </c>
      <c r="L9" s="3">
        <v>14.413597307275399</v>
      </c>
      <c r="M9" s="3">
        <v>15.137990493779901</v>
      </c>
      <c r="N9" s="3">
        <v>12.301998011983001</v>
      </c>
    </row>
    <row r="10" spans="1:14" x14ac:dyDescent="0.35">
      <c r="A10" s="2">
        <v>41977</v>
      </c>
      <c r="B10" s="3">
        <v>18.0608533316646</v>
      </c>
      <c r="C10" s="3">
        <v>14.1094730853552</v>
      </c>
      <c r="D10" s="3">
        <v>14.643075003724899</v>
      </c>
      <c r="E10" s="3">
        <v>12.9784780253541</v>
      </c>
      <c r="F10" s="3">
        <v>14.7442469456248</v>
      </c>
      <c r="G10" s="3">
        <v>16.1132691477113</v>
      </c>
      <c r="H10" s="3">
        <v>13.678915263518901</v>
      </c>
      <c r="I10" s="3">
        <v>18.141039074066502</v>
      </c>
      <c r="J10" s="3">
        <v>15.9120558211944</v>
      </c>
      <c r="K10" s="3">
        <v>13.788459463817601</v>
      </c>
      <c r="L10" s="3">
        <v>15.043931683191399</v>
      </c>
      <c r="M10" s="3">
        <v>15.568126688950001</v>
      </c>
      <c r="N10" s="3">
        <v>12.8090566763635</v>
      </c>
    </row>
    <row r="11" spans="1:14" x14ac:dyDescent="0.35">
      <c r="A11" s="2">
        <v>42006</v>
      </c>
      <c r="B11" s="3">
        <v>18.361301367891201</v>
      </c>
      <c r="C11" s="3">
        <v>14.6262194220997</v>
      </c>
      <c r="D11" s="3">
        <v>15.6006677092602</v>
      </c>
      <c r="E11" s="3">
        <v>12.7825272234926</v>
      </c>
      <c r="F11" s="3">
        <v>14.2217382053288</v>
      </c>
      <c r="G11" s="3">
        <v>15.655050190752901</v>
      </c>
      <c r="H11" s="3">
        <v>13.727401882670399</v>
      </c>
      <c r="I11" s="3">
        <v>17.408571989658899</v>
      </c>
      <c r="J11" s="3">
        <v>15.96244162404</v>
      </c>
      <c r="K11" s="3">
        <v>13.728956554690701</v>
      </c>
      <c r="L11" s="3">
        <v>14.741588188038101</v>
      </c>
      <c r="M11" s="3">
        <v>15.580527381065</v>
      </c>
      <c r="N11" s="3">
        <v>12.346541166952401</v>
      </c>
    </row>
    <row r="12" spans="1:14" x14ac:dyDescent="0.35">
      <c r="A12" s="2">
        <v>42039</v>
      </c>
      <c r="B12" s="3">
        <v>19.1543353677596</v>
      </c>
      <c r="C12" s="3">
        <v>15.758257082408999</v>
      </c>
      <c r="D12" s="3">
        <v>16.885003116495898</v>
      </c>
      <c r="E12" s="3">
        <v>14.2377605787583</v>
      </c>
      <c r="F12" s="3">
        <v>14.062991963230999</v>
      </c>
      <c r="G12" s="3">
        <v>16.777412614649698</v>
      </c>
      <c r="H12" s="3">
        <v>15.3846640106728</v>
      </c>
      <c r="I12" s="3">
        <v>17.229708117219801</v>
      </c>
      <c r="J12" s="3">
        <v>16.419523643282002</v>
      </c>
      <c r="K12" s="3">
        <v>15.6072248759</v>
      </c>
      <c r="L12" s="3">
        <v>15.701901897913601</v>
      </c>
      <c r="M12" s="3">
        <v>16.2558739834123</v>
      </c>
      <c r="N12" s="3">
        <v>14.279310912139801</v>
      </c>
    </row>
    <row r="13" spans="1:14" x14ac:dyDescent="0.35">
      <c r="A13" s="2">
        <v>42067</v>
      </c>
      <c r="B13" s="3">
        <v>19.224989027910901</v>
      </c>
      <c r="C13" s="3">
        <v>16.220909830015</v>
      </c>
      <c r="D13" s="3">
        <v>17.275152160771501</v>
      </c>
      <c r="E13" s="3">
        <v>14.810235578268999</v>
      </c>
      <c r="F13" s="3">
        <v>15.042022178197399</v>
      </c>
      <c r="G13" s="3">
        <v>17.4604084112256</v>
      </c>
      <c r="H13" s="3">
        <v>15.654369136802501</v>
      </c>
      <c r="I13" s="3">
        <v>18.086785969897999</v>
      </c>
      <c r="J13" s="3">
        <v>16.8445898768855</v>
      </c>
      <c r="K13" s="3">
        <v>16.248165188512999</v>
      </c>
      <c r="L13" s="3">
        <v>17.0136250070939</v>
      </c>
      <c r="M13" s="3">
        <v>17.0672706736385</v>
      </c>
      <c r="N13" s="3">
        <v>15.261026514140401</v>
      </c>
    </row>
    <row r="14" spans="1:14" x14ac:dyDescent="0.35">
      <c r="A14" s="2">
        <v>42096</v>
      </c>
      <c r="B14" s="3">
        <v>18.4899205739579</v>
      </c>
      <c r="C14" s="3">
        <v>16.2523775221701</v>
      </c>
      <c r="D14" s="3">
        <v>17.097597827314299</v>
      </c>
      <c r="E14" s="3">
        <v>15.401928977175</v>
      </c>
      <c r="F14" s="3">
        <v>15.3071373737643</v>
      </c>
      <c r="G14" s="3">
        <v>17.700005445857901</v>
      </c>
      <c r="H14" s="3">
        <v>15.477416127627899</v>
      </c>
      <c r="I14" s="3">
        <v>17.593070299862401</v>
      </c>
      <c r="J14" s="3">
        <v>16.4721081381795</v>
      </c>
      <c r="K14" s="3">
        <v>16.6037523299544</v>
      </c>
      <c r="L14" s="3">
        <v>17.294174076805898</v>
      </c>
      <c r="M14" s="3">
        <v>17.021679845371601</v>
      </c>
      <c r="N14" s="3">
        <v>15.938831017770701</v>
      </c>
    </row>
    <row r="15" spans="1:14" x14ac:dyDescent="0.35">
      <c r="A15" s="2">
        <v>42128</v>
      </c>
      <c r="B15" s="3">
        <v>18.231946256455799</v>
      </c>
      <c r="C15" s="3">
        <v>16.301695757440999</v>
      </c>
      <c r="D15" s="3">
        <v>17.366506483799501</v>
      </c>
      <c r="E15" s="3">
        <v>14.7151395759407</v>
      </c>
      <c r="F15" s="3">
        <v>15.6441413428259</v>
      </c>
      <c r="G15" s="3">
        <v>17.762976621413902</v>
      </c>
      <c r="H15" s="3">
        <v>15.972838466675601</v>
      </c>
      <c r="I15" s="3">
        <v>18.015092180585</v>
      </c>
      <c r="J15" s="3">
        <v>16.740091994410399</v>
      </c>
      <c r="K15" s="3">
        <v>16.3992254777522</v>
      </c>
      <c r="L15" s="3">
        <v>16.953885787657601</v>
      </c>
      <c r="M15" s="3">
        <v>15.877094921673899</v>
      </c>
      <c r="N15" s="3">
        <v>15.8914442549752</v>
      </c>
    </row>
    <row r="16" spans="1:14" x14ac:dyDescent="0.35">
      <c r="A16" s="2">
        <v>42159</v>
      </c>
      <c r="B16" s="3">
        <v>18.363659313208501</v>
      </c>
      <c r="C16" s="3">
        <v>15.163826306837199</v>
      </c>
      <c r="D16" s="3">
        <v>16.545935584455499</v>
      </c>
      <c r="E16" s="3">
        <v>13.9827588432228</v>
      </c>
      <c r="F16" s="3">
        <v>16.2402418749483</v>
      </c>
      <c r="G16" s="3">
        <v>17.670979949733699</v>
      </c>
      <c r="H16" s="3">
        <v>15.7411798929428</v>
      </c>
      <c r="I16" s="3">
        <v>17.9005573941926</v>
      </c>
      <c r="J16" s="3">
        <v>16.4352487804838</v>
      </c>
      <c r="K16" s="3">
        <v>16.024036046837999</v>
      </c>
      <c r="L16" s="3">
        <v>16.729748523358801</v>
      </c>
      <c r="M16" s="3">
        <v>16.238114587951198</v>
      </c>
      <c r="N16" s="3">
        <v>15.504508213939401</v>
      </c>
    </row>
    <row r="17" spans="1:14" x14ac:dyDescent="0.35">
      <c r="A17" s="2">
        <v>42187</v>
      </c>
      <c r="B17" s="3">
        <v>18.228977258252399</v>
      </c>
      <c r="C17" s="3">
        <v>15.484137540631099</v>
      </c>
      <c r="D17" s="3">
        <v>15.9393195822104</v>
      </c>
      <c r="E17" s="3">
        <v>13.519098478916799</v>
      </c>
      <c r="F17" s="3">
        <v>15.540953649367101</v>
      </c>
      <c r="G17" s="3">
        <v>17.041634530551001</v>
      </c>
      <c r="H17" s="3">
        <v>15.1399987260779</v>
      </c>
      <c r="I17" s="3">
        <v>17.621617023977699</v>
      </c>
      <c r="J17" s="3">
        <v>16.216784793952801</v>
      </c>
      <c r="K17" s="3">
        <v>15.323708489622801</v>
      </c>
      <c r="L17" s="3">
        <v>16.320336337111801</v>
      </c>
      <c r="M17" s="3">
        <v>15.585678649782899</v>
      </c>
      <c r="N17" s="3">
        <v>14.8304003267738</v>
      </c>
    </row>
    <row r="18" spans="1:14" x14ac:dyDescent="0.35">
      <c r="A18" s="2">
        <v>42220</v>
      </c>
      <c r="B18" s="3">
        <v>18.429339623773501</v>
      </c>
      <c r="C18" s="3">
        <v>15.720442235802301</v>
      </c>
      <c r="D18" s="3">
        <v>15.664994309432799</v>
      </c>
      <c r="E18" s="3">
        <v>13.908947876891601</v>
      </c>
      <c r="F18" s="3">
        <v>15.504078923164201</v>
      </c>
      <c r="G18" s="3">
        <v>17.8002882082395</v>
      </c>
      <c r="H18" s="3">
        <v>15.3639445839631</v>
      </c>
      <c r="I18" s="3">
        <v>18.5221636330891</v>
      </c>
      <c r="J18" s="3">
        <v>16.343795439558299</v>
      </c>
      <c r="K18" s="3">
        <v>15.852868404515901</v>
      </c>
      <c r="L18" s="3">
        <v>16.9682422223256</v>
      </c>
      <c r="M18" s="3">
        <v>15.897407851451099</v>
      </c>
      <c r="N18" s="3">
        <v>15.3796391842502</v>
      </c>
    </row>
    <row r="19" spans="1:14" x14ac:dyDescent="0.35">
      <c r="A19" s="2">
        <v>42251</v>
      </c>
      <c r="B19" s="3">
        <v>17.201582431403299</v>
      </c>
      <c r="C19" s="3">
        <v>13.999494154228</v>
      </c>
      <c r="D19" s="3">
        <v>14.501702845761001</v>
      </c>
      <c r="E19" s="3">
        <v>12.1909707472067</v>
      </c>
      <c r="F19" s="3">
        <v>13.330865773667099</v>
      </c>
      <c r="G19" s="3">
        <v>16.2301395906278</v>
      </c>
      <c r="H19" s="3">
        <v>13.877903735428299</v>
      </c>
      <c r="I19" s="3">
        <v>16.8907951485815</v>
      </c>
      <c r="J19" s="3">
        <v>14.9541919634132</v>
      </c>
      <c r="K19" s="3">
        <v>13.9508657899878</v>
      </c>
      <c r="L19" s="3">
        <v>14.666453654185201</v>
      </c>
      <c r="M19" s="3">
        <v>14.533771387087601</v>
      </c>
      <c r="N19" s="3">
        <v>14.0801466921182</v>
      </c>
    </row>
    <row r="20" spans="1:14" x14ac:dyDescent="0.35">
      <c r="A20" s="2">
        <v>42279</v>
      </c>
      <c r="B20" s="3">
        <v>16.970063539864601</v>
      </c>
      <c r="C20" s="3">
        <v>14.2968851204463</v>
      </c>
      <c r="D20" s="3">
        <v>14.4606031738619</v>
      </c>
      <c r="E20" s="3">
        <v>11.756789812537599</v>
      </c>
      <c r="F20" s="3">
        <v>13.291897807468899</v>
      </c>
      <c r="G20" s="3">
        <v>16.005431541492801</v>
      </c>
      <c r="H20" s="3">
        <v>14.481413155393099</v>
      </c>
      <c r="I20" s="3">
        <v>17.1770994663732</v>
      </c>
      <c r="J20" s="3">
        <v>15.211116793077</v>
      </c>
      <c r="K20" s="3">
        <v>13.8827690699177</v>
      </c>
      <c r="L20" s="3">
        <v>14.341953096562801</v>
      </c>
      <c r="M20" s="3">
        <v>14.1462302046591</v>
      </c>
      <c r="N20" s="3">
        <v>13.9538705482463</v>
      </c>
    </row>
    <row r="21" spans="1:14" x14ac:dyDescent="0.35">
      <c r="A21" s="2">
        <v>42312</v>
      </c>
      <c r="B21" s="3">
        <v>18.281642230111299</v>
      </c>
      <c r="C21" s="3">
        <v>15.093278417169</v>
      </c>
      <c r="D21" s="3">
        <v>14.882950130352</v>
      </c>
      <c r="E21" s="3">
        <v>13.440165690491201</v>
      </c>
      <c r="F21" s="3">
        <v>14.2206006581181</v>
      </c>
      <c r="G21" s="3">
        <v>17.062357324389801</v>
      </c>
      <c r="H21" s="3">
        <v>15.5046791699104</v>
      </c>
      <c r="I21" s="3">
        <v>18.8384360337357</v>
      </c>
      <c r="J21" s="3">
        <v>16.4782347854965</v>
      </c>
      <c r="K21" s="3">
        <v>15.291530202536199</v>
      </c>
      <c r="L21" s="3">
        <v>16.078528391647001</v>
      </c>
      <c r="M21" s="3">
        <v>15.763869512456401</v>
      </c>
      <c r="N21" s="3">
        <v>14.7557754064176</v>
      </c>
    </row>
    <row r="22" spans="1:14" x14ac:dyDescent="0.35">
      <c r="A22" s="2">
        <v>42342</v>
      </c>
      <c r="B22" s="3">
        <v>18.187763749564901</v>
      </c>
      <c r="C22" s="3">
        <v>15.064781264345999</v>
      </c>
      <c r="D22" s="3">
        <v>14.511625669886399</v>
      </c>
      <c r="E22" s="3">
        <v>13.4161150303784</v>
      </c>
      <c r="F22" s="3">
        <v>14.4319964693314</v>
      </c>
      <c r="G22" s="3">
        <v>16.832632172650399</v>
      </c>
      <c r="H22" s="3">
        <v>15.088114860837999</v>
      </c>
      <c r="I22" s="3">
        <v>18.834437339354299</v>
      </c>
      <c r="J22" s="3">
        <v>16.3317084868427</v>
      </c>
      <c r="K22" s="3">
        <v>14.7690731045913</v>
      </c>
      <c r="L22" s="3">
        <v>15.7565480733989</v>
      </c>
      <c r="M22" s="3">
        <v>15.301358425341</v>
      </c>
      <c r="N22" s="3">
        <v>14.540204273177199</v>
      </c>
    </row>
    <row r="23" spans="1:14" x14ac:dyDescent="0.35">
      <c r="A23" s="2">
        <v>42373</v>
      </c>
      <c r="B23" s="3">
        <v>18.270797959941898</v>
      </c>
      <c r="C23" s="3">
        <v>15.638430311815499</v>
      </c>
      <c r="D23" s="3">
        <v>14.0062456600066</v>
      </c>
      <c r="E23" s="3">
        <v>12.769735320723401</v>
      </c>
      <c r="F23" s="3">
        <v>13.7050380709808</v>
      </c>
      <c r="G23" s="3">
        <v>16.504508931524299</v>
      </c>
      <c r="H23" s="3">
        <v>14.8304301394075</v>
      </c>
      <c r="I23" s="3">
        <v>18.0523968620675</v>
      </c>
      <c r="J23" s="3">
        <v>15.733689296402099</v>
      </c>
      <c r="K23" s="3">
        <v>14.1752873396429</v>
      </c>
      <c r="L23" s="3">
        <v>15.0388291543828</v>
      </c>
      <c r="M23" s="3">
        <v>14.441325297691201</v>
      </c>
      <c r="N23" s="3">
        <v>13.962065105729501</v>
      </c>
    </row>
    <row r="24" spans="1:14" x14ac:dyDescent="0.35">
      <c r="A24" s="2">
        <v>42404</v>
      </c>
      <c r="B24" s="3">
        <v>17.3112897676038</v>
      </c>
      <c r="C24" s="3">
        <v>15.3262496654408</v>
      </c>
      <c r="D24" s="3">
        <v>14.514040335873601</v>
      </c>
      <c r="E24" s="3">
        <v>11.8890557245468</v>
      </c>
      <c r="F24" s="3">
        <v>12.705472408040899</v>
      </c>
      <c r="G24" s="3">
        <v>16.1298041746557</v>
      </c>
      <c r="H24" s="3">
        <v>15.262644725388</v>
      </c>
      <c r="I24" s="3">
        <v>16.845669779338301</v>
      </c>
      <c r="J24" s="3">
        <v>15.5099438140132</v>
      </c>
      <c r="K24" s="3">
        <v>13.722383827646301</v>
      </c>
      <c r="L24" s="3">
        <v>14.604414074734599</v>
      </c>
      <c r="M24" s="3">
        <v>14.62021722787</v>
      </c>
      <c r="N24" s="3">
        <v>12.4521091193606</v>
      </c>
    </row>
    <row r="25" spans="1:14" x14ac:dyDescent="0.35">
      <c r="A25" s="2">
        <v>42433</v>
      </c>
      <c r="B25" s="3">
        <v>18.012496664895099</v>
      </c>
      <c r="C25" s="3">
        <v>15.8199453818539</v>
      </c>
      <c r="D25" s="3">
        <v>15.312131557906699</v>
      </c>
      <c r="E25" s="3">
        <v>12.566368942375901</v>
      </c>
      <c r="F25" s="3">
        <v>13.091878747046399</v>
      </c>
      <c r="G25" s="3">
        <v>16.5832884320209</v>
      </c>
      <c r="H25" s="3">
        <v>16.0190635420138</v>
      </c>
      <c r="I25" s="3">
        <v>17.3457942482943</v>
      </c>
      <c r="J25" s="3">
        <v>15.516736353630501</v>
      </c>
      <c r="K25" s="3">
        <v>14.552085821400899</v>
      </c>
      <c r="L25" s="3">
        <v>15.1896219004673</v>
      </c>
      <c r="M25" s="3">
        <v>15.5575452499885</v>
      </c>
      <c r="N25" s="3">
        <v>13.225005785316499</v>
      </c>
    </row>
    <row r="26" spans="1:14" x14ac:dyDescent="0.35">
      <c r="A26" s="2">
        <v>42464</v>
      </c>
      <c r="B26" s="3">
        <v>18.511243001643699</v>
      </c>
      <c r="C26" s="3">
        <v>15.415935362746</v>
      </c>
      <c r="D26" s="3">
        <v>15.751832330209499</v>
      </c>
      <c r="E26" s="3">
        <v>12.546329277249599</v>
      </c>
      <c r="F26" s="3">
        <v>12.404581664442199</v>
      </c>
      <c r="G26" s="3">
        <v>16.318345393126801</v>
      </c>
      <c r="H26" s="3">
        <v>16.070257569784701</v>
      </c>
      <c r="I26" s="3">
        <v>17.980999100318499</v>
      </c>
      <c r="J26" s="3">
        <v>16.500463546018398</v>
      </c>
      <c r="K26" s="3">
        <v>14.2264950589951</v>
      </c>
      <c r="L26" s="3">
        <v>15.1561427806192</v>
      </c>
      <c r="M26" s="3">
        <v>15.0125542245811</v>
      </c>
      <c r="N26" s="3">
        <v>12.750044869109299</v>
      </c>
    </row>
    <row r="27" spans="1:14" x14ac:dyDescent="0.35">
      <c r="A27" s="2">
        <v>42494</v>
      </c>
      <c r="B27" s="3">
        <v>18.8313003545641</v>
      </c>
      <c r="C27" s="3">
        <v>16.355331972993199</v>
      </c>
      <c r="D27" s="3">
        <v>16.2645752310764</v>
      </c>
      <c r="E27" s="3">
        <v>12.401739073545</v>
      </c>
      <c r="F27" s="3">
        <v>12.4604476329538</v>
      </c>
      <c r="G27" s="3">
        <v>16.3721829444146</v>
      </c>
      <c r="H27" s="3">
        <v>15.7056058055815</v>
      </c>
      <c r="I27" s="3">
        <v>17.325899776908901</v>
      </c>
      <c r="J27" s="3">
        <v>16.522677016730398</v>
      </c>
      <c r="K27" s="3">
        <v>14.1861658824392</v>
      </c>
      <c r="L27" s="3">
        <v>14.603579269760999</v>
      </c>
      <c r="M27" s="3">
        <v>14.8024286787735</v>
      </c>
      <c r="N27" s="3">
        <v>12.9121217132276</v>
      </c>
    </row>
    <row r="28" spans="1:14" x14ac:dyDescent="0.35">
      <c r="A28" s="2">
        <v>42524</v>
      </c>
      <c r="B28" s="3">
        <v>19.492970960307701</v>
      </c>
      <c r="C28" s="3">
        <v>16.2996290566753</v>
      </c>
      <c r="D28" s="3">
        <v>16.726739491341402</v>
      </c>
      <c r="E28" s="3">
        <v>12.5002303711458</v>
      </c>
      <c r="F28" s="3">
        <v>13.4176105000418</v>
      </c>
      <c r="G28" s="3">
        <v>17.057655553676199</v>
      </c>
      <c r="H28" s="3">
        <v>15.774831287017999</v>
      </c>
      <c r="I28" s="3">
        <v>17.9437090657512</v>
      </c>
      <c r="J28" s="3">
        <v>16.592496624068598</v>
      </c>
      <c r="K28" s="3">
        <v>14.318296073521401</v>
      </c>
      <c r="L28" s="3">
        <v>15.0861469584859</v>
      </c>
      <c r="M28" s="3">
        <v>14.7761017947686</v>
      </c>
      <c r="N28" s="3">
        <v>12.7778702479836</v>
      </c>
    </row>
    <row r="29" spans="1:14" x14ac:dyDescent="0.35">
      <c r="A29" s="2">
        <v>42552</v>
      </c>
      <c r="B29" s="3">
        <v>19.059687665176</v>
      </c>
      <c r="C29" s="3">
        <v>15.999973819414</v>
      </c>
      <c r="D29" s="3">
        <v>16.292351603394</v>
      </c>
      <c r="E29" s="3">
        <v>12.0769572673331</v>
      </c>
      <c r="F29" s="3">
        <v>12.681855577317201</v>
      </c>
      <c r="G29" s="3">
        <v>16.895370900134999</v>
      </c>
      <c r="H29" s="3">
        <v>16.1076551566143</v>
      </c>
      <c r="I29" s="3">
        <v>17.709323828794599</v>
      </c>
      <c r="J29" s="3">
        <v>16.527476292901198</v>
      </c>
      <c r="K29" s="3">
        <v>13.698228787221201</v>
      </c>
      <c r="L29" s="3">
        <v>14.211112750830999</v>
      </c>
      <c r="M29" s="3">
        <v>14.6967790020612</v>
      </c>
      <c r="N29" s="3">
        <v>11.8557083830139</v>
      </c>
    </row>
    <row r="30" spans="1:14" x14ac:dyDescent="0.35">
      <c r="A30" s="2">
        <v>42586</v>
      </c>
      <c r="B30" s="3">
        <v>20.081278706949998</v>
      </c>
      <c r="C30" s="3">
        <v>16.490061754545799</v>
      </c>
      <c r="D30" s="3">
        <v>16.3018438352894</v>
      </c>
      <c r="E30" s="3">
        <v>12.590894229682</v>
      </c>
      <c r="F30" s="3">
        <v>12.993005689561</v>
      </c>
      <c r="G30" s="3">
        <v>17.129055077382201</v>
      </c>
      <c r="H30" s="3">
        <v>16.098771573159901</v>
      </c>
      <c r="I30" s="3">
        <v>18.675636268582199</v>
      </c>
      <c r="J30" s="3">
        <v>16.8656648362178</v>
      </c>
      <c r="K30" s="3">
        <v>13.7897973489736</v>
      </c>
      <c r="L30" s="3">
        <v>14.552448163084399</v>
      </c>
      <c r="M30" s="3">
        <v>14.996888471929299</v>
      </c>
      <c r="N30" s="3">
        <v>12.091401373847599</v>
      </c>
    </row>
    <row r="31" spans="1:14" x14ac:dyDescent="0.35">
      <c r="A31" s="2">
        <v>42615</v>
      </c>
      <c r="B31" s="3">
        <v>20.6958794495932</v>
      </c>
      <c r="C31" s="3">
        <v>16.209943809243299</v>
      </c>
      <c r="D31" s="3">
        <v>16.442436133462898</v>
      </c>
      <c r="E31" s="3">
        <v>13.0598123735016</v>
      </c>
      <c r="F31" s="3">
        <v>13.636063568928</v>
      </c>
      <c r="G31" s="3">
        <v>17.441950034232502</v>
      </c>
      <c r="H31" s="3">
        <v>16.273392913453801</v>
      </c>
      <c r="I31" s="3">
        <v>18.589342164540799</v>
      </c>
      <c r="J31" s="3">
        <v>16.835398779399501</v>
      </c>
      <c r="K31" s="3">
        <v>14.265122056874</v>
      </c>
      <c r="L31" s="3">
        <v>15.3407069268504</v>
      </c>
      <c r="M31" s="3">
        <v>15.646165017013701</v>
      </c>
      <c r="N31" s="3">
        <v>12.5206266110849</v>
      </c>
    </row>
    <row r="32" spans="1:14" x14ac:dyDescent="0.35">
      <c r="A32" s="2">
        <v>42647</v>
      </c>
      <c r="B32" s="3">
        <v>20.249767427641402</v>
      </c>
      <c r="C32" s="3">
        <v>16.3576474953088</v>
      </c>
      <c r="D32" s="3">
        <v>15.888629343351599</v>
      </c>
      <c r="E32" s="3">
        <v>13.0103594007285</v>
      </c>
      <c r="F32" s="3">
        <v>13.4009374801389</v>
      </c>
      <c r="G32" s="3">
        <v>17.231113904687099</v>
      </c>
      <c r="H32" s="3">
        <v>15.9883278598237</v>
      </c>
      <c r="I32" s="3">
        <v>18.576040250050202</v>
      </c>
      <c r="J32" s="3">
        <v>16.4998967636805</v>
      </c>
      <c r="K32" s="3">
        <v>13.9989862682257</v>
      </c>
      <c r="L32" s="3">
        <v>15.083030708264801</v>
      </c>
      <c r="M32" s="3">
        <v>15.9178033902776</v>
      </c>
      <c r="N32" s="3">
        <v>11.6898816711743</v>
      </c>
    </row>
    <row r="33" spans="1:14" x14ac:dyDescent="0.35">
      <c r="A33" s="2">
        <v>42678</v>
      </c>
      <c r="B33" s="3">
        <v>18.2150531619003</v>
      </c>
      <c r="C33" s="3">
        <v>15.378315555920301</v>
      </c>
      <c r="D33" s="3">
        <v>15.4998692488029</v>
      </c>
      <c r="E33" s="3">
        <v>12.429103245020601</v>
      </c>
      <c r="F33" s="3">
        <v>13.3340396907029</v>
      </c>
      <c r="G33" s="3">
        <v>16.0822832120136</v>
      </c>
      <c r="H33" s="3">
        <v>14.352261954609901</v>
      </c>
      <c r="I33" s="3">
        <v>17.6296222986152</v>
      </c>
      <c r="J33" s="3">
        <v>15.9314009319239</v>
      </c>
      <c r="K33" s="3">
        <v>13.5104488661513</v>
      </c>
      <c r="L33" s="3">
        <v>14.2561430437559</v>
      </c>
      <c r="M33" s="3">
        <v>15.466357740437999</v>
      </c>
      <c r="N33" s="3">
        <v>11.4746380817115</v>
      </c>
    </row>
    <row r="34" spans="1:14" x14ac:dyDescent="0.35">
      <c r="A34" s="2">
        <v>42706</v>
      </c>
      <c r="B34" s="3">
        <v>18.7150183102484</v>
      </c>
      <c r="C34" s="3">
        <v>15.6786481105494</v>
      </c>
      <c r="D34" s="3">
        <v>15.870162857001301</v>
      </c>
      <c r="E34" s="3">
        <v>12.628264072240301</v>
      </c>
      <c r="F34" s="3">
        <v>14.607022815118899</v>
      </c>
      <c r="G34" s="3">
        <v>16.156219282481501</v>
      </c>
      <c r="H34" s="3">
        <v>14.1545278968975</v>
      </c>
      <c r="I34" s="3">
        <v>17.758664971224199</v>
      </c>
      <c r="J34" s="3">
        <v>16.618730474998099</v>
      </c>
      <c r="K34" s="3">
        <v>13.754137392797499</v>
      </c>
      <c r="L34" s="3">
        <v>14.2262921960439</v>
      </c>
      <c r="M34" s="3">
        <v>15.958798335709</v>
      </c>
      <c r="N34" s="3">
        <v>12.014925970761</v>
      </c>
    </row>
    <row r="35" spans="1:14" x14ac:dyDescent="0.35">
      <c r="A35" s="2">
        <v>42739</v>
      </c>
      <c r="B35" s="3">
        <v>18.743202333322898</v>
      </c>
      <c r="C35" s="3">
        <v>15.997884656999799</v>
      </c>
      <c r="D35" s="3">
        <v>15.9547997177573</v>
      </c>
      <c r="E35" s="3">
        <v>13.731476348109901</v>
      </c>
      <c r="F35" s="3">
        <v>14.969501570019199</v>
      </c>
      <c r="G35" s="3">
        <v>17.015281850257399</v>
      </c>
      <c r="H35" s="3">
        <v>14.4727634305462</v>
      </c>
      <c r="I35" s="3">
        <v>18.3092568721436</v>
      </c>
      <c r="J35" s="3">
        <v>17.0303746810917</v>
      </c>
      <c r="K35" s="3">
        <v>14.646981526403</v>
      </c>
      <c r="L35" s="3">
        <v>15.1317023246567</v>
      </c>
      <c r="M35" s="3">
        <v>16.573313833833801</v>
      </c>
      <c r="N35" s="3">
        <v>13.719863318516399</v>
      </c>
    </row>
    <row r="36" spans="1:14" x14ac:dyDescent="0.35">
      <c r="A36" s="2">
        <v>42769</v>
      </c>
      <c r="B36" s="3">
        <v>19.097519727308299</v>
      </c>
      <c r="C36" s="3">
        <v>15.604276382216399</v>
      </c>
      <c r="D36" s="3">
        <v>16.033292390716699</v>
      </c>
      <c r="E36" s="3">
        <v>13.6655992190853</v>
      </c>
      <c r="F36" s="3">
        <v>14.2633100796732</v>
      </c>
      <c r="G36" s="3">
        <v>17.204900401771202</v>
      </c>
      <c r="H36" s="3">
        <v>14.323683024352601</v>
      </c>
      <c r="I36" s="3">
        <v>19.3094351018213</v>
      </c>
      <c r="J36" s="3">
        <v>17.2007565377716</v>
      </c>
      <c r="K36" s="3">
        <v>14.3369487502949</v>
      </c>
      <c r="L36" s="3">
        <v>15.149034735206101</v>
      </c>
      <c r="M36" s="3">
        <v>16.522706413097701</v>
      </c>
      <c r="N36" s="3">
        <v>12.9864369833174</v>
      </c>
    </row>
    <row r="37" spans="1:14" x14ac:dyDescent="0.35">
      <c r="A37" s="2">
        <v>42797</v>
      </c>
      <c r="B37" s="3">
        <v>19.017623096239799</v>
      </c>
      <c r="C37" s="3">
        <v>15.7107518687991</v>
      </c>
      <c r="D37" s="3">
        <v>16.077133112621301</v>
      </c>
      <c r="E37" s="3">
        <v>13.9620892654792</v>
      </c>
      <c r="F37" s="3">
        <v>14.3112752079332</v>
      </c>
      <c r="G37" s="3">
        <v>17.643489495656301</v>
      </c>
      <c r="H37" s="3">
        <v>14.4688844653649</v>
      </c>
      <c r="I37" s="3">
        <v>20.140545311978599</v>
      </c>
      <c r="J37" s="3">
        <v>17.791847820694901</v>
      </c>
      <c r="K37" s="3">
        <v>14.5341399191049</v>
      </c>
      <c r="L37" s="3">
        <v>15.800917185007901</v>
      </c>
      <c r="M37" s="3">
        <v>16.488603046213001</v>
      </c>
      <c r="N37" s="3">
        <v>13.371524252714501</v>
      </c>
    </row>
    <row r="38" spans="1:14" x14ac:dyDescent="0.35">
      <c r="A38" s="2">
        <v>42829</v>
      </c>
      <c r="B38" s="3">
        <v>19.1385579728599</v>
      </c>
      <c r="C38" s="3">
        <v>15.7971870856378</v>
      </c>
      <c r="D38" s="3">
        <v>15.9550378675498</v>
      </c>
      <c r="E38" s="3">
        <v>14.0249595864931</v>
      </c>
      <c r="F38" s="3">
        <v>13.683027461808599</v>
      </c>
      <c r="G38" s="3">
        <v>17.367332852079102</v>
      </c>
      <c r="H38" s="3">
        <v>14.379498191023201</v>
      </c>
      <c r="I38" s="3">
        <v>20.1382279659144</v>
      </c>
      <c r="J38" s="3">
        <v>17.463997274476601</v>
      </c>
      <c r="K38" s="3">
        <v>14.832272985131601</v>
      </c>
      <c r="L38" s="3">
        <v>16.004248380464102</v>
      </c>
      <c r="M38" s="3">
        <v>16.912848251041101</v>
      </c>
      <c r="N38" s="3">
        <v>13.5088662528605</v>
      </c>
    </row>
    <row r="39" spans="1:14" x14ac:dyDescent="0.35">
      <c r="A39" s="2">
        <v>42859</v>
      </c>
      <c r="B39" s="3">
        <v>19.440890327048699</v>
      </c>
      <c r="C39" s="3">
        <v>15.7802607224412</v>
      </c>
      <c r="D39" s="3">
        <v>15.4897636098004</v>
      </c>
      <c r="E39" s="3">
        <v>14.045779537743</v>
      </c>
      <c r="F39" s="3">
        <v>14.022043726296699</v>
      </c>
      <c r="G39" s="3">
        <v>17.9660531629</v>
      </c>
      <c r="H39" s="3">
        <v>14.353416523760099</v>
      </c>
      <c r="I39" s="3">
        <v>20.5772292550812</v>
      </c>
      <c r="J39" s="3">
        <v>17.458706630920499</v>
      </c>
      <c r="K39" s="3">
        <v>15.466103676515599</v>
      </c>
      <c r="L39" s="3">
        <v>16.608385598705802</v>
      </c>
      <c r="M39" s="3">
        <v>17.181824200497299</v>
      </c>
      <c r="N39" s="3">
        <v>13.7067949014255</v>
      </c>
    </row>
    <row r="40" spans="1:14" x14ac:dyDescent="0.35">
      <c r="A40" s="2">
        <v>42888</v>
      </c>
      <c r="B40" s="3">
        <v>19.480954592760799</v>
      </c>
      <c r="C40" s="3">
        <v>15.399654337939999</v>
      </c>
      <c r="D40" s="3">
        <v>15.5123585292512</v>
      </c>
      <c r="E40" s="3">
        <v>13.929161446858</v>
      </c>
      <c r="F40" s="3">
        <v>14.617758926844701</v>
      </c>
      <c r="G40" s="3">
        <v>18.2644958815692</v>
      </c>
      <c r="H40" s="3">
        <v>14.841669767300401</v>
      </c>
      <c r="I40" s="3">
        <v>21.202752457200699</v>
      </c>
      <c r="J40" s="3">
        <v>17.669984548328699</v>
      </c>
      <c r="K40" s="3">
        <v>15.2634708736995</v>
      </c>
      <c r="L40" s="3">
        <v>16.396469374384999</v>
      </c>
      <c r="M40" s="3">
        <v>18.0717772891166</v>
      </c>
      <c r="N40" s="3">
        <v>13.3007485007019</v>
      </c>
    </row>
    <row r="41" spans="1:14" x14ac:dyDescent="0.35">
      <c r="A41" s="2">
        <v>42919</v>
      </c>
      <c r="B41" s="3">
        <v>19.456501860026901</v>
      </c>
      <c r="C41" s="3">
        <v>15.317527928068399</v>
      </c>
      <c r="D41" s="3">
        <v>15.2185526976216</v>
      </c>
      <c r="E41" s="3">
        <v>13.4368981466052</v>
      </c>
      <c r="F41" s="3">
        <v>14.2554982317049</v>
      </c>
      <c r="G41" s="3">
        <v>17.876956641645801</v>
      </c>
      <c r="H41" s="3">
        <v>14.5138786965978</v>
      </c>
      <c r="I41" s="3">
        <v>19.8547435220406</v>
      </c>
      <c r="J41" s="3">
        <v>17.445586242440498</v>
      </c>
      <c r="K41" s="3">
        <v>14.759932603357999</v>
      </c>
      <c r="L41" s="3">
        <v>15.750105564231299</v>
      </c>
      <c r="M41" s="3">
        <v>16.669716021188901</v>
      </c>
      <c r="N41" s="3">
        <v>13.2911156316648</v>
      </c>
    </row>
    <row r="42" spans="1:14" x14ac:dyDescent="0.35">
      <c r="A42" s="2">
        <v>42951</v>
      </c>
      <c r="B42" s="3">
        <v>19.818418566855801</v>
      </c>
      <c r="C42" s="3">
        <v>15.6506028945661</v>
      </c>
      <c r="D42" s="3">
        <v>15.724399452974501</v>
      </c>
      <c r="E42" s="3">
        <v>13.251501600728901</v>
      </c>
      <c r="F42" s="3">
        <v>14.233473635206501</v>
      </c>
      <c r="G42" s="3">
        <v>17.9831562785605</v>
      </c>
      <c r="H42" s="3">
        <v>14.890974198206401</v>
      </c>
      <c r="I42" s="3">
        <v>20.641775044838901</v>
      </c>
      <c r="J42" s="3">
        <v>17.655817690374899</v>
      </c>
      <c r="K42" s="3">
        <v>14.7740514540149</v>
      </c>
      <c r="L42" s="3">
        <v>16.071620521341298</v>
      </c>
      <c r="M42" s="3">
        <v>16.1106291583542</v>
      </c>
      <c r="N42" s="3">
        <v>13.5749941714021</v>
      </c>
    </row>
    <row r="43" spans="1:14" x14ac:dyDescent="0.35">
      <c r="A43" s="2">
        <v>42979</v>
      </c>
      <c r="B43" s="3">
        <v>19.920576353659499</v>
      </c>
      <c r="C43" s="3">
        <v>15.6384385009527</v>
      </c>
      <c r="D43" s="3">
        <v>15.376854398938899</v>
      </c>
      <c r="E43" s="3">
        <v>13.013661405267699</v>
      </c>
      <c r="F43" s="3">
        <v>13.729705411020401</v>
      </c>
      <c r="G43" s="3">
        <v>17.4885502054535</v>
      </c>
      <c r="H43" s="3">
        <v>14.6286836464253</v>
      </c>
      <c r="I43" s="3">
        <v>20.699306723768899</v>
      </c>
      <c r="J43" s="3">
        <v>17.5139583604644</v>
      </c>
      <c r="K43" s="3">
        <v>14.551085269345201</v>
      </c>
      <c r="L43" s="3">
        <v>15.690942441898599</v>
      </c>
      <c r="M43" s="3">
        <v>15.965060274012</v>
      </c>
      <c r="N43" s="3">
        <v>13.3394042700422</v>
      </c>
    </row>
    <row r="44" spans="1:14" x14ac:dyDescent="0.35">
      <c r="A44" s="2">
        <v>43012</v>
      </c>
      <c r="B44" s="3">
        <v>19.812097428364002</v>
      </c>
      <c r="C44" s="3">
        <v>15.3362843367515</v>
      </c>
      <c r="D44" s="3">
        <v>15.851142854326101</v>
      </c>
      <c r="E44" s="3">
        <v>13.7876379682505</v>
      </c>
      <c r="F44" s="3">
        <v>14.0654554311952</v>
      </c>
      <c r="G44" s="3">
        <v>17.958090564499798</v>
      </c>
      <c r="H44" s="3">
        <v>14.608221143720399</v>
      </c>
      <c r="I44" s="3">
        <v>20.396638311608001</v>
      </c>
      <c r="J44" s="3">
        <v>17.837908191336901</v>
      </c>
      <c r="K44" s="3">
        <v>15.187561094598401</v>
      </c>
      <c r="L44" s="3">
        <v>16.108094146254501</v>
      </c>
      <c r="M44" s="3">
        <v>16.964873478374201</v>
      </c>
      <c r="N44" s="3">
        <v>13.597438372252901</v>
      </c>
    </row>
    <row r="45" spans="1:14" x14ac:dyDescent="0.35">
      <c r="A45" s="2">
        <v>43042</v>
      </c>
      <c r="B45" s="3">
        <v>20.2607857672626</v>
      </c>
      <c r="C45" s="3">
        <v>15.946902792774001</v>
      </c>
      <c r="D45" s="3">
        <v>15.921295855546999</v>
      </c>
      <c r="E45" s="3">
        <v>14.295513209291901</v>
      </c>
      <c r="F45" s="3">
        <v>14.804369320229799</v>
      </c>
      <c r="G45" s="3">
        <v>17.983623024675602</v>
      </c>
      <c r="H45" s="3">
        <v>14.5461107053146</v>
      </c>
      <c r="I45" s="3">
        <v>20.901235037774601</v>
      </c>
      <c r="J45" s="3">
        <v>17.9873893505642</v>
      </c>
      <c r="K45" s="3">
        <v>15.4478297837694</v>
      </c>
      <c r="L45" s="3">
        <v>16.421423660795</v>
      </c>
      <c r="M45" s="3">
        <v>17.3618010522557</v>
      </c>
      <c r="N45" s="3">
        <v>13.729348695998899</v>
      </c>
    </row>
    <row r="46" spans="1:14" x14ac:dyDescent="0.35">
      <c r="A46" s="2">
        <v>43073</v>
      </c>
      <c r="B46" s="3">
        <v>20.365693991765099</v>
      </c>
      <c r="C46" s="3">
        <v>15.845029356875999</v>
      </c>
      <c r="D46" s="3">
        <v>15.838244681419299</v>
      </c>
      <c r="E46" s="3">
        <v>13.925398160268401</v>
      </c>
      <c r="F46" s="3">
        <v>14.6507717948096</v>
      </c>
      <c r="G46" s="3">
        <v>17.668160563622099</v>
      </c>
      <c r="H46" s="3">
        <v>14.1862749629472</v>
      </c>
      <c r="I46" s="3">
        <v>20.536722539424801</v>
      </c>
      <c r="J46" s="3">
        <v>18.1571857761639</v>
      </c>
      <c r="K46" s="3">
        <v>15.0703722671518</v>
      </c>
      <c r="L46" s="3">
        <v>15.8832519495267</v>
      </c>
      <c r="M46" s="3">
        <v>16.602434626244101</v>
      </c>
      <c r="N46" s="3">
        <v>13.4160196237327</v>
      </c>
    </row>
    <row r="47" spans="1:14" x14ac:dyDescent="0.35">
      <c r="A47" s="2">
        <v>43104</v>
      </c>
      <c r="B47" s="3">
        <v>21.0151764254555</v>
      </c>
      <c r="C47" s="3">
        <v>16.0193841662017</v>
      </c>
      <c r="D47" s="3">
        <v>16.079184629819199</v>
      </c>
      <c r="E47" s="3">
        <v>13.9911735223173</v>
      </c>
      <c r="F47" s="3">
        <v>15.0970522527145</v>
      </c>
      <c r="G47" s="3">
        <v>17.875024114471699</v>
      </c>
      <c r="H47" s="3">
        <v>14.7463424033308</v>
      </c>
      <c r="I47" s="3">
        <v>21.349547148876798</v>
      </c>
      <c r="J47" s="3">
        <v>18.315446121780202</v>
      </c>
      <c r="K47" s="3">
        <v>15.0568383033677</v>
      </c>
      <c r="L47" s="3">
        <v>16.1081624498857</v>
      </c>
      <c r="M47" s="3">
        <v>16.3783030690931</v>
      </c>
      <c r="N47" s="3">
        <v>13.254603144446801</v>
      </c>
    </row>
    <row r="48" spans="1:14" x14ac:dyDescent="0.35">
      <c r="A48" s="2">
        <v>43133</v>
      </c>
      <c r="B48" s="3">
        <v>20.9643662464545</v>
      </c>
      <c r="C48" s="3">
        <v>15.9032455761203</v>
      </c>
      <c r="D48" s="3">
        <v>14.9050084693492</v>
      </c>
      <c r="E48" s="3">
        <v>13.4818469676368</v>
      </c>
      <c r="F48" s="3">
        <v>14.824058295345001</v>
      </c>
      <c r="G48" s="3">
        <v>17.342758821493501</v>
      </c>
      <c r="H48" s="3">
        <v>14.145621020314</v>
      </c>
      <c r="I48" s="3">
        <v>20.8845307369388</v>
      </c>
      <c r="J48" s="3">
        <v>17.456793164370801</v>
      </c>
      <c r="K48" s="3">
        <v>14.883011983911</v>
      </c>
      <c r="L48" s="3">
        <v>16.011029812541999</v>
      </c>
      <c r="M48" s="3">
        <v>16.473281584193501</v>
      </c>
      <c r="N48" s="3">
        <v>13.065464242630901</v>
      </c>
    </row>
    <row r="49" spans="1:14" x14ac:dyDescent="0.35">
      <c r="A49" s="2">
        <v>43161</v>
      </c>
      <c r="B49" s="3">
        <v>20.254594308011001</v>
      </c>
      <c r="C49" s="3">
        <v>15.3294363410676</v>
      </c>
      <c r="D49" s="3">
        <v>14.283873676519701</v>
      </c>
      <c r="E49" s="3">
        <v>12.601035925087</v>
      </c>
      <c r="F49" s="3">
        <v>12.8016957965391</v>
      </c>
      <c r="G49" s="3">
        <v>16.012439647369099</v>
      </c>
      <c r="H49" s="3">
        <v>12.809925528928501</v>
      </c>
      <c r="I49" s="3">
        <v>20.642610483319199</v>
      </c>
      <c r="J49" s="3">
        <v>16.718629415762699</v>
      </c>
      <c r="K49" s="3">
        <v>14.1847968466843</v>
      </c>
      <c r="L49" s="3">
        <v>15.1871700478783</v>
      </c>
      <c r="M49" s="3">
        <v>15.754175907265299</v>
      </c>
      <c r="N49" s="3">
        <v>12.304692368396701</v>
      </c>
    </row>
    <row r="50" spans="1:14" x14ac:dyDescent="0.35">
      <c r="A50" s="2">
        <v>43194</v>
      </c>
      <c r="B50" s="3">
        <v>20.126611438491501</v>
      </c>
      <c r="C50" s="3">
        <v>14.759298666304</v>
      </c>
      <c r="D50" s="3">
        <v>13.973550129585201</v>
      </c>
      <c r="E50" s="3">
        <v>12.6242031190502</v>
      </c>
      <c r="F50" s="3">
        <v>12.6896517314878</v>
      </c>
      <c r="G50" s="3">
        <v>15.712621554015399</v>
      </c>
      <c r="H50" s="3">
        <v>13.192603523636</v>
      </c>
      <c r="I50" s="3">
        <v>19.681084445227501</v>
      </c>
      <c r="J50" s="3">
        <v>16.3280272953488</v>
      </c>
      <c r="K50" s="3">
        <v>14.1087826330934</v>
      </c>
      <c r="L50" s="3">
        <v>15.2429707910015</v>
      </c>
      <c r="M50" s="3">
        <v>15.35327676715</v>
      </c>
      <c r="N50" s="3">
        <v>12.4075853450745</v>
      </c>
    </row>
    <row r="51" spans="1:14" x14ac:dyDescent="0.35">
      <c r="A51" s="2">
        <v>43224</v>
      </c>
      <c r="B51" s="3">
        <v>20.347063475423901</v>
      </c>
      <c r="C51" s="3">
        <v>15.310383772271001</v>
      </c>
      <c r="D51" s="3">
        <v>14.1585075546921</v>
      </c>
      <c r="E51" s="3">
        <v>13.366246969626401</v>
      </c>
      <c r="F51" s="3">
        <v>13.1840853880057</v>
      </c>
      <c r="G51" s="3">
        <v>16.141361061125501</v>
      </c>
      <c r="H51" s="3">
        <v>13.7275503828248</v>
      </c>
      <c r="I51" s="3">
        <v>19.747085939111098</v>
      </c>
      <c r="J51" s="3">
        <v>16.1223922939324</v>
      </c>
      <c r="K51" s="3">
        <v>14.8102091998853</v>
      </c>
      <c r="L51" s="3">
        <v>15.620870170162799</v>
      </c>
      <c r="M51" s="3">
        <v>15.820382466456</v>
      </c>
      <c r="N51" s="3">
        <v>13.217349131689099</v>
      </c>
    </row>
    <row r="52" spans="1:14" x14ac:dyDescent="0.35">
      <c r="A52" s="2">
        <v>43255</v>
      </c>
      <c r="B52" s="3">
        <v>20.5236612546943</v>
      </c>
      <c r="C52" s="3">
        <v>15.138108789289999</v>
      </c>
      <c r="D52" s="3">
        <v>14.2003078226727</v>
      </c>
      <c r="E52" s="3">
        <v>13.209537663508</v>
      </c>
      <c r="F52" s="3">
        <v>13.135398442734701</v>
      </c>
      <c r="G52" s="3">
        <v>15.718610970798901</v>
      </c>
      <c r="H52" s="3">
        <v>13.6961076997536</v>
      </c>
      <c r="I52" s="3">
        <v>20.543277621587801</v>
      </c>
      <c r="J52" s="3">
        <v>16.4087371116787</v>
      </c>
      <c r="K52" s="3">
        <v>14.478672492230499</v>
      </c>
      <c r="L52" s="3">
        <v>15.8205115180746</v>
      </c>
      <c r="M52" s="3">
        <v>15.526520493038101</v>
      </c>
      <c r="N52" s="3">
        <v>11.713039343948299</v>
      </c>
    </row>
    <row r="53" spans="1:14" x14ac:dyDescent="0.35">
      <c r="A53" s="2">
        <v>43284</v>
      </c>
      <c r="B53" s="3">
        <v>21.378393424157501</v>
      </c>
      <c r="C53" s="3">
        <v>15.5010352829042</v>
      </c>
      <c r="D53" s="3">
        <v>14.1973164222681</v>
      </c>
      <c r="E53" s="3">
        <v>12.7784281918763</v>
      </c>
      <c r="F53" s="3">
        <v>12.657330166280801</v>
      </c>
      <c r="G53" s="3">
        <v>15.6242358668332</v>
      </c>
      <c r="H53" s="3">
        <v>13.1907166661787</v>
      </c>
      <c r="I53" s="3">
        <v>19.9944536382941</v>
      </c>
      <c r="J53" s="3">
        <v>16.0711269701908</v>
      </c>
      <c r="K53" s="3">
        <v>13.9214169739867</v>
      </c>
      <c r="L53" s="3">
        <v>15.445439183447199</v>
      </c>
      <c r="M53" s="3">
        <v>15.169869911688901</v>
      </c>
      <c r="N53" s="3">
        <v>11.4468033693622</v>
      </c>
    </row>
    <row r="54" spans="1:14" x14ac:dyDescent="0.35">
      <c r="A54" s="2">
        <v>43315</v>
      </c>
      <c r="B54" s="3">
        <v>20.9208465976924</v>
      </c>
      <c r="C54" s="3">
        <v>15.488182467355299</v>
      </c>
      <c r="D54" s="3">
        <v>14.1594270157489</v>
      </c>
      <c r="E54" s="3">
        <v>13.0651007580992</v>
      </c>
      <c r="F54" s="3">
        <v>12.822789506127901</v>
      </c>
      <c r="G54" s="3">
        <v>16.307469434858898</v>
      </c>
      <c r="H54" s="3">
        <v>13.1626874798717</v>
      </c>
      <c r="I54" s="3">
        <v>20.5652717594885</v>
      </c>
      <c r="J54" s="3">
        <v>16.579120801420299</v>
      </c>
      <c r="K54" s="3">
        <v>14.072271243196999</v>
      </c>
      <c r="L54" s="3">
        <v>15.944543921367901</v>
      </c>
      <c r="M54" s="3">
        <v>15.564368026137</v>
      </c>
      <c r="N54" s="3">
        <v>11.394285863437901</v>
      </c>
    </row>
    <row r="55" spans="1:14" x14ac:dyDescent="0.35">
      <c r="A55" s="2">
        <v>43347</v>
      </c>
      <c r="B55" s="3">
        <v>21.936762095054299</v>
      </c>
      <c r="C55" s="3">
        <v>15.553655823262201</v>
      </c>
      <c r="D55" s="3">
        <v>13.6919237725263</v>
      </c>
      <c r="E55" s="3">
        <v>12.676517197369201</v>
      </c>
      <c r="F55" s="3">
        <v>12.5541050676413</v>
      </c>
      <c r="G55" s="3">
        <v>15.9472185740361</v>
      </c>
      <c r="H55" s="3">
        <v>12.5945186291056</v>
      </c>
      <c r="I55" s="3">
        <v>21.006949886339299</v>
      </c>
      <c r="J55" s="3">
        <v>16.760778321199101</v>
      </c>
      <c r="K55" s="3">
        <v>13.6047046408345</v>
      </c>
      <c r="L55" s="3">
        <v>15.497601097525999</v>
      </c>
      <c r="M55" s="3">
        <v>15.7660969941905</v>
      </c>
      <c r="N55" s="3">
        <v>10.6164346981033</v>
      </c>
    </row>
    <row r="56" spans="1:14" x14ac:dyDescent="0.35">
      <c r="A56" s="2">
        <v>43377</v>
      </c>
      <c r="B56" s="3">
        <v>21.379556949514999</v>
      </c>
      <c r="C56" s="3">
        <v>15.113806438141101</v>
      </c>
      <c r="D56" s="3">
        <v>13.5010383248819</v>
      </c>
      <c r="E56" s="3">
        <v>12.6362335473084</v>
      </c>
      <c r="F56" s="3">
        <v>13.139053466379799</v>
      </c>
      <c r="G56" s="3">
        <v>15.9296578655331</v>
      </c>
      <c r="H56" s="3">
        <v>12.603258033754599</v>
      </c>
      <c r="I56" s="3">
        <v>20.4826805342542</v>
      </c>
      <c r="J56" s="3">
        <v>16.671085837804998</v>
      </c>
      <c r="K56" s="3">
        <v>13.6150947599762</v>
      </c>
      <c r="L56" s="3">
        <v>14.7537683106234</v>
      </c>
      <c r="M56" s="3">
        <v>15.765665537360499</v>
      </c>
      <c r="N56" s="3">
        <v>10.572179914230601</v>
      </c>
    </row>
    <row r="57" spans="1:14" x14ac:dyDescent="0.35">
      <c r="A57" s="2">
        <v>43406</v>
      </c>
      <c r="B57" s="3">
        <v>20.314925312088299</v>
      </c>
      <c r="C57" s="3">
        <v>14.391214580640201</v>
      </c>
      <c r="D57" s="3">
        <v>12.629501922295599</v>
      </c>
      <c r="E57" s="3">
        <v>11.8116826163144</v>
      </c>
      <c r="F57" s="3">
        <v>12.116717220033101</v>
      </c>
      <c r="G57" s="3">
        <v>15.717762503358401</v>
      </c>
      <c r="H57" s="3">
        <v>11.866566645645801</v>
      </c>
      <c r="I57" s="3">
        <v>18.8850673113004</v>
      </c>
      <c r="J57" s="3">
        <v>15.569295059131401</v>
      </c>
      <c r="K57" s="3">
        <v>12.836682800551101</v>
      </c>
      <c r="L57" s="3">
        <v>14.217537255862601</v>
      </c>
      <c r="M57" s="3">
        <v>14.6065068232269</v>
      </c>
      <c r="N57" s="3">
        <v>9.9400295615815892</v>
      </c>
    </row>
    <row r="58" spans="1:14" x14ac:dyDescent="0.35">
      <c r="A58" s="2">
        <v>43438</v>
      </c>
      <c r="B58" s="3">
        <v>20.2875400226918</v>
      </c>
      <c r="C58" s="3">
        <v>14.167344104995699</v>
      </c>
      <c r="D58" s="3">
        <v>12.635415594631199</v>
      </c>
      <c r="E58" s="3">
        <v>11.632256514186899</v>
      </c>
      <c r="F58" s="3">
        <v>12.1558547598052</v>
      </c>
      <c r="G58" s="3">
        <v>15.6831125774657</v>
      </c>
      <c r="H58" s="3">
        <v>11.7678812089743</v>
      </c>
      <c r="I58" s="3">
        <v>18.379241900894002</v>
      </c>
      <c r="J58" s="3">
        <v>15.389295757923801</v>
      </c>
      <c r="K58" s="3">
        <v>12.5664136855346</v>
      </c>
      <c r="L58" s="3">
        <v>14.137485724904799</v>
      </c>
      <c r="M58" s="3">
        <v>14.0917756118493</v>
      </c>
      <c r="N58" s="3">
        <v>9.6008778093152607</v>
      </c>
    </row>
    <row r="59" spans="1:14" x14ac:dyDescent="0.35">
      <c r="A59" s="2">
        <v>43469</v>
      </c>
      <c r="B59" s="3">
        <v>19.901480925800598</v>
      </c>
      <c r="C59" s="3">
        <v>13.994924061590201</v>
      </c>
      <c r="D59" s="3">
        <v>12.3790409167286</v>
      </c>
      <c r="E59" s="3">
        <v>11.172807709482599</v>
      </c>
      <c r="F59" s="3">
        <v>10.954834020876101</v>
      </c>
      <c r="G59" s="3">
        <v>14.7844400374552</v>
      </c>
      <c r="H59" s="3">
        <v>11.583586838529699</v>
      </c>
      <c r="I59" s="3">
        <v>17.669579478327499</v>
      </c>
      <c r="J59" s="3">
        <v>14.6350443624539</v>
      </c>
      <c r="K59" s="3">
        <v>11.906856111504</v>
      </c>
      <c r="L59" s="3">
        <v>13.120370306583</v>
      </c>
      <c r="M59" s="3">
        <v>13.620355698146399</v>
      </c>
      <c r="N59" s="3">
        <v>9.4259062013911503</v>
      </c>
    </row>
    <row r="60" spans="1:14" x14ac:dyDescent="0.35">
      <c r="A60" s="2">
        <v>43500</v>
      </c>
      <c r="B60" s="3">
        <v>20.4225650865482</v>
      </c>
      <c r="C60" s="3">
        <v>14.678955876728301</v>
      </c>
      <c r="D60" s="3">
        <v>13.7308784390358</v>
      </c>
      <c r="E60" s="3">
        <v>11.7270152049537</v>
      </c>
      <c r="F60" s="3">
        <v>12.0496570667173</v>
      </c>
      <c r="G60" s="3">
        <v>15.567615727734401</v>
      </c>
      <c r="H60" s="3">
        <v>12.2645564537277</v>
      </c>
      <c r="I60" s="3">
        <v>19.197365666601002</v>
      </c>
      <c r="J60" s="3">
        <v>15.8762635240394</v>
      </c>
      <c r="K60" s="3">
        <v>12.8703089852673</v>
      </c>
      <c r="L60" s="3">
        <v>14.2087512348359</v>
      </c>
      <c r="M60" s="3">
        <v>14.236722370684699</v>
      </c>
      <c r="N60" s="3">
        <v>9.9066626982195505</v>
      </c>
    </row>
    <row r="61" spans="1:14" x14ac:dyDescent="0.35">
      <c r="A61" s="2">
        <v>43528</v>
      </c>
      <c r="B61" s="3">
        <v>21.756838462992999</v>
      </c>
      <c r="C61" s="3">
        <v>15.4624279720486</v>
      </c>
      <c r="D61" s="3">
        <v>14.1545357718798</v>
      </c>
      <c r="E61" s="3">
        <v>12.232740516931001</v>
      </c>
      <c r="F61" s="3">
        <v>12.667668935941499</v>
      </c>
      <c r="G61" s="3">
        <v>16.3684196160835</v>
      </c>
      <c r="H61" s="3">
        <v>12.433773146776099</v>
      </c>
      <c r="I61" s="3">
        <v>19.795474192491199</v>
      </c>
      <c r="J61" s="3">
        <v>16.252931096535001</v>
      </c>
      <c r="K61" s="3">
        <v>13.578789391889901</v>
      </c>
      <c r="L61" s="3">
        <v>15.0009042817828</v>
      </c>
      <c r="M61" s="3">
        <v>14.921763313203099</v>
      </c>
      <c r="N61" s="3">
        <v>10.478691695910401</v>
      </c>
    </row>
    <row r="62" spans="1:14" x14ac:dyDescent="0.35">
      <c r="A62" s="2">
        <v>43559</v>
      </c>
      <c r="B62" s="3">
        <v>22.373452722513498</v>
      </c>
      <c r="C62" s="3">
        <v>15.3844252171123</v>
      </c>
      <c r="D62" s="3">
        <v>14.231742181786201</v>
      </c>
      <c r="E62" s="3">
        <v>12.6070055297435</v>
      </c>
      <c r="F62" s="3">
        <v>12.6899110220815</v>
      </c>
      <c r="G62" s="3">
        <v>16.752304730990499</v>
      </c>
      <c r="H62" s="3">
        <v>12.7530921919556</v>
      </c>
      <c r="I62" s="3">
        <v>20.7621331575988</v>
      </c>
      <c r="J62" s="3">
        <v>16.666795849669001</v>
      </c>
      <c r="K62" s="3">
        <v>13.875933847974499</v>
      </c>
      <c r="L62" s="3">
        <v>15.5192273397544</v>
      </c>
      <c r="M62" s="3">
        <v>15.1447966534783</v>
      </c>
      <c r="N62" s="3">
        <v>10.923163395017999</v>
      </c>
    </row>
    <row r="63" spans="1:14" x14ac:dyDescent="0.35">
      <c r="A63" s="2">
        <v>43588</v>
      </c>
      <c r="B63" s="3">
        <v>22.871963839394201</v>
      </c>
      <c r="C63" s="3">
        <v>15.400951183151699</v>
      </c>
      <c r="D63" s="3">
        <v>13.8350180935099</v>
      </c>
      <c r="E63" s="3">
        <v>13.036511174883801</v>
      </c>
      <c r="F63" s="3">
        <v>12.7487263459885</v>
      </c>
      <c r="G63" s="3">
        <v>16.897083296805398</v>
      </c>
      <c r="H63" s="3">
        <v>12.648113795473</v>
      </c>
      <c r="I63" s="3">
        <v>21.449406037966799</v>
      </c>
      <c r="J63" s="3">
        <v>16.907555098381302</v>
      </c>
      <c r="K63" s="3">
        <v>14.0397728643122</v>
      </c>
      <c r="L63" s="3">
        <v>15.7858604141071</v>
      </c>
      <c r="M63" s="3">
        <v>15.6580016634076</v>
      </c>
      <c r="N63" s="3">
        <v>10.8935892251122</v>
      </c>
    </row>
    <row r="64" spans="1:14" x14ac:dyDescent="0.35">
      <c r="A64" s="2">
        <v>43620</v>
      </c>
      <c r="B64" s="3">
        <v>22.425770785931601</v>
      </c>
      <c r="C64" s="3">
        <v>15.416896144530099</v>
      </c>
      <c r="D64" s="3">
        <v>13.448743432998601</v>
      </c>
      <c r="E64" s="3">
        <v>12.3318167274905</v>
      </c>
      <c r="F64" s="3">
        <v>12.1055153803318</v>
      </c>
      <c r="G64" s="3">
        <v>16.6122526382002</v>
      </c>
      <c r="H64" s="3">
        <v>12.2178714222664</v>
      </c>
      <c r="I64" s="3">
        <v>19.440024956442802</v>
      </c>
      <c r="J64" s="3">
        <v>15.9698054644912</v>
      </c>
      <c r="K64" s="3">
        <v>13.304901850316099</v>
      </c>
      <c r="L64" s="3">
        <v>14.979971344167501</v>
      </c>
      <c r="M64" s="3">
        <v>14.2765890235674</v>
      </c>
      <c r="N64" s="3">
        <v>9.9547351734803105</v>
      </c>
    </row>
    <row r="65" spans="1:14" x14ac:dyDescent="0.35">
      <c r="A65" s="2">
        <v>43649</v>
      </c>
      <c r="B65" s="3">
        <v>23.893413591717099</v>
      </c>
      <c r="C65" s="3">
        <v>16.287200046823799</v>
      </c>
      <c r="D65" s="3">
        <v>13.7908806569724</v>
      </c>
      <c r="E65" s="3">
        <v>12.9923530179425</v>
      </c>
      <c r="F65" s="3">
        <v>12.9190445717103</v>
      </c>
      <c r="G65" s="3">
        <v>17.376909648373498</v>
      </c>
      <c r="H65" s="3">
        <v>12.802405706139901</v>
      </c>
      <c r="I65" s="3">
        <v>21.2817650292575</v>
      </c>
      <c r="J65" s="3">
        <v>17.0327146443678</v>
      </c>
      <c r="K65" s="3">
        <v>14.0809810226379</v>
      </c>
      <c r="L65" s="3">
        <v>15.738274953024501</v>
      </c>
      <c r="M65" s="3">
        <v>15.221777689276299</v>
      </c>
      <c r="N65" s="3">
        <v>10.804716721433699</v>
      </c>
    </row>
    <row r="66" spans="1:14" x14ac:dyDescent="0.35">
      <c r="A66" s="2">
        <v>43679</v>
      </c>
      <c r="B66" s="3">
        <v>24.716597185310398</v>
      </c>
      <c r="C66" s="3">
        <v>16.316221285610101</v>
      </c>
      <c r="D66" s="3">
        <v>13.5458192811406</v>
      </c>
      <c r="E66" s="3">
        <v>12.5713738736076</v>
      </c>
      <c r="F66" s="3">
        <v>12.612959448282099</v>
      </c>
      <c r="G66" s="3">
        <v>16.928300343456701</v>
      </c>
      <c r="H66" s="3">
        <v>12.3144106681021</v>
      </c>
      <c r="I66" s="3">
        <v>20.6348273258007</v>
      </c>
      <c r="J66" s="3">
        <v>16.670913709435499</v>
      </c>
      <c r="K66" s="3">
        <v>13.6054903864722</v>
      </c>
      <c r="L66" s="3">
        <v>15.3613052878032</v>
      </c>
      <c r="M66" s="3">
        <v>14.578276292681601</v>
      </c>
      <c r="N66" s="3">
        <v>10.3747233306414</v>
      </c>
    </row>
    <row r="67" spans="1:14" x14ac:dyDescent="0.35">
      <c r="A67" s="2">
        <v>43712</v>
      </c>
      <c r="B67" s="3">
        <v>26.160894814946001</v>
      </c>
      <c r="C67" s="3">
        <v>16.124951262942101</v>
      </c>
      <c r="D67" s="3">
        <v>13.6654973070392</v>
      </c>
      <c r="E67" s="3">
        <v>12.698600682478199</v>
      </c>
      <c r="F67" s="3">
        <v>12.5626709521586</v>
      </c>
      <c r="G67" s="3">
        <v>17.0460625788036</v>
      </c>
      <c r="H67" s="3">
        <v>12.231749853991699</v>
      </c>
      <c r="I67" s="3">
        <v>20.497400113556001</v>
      </c>
      <c r="J67" s="3">
        <v>16.6108563879746</v>
      </c>
      <c r="K67" s="3">
        <v>13.8964850770857</v>
      </c>
      <c r="L67" s="3">
        <v>15.6661311663915</v>
      </c>
      <c r="M67" s="3">
        <v>13.9464444869873</v>
      </c>
      <c r="N67" s="3">
        <v>10.671115333597299</v>
      </c>
    </row>
    <row r="68" spans="1:14" x14ac:dyDescent="0.35">
      <c r="A68" s="2">
        <v>43742</v>
      </c>
      <c r="B68" s="3">
        <v>25.3080438911241</v>
      </c>
      <c r="C68" s="3">
        <v>16.249743501531601</v>
      </c>
      <c r="D68" s="3">
        <v>13.740354172878201</v>
      </c>
      <c r="E68" s="3">
        <v>12.6712000276239</v>
      </c>
      <c r="F68" s="3">
        <v>13.072755148729</v>
      </c>
      <c r="G68" s="3">
        <v>16.756235889118901</v>
      </c>
      <c r="H68" s="3">
        <v>12.0724415820169</v>
      </c>
      <c r="I68" s="3">
        <v>20.411648772202</v>
      </c>
      <c r="J68" s="3">
        <v>16.665349883232501</v>
      </c>
      <c r="K68" s="3">
        <v>13.77232801751</v>
      </c>
      <c r="L68" s="3">
        <v>15.9062927151525</v>
      </c>
      <c r="M68" s="3">
        <v>14.5253212411624</v>
      </c>
      <c r="N68" s="3">
        <v>10.473733532171099</v>
      </c>
    </row>
    <row r="69" spans="1:14" x14ac:dyDescent="0.35">
      <c r="A69" s="2">
        <v>43773</v>
      </c>
      <c r="B69" s="3">
        <v>24.846641064738002</v>
      </c>
      <c r="C69" s="3">
        <v>16.988303010261799</v>
      </c>
      <c r="D69" s="3">
        <v>14.130229285835799</v>
      </c>
      <c r="E69" s="3">
        <v>13.8267810209526</v>
      </c>
      <c r="F69" s="3">
        <v>13.8292926560958</v>
      </c>
      <c r="G69" s="3">
        <v>17.500636449196399</v>
      </c>
      <c r="H69" s="3">
        <v>12.814526121458201</v>
      </c>
      <c r="I69" s="3">
        <v>21.428355304187701</v>
      </c>
      <c r="J69" s="3">
        <v>17.387058479215401</v>
      </c>
      <c r="K69" s="3">
        <v>14.638513323763499</v>
      </c>
      <c r="L69" s="3">
        <v>16.4612623214344</v>
      </c>
      <c r="M69" s="3">
        <v>16.029980093776299</v>
      </c>
      <c r="N69" s="3">
        <v>11.3452837013623</v>
      </c>
    </row>
    <row r="70" spans="1:14" x14ac:dyDescent="0.35">
      <c r="A70" s="2">
        <v>43803</v>
      </c>
      <c r="B70" s="3">
        <v>25.561958278236599</v>
      </c>
      <c r="C70" s="3">
        <v>16.8461142675154</v>
      </c>
      <c r="D70" s="3">
        <v>14.2308828658196</v>
      </c>
      <c r="E70" s="3">
        <v>13.996928859322701</v>
      </c>
      <c r="F70" s="3">
        <v>14.387706995438499</v>
      </c>
      <c r="G70" s="3">
        <v>17.315946640361801</v>
      </c>
      <c r="H70" s="3">
        <v>12.7884759306998</v>
      </c>
      <c r="I70" s="3">
        <v>21.687064841635902</v>
      </c>
      <c r="J70" s="3">
        <v>17.534359358944201</v>
      </c>
      <c r="K70" s="3">
        <v>14.4872020603202</v>
      </c>
      <c r="L70" s="3">
        <v>16.536556275220001</v>
      </c>
      <c r="M70" s="3">
        <v>15.5720624395908</v>
      </c>
      <c r="N70" s="3">
        <v>11.15020385013</v>
      </c>
    </row>
    <row r="71" spans="1:14" x14ac:dyDescent="0.35">
      <c r="A71" s="2">
        <v>43833</v>
      </c>
      <c r="B71" s="3">
        <v>25.8844732111342</v>
      </c>
      <c r="C71" s="3">
        <v>17.237699278859999</v>
      </c>
      <c r="D71" s="3">
        <v>14.398835933484101</v>
      </c>
      <c r="E71" s="3">
        <v>14.1093670463904</v>
      </c>
      <c r="F71" s="3">
        <v>14.5187266588659</v>
      </c>
      <c r="G71" s="3">
        <v>17.9126715110934</v>
      </c>
      <c r="H71" s="3">
        <v>13.5189396280604</v>
      </c>
      <c r="I71" s="3">
        <v>22.863533441451501</v>
      </c>
      <c r="J71" s="3">
        <v>18.172491547685699</v>
      </c>
      <c r="K71" s="3">
        <v>15.030055969627499</v>
      </c>
      <c r="L71" s="3">
        <v>17.1873998153889</v>
      </c>
      <c r="M71" s="3">
        <v>16.235378578864001</v>
      </c>
      <c r="N71" s="3">
        <v>11.4631351033453</v>
      </c>
    </row>
    <row r="72" spans="1:14" x14ac:dyDescent="0.35">
      <c r="A72" s="2">
        <v>43865</v>
      </c>
      <c r="B72" s="3">
        <v>25.769408392187099</v>
      </c>
      <c r="C72" s="3">
        <v>17.739496689449702</v>
      </c>
      <c r="D72" s="3">
        <v>14.603305350424201</v>
      </c>
      <c r="E72" s="3">
        <v>14.114156914867401</v>
      </c>
      <c r="F72" s="3">
        <v>14.190250514980599</v>
      </c>
      <c r="G72" s="3">
        <v>18.0730501131879</v>
      </c>
      <c r="H72" s="3">
        <v>13.325674878574199</v>
      </c>
      <c r="I72" s="3">
        <v>23.625325787076701</v>
      </c>
      <c r="J72" s="3">
        <v>18.483449615681099</v>
      </c>
      <c r="K72" s="3">
        <v>14.8131268241372</v>
      </c>
      <c r="L72" s="3">
        <v>17.3116125540237</v>
      </c>
      <c r="M72" s="3">
        <v>16.469778927253</v>
      </c>
      <c r="N72" s="3">
        <v>11.4889814663776</v>
      </c>
    </row>
    <row r="73" spans="1:14" x14ac:dyDescent="0.35">
      <c r="A73" s="2">
        <v>43894</v>
      </c>
      <c r="B73" s="3">
        <v>26.053005153026401</v>
      </c>
      <c r="C73" s="3">
        <v>16.2783170651856</v>
      </c>
      <c r="D73" s="3">
        <v>14.402145825093699</v>
      </c>
      <c r="E73" s="3">
        <v>12.919097108791</v>
      </c>
      <c r="F73" s="3">
        <v>12.910202321264601</v>
      </c>
      <c r="G73" s="3">
        <v>17.251705423792</v>
      </c>
      <c r="H73" s="3">
        <v>12.3464519785443</v>
      </c>
      <c r="I73" s="3">
        <v>22.588088914905001</v>
      </c>
      <c r="J73" s="3">
        <v>17.5874518717321</v>
      </c>
      <c r="K73" s="3">
        <v>13.874846885644301</v>
      </c>
      <c r="L73" s="3">
        <v>16.272501971459899</v>
      </c>
      <c r="M73" s="3">
        <v>15.360649979405499</v>
      </c>
      <c r="N73" s="3">
        <v>10.528799803036501</v>
      </c>
    </row>
    <row r="74" spans="1:14" x14ac:dyDescent="0.35">
      <c r="A74" s="2">
        <v>43924</v>
      </c>
      <c r="B74" s="3">
        <v>25.424288586216399</v>
      </c>
      <c r="C74" s="3">
        <v>14.2933351383017</v>
      </c>
      <c r="D74" s="3">
        <v>12.9230124190845</v>
      </c>
      <c r="E74" s="3">
        <v>11.8796957350468</v>
      </c>
      <c r="F74" s="3">
        <v>11.722783213656101</v>
      </c>
      <c r="G74" s="3">
        <v>16.037310760851899</v>
      </c>
      <c r="H74" s="3">
        <v>11.754598770444099</v>
      </c>
      <c r="I74" s="3">
        <v>20.114912265887401</v>
      </c>
      <c r="J74" s="3">
        <v>15.418048097018801</v>
      </c>
      <c r="K74" s="3">
        <v>12.5360041044414</v>
      </c>
      <c r="L74" s="3">
        <v>14.065769937432201</v>
      </c>
      <c r="M74" s="3">
        <v>14.2429722245466</v>
      </c>
      <c r="N74" s="3">
        <v>9.5976681545151994</v>
      </c>
    </row>
    <row r="75" spans="1:14" x14ac:dyDescent="0.35">
      <c r="A75" s="2">
        <v>43955</v>
      </c>
      <c r="B75" s="3">
        <v>29.0263208453065</v>
      </c>
      <c r="C75" s="3">
        <v>16.773175602281</v>
      </c>
      <c r="D75" s="3">
        <v>16.566221426500899</v>
      </c>
      <c r="E75" s="3">
        <v>14.6090337711871</v>
      </c>
      <c r="F75" s="3">
        <v>13.7849355948217</v>
      </c>
      <c r="G75" s="3">
        <v>17.8845191868459</v>
      </c>
      <c r="H75" s="3">
        <v>14.5577964264644</v>
      </c>
      <c r="I75" s="3">
        <v>25.083087431556301</v>
      </c>
      <c r="J75" s="3">
        <v>19.999822307605001</v>
      </c>
      <c r="K75" s="3">
        <v>15.8836698494214</v>
      </c>
      <c r="L75" s="3">
        <v>16.7837318948459</v>
      </c>
      <c r="M75" s="3">
        <v>17.306855213874901</v>
      </c>
      <c r="N75" s="3">
        <v>12.9695299896013</v>
      </c>
    </row>
    <row r="76" spans="1:14" x14ac:dyDescent="0.35">
      <c r="A76" s="2">
        <v>43986</v>
      </c>
      <c r="B76" s="3">
        <v>30.500383292608898</v>
      </c>
      <c r="C76" s="3">
        <v>19.611773452685501</v>
      </c>
      <c r="D76" s="3">
        <v>18.236743119279801</v>
      </c>
      <c r="E76" s="3">
        <v>17.992280129465101</v>
      </c>
      <c r="F76" s="3">
        <v>17.134599363656299</v>
      </c>
      <c r="G76" s="3">
        <v>19.391964182922099</v>
      </c>
      <c r="H76" s="3">
        <v>16.5052472874318</v>
      </c>
      <c r="I76" s="3">
        <v>27.439443055743801</v>
      </c>
      <c r="J76" s="3">
        <v>22.0669850815238</v>
      </c>
      <c r="K76" s="3">
        <v>18.9891314999436</v>
      </c>
      <c r="L76" s="3">
        <v>19.358296181609902</v>
      </c>
      <c r="M76" s="3">
        <v>19.608673530568101</v>
      </c>
      <c r="N76" s="3">
        <v>17.654419463038199</v>
      </c>
    </row>
    <row r="77" spans="1:14" x14ac:dyDescent="0.35">
      <c r="A77" s="2">
        <v>44014</v>
      </c>
      <c r="B77" s="3">
        <v>31.132128463073698</v>
      </c>
      <c r="C77" s="3">
        <v>19.225605868828499</v>
      </c>
      <c r="D77" s="3">
        <v>17.711115788051401</v>
      </c>
      <c r="E77" s="3">
        <v>18.152960269473802</v>
      </c>
      <c r="F77" s="3">
        <v>17.475735374861099</v>
      </c>
      <c r="G77" s="3">
        <v>19.5197212042751</v>
      </c>
      <c r="H77" s="3">
        <v>16.011173469968501</v>
      </c>
      <c r="I77" s="3">
        <v>28.823008234470201</v>
      </c>
      <c r="J77" s="3">
        <v>21.857469058821099</v>
      </c>
      <c r="K77" s="3">
        <v>19.280975255724101</v>
      </c>
      <c r="L77" s="3">
        <v>19.834672883710098</v>
      </c>
      <c r="M77" s="3">
        <v>19.696254065976401</v>
      </c>
      <c r="N77" s="3">
        <v>17.976099175463201</v>
      </c>
    </row>
    <row r="78" spans="1:14" x14ac:dyDescent="0.35">
      <c r="A78" s="2">
        <v>44047</v>
      </c>
      <c r="B78" s="3">
        <v>32.110709900102698</v>
      </c>
      <c r="C78" s="3">
        <v>19.198763902990699</v>
      </c>
      <c r="D78" s="3">
        <v>17.755620485187801</v>
      </c>
      <c r="E78" s="3">
        <v>17.761953774763199</v>
      </c>
      <c r="F78" s="3">
        <v>17.706669585966001</v>
      </c>
      <c r="G78" s="3">
        <v>19.467353601679399</v>
      </c>
      <c r="H78" s="3">
        <v>15.491586020166899</v>
      </c>
      <c r="I78" s="3">
        <v>29.302897928318799</v>
      </c>
      <c r="J78" s="3">
        <v>22.0884749415615</v>
      </c>
      <c r="K78" s="3">
        <v>19.6356045977595</v>
      </c>
      <c r="L78" s="3">
        <v>19.8699556901521</v>
      </c>
      <c r="M78" s="3">
        <v>18.4478824296414</v>
      </c>
      <c r="N78" s="3">
        <v>16.491571431042999</v>
      </c>
    </row>
    <row r="79" spans="1:14" x14ac:dyDescent="0.35">
      <c r="A79" s="2">
        <v>44078</v>
      </c>
      <c r="B79" s="3">
        <v>32.220318015326797</v>
      </c>
      <c r="C79" s="3">
        <v>18.955389511367901</v>
      </c>
      <c r="D79" s="3">
        <v>16.794989425086399</v>
      </c>
      <c r="E79" s="3">
        <v>17.4459240305987</v>
      </c>
      <c r="F79" s="3">
        <v>18.218036949062899</v>
      </c>
      <c r="G79" s="3">
        <v>19.130937461173801</v>
      </c>
      <c r="H79" s="3">
        <v>14.826442753048299</v>
      </c>
      <c r="I79" s="3">
        <v>30.1632566756378</v>
      </c>
      <c r="J79" s="3">
        <v>22.3261297564245</v>
      </c>
      <c r="K79" s="3">
        <v>19.1740616356064</v>
      </c>
      <c r="L79" s="3">
        <v>19.185188418054398</v>
      </c>
      <c r="M79" s="3">
        <v>17.973332342181902</v>
      </c>
      <c r="N79" s="3">
        <v>15.5007221673687</v>
      </c>
    </row>
    <row r="80" spans="1:14" x14ac:dyDescent="0.35">
      <c r="A80" s="2">
        <v>44106</v>
      </c>
      <c r="B80" s="3">
        <v>31.9432971831393</v>
      </c>
      <c r="C80" s="3">
        <v>17.894931377431099</v>
      </c>
      <c r="D80" s="3">
        <v>16.221944938906201</v>
      </c>
      <c r="E80" s="3">
        <v>16.763512132466101</v>
      </c>
      <c r="F80" s="3">
        <v>17.901167002550899</v>
      </c>
      <c r="G80" s="3">
        <v>19.0512570908496</v>
      </c>
      <c r="H80" s="3">
        <v>14.3894354453942</v>
      </c>
      <c r="I80" s="3">
        <v>28.772126087432799</v>
      </c>
      <c r="J80" s="3">
        <v>21.400353192370201</v>
      </c>
      <c r="K80" s="3">
        <v>18.082112171527299</v>
      </c>
      <c r="L80" s="3">
        <v>19.452667663261298</v>
      </c>
      <c r="M80" s="3">
        <v>18.147052298221201</v>
      </c>
      <c r="N80" s="3">
        <v>14.5590336185972</v>
      </c>
    </row>
    <row r="81" spans="1:14" x14ac:dyDescent="0.35">
      <c r="A81" s="2">
        <v>44139</v>
      </c>
      <c r="B81" s="3">
        <v>32.885124784032399</v>
      </c>
      <c r="C81" s="3">
        <v>18.235763138036202</v>
      </c>
      <c r="D81" s="3">
        <v>15.4977333972154</v>
      </c>
      <c r="E81" s="3">
        <v>15.360836739360201</v>
      </c>
      <c r="F81" s="3">
        <v>17.534468353798299</v>
      </c>
      <c r="G81" s="3">
        <v>18.7378126342856</v>
      </c>
      <c r="H81" s="3">
        <v>13.680790795690701</v>
      </c>
      <c r="I81" s="3">
        <v>29.052872819921699</v>
      </c>
      <c r="J81" s="3">
        <v>21.203160892550699</v>
      </c>
      <c r="K81" s="3">
        <v>17.541679195538599</v>
      </c>
      <c r="L81" s="3">
        <v>19.5392742750028</v>
      </c>
      <c r="M81" s="3">
        <v>16.3306391505959</v>
      </c>
      <c r="N81" s="3">
        <v>14.0379655693388</v>
      </c>
    </row>
    <row r="82" spans="1:14" x14ac:dyDescent="0.35">
      <c r="A82" s="2">
        <v>44169</v>
      </c>
      <c r="B82" s="3">
        <v>32.501416977924102</v>
      </c>
      <c r="C82" s="3">
        <v>19.895533141163401</v>
      </c>
      <c r="D82" s="3">
        <v>16.281204563142701</v>
      </c>
      <c r="E82" s="3">
        <v>16.020263008206999</v>
      </c>
      <c r="F82" s="3">
        <v>18.571286959398101</v>
      </c>
      <c r="G82" s="3">
        <v>18.390612947930201</v>
      </c>
      <c r="H82" s="3">
        <v>15.202551839061901</v>
      </c>
      <c r="I82" s="3">
        <v>30.139721885604999</v>
      </c>
      <c r="J82" s="3">
        <v>22.179453885659498</v>
      </c>
      <c r="K82" s="3">
        <v>19.042981129379701</v>
      </c>
      <c r="L82" s="3">
        <v>20.553514499592499</v>
      </c>
      <c r="M82" s="3">
        <v>17.376293034825199</v>
      </c>
      <c r="N82" s="3">
        <v>15.1804070132994</v>
      </c>
    </row>
    <row r="83" spans="1:14" x14ac:dyDescent="0.35">
      <c r="A83" s="2">
        <v>44200</v>
      </c>
      <c r="B83" s="3">
        <v>34.230766802193898</v>
      </c>
      <c r="C83" s="3">
        <v>19.188047088724499</v>
      </c>
      <c r="D83" s="3">
        <v>15.8363864674998</v>
      </c>
      <c r="E83" s="3">
        <v>16.045315224138498</v>
      </c>
      <c r="F83" s="3">
        <v>18.242116152884201</v>
      </c>
      <c r="G83" s="3">
        <v>18.941151677706401</v>
      </c>
      <c r="H83" s="3">
        <v>14.516904076420101</v>
      </c>
      <c r="I83" s="3">
        <v>29.600789530839101</v>
      </c>
      <c r="J83" s="3">
        <v>22.049272504546899</v>
      </c>
      <c r="K83" s="3">
        <v>18.070118524677401</v>
      </c>
      <c r="L83" s="3">
        <v>20.794734791155498</v>
      </c>
      <c r="M83" s="3">
        <v>18.162601390803399</v>
      </c>
      <c r="N83" s="3">
        <v>14.7743712672419</v>
      </c>
    </row>
    <row r="84" spans="1:14" x14ac:dyDescent="0.35">
      <c r="A84" s="2">
        <v>44231</v>
      </c>
      <c r="B84" s="3">
        <v>32.878341786485599</v>
      </c>
      <c r="C84" s="3">
        <v>18.849667802636301</v>
      </c>
      <c r="D84" s="3">
        <v>15.958983506061299</v>
      </c>
      <c r="E84" s="3">
        <v>15.8699070910335</v>
      </c>
      <c r="F84" s="3">
        <v>18.461429886584099</v>
      </c>
      <c r="G84" s="3">
        <v>18.8034266989157</v>
      </c>
      <c r="H84" s="3">
        <v>13.839832063831899</v>
      </c>
      <c r="I84" s="3">
        <v>29.9640015785162</v>
      </c>
      <c r="J84" s="3">
        <v>22.022198041052999</v>
      </c>
      <c r="K84" s="3">
        <v>17.8270398129381</v>
      </c>
      <c r="L84" s="3">
        <v>21.783021628364601</v>
      </c>
      <c r="M84" s="3">
        <v>19.0206051108383</v>
      </c>
      <c r="N84" s="3">
        <v>14.0779901231629</v>
      </c>
    </row>
    <row r="85" spans="1:14" x14ac:dyDescent="0.35">
      <c r="A85" s="2">
        <v>44259</v>
      </c>
      <c r="B85" s="3">
        <v>31.725864371627399</v>
      </c>
      <c r="C85" s="3">
        <v>18.222269178345499</v>
      </c>
      <c r="D85" s="3">
        <v>15.1903969819962</v>
      </c>
      <c r="E85" s="3">
        <v>15.5363241990428</v>
      </c>
      <c r="F85" s="3">
        <v>17.571276924390499</v>
      </c>
      <c r="G85" s="3">
        <v>18.354778021543201</v>
      </c>
      <c r="H85" s="3">
        <v>14.10661778962</v>
      </c>
      <c r="I85" s="3">
        <v>26.815206381181699</v>
      </c>
      <c r="J85" s="3">
        <v>21.090379776197899</v>
      </c>
      <c r="K85" s="3">
        <v>18.0290262833798</v>
      </c>
      <c r="L85" s="3">
        <v>20.957646609182898</v>
      </c>
      <c r="M85" s="3">
        <v>19.239814290921501</v>
      </c>
      <c r="N85" s="3">
        <v>13.509807782844099</v>
      </c>
    </row>
    <row r="86" spans="1:14" x14ac:dyDescent="0.35">
      <c r="A86" s="2">
        <v>44287</v>
      </c>
      <c r="B86" s="3">
        <v>32.155707360162303</v>
      </c>
      <c r="C86" s="3">
        <v>17.661166539356898</v>
      </c>
      <c r="D86" s="3">
        <v>15.522341639242301</v>
      </c>
      <c r="E86" s="3">
        <v>16.235076160323299</v>
      </c>
      <c r="F86" s="3">
        <v>17.585502010558699</v>
      </c>
      <c r="G86" s="3">
        <v>18.814076523044999</v>
      </c>
      <c r="H86" s="3">
        <v>13.431647037593001</v>
      </c>
      <c r="I86" s="3">
        <v>28.4157878524009</v>
      </c>
      <c r="J86" s="3">
        <v>22.0589709510955</v>
      </c>
      <c r="K86" s="3">
        <v>18.3004914041401</v>
      </c>
      <c r="L86" s="3">
        <v>22.738661708558901</v>
      </c>
      <c r="M86" s="3">
        <v>20.27506424948</v>
      </c>
      <c r="N86" s="3">
        <v>14.0471705125076</v>
      </c>
    </row>
    <row r="87" spans="1:14" x14ac:dyDescent="0.35">
      <c r="A87" s="2">
        <v>44320</v>
      </c>
      <c r="B87" s="3">
        <v>32.812467100404199</v>
      </c>
      <c r="C87" s="3">
        <v>18.011754156192701</v>
      </c>
      <c r="D87" s="3">
        <v>15.4359678041476</v>
      </c>
      <c r="E87" s="3">
        <v>14.799241957013599</v>
      </c>
      <c r="F87" s="3">
        <v>16.6393558439167</v>
      </c>
      <c r="G87" s="3">
        <v>18.7506297023134</v>
      </c>
      <c r="H87" s="3">
        <v>13.130077552079801</v>
      </c>
      <c r="I87" s="3">
        <v>27.101718365015302</v>
      </c>
      <c r="J87" s="3">
        <v>21.463844995408401</v>
      </c>
      <c r="K87" s="3">
        <v>17.801561400329302</v>
      </c>
      <c r="L87" s="3">
        <v>21.290819043519399</v>
      </c>
      <c r="M87" s="3">
        <v>17.710274850304501</v>
      </c>
      <c r="N87" s="3">
        <v>13.3022681019328</v>
      </c>
    </row>
    <row r="88" spans="1:14" x14ac:dyDescent="0.35">
      <c r="A88" s="2">
        <v>44351</v>
      </c>
      <c r="B88" s="3">
        <v>33.1680746952551</v>
      </c>
      <c r="C88" s="3">
        <v>18.441006314499901</v>
      </c>
      <c r="D88" s="3">
        <v>15.589017186383799</v>
      </c>
      <c r="E88" s="3">
        <v>15.0243898816647</v>
      </c>
      <c r="F88" s="3">
        <v>16.634587326912801</v>
      </c>
      <c r="G88" s="3">
        <v>19.613022446120301</v>
      </c>
      <c r="H88" s="3">
        <v>13.180368126348901</v>
      </c>
      <c r="I88" s="3">
        <v>27.025989998425999</v>
      </c>
      <c r="J88" s="3">
        <v>21.309013201136398</v>
      </c>
      <c r="K88" s="3">
        <v>17.881216673237098</v>
      </c>
      <c r="L88" s="3">
        <v>21.3284086523289</v>
      </c>
      <c r="M88" s="3">
        <v>18.6787387457973</v>
      </c>
      <c r="N88" s="3">
        <v>13.731968872828601</v>
      </c>
    </row>
    <row r="89" spans="1:14" x14ac:dyDescent="0.35">
      <c r="A89" s="2">
        <v>44379</v>
      </c>
      <c r="B89" s="3">
        <v>34.284693598756</v>
      </c>
      <c r="C89" s="3">
        <v>17.306681803481698</v>
      </c>
      <c r="D89" s="3">
        <v>15.5841026701326</v>
      </c>
      <c r="E89" s="3">
        <v>14.7441992827428</v>
      </c>
      <c r="F89" s="3">
        <v>16.320678989401902</v>
      </c>
      <c r="G89" s="3">
        <v>19.751334170711999</v>
      </c>
      <c r="H89" s="3">
        <v>12.6943475296701</v>
      </c>
      <c r="I89" s="3">
        <v>28.617714887298199</v>
      </c>
      <c r="J89" s="3">
        <v>21.597814954101</v>
      </c>
      <c r="K89" s="3">
        <v>17.462556633839299</v>
      </c>
      <c r="L89" s="3">
        <v>21.305875520764801</v>
      </c>
      <c r="M89" s="3">
        <v>18.696771407499099</v>
      </c>
      <c r="N89" s="3">
        <v>13.433709034557401</v>
      </c>
    </row>
    <row r="90" spans="1:14" x14ac:dyDescent="0.35">
      <c r="A90" s="2">
        <v>44412</v>
      </c>
      <c r="B90" s="3">
        <v>34.296460369608603</v>
      </c>
      <c r="C90" s="3">
        <v>17.099690987291702</v>
      </c>
      <c r="D90" s="3">
        <v>15.117262107010101</v>
      </c>
      <c r="E90" s="3">
        <v>14.3549178194486</v>
      </c>
      <c r="F90" s="3">
        <v>15.629578187168899</v>
      </c>
      <c r="G90" s="3">
        <v>19.837715123944101</v>
      </c>
      <c r="H90" s="3">
        <v>12.3712007275688</v>
      </c>
      <c r="I90" s="3">
        <v>28.1215922684984</v>
      </c>
      <c r="J90" s="3">
        <v>20.9404897488347</v>
      </c>
      <c r="K90" s="3">
        <v>16.8221721826426</v>
      </c>
      <c r="L90" s="3">
        <v>21.7471664019874</v>
      </c>
      <c r="M90" s="3">
        <v>18.659389806509498</v>
      </c>
      <c r="N90" s="3">
        <v>12.1118347771608</v>
      </c>
    </row>
    <row r="91" spans="1:14" x14ac:dyDescent="0.35">
      <c r="A91" s="2">
        <v>44442</v>
      </c>
      <c r="B91" s="3">
        <v>35.038717421856298</v>
      </c>
      <c r="C91" s="3">
        <v>17.387460383849</v>
      </c>
      <c r="D91" s="3">
        <v>15.0059607722278</v>
      </c>
      <c r="E91" s="3">
        <v>14.1712702010605</v>
      </c>
      <c r="F91" s="3">
        <v>15.749138840039899</v>
      </c>
      <c r="G91" s="3">
        <v>19.7512107895055</v>
      </c>
      <c r="H91" s="3">
        <v>12.241956316277699</v>
      </c>
      <c r="I91" s="3">
        <v>28.740138713787701</v>
      </c>
      <c r="J91" s="3">
        <v>21.258220302118001</v>
      </c>
      <c r="K91" s="3">
        <v>16.290418161003601</v>
      </c>
      <c r="L91" s="3">
        <v>21.947895163742199</v>
      </c>
      <c r="M91" s="3">
        <v>18.621048818767701</v>
      </c>
      <c r="N91" s="3">
        <v>11.9288059196513</v>
      </c>
    </row>
    <row r="92" spans="1:14" x14ac:dyDescent="0.35">
      <c r="A92" s="2">
        <v>44473</v>
      </c>
      <c r="B92" s="3">
        <v>34.605026480836599</v>
      </c>
      <c r="C92" s="3">
        <v>17.024482515763399</v>
      </c>
      <c r="D92" s="3">
        <v>14.342208765588101</v>
      </c>
      <c r="E92" s="3">
        <v>13.3514167342625</v>
      </c>
      <c r="F92" s="3">
        <v>15.048137422762</v>
      </c>
      <c r="G92" s="3">
        <v>18.221192814397501</v>
      </c>
      <c r="H92" s="3">
        <v>11.777661952792601</v>
      </c>
      <c r="I92" s="3">
        <v>26.4484614429869</v>
      </c>
      <c r="J92" s="3">
        <v>20.057208158101901</v>
      </c>
      <c r="K92" s="3">
        <v>15.4223544483447</v>
      </c>
      <c r="L92" s="3">
        <v>19.897036152513799</v>
      </c>
      <c r="M92" s="3">
        <v>17.6172395938232</v>
      </c>
      <c r="N92" s="3">
        <v>11.511751906207</v>
      </c>
    </row>
    <row r="93" spans="1:14" x14ac:dyDescent="0.35">
      <c r="A93" s="2">
        <v>44504</v>
      </c>
      <c r="B93" s="3">
        <v>33.451509533890203</v>
      </c>
      <c r="C93" s="3">
        <v>17.960160062758199</v>
      </c>
      <c r="D93" s="3">
        <v>14.925291514468</v>
      </c>
      <c r="E93" s="3">
        <v>13.944791087757601</v>
      </c>
      <c r="F93" s="3">
        <v>15.5349845293086</v>
      </c>
      <c r="G93" s="3">
        <v>19.409762712728899</v>
      </c>
      <c r="H93" s="3">
        <v>12.1260170097143</v>
      </c>
      <c r="I93" s="3">
        <v>29.663587581699399</v>
      </c>
      <c r="J93" s="3">
        <v>21.407382094054402</v>
      </c>
      <c r="K93" s="3">
        <v>15.861041914530899</v>
      </c>
      <c r="L93" s="3">
        <v>21.620843991316899</v>
      </c>
      <c r="M93" s="3">
        <v>18.5761582939348</v>
      </c>
      <c r="N93" s="3">
        <v>11.795568733293701</v>
      </c>
    </row>
    <row r="94" spans="1:14" x14ac:dyDescent="0.35">
      <c r="A94" s="2">
        <v>44533</v>
      </c>
      <c r="B94" s="3">
        <v>31.138999589055899</v>
      </c>
      <c r="C94" s="3">
        <v>16.917272551144499</v>
      </c>
      <c r="D94" s="3">
        <v>14.0775350596005</v>
      </c>
      <c r="E94" s="3">
        <v>12.862443249117399</v>
      </c>
      <c r="F94" s="3">
        <v>14.506280084796099</v>
      </c>
      <c r="G94" s="3">
        <v>18.677307144645301</v>
      </c>
      <c r="H94" s="3">
        <v>11.7320197099531</v>
      </c>
      <c r="I94" s="3">
        <v>28.198320740491202</v>
      </c>
      <c r="J94" s="3">
        <v>20.540875125462598</v>
      </c>
      <c r="K94" s="3">
        <v>15.1398329374667</v>
      </c>
      <c r="L94" s="3">
        <v>19.773992773067999</v>
      </c>
      <c r="M94" s="3">
        <v>18.3813314276853</v>
      </c>
      <c r="N94" s="3">
        <v>10.6649134370866</v>
      </c>
    </row>
    <row r="95" spans="1:14" x14ac:dyDescent="0.35">
      <c r="A95" s="2">
        <v>44565</v>
      </c>
      <c r="B95" s="3">
        <v>32.259162497469198</v>
      </c>
      <c r="C95" s="3">
        <v>17.7139952423083</v>
      </c>
      <c r="D95" s="3">
        <v>14.4135665598288</v>
      </c>
      <c r="E95" s="3">
        <v>13.6012592582598</v>
      </c>
      <c r="F95" s="3">
        <v>14.7601059702731</v>
      </c>
      <c r="G95" s="3">
        <v>19.7856136131679</v>
      </c>
      <c r="H95" s="3">
        <v>12.407071354388901</v>
      </c>
      <c r="I95" s="3">
        <v>29.044226063548201</v>
      </c>
      <c r="J95" s="3">
        <v>21.408265850072802</v>
      </c>
      <c r="K95" s="3">
        <v>16.103052079009899</v>
      </c>
      <c r="L95" s="3">
        <v>20.6173908746817</v>
      </c>
      <c r="M95" s="3">
        <v>18.849971874703101</v>
      </c>
      <c r="N95" s="3">
        <v>11.3657601300363</v>
      </c>
    </row>
    <row r="96" spans="1:14" x14ac:dyDescent="0.35">
      <c r="A96" s="2">
        <v>44596</v>
      </c>
      <c r="B96" s="3">
        <v>30.262764732365401</v>
      </c>
      <c r="C96" s="3">
        <v>15.8324556469375</v>
      </c>
      <c r="D96" s="3">
        <v>14.1827105139414</v>
      </c>
      <c r="E96" s="3">
        <v>12.6296505986975</v>
      </c>
      <c r="F96" s="3">
        <v>13.780296670666599</v>
      </c>
      <c r="G96" s="3">
        <v>18.072222990406502</v>
      </c>
      <c r="H96" s="3">
        <v>12.2266360997776</v>
      </c>
      <c r="I96" s="3">
        <v>25.866913725532399</v>
      </c>
      <c r="J96" s="3">
        <v>19.843641621382599</v>
      </c>
      <c r="K96" s="3">
        <v>14.8152666761617</v>
      </c>
      <c r="L96" s="3">
        <v>18.260906774450198</v>
      </c>
      <c r="M96" s="3">
        <v>16.317333359377699</v>
      </c>
      <c r="N96" s="3">
        <v>10.5799456219617</v>
      </c>
    </row>
    <row r="97" spans="1:14" x14ac:dyDescent="0.35">
      <c r="A97" s="2">
        <v>44624</v>
      </c>
      <c r="B97" s="3">
        <v>29.444058568612402</v>
      </c>
      <c r="C97" s="3">
        <v>15.699185544893099</v>
      </c>
      <c r="D97" s="3">
        <v>13.9791952098913</v>
      </c>
      <c r="E97" s="3">
        <v>10.651027889958501</v>
      </c>
      <c r="F97" s="3">
        <v>12.764842483076301</v>
      </c>
      <c r="G97" s="3">
        <v>17.099265065509801</v>
      </c>
      <c r="H97" s="3">
        <v>11.182221945642199</v>
      </c>
      <c r="I97" s="3">
        <v>24.041684683634902</v>
      </c>
      <c r="J97" s="3">
        <v>18.865333277316999</v>
      </c>
      <c r="K97" s="3">
        <v>12.5924774156985</v>
      </c>
      <c r="L97" s="3">
        <v>16.272087538851199</v>
      </c>
      <c r="M97" s="3">
        <v>14.015002582995599</v>
      </c>
      <c r="N97" s="3">
        <v>8.9315736712448199</v>
      </c>
    </row>
    <row r="98" spans="1:14" x14ac:dyDescent="0.35">
      <c r="A98" s="2">
        <v>44655</v>
      </c>
      <c r="B98" s="3">
        <v>28.7143150367713</v>
      </c>
      <c r="C98" s="3">
        <v>16.0905199310405</v>
      </c>
      <c r="D98" s="3">
        <v>13.6700244452683</v>
      </c>
      <c r="E98" s="3">
        <v>11.7069187401926</v>
      </c>
      <c r="F98" s="3">
        <v>13.3114409707935</v>
      </c>
      <c r="G98" s="3">
        <v>18.5606498338934</v>
      </c>
      <c r="H98" s="3">
        <v>11.1939891562853</v>
      </c>
      <c r="I98" s="3">
        <v>26.116430536779902</v>
      </c>
      <c r="J98" s="3">
        <v>19.6380280569451</v>
      </c>
      <c r="K98" s="3">
        <v>13.560996071208301</v>
      </c>
      <c r="L98" s="3">
        <v>18.591689580445799</v>
      </c>
      <c r="M98" s="3">
        <v>15.383694481787799</v>
      </c>
      <c r="N98" s="3">
        <v>9.7508409963730696</v>
      </c>
    </row>
    <row r="99" spans="1:14" x14ac:dyDescent="0.35">
      <c r="A99" s="2">
        <v>44685</v>
      </c>
      <c r="B99" s="3">
        <v>28.977335769785299</v>
      </c>
      <c r="C99" s="3">
        <v>14.7806516550441</v>
      </c>
      <c r="D99" s="3">
        <v>12.7675803875727</v>
      </c>
      <c r="E99" s="3">
        <v>10.955653702074001</v>
      </c>
      <c r="F99" s="3">
        <v>12.8339234571208</v>
      </c>
      <c r="G99" s="3">
        <v>17.4354113924282</v>
      </c>
      <c r="H99" s="3">
        <v>10.5465951320364</v>
      </c>
      <c r="I99" s="3">
        <v>23.582813235328899</v>
      </c>
      <c r="J99" s="3">
        <v>18.2256782201333</v>
      </c>
      <c r="K99" s="3">
        <v>12.545134622840999</v>
      </c>
      <c r="L99" s="3">
        <v>16.818012589373598</v>
      </c>
      <c r="M99" s="3">
        <v>14.180048071031599</v>
      </c>
      <c r="N99" s="3">
        <v>9.1766832579217397</v>
      </c>
    </row>
    <row r="100" spans="1:14" x14ac:dyDescent="0.35">
      <c r="A100" s="2">
        <v>44715</v>
      </c>
      <c r="B100" s="3">
        <v>26.885802839410001</v>
      </c>
      <c r="C100" s="3">
        <v>14.255987418612801</v>
      </c>
      <c r="D100" s="3">
        <v>12.4319886314992</v>
      </c>
      <c r="E100" s="3">
        <v>11.035352981560401</v>
      </c>
      <c r="F100" s="3">
        <v>12.928823403023999</v>
      </c>
      <c r="G100" s="3">
        <v>16.848724453765001</v>
      </c>
      <c r="H100" s="3">
        <v>10.4172119471055</v>
      </c>
      <c r="I100" s="3">
        <v>21.648358325041801</v>
      </c>
      <c r="J100" s="3">
        <v>17.2386117637114</v>
      </c>
      <c r="K100" s="3">
        <v>12.4292431743521</v>
      </c>
      <c r="L100" s="3">
        <v>17.227420533907601</v>
      </c>
      <c r="M100" s="3">
        <v>16.208110979029101</v>
      </c>
      <c r="N100" s="3">
        <v>8.7634567918341908</v>
      </c>
    </row>
    <row r="101" spans="1:14" x14ac:dyDescent="0.35">
      <c r="A101" s="2">
        <v>44743</v>
      </c>
      <c r="B101" s="3">
        <v>25.321511584538001</v>
      </c>
      <c r="C101" s="3">
        <v>12.472434732323901</v>
      </c>
      <c r="D101" s="3">
        <v>11.225587953096101</v>
      </c>
      <c r="E101" s="3">
        <v>9.7040564377485001</v>
      </c>
      <c r="F101" s="3">
        <v>12.1577787537832</v>
      </c>
      <c r="G101" s="3">
        <v>15.7364674893585</v>
      </c>
      <c r="H101" s="3">
        <v>9.53875295596883</v>
      </c>
      <c r="I101" s="3">
        <v>20.087404989772399</v>
      </c>
      <c r="J101" s="3">
        <v>15.988573265514001</v>
      </c>
      <c r="K101" s="3">
        <v>11.1853188289709</v>
      </c>
      <c r="L101" s="3">
        <v>15.839937689206799</v>
      </c>
      <c r="M101" s="3">
        <v>14.117528745159699</v>
      </c>
      <c r="N101" s="3">
        <v>7.7034553301887501</v>
      </c>
    </row>
    <row r="102" spans="1:14" x14ac:dyDescent="0.35">
      <c r="A102" s="2">
        <v>44777</v>
      </c>
      <c r="B102" s="3">
        <v>26.747983653118201</v>
      </c>
      <c r="C102" s="3">
        <v>13.784869190616099</v>
      </c>
      <c r="D102" s="3">
        <v>11.4747062697648</v>
      </c>
      <c r="E102" s="3">
        <v>10.408843997469001</v>
      </c>
      <c r="F102" s="3">
        <v>12.690893482835</v>
      </c>
      <c r="G102" s="3">
        <v>16.929075179358499</v>
      </c>
      <c r="H102" s="3">
        <v>9.8040547442111805</v>
      </c>
      <c r="I102" s="3">
        <v>23.620647305356002</v>
      </c>
      <c r="J102" s="3">
        <v>17.502422766100601</v>
      </c>
      <c r="K102" s="3">
        <v>11.8109593984701</v>
      </c>
      <c r="L102" s="3">
        <v>18.156217906595199</v>
      </c>
      <c r="M102" s="3">
        <v>15.1150235832609</v>
      </c>
      <c r="N102" s="3">
        <v>7.7403876802685998</v>
      </c>
    </row>
    <row r="103" spans="1:14" x14ac:dyDescent="0.35">
      <c r="A103" s="2">
        <v>44806</v>
      </c>
      <c r="B103" s="3">
        <v>27.072171560742898</v>
      </c>
      <c r="C103" s="3">
        <v>13.5788553456945</v>
      </c>
      <c r="D103" s="3">
        <v>11.298260428512201</v>
      </c>
      <c r="E103" s="3">
        <v>9.7251626841816705</v>
      </c>
      <c r="F103" s="3">
        <v>12.623158184344</v>
      </c>
      <c r="G103" s="3">
        <v>16.1352721568786</v>
      </c>
      <c r="H103" s="3">
        <v>9.2201465394110702</v>
      </c>
      <c r="I103" s="3">
        <v>21.481374181519399</v>
      </c>
      <c r="J103" s="3">
        <v>16.518861862513901</v>
      </c>
      <c r="K103" s="3">
        <v>11.1241657096226</v>
      </c>
      <c r="L103" s="3">
        <v>15.9523177472139</v>
      </c>
      <c r="M103" s="3">
        <v>13.9407915066379</v>
      </c>
      <c r="N103" s="3">
        <v>7.6407777485836501</v>
      </c>
    </row>
    <row r="104" spans="1:14" x14ac:dyDescent="0.35">
      <c r="A104" s="2">
        <v>44838</v>
      </c>
      <c r="B104" s="3">
        <v>24.076512647622401</v>
      </c>
      <c r="C104" s="3">
        <v>13.0926361235895</v>
      </c>
      <c r="D104" s="3">
        <v>11.3148012604548</v>
      </c>
      <c r="E104" s="3">
        <v>9.4034217224560006</v>
      </c>
      <c r="F104" s="3">
        <v>12.350190711723201</v>
      </c>
      <c r="G104" s="3">
        <v>15.441984771414001</v>
      </c>
      <c r="H104" s="3">
        <v>8.9209045282440602</v>
      </c>
      <c r="I104" s="3">
        <v>20.5998240557849</v>
      </c>
      <c r="J104" s="3">
        <v>16.013360365812201</v>
      </c>
      <c r="K104" s="3">
        <v>10.761484203836799</v>
      </c>
      <c r="L104" s="3">
        <v>15.218856379648299</v>
      </c>
      <c r="M104" s="3">
        <v>13.6457375071227</v>
      </c>
      <c r="N104" s="3">
        <v>7.5368975923427</v>
      </c>
    </row>
    <row r="105" spans="1:14" x14ac:dyDescent="0.35">
      <c r="A105" s="2">
        <v>44869</v>
      </c>
      <c r="B105" s="3">
        <v>23.500826355653299</v>
      </c>
      <c r="C105" s="3">
        <v>13.4695934600517</v>
      </c>
      <c r="D105" s="3">
        <v>11.518614667542099</v>
      </c>
      <c r="E105" s="3">
        <v>10.0330089952636</v>
      </c>
      <c r="F105" s="3">
        <v>12.4068215564574</v>
      </c>
      <c r="G105" s="3">
        <v>15.9973445308328</v>
      </c>
      <c r="H105" s="3">
        <v>9.2107465382689409</v>
      </c>
      <c r="I105" s="3">
        <v>20.264359416364801</v>
      </c>
      <c r="J105" s="3">
        <v>16.324139899672598</v>
      </c>
      <c r="K105" s="3">
        <v>11.425547667119501</v>
      </c>
      <c r="L105" s="3">
        <v>14.9663822434631</v>
      </c>
      <c r="M105" s="3">
        <v>12.629850399515901</v>
      </c>
      <c r="N105" s="3">
        <v>8.0748708304560299</v>
      </c>
    </row>
    <row r="106" spans="1:14" x14ac:dyDescent="0.35">
      <c r="A106" s="2">
        <v>44897</v>
      </c>
      <c r="B106" s="3">
        <v>23.457990289661701</v>
      </c>
      <c r="C106" s="3">
        <v>14.5963023095546</v>
      </c>
      <c r="D106" s="3">
        <v>12.4490725801399</v>
      </c>
      <c r="E106" s="3">
        <v>10.8692756991826</v>
      </c>
      <c r="F106" s="3">
        <v>12.7461016732997</v>
      </c>
      <c r="G106" s="3">
        <v>16.911965544968801</v>
      </c>
      <c r="H106" s="3">
        <v>9.9316123646562495</v>
      </c>
      <c r="I106" s="3">
        <v>22.277224184968102</v>
      </c>
      <c r="J106" s="3">
        <v>17.6013199948381</v>
      </c>
      <c r="K106" s="3">
        <v>12.184677230831699</v>
      </c>
      <c r="L106" s="3">
        <v>16.4611003122291</v>
      </c>
      <c r="M106" s="3">
        <v>13.2020134169641</v>
      </c>
      <c r="N106" s="3">
        <v>7.8885780405258501</v>
      </c>
    </row>
    <row r="107" spans="1:14" x14ac:dyDescent="0.35">
      <c r="A107" s="2">
        <v>44930</v>
      </c>
      <c r="B107" s="3">
        <v>23.291204087538301</v>
      </c>
      <c r="C107" s="3">
        <v>14.0266685111293</v>
      </c>
      <c r="D107" s="3">
        <v>12.0384878604288</v>
      </c>
      <c r="E107" s="3">
        <v>10.9618174906824</v>
      </c>
      <c r="F107" s="3">
        <v>12.0482118989045</v>
      </c>
      <c r="G107" s="3">
        <v>16.837017349796302</v>
      </c>
      <c r="H107" s="3">
        <v>9.99167607243254</v>
      </c>
      <c r="I107" s="3">
        <v>20.828087867363799</v>
      </c>
      <c r="J107" s="3">
        <v>16.728915536874901</v>
      </c>
      <c r="K107" s="3">
        <v>12.341981719946</v>
      </c>
      <c r="L107" s="3">
        <v>16.121924252765499</v>
      </c>
      <c r="M107" s="3">
        <v>13.064034940969799</v>
      </c>
      <c r="N107" s="3">
        <v>7.9419834681083001</v>
      </c>
    </row>
    <row r="108" spans="1:14" x14ac:dyDescent="0.35">
      <c r="A108" s="2">
        <v>44960</v>
      </c>
      <c r="B108" s="3">
        <v>24.406467704508898</v>
      </c>
      <c r="C108" s="3">
        <v>15.0568337909699</v>
      </c>
      <c r="D108" s="3">
        <v>13.068455910617001</v>
      </c>
      <c r="E108" s="3">
        <v>11.770747303154099</v>
      </c>
      <c r="F108" s="3">
        <v>12.8646772291563</v>
      </c>
      <c r="G108" s="3">
        <v>17.420384376832502</v>
      </c>
      <c r="H108" s="3">
        <v>10.4981612295588</v>
      </c>
      <c r="I108" s="3">
        <v>24.3287716323719</v>
      </c>
      <c r="J108" s="3">
        <v>18.265184497469999</v>
      </c>
      <c r="K108" s="3">
        <v>13.416609517335401</v>
      </c>
      <c r="L108" s="3">
        <v>17.366868711504701</v>
      </c>
      <c r="M108" s="3">
        <v>14.547069014942901</v>
      </c>
      <c r="N108" s="3">
        <v>8.4120325693579598</v>
      </c>
    </row>
    <row r="109" spans="1:14" x14ac:dyDescent="0.35">
      <c r="A109" s="2">
        <v>44988</v>
      </c>
      <c r="B109" s="3">
        <v>23.558668098344398</v>
      </c>
      <c r="C109" s="3">
        <v>14.520146099182099</v>
      </c>
      <c r="D109" s="3">
        <v>12.969992481804301</v>
      </c>
      <c r="E109" s="3">
        <v>11.6753014994328</v>
      </c>
      <c r="F109" s="3">
        <v>13.3078474964351</v>
      </c>
      <c r="G109" s="3">
        <v>17.1475803498918</v>
      </c>
      <c r="H109" s="3">
        <v>10.544444517773901</v>
      </c>
      <c r="I109" s="3">
        <v>23.5610648811803</v>
      </c>
      <c r="J109" s="3">
        <v>17.807898627398799</v>
      </c>
      <c r="K109" s="3">
        <v>13.342403467808699</v>
      </c>
      <c r="L109" s="3">
        <v>16.709872609220501</v>
      </c>
      <c r="M109" s="3">
        <v>14.2596382623585</v>
      </c>
      <c r="N109" s="3">
        <v>8.7761051157397993</v>
      </c>
    </row>
    <row r="110" spans="1:14" x14ac:dyDescent="0.35">
      <c r="A110" s="2">
        <v>45020</v>
      </c>
      <c r="B110" s="3">
        <v>23.352525991398799</v>
      </c>
      <c r="C110" s="3">
        <v>14.4792312011978</v>
      </c>
      <c r="D110" s="3">
        <v>12.8872859420278</v>
      </c>
      <c r="E110" s="3">
        <v>11.3763071093856</v>
      </c>
      <c r="F110" s="3">
        <v>13.299744083864899</v>
      </c>
      <c r="G110" s="3">
        <v>17.091732945776901</v>
      </c>
      <c r="H110" s="3">
        <v>10.444600726904801</v>
      </c>
      <c r="I110" s="3">
        <v>24.8680643059799</v>
      </c>
      <c r="J110" s="3">
        <v>18.036374245875201</v>
      </c>
      <c r="K110" s="3">
        <v>13.3762972054909</v>
      </c>
      <c r="L110" s="3">
        <v>16.4467508226458</v>
      </c>
      <c r="M110" s="3">
        <v>13.771097672523499</v>
      </c>
      <c r="N110" s="3">
        <v>8.4965659154077908</v>
      </c>
    </row>
    <row r="111" spans="1:14" x14ac:dyDescent="0.35">
      <c r="A111" s="2">
        <v>45050</v>
      </c>
      <c r="B111" s="3">
        <v>23.5702395478718</v>
      </c>
      <c r="C111" s="3">
        <v>14.378059229763201</v>
      </c>
      <c r="D111" s="3">
        <v>12.800080207937301</v>
      </c>
      <c r="E111" s="3">
        <v>11.121368268906</v>
      </c>
      <c r="F111" s="3">
        <v>13.6392228390898</v>
      </c>
      <c r="G111" s="3">
        <v>17.571035914533699</v>
      </c>
      <c r="H111" s="3">
        <v>10.497556956124701</v>
      </c>
      <c r="I111" s="3">
        <v>24.0753016320153</v>
      </c>
      <c r="J111" s="3">
        <v>17.690247945421198</v>
      </c>
      <c r="K111" s="3">
        <v>13.3878340064485</v>
      </c>
      <c r="L111" s="3">
        <v>15.5564599446876</v>
      </c>
      <c r="M111" s="3">
        <v>13.5747628533147</v>
      </c>
      <c r="N111" s="3">
        <v>8.3368416150035696</v>
      </c>
    </row>
    <row r="112" spans="1:14" x14ac:dyDescent="0.35">
      <c r="A112" s="2">
        <v>45079</v>
      </c>
      <c r="B112" s="3">
        <v>21.148062210452501</v>
      </c>
      <c r="C112" s="3">
        <v>14.3998475346568</v>
      </c>
      <c r="D112" s="3">
        <v>12.937338650021299</v>
      </c>
      <c r="E112" s="3">
        <v>10.862806121860199</v>
      </c>
      <c r="F112" s="3">
        <v>14.305466737715401</v>
      </c>
      <c r="G112" s="3">
        <v>16.771457483731499</v>
      </c>
      <c r="H112" s="3">
        <v>10.3040301855153</v>
      </c>
      <c r="I112" s="3">
        <v>26.128239786887299</v>
      </c>
      <c r="J112" s="3">
        <v>18.4680712082897</v>
      </c>
      <c r="K112" s="3">
        <v>13.133613153858599</v>
      </c>
      <c r="L112" s="3">
        <v>15.7493170433063</v>
      </c>
      <c r="M112" s="3">
        <v>13.6792109597076</v>
      </c>
      <c r="N112" s="3">
        <v>8.5453776071113605</v>
      </c>
    </row>
    <row r="113" spans="1:25" x14ac:dyDescent="0.35">
      <c r="A113" s="2">
        <v>45110</v>
      </c>
      <c r="B113" s="3">
        <v>21.027219539829201</v>
      </c>
      <c r="C113" s="3">
        <v>15.0142265583721</v>
      </c>
      <c r="D113" s="3">
        <v>13.00512848392</v>
      </c>
      <c r="E113" s="3">
        <v>10.7944403863895</v>
      </c>
      <c r="F113" s="3">
        <v>15.082419267386401</v>
      </c>
      <c r="G113" s="3">
        <v>16.4010898701471</v>
      </c>
      <c r="H113" s="3">
        <v>10.3552482902038</v>
      </c>
      <c r="I113" s="3">
        <v>26.803313976952801</v>
      </c>
      <c r="J113" s="3">
        <v>19.1503059900812</v>
      </c>
      <c r="K113" s="3">
        <v>13.2760080130871</v>
      </c>
      <c r="L113" s="3">
        <v>15.9315641469897</v>
      </c>
      <c r="M113" s="3">
        <v>13.5505958218221</v>
      </c>
      <c r="N113" s="3">
        <v>8.8444898902223308</v>
      </c>
    </row>
    <row r="114" spans="1:25" x14ac:dyDescent="0.35">
      <c r="A114" s="2">
        <v>45142</v>
      </c>
      <c r="B114" s="3">
        <v>20.9329621247701</v>
      </c>
      <c r="C114" s="3">
        <v>15.4026298204681</v>
      </c>
      <c r="D114" s="3">
        <v>13.208959184377701</v>
      </c>
      <c r="E114" s="3">
        <v>10.665236338355401</v>
      </c>
      <c r="F114" s="3">
        <v>14.441420281180299</v>
      </c>
      <c r="G114" s="3">
        <v>16.631718380807701</v>
      </c>
      <c r="H114" s="3">
        <v>10.569762465067599</v>
      </c>
      <c r="I114" s="3">
        <v>24.901612745452098</v>
      </c>
      <c r="J114" s="3">
        <v>19.018788188657901</v>
      </c>
      <c r="K114" s="3">
        <v>13.045112210231</v>
      </c>
      <c r="L114" s="3">
        <v>15.672465387952</v>
      </c>
      <c r="M114" s="3">
        <v>13.1148555256884</v>
      </c>
      <c r="N114" s="3">
        <v>8.3889777085031199</v>
      </c>
    </row>
    <row r="115" spans="1:25" x14ac:dyDescent="0.35">
      <c r="A115" s="2">
        <v>45170</v>
      </c>
      <c r="B115" s="3">
        <v>20.874175008600201</v>
      </c>
      <c r="C115" s="3">
        <v>15.5104648620548</v>
      </c>
      <c r="D115" s="3">
        <v>13.3546044338065</v>
      </c>
      <c r="E115" s="3">
        <v>10.645678523652901</v>
      </c>
      <c r="F115" s="3">
        <v>14.6635332505262</v>
      </c>
      <c r="G115" s="3">
        <v>16.6075138478088</v>
      </c>
      <c r="H115" s="3">
        <v>10.371577213373</v>
      </c>
      <c r="I115" s="3">
        <v>24.650112404454099</v>
      </c>
      <c r="J115" s="3">
        <v>18.895773085378401</v>
      </c>
      <c r="K115" s="3">
        <v>12.9497600687677</v>
      </c>
      <c r="L115" s="3">
        <v>14.732195864211199</v>
      </c>
      <c r="M115" s="3">
        <v>12.9963127778167</v>
      </c>
      <c r="N115" s="3">
        <v>8.4826107969633497</v>
      </c>
    </row>
    <row r="116" spans="1:25" x14ac:dyDescent="0.35">
      <c r="A116" s="2">
        <v>45203</v>
      </c>
      <c r="B116" s="3">
        <v>19.972975398485801</v>
      </c>
      <c r="C116" s="3">
        <v>14.400614631878501</v>
      </c>
      <c r="D116" s="3">
        <v>12.238836367945201</v>
      </c>
      <c r="E116" s="3">
        <v>10.1314261612947</v>
      </c>
      <c r="F116" s="3">
        <v>13.719173137718601</v>
      </c>
      <c r="G116" s="3">
        <v>15.7821938861526</v>
      </c>
      <c r="H116" s="3">
        <v>10.112898917850201</v>
      </c>
      <c r="I116" s="3">
        <v>23.224877148104898</v>
      </c>
      <c r="J116" s="3">
        <v>17.7461473547081</v>
      </c>
      <c r="K116" s="3">
        <v>12.214277629167601</v>
      </c>
      <c r="L116" s="3">
        <v>13.406120805089699</v>
      </c>
      <c r="M116" s="3">
        <v>12.6074397672099</v>
      </c>
      <c r="N116" s="3">
        <v>8.0078235771158504</v>
      </c>
    </row>
    <row r="117" spans="1:25" x14ac:dyDescent="0.35">
      <c r="A117" s="2">
        <v>45233</v>
      </c>
      <c r="B117" s="3">
        <v>20.052609360665301</v>
      </c>
      <c r="C117" s="3">
        <v>14.8757381207264</v>
      </c>
      <c r="D117" s="3">
        <v>12.605314108372699</v>
      </c>
      <c r="E117" s="3">
        <v>10.1543236777341</v>
      </c>
      <c r="F117" s="3">
        <v>14.1559618982721</v>
      </c>
      <c r="G117" s="3">
        <v>15.771832720235199</v>
      </c>
      <c r="H117" s="3">
        <v>10.2453737443902</v>
      </c>
      <c r="I117" s="3">
        <v>23.383394287566901</v>
      </c>
      <c r="J117" s="3">
        <v>18.059993001173101</v>
      </c>
      <c r="K117" s="3">
        <v>12.4413113283708</v>
      </c>
      <c r="L117" s="3">
        <v>13.892861480338</v>
      </c>
      <c r="M117" s="3">
        <v>12.867506853796799</v>
      </c>
      <c r="N117" s="3">
        <v>8.1680480257491705</v>
      </c>
    </row>
    <row r="118" spans="1:25" x14ac:dyDescent="0.35">
      <c r="A118" s="2">
        <v>45264</v>
      </c>
      <c r="B118" s="3">
        <v>21.5964084836762</v>
      </c>
      <c r="C118" s="3">
        <v>15.398533272496399</v>
      </c>
      <c r="D118" s="3">
        <v>13.087235589204299</v>
      </c>
      <c r="E118" s="3">
        <v>11.0567183399397</v>
      </c>
      <c r="F118" s="3">
        <v>14.13494073729</v>
      </c>
      <c r="G118" s="3">
        <v>16.395089191119101</v>
      </c>
      <c r="H118" s="3">
        <v>10.547492662228301</v>
      </c>
      <c r="I118" s="3">
        <v>24.0269989205126</v>
      </c>
      <c r="J118" s="3">
        <v>18.7312631996273</v>
      </c>
      <c r="K118" s="3">
        <v>12.974018161954501</v>
      </c>
      <c r="L118" s="3">
        <v>14.596409800095</v>
      </c>
      <c r="M118" s="3">
        <v>14.67838682751</v>
      </c>
      <c r="N118" s="3">
        <v>8.6681648777690992</v>
      </c>
    </row>
    <row r="119" spans="1:25" x14ac:dyDescent="0.35">
      <c r="A119" s="2">
        <v>45295</v>
      </c>
      <c r="B119" s="3">
        <v>22.815574661808199</v>
      </c>
      <c r="C119" s="3">
        <v>16.176457093935301</v>
      </c>
      <c r="D119" s="3">
        <v>13.584002710972401</v>
      </c>
      <c r="E119" s="3">
        <v>11.055177935087601</v>
      </c>
      <c r="F119" s="3">
        <v>14.0399517289689</v>
      </c>
      <c r="G119" s="3">
        <v>16.920204456327401</v>
      </c>
      <c r="H119" s="3">
        <v>11.0234643386872</v>
      </c>
      <c r="I119" s="3">
        <v>24.224713530777301</v>
      </c>
      <c r="J119" s="3">
        <v>19.172157772039</v>
      </c>
      <c r="K119" s="3">
        <v>13.262899228157901</v>
      </c>
      <c r="L119" s="3">
        <v>14.7398749071124</v>
      </c>
      <c r="M119" s="3">
        <v>15.359278949371401</v>
      </c>
      <c r="N119" s="3">
        <v>8.9499535018272294</v>
      </c>
    </row>
    <row r="120" spans="1:25" x14ac:dyDescent="0.35">
      <c r="A120" s="2">
        <v>45324</v>
      </c>
      <c r="B120" s="3">
        <v>22.439310810460402</v>
      </c>
      <c r="C120" s="3">
        <v>16.5898470502772</v>
      </c>
      <c r="D120" s="3">
        <v>13.8596413263647</v>
      </c>
      <c r="E120" s="3">
        <v>11.530740080579299</v>
      </c>
      <c r="F120" s="3">
        <v>14.9414828414995</v>
      </c>
      <c r="G120" s="3">
        <v>17.090775393832999</v>
      </c>
      <c r="H120" s="3">
        <v>11.0578106182054</v>
      </c>
      <c r="I120" s="3">
        <v>25.984235019518199</v>
      </c>
      <c r="J120" s="3">
        <v>20.187866580284101</v>
      </c>
      <c r="K120" s="3">
        <v>13.646139231257701</v>
      </c>
      <c r="L120" s="3">
        <v>15.782698179818601</v>
      </c>
      <c r="M120" s="3">
        <v>15.6426811464277</v>
      </c>
      <c r="N120" s="3">
        <v>9.0038837561944103</v>
      </c>
    </row>
    <row r="121" spans="1:25" x14ac:dyDescent="0.35">
      <c r="A121" s="2">
        <v>45355</v>
      </c>
      <c r="B121" s="3">
        <v>24.5791019506207</v>
      </c>
      <c r="C121" s="3">
        <v>16.601148798947701</v>
      </c>
      <c r="D121" s="3">
        <v>14.2977556484507</v>
      </c>
      <c r="E121" s="3">
        <v>11.987862393397601</v>
      </c>
      <c r="F121" s="3">
        <v>15.7977310181971</v>
      </c>
      <c r="G121" s="3">
        <v>17.433352579596601</v>
      </c>
      <c r="H121" s="3">
        <v>11.194921840254599</v>
      </c>
      <c r="I121" s="3">
        <v>26.420125345261098</v>
      </c>
      <c r="J121" s="3">
        <v>20.6120886778182</v>
      </c>
      <c r="K121" s="3">
        <v>14.3544608486852</v>
      </c>
      <c r="L121" s="3">
        <v>16.066389275881999</v>
      </c>
      <c r="M121" s="3">
        <v>16.295908460539302</v>
      </c>
      <c r="N121" s="3">
        <v>9.3166185695818307</v>
      </c>
    </row>
    <row r="122" spans="1:25" x14ac:dyDescent="0.35">
      <c r="A122" s="2">
        <v>45385</v>
      </c>
      <c r="B122" s="3">
        <v>25.0643293624228</v>
      </c>
      <c r="C122" s="3">
        <v>16.609329004008799</v>
      </c>
      <c r="D122" s="3">
        <v>14.563872190635699</v>
      </c>
      <c r="E122" s="3">
        <v>12.3145854105433</v>
      </c>
      <c r="F122" s="3">
        <v>15.514730653460999</v>
      </c>
      <c r="G122" s="3">
        <v>17.412997784487899</v>
      </c>
      <c r="H122" s="3">
        <v>11.4833042301006</v>
      </c>
      <c r="I122" s="3">
        <v>25.564165219027601</v>
      </c>
      <c r="J122" s="3">
        <v>20.739073718592898</v>
      </c>
      <c r="K122" s="3">
        <v>14.6382836571051</v>
      </c>
      <c r="L122" s="3">
        <v>16.2980432109986</v>
      </c>
      <c r="M122" s="3">
        <v>16.374361805979799</v>
      </c>
      <c r="N122" s="3">
        <v>9.7408251707358602</v>
      </c>
    </row>
    <row r="124" spans="1:25" x14ac:dyDescent="0.35">
      <c r="A124" s="2" t="s">
        <v>91</v>
      </c>
      <c r="B124" s="3" cm="1">
        <f t="array" ref="B124">MIN(_xlfn._xlws.FILTER(B1:B122, ISNUMBER(B1:B122)))</f>
        <v>16.970063539864601</v>
      </c>
      <c r="C124" s="3" cm="1">
        <f t="array" ref="C124">MIN(_xlfn._xlws.FILTER(C1:C122, ISNUMBER(C1:C122)))</f>
        <v>12.472434732323901</v>
      </c>
      <c r="D124" s="3" cm="1">
        <f t="array" ref="D124">MIN(_xlfn._xlws.FILTER(D1:D122, ISNUMBER(D1:D122)))</f>
        <v>11.225587953096101</v>
      </c>
      <c r="E124" s="3" cm="1">
        <f t="array" ref="E124">MIN(_xlfn._xlws.FILTER(E1:E122, ISNUMBER(E1:E122)))</f>
        <v>9.4034217224560006</v>
      </c>
      <c r="F124" s="3" cm="1">
        <f t="array" ref="F124">MIN(_xlfn._xlws.FILTER(F1:F122, ISNUMBER(F1:F122)))</f>
        <v>10.954834020876101</v>
      </c>
      <c r="G124" s="3" cm="1">
        <f t="array" ref="G124">MIN(_xlfn._xlws.FILTER(G1:G122, ISNUMBER(G1:G122)))</f>
        <v>14.7844400374552</v>
      </c>
      <c r="H124" s="3" cm="1">
        <f t="array" ref="H124">MIN(_xlfn._xlws.FILTER(H1:H122, ISNUMBER(H1:H122)))</f>
        <v>8.9209045282440602</v>
      </c>
      <c r="I124" s="3" cm="1">
        <f t="array" ref="I124">MIN(_xlfn._xlws.FILTER(I1:I122, ISNUMBER(I1:I122)))</f>
        <v>16.676264867038199</v>
      </c>
      <c r="J124" s="3" cm="1">
        <f t="array" ref="J124">MIN(_xlfn._xlws.FILTER(J1:J122, ISNUMBER(J1:J122)))</f>
        <v>14.6350443624539</v>
      </c>
      <c r="K124" s="3" cm="1">
        <f t="array" ref="K124">MIN(_xlfn._xlws.FILTER(K1:K122, ISNUMBER(K1:K122)))</f>
        <v>10.761484203836799</v>
      </c>
      <c r="L124" s="3" cm="1">
        <f t="array" ref="L124">MIN(_xlfn._xlws.FILTER(L1:L122, ISNUMBER(L1:L122)))</f>
        <v>13.120370306583</v>
      </c>
      <c r="M124" s="3" cm="1">
        <f t="array" ref="M124">MIN(_xlfn._xlws.FILTER(M1:M122, ISNUMBER(M1:M122)))</f>
        <v>12.6074397672099</v>
      </c>
      <c r="N124" s="3" cm="1">
        <f t="array" ref="N124">MIN(_xlfn._xlws.FILTER(N1:N122, ISNUMBER(N1:N122)))</f>
        <v>7.5368975923427</v>
      </c>
    </row>
    <row r="125" spans="1:25" x14ac:dyDescent="0.35">
      <c r="A125" s="2" t="s">
        <v>92</v>
      </c>
      <c r="B125" s="3" cm="1">
        <f t="array" ref="B125">MAX(_xlfn._xlws.FILTER(B1:B122, ISNUMBER(B1:B122)))</f>
        <v>35.038717421856298</v>
      </c>
      <c r="C125" s="3" cm="1">
        <f t="array" ref="C125">MAX(_xlfn._xlws.FILTER(C1:C122, ISNUMBER(C1:C122)))</f>
        <v>19.895533141163401</v>
      </c>
      <c r="D125" s="3" cm="1">
        <f t="array" ref="D125">MAX(_xlfn._xlws.FILTER(D1:D122, ISNUMBER(D1:D122)))</f>
        <v>18.236743119279801</v>
      </c>
      <c r="E125" s="3" cm="1">
        <f t="array" ref="E125">MAX(_xlfn._xlws.FILTER(E1:E122, ISNUMBER(E1:E122)))</f>
        <v>18.152960269473802</v>
      </c>
      <c r="F125" s="3" cm="1">
        <f t="array" ref="F125">MAX(_xlfn._xlws.FILTER(F1:F122, ISNUMBER(F1:F122)))</f>
        <v>18.571286959398101</v>
      </c>
      <c r="G125" s="3" cm="1">
        <f t="array" ref="G125">MAX(_xlfn._xlws.FILTER(G1:G122, ISNUMBER(G1:G122)))</f>
        <v>19.837715123944101</v>
      </c>
      <c r="H125" s="3" cm="1">
        <f t="array" ref="H125">MAX(_xlfn._xlws.FILTER(H1:H122, ISNUMBER(H1:H122)))</f>
        <v>16.5052472874318</v>
      </c>
      <c r="I125" s="3" cm="1">
        <f t="array" ref="I125">MAX(_xlfn._xlws.FILTER(I1:I122, ISNUMBER(I1:I122)))</f>
        <v>30.1632566756378</v>
      </c>
      <c r="J125" s="3" cm="1">
        <f t="array" ref="J125">MAX(_xlfn._xlws.FILTER(J1:J122, ISNUMBER(J1:J122)))</f>
        <v>22.3261297564245</v>
      </c>
      <c r="K125" s="3" cm="1">
        <f t="array" ref="K125">MAX(_xlfn._xlws.FILTER(K1:K122, ISNUMBER(K1:K122)))</f>
        <v>19.6356045977595</v>
      </c>
      <c r="L125" s="3" cm="1">
        <f t="array" ref="L125">MAX(_xlfn._xlws.FILTER(L1:L122, ISNUMBER(L1:L122)))</f>
        <v>22.738661708558901</v>
      </c>
      <c r="M125" s="3" cm="1">
        <f t="array" ref="M125">MAX(_xlfn._xlws.FILTER(M1:M122, ISNUMBER(M1:M122)))</f>
        <v>20.27506424948</v>
      </c>
      <c r="N125" s="3" cm="1">
        <f t="array" ref="N125">MAX(_xlfn._xlws.FILTER(N1:N122, ISNUMBER(N1:N122)))</f>
        <v>17.976099175463201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0.69599999999999995</v>
      </c>
      <c r="C127" s="9" cm="1">
        <f t="array" ref="C127">_xlfn.PERCENTRANK.EXC(_xlfn._xlws.FILTER(C1:C122, ISNUMBER(C1:C122)),C122)</f>
        <v>0.78600000000000003</v>
      </c>
      <c r="D127" s="9" cm="1">
        <f t="array" ref="D127">_xlfn.PERCENTRANK.EXC(_xlfn._xlws.FILTER(D1:D122, ISNUMBER(D1:D122)),D122)</f>
        <v>0.50800000000000001</v>
      </c>
      <c r="E127" s="9" cm="1">
        <f t="array" ref="E127">_xlfn.PERCENTRANK.EXC(_xlfn._xlws.FILTER(E1:E122, ISNUMBER(E1:E122)),E122)</f>
        <v>0.31900000000000001</v>
      </c>
      <c r="F127" s="9" cm="1">
        <f t="array" ref="F127">_xlfn.PERCENTRANK.EXC(_xlfn._xlws.FILTER(F1:F122, ISNUMBER(F1:F122)),F122)</f>
        <v>0.81899999999999995</v>
      </c>
      <c r="G127" s="9" cm="1">
        <f t="array" ref="G127">_xlfn.PERCENTRANK.EXC(_xlfn._xlws.FILTER(G1:G122, ISNUMBER(G1:G122)),G122)</f>
        <v>0.61399999999999999</v>
      </c>
      <c r="H127" s="9" cm="1">
        <f t="array" ref="H127">_xlfn.PERCENTRANK.EXC(_xlfn._xlws.FILTER(H1:H122, ISNUMBER(H1:H122)),H122)</f>
        <v>0.21299999999999999</v>
      </c>
      <c r="I127" s="9" cm="1">
        <f t="array" ref="I127">_xlfn.PERCENTRANK.EXC(_xlfn._xlws.FILTER(I1:I122, ISNUMBER(I1:I122)),I122)</f>
        <v>0.77800000000000002</v>
      </c>
      <c r="J127" s="9" cm="1">
        <f t="array" ref="J127">_xlfn.PERCENTRANK.EXC(_xlfn._xlws.FILTER(J1:J122, ISNUMBER(J1:J122)),J122)</f>
        <v>0.84399999999999997</v>
      </c>
      <c r="K127" s="9" cm="1">
        <f t="array" ref="K127">_xlfn.PERCENTRANK.EXC(_xlfn._xlws.FILTER(K1:K122, ISNUMBER(K1:K122)),K122)</f>
        <v>0.61399999999999999</v>
      </c>
      <c r="L127" s="9" cm="1">
        <f t="array" ref="L127">_xlfn.PERCENTRANK.EXC(_xlfn._xlws.FILTER(L1:L122, ISNUMBER(L1:L122)),L122)</f>
        <v>0.63900000000000001</v>
      </c>
      <c r="M127" s="9" cm="1">
        <f t="array" ref="M127">_xlfn.PERCENTRANK.EXC(_xlfn._xlws.FILTER(M1:M122, ISNUMBER(M1:M122)),M122)</f>
        <v>0.70399999999999996</v>
      </c>
      <c r="N127" s="9" cm="1">
        <f t="array" ref="N127">_xlfn.PERCENTRANK.EXC(_xlfn._xlws.FILTER(N1:N122, ISNUMBER(N1:N122)),N122)</f>
        <v>0.22900000000000001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863</v>
      </c>
      <c r="L1" t="s">
        <v>865</v>
      </c>
      <c r="M1" t="s">
        <v>862</v>
      </c>
      <c r="N1" t="s">
        <v>864</v>
      </c>
    </row>
    <row r="2" spans="1:14" x14ac:dyDescent="0.35">
      <c r="A2" s="2" cm="1">
        <f t="array" ref="A2:A122">_xll.FDS(B1,"JULIAN(FMA_DIV_YLD(NTMA,-10AY,0,AM,""PORTAGG"",""MEANR"").dates)")</f>
        <v>41733</v>
      </c>
      <c r="B2" s="3" cm="1">
        <f t="array" ref="B2:B122">_xll.FDS(B1,"FMA_DIV_YLD(NTMA,-10AY,0,AM,""PORTAGG"",""MEANR"")")</f>
        <v>4.0895677922805804</v>
      </c>
      <c r="C2" s="3" cm="1">
        <f t="array" ref="C2:C122">_xll.FDS(C1,"FMA_DIV_YLD(NTMA,-10AY,0,AM,""PORTAGG"",""MEANR"")")</f>
        <v>4.7999976650859297</v>
      </c>
      <c r="D2" s="3" cm="1">
        <f t="array" ref="D2:D122">_xll.FDS(D1,"FMA_DIV_YLD(NTMA,-10AY,0,AM,""PORTAGG"",""MEANR"")")</f>
        <v>2.9118719586002899</v>
      </c>
      <c r="E2" s="3" cm="1">
        <f t="array" ref="E2:E122">_xll.FDS(E1,"FMA_DIV_YLD(NTMA,-10AY,0,AM,""PORTAGG"",""MEANR"")")</f>
        <v>2.9270486553061401</v>
      </c>
      <c r="F2" s="3" cm="1">
        <f t="array" ref="F2:F122">_xll.FDS(F1,"FMA_DIV_YLD(NTMA,-10AY,0,AM,""PORTAGG"",""MEANR"")")</f>
        <v>2.0797072903227498</v>
      </c>
      <c r="G2" s="3" cm="1">
        <f t="array" ref="G2:G122">_xll.FDS(G1,"FMA_DIV_YLD(NTMA,-10AY,0,AM,""PORTAGG"",""MEANR"")")</f>
        <v>3.1957212384115801</v>
      </c>
      <c r="H2" s="3" cm="1">
        <f t="array" ref="H2:H122">_xll.FDS(H1,"FMA_DIV_YLD(NTMA,-10AY,0,AM,""PORTAGG"",""MEANR"")")</f>
        <v>3.90077181712625</v>
      </c>
      <c r="I2" s="3" cm="1">
        <f t="array" ref="I2:I122">_xll.FDS(I1,"FMA_DIV_YLD(NTMA,-10AY,0,AM,""PORTAGG"",""MEANR"")")</f>
        <v>1.42203366990281</v>
      </c>
      <c r="J2" s="3" cm="1">
        <f t="array" ref="J2:J122">_xll.FDS(J1,"FMA_DIV_YLD(NTMA,-10AY,0,AM,""PORTAGG"",""MEANR"")")</f>
        <v>2.1711171046384301</v>
      </c>
      <c r="K2" s="3" cm="1">
        <f t="array" ref="K2:K122">_xll.FDS(K1,"FMA_DIV_YLD(NTMA,-10AY,0,AM,""PORTAGG"",""MEANR"")")</f>
        <v>3.4452387175986798</v>
      </c>
      <c r="L2" s="3" cm="1">
        <f t="array" ref="L2:L122">_xll.FDS(L1,"FMA_DIV_YLD(NTMA,-10AY,0,AM,""PORTAGG"",""MEANR"")")</f>
        <v>2.6712670752437302</v>
      </c>
      <c r="M2" s="3" cm="1">
        <f t="array" ref="M2:M122">_xll.FDS(M1,"FMA_DIV_YLD(NTMA,-10AY,0,AM,""PORTAGG"",""MEANR"")")</f>
        <v>3.99126325412964</v>
      </c>
      <c r="N2" s="3" cm="1">
        <f t="array" ref="N2:N122">_xll.FDS(N1,"FMA_DIV_YLD(NTMA,-10AY,0,AM,""PORTAGG"",""MEANR"")")</f>
        <v>3.30926893787696</v>
      </c>
    </row>
    <row r="3" spans="1:14" x14ac:dyDescent="0.35">
      <c r="A3" s="2">
        <v>41761</v>
      </c>
      <c r="B3" s="3">
        <v>4.0233407256534699</v>
      </c>
      <c r="C3" s="3">
        <v>4.7860717327580096</v>
      </c>
      <c r="D3" s="3">
        <v>2.8496909755856099</v>
      </c>
      <c r="E3" s="3">
        <v>3.0054661336784601</v>
      </c>
      <c r="F3" s="3">
        <v>2.15781029827312</v>
      </c>
      <c r="G3" s="3">
        <v>3.1994148650080199</v>
      </c>
      <c r="H3" s="3">
        <v>3.819658860763</v>
      </c>
      <c r="I3" s="3">
        <v>1.3576502200634299</v>
      </c>
      <c r="J3" s="3">
        <v>2.1569156843285202</v>
      </c>
      <c r="K3" s="3">
        <v>3.4638687105566</v>
      </c>
      <c r="L3" s="3">
        <v>2.8169734803431901</v>
      </c>
      <c r="M3" s="3">
        <v>4.1118722665011802</v>
      </c>
      <c r="N3" s="3">
        <v>3.3992814152499902</v>
      </c>
    </row>
    <row r="4" spans="1:14" x14ac:dyDescent="0.35">
      <c r="A4" s="2">
        <v>41794</v>
      </c>
      <c r="B4" s="3">
        <v>4.2245921584264101</v>
      </c>
      <c r="C4" s="3">
        <v>4.81573749921409</v>
      </c>
      <c r="D4" s="3">
        <v>2.86445334380831</v>
      </c>
      <c r="E4" s="3">
        <v>2.97118918547174</v>
      </c>
      <c r="F4" s="3">
        <v>2.10484082061671</v>
      </c>
      <c r="G4" s="3">
        <v>3.2162066224983001</v>
      </c>
      <c r="H4" s="3">
        <v>3.8574980750043699</v>
      </c>
      <c r="I4" s="3">
        <v>1.31085769127697</v>
      </c>
      <c r="J4" s="3">
        <v>2.1212284276778299</v>
      </c>
      <c r="K4" s="3">
        <v>3.4031467781742699</v>
      </c>
      <c r="L4" s="3">
        <v>2.81302604363984</v>
      </c>
      <c r="M4" s="3">
        <v>4.0674504129396301</v>
      </c>
      <c r="N4" s="3">
        <v>3.4852803285338698</v>
      </c>
    </row>
    <row r="5" spans="1:14" x14ac:dyDescent="0.35">
      <c r="A5" s="2">
        <v>41823</v>
      </c>
      <c r="B5" s="3">
        <v>4.421391511775</v>
      </c>
      <c r="C5" s="3">
        <v>4.7895479661527602</v>
      </c>
      <c r="D5" s="3">
        <v>2.7969086060078299</v>
      </c>
      <c r="E5" s="3">
        <v>2.97712171938965</v>
      </c>
      <c r="F5" s="3">
        <v>2.04869438770492</v>
      </c>
      <c r="G5" s="3">
        <v>3.2778253014955201</v>
      </c>
      <c r="H5" s="3">
        <v>3.8006162773929701</v>
      </c>
      <c r="I5" s="3">
        <v>1.2429523936479501</v>
      </c>
      <c r="J5" s="3">
        <v>2.0728783812713201</v>
      </c>
      <c r="K5" s="3">
        <v>3.3946654796295301</v>
      </c>
      <c r="L5" s="3">
        <v>2.74809731260379</v>
      </c>
      <c r="M5" s="3">
        <v>4.0513519981743098</v>
      </c>
      <c r="N5" s="3">
        <v>3.2772915824992901</v>
      </c>
    </row>
    <row r="6" spans="1:14" x14ac:dyDescent="0.35">
      <c r="A6" s="2">
        <v>41855</v>
      </c>
      <c r="B6" s="3">
        <v>4.5222618342320704</v>
      </c>
      <c r="C6" s="3">
        <v>4.7249409949201597</v>
      </c>
      <c r="D6" s="3">
        <v>2.8037945732357401</v>
      </c>
      <c r="E6" s="3">
        <v>3.2795249870720502</v>
      </c>
      <c r="F6" s="3">
        <v>2.0684394263979202</v>
      </c>
      <c r="G6" s="3">
        <v>3.4373614142056401</v>
      </c>
      <c r="H6" s="3">
        <v>3.94260197358662</v>
      </c>
      <c r="I6" s="3">
        <v>1.2600903545025799</v>
      </c>
      <c r="J6" s="3">
        <v>2.1412459750778901</v>
      </c>
      <c r="K6" s="3">
        <v>3.6293892203342599</v>
      </c>
      <c r="L6" s="3">
        <v>3.0285580878165299</v>
      </c>
      <c r="M6" s="3">
        <v>4.2841171791209902</v>
      </c>
      <c r="N6" s="3">
        <v>3.5736755904708</v>
      </c>
    </row>
    <row r="7" spans="1:14" x14ac:dyDescent="0.35">
      <c r="A7" s="2">
        <v>41886</v>
      </c>
      <c r="B7" s="3">
        <v>4.5538297847439697</v>
      </c>
      <c r="C7" s="3">
        <v>4.6852912419517496</v>
      </c>
      <c r="D7" s="3">
        <v>2.75454630731311</v>
      </c>
      <c r="E7" s="3">
        <v>3.0916174194669201</v>
      </c>
      <c r="F7" s="3">
        <v>2.057172969887</v>
      </c>
      <c r="G7" s="3">
        <v>3.2624979549924502</v>
      </c>
      <c r="H7" s="3">
        <v>3.8657250242256902</v>
      </c>
      <c r="I7" s="3">
        <v>1.21679091316816</v>
      </c>
      <c r="J7" s="3">
        <v>2.0921385709673301</v>
      </c>
      <c r="K7" s="3">
        <v>3.4605156924875602</v>
      </c>
      <c r="L7" s="3">
        <v>2.9283390560087801</v>
      </c>
      <c r="M7" s="3">
        <v>4.18828352234158</v>
      </c>
      <c r="N7" s="3">
        <v>3.45177240438227</v>
      </c>
    </row>
    <row r="8" spans="1:14" x14ac:dyDescent="0.35">
      <c r="A8" s="2">
        <v>41915</v>
      </c>
      <c r="B8" s="3">
        <v>4.6018441958213003</v>
      </c>
      <c r="C8" s="3">
        <v>5.0505751923125297</v>
      </c>
      <c r="D8" s="3">
        <v>2.9136947450646602</v>
      </c>
      <c r="E8" s="3">
        <v>3.2918812746062098</v>
      </c>
      <c r="F8" s="3">
        <v>2.0950817466838201</v>
      </c>
      <c r="G8" s="3">
        <v>3.3997593548756799</v>
      </c>
      <c r="H8" s="3">
        <v>4.1343508821861903</v>
      </c>
      <c r="I8" s="3">
        <v>1.2465488339708399</v>
      </c>
      <c r="J8" s="3">
        <v>2.1383790731585202</v>
      </c>
      <c r="K8" s="3">
        <v>3.6636616617606399</v>
      </c>
      <c r="L8" s="3">
        <v>3.0663210573131501</v>
      </c>
      <c r="M8" s="3">
        <v>4.3073899954270702</v>
      </c>
      <c r="N8" s="3">
        <v>3.7721589548540599</v>
      </c>
    </row>
    <row r="9" spans="1:14" x14ac:dyDescent="0.35">
      <c r="A9" s="2">
        <v>41947</v>
      </c>
      <c r="B9" s="3">
        <v>4.4799005881870499</v>
      </c>
      <c r="C9" s="3">
        <v>4.8428285744274202</v>
      </c>
      <c r="D9" s="3">
        <v>3.0148751553673598</v>
      </c>
      <c r="E9" s="3">
        <v>3.3210644941492302</v>
      </c>
      <c r="F9" s="3">
        <v>1.9672808223510401</v>
      </c>
      <c r="G9" s="3">
        <v>3.3608291599013902</v>
      </c>
      <c r="H9" s="3">
        <v>4.1535549676239798</v>
      </c>
      <c r="I9" s="3">
        <v>1.22815233439533</v>
      </c>
      <c r="J9" s="3">
        <v>2.1157293271772999</v>
      </c>
      <c r="K9" s="3">
        <v>3.7829506498874701</v>
      </c>
      <c r="L9" s="3">
        <v>3.1382556192667801</v>
      </c>
      <c r="M9" s="3">
        <v>4.21474888694285</v>
      </c>
      <c r="N9" s="3">
        <v>4.0431746040927301</v>
      </c>
    </row>
    <row r="10" spans="1:14" x14ac:dyDescent="0.35">
      <c r="A10" s="2">
        <v>41977</v>
      </c>
      <c r="B10" s="3">
        <v>4.5075964245315197</v>
      </c>
      <c r="C10" s="3">
        <v>4.9793321952458003</v>
      </c>
      <c r="D10" s="3">
        <v>2.98312231478788</v>
      </c>
      <c r="E10" s="3">
        <v>3.1695357827974</v>
      </c>
      <c r="F10" s="3">
        <v>1.91677458682577</v>
      </c>
      <c r="G10" s="3">
        <v>3.2382515753593499</v>
      </c>
      <c r="H10" s="3">
        <v>4.0524567181778197</v>
      </c>
      <c r="I10" s="3">
        <v>1.19860449424864</v>
      </c>
      <c r="J10" s="3">
        <v>2.07346328990957</v>
      </c>
      <c r="K10" s="3">
        <v>3.6005312573779702</v>
      </c>
      <c r="L10" s="3">
        <v>3.0133365225154498</v>
      </c>
      <c r="M10" s="3">
        <v>4.1189321066983204</v>
      </c>
      <c r="N10" s="3">
        <v>3.9333828042141001</v>
      </c>
    </row>
    <row r="11" spans="1:14" x14ac:dyDescent="0.35">
      <c r="A11" s="2">
        <v>42006</v>
      </c>
      <c r="B11" s="3">
        <v>4.4358679634783202</v>
      </c>
      <c r="C11" s="3">
        <v>4.9561055006104802</v>
      </c>
      <c r="D11" s="3">
        <v>2.9062713291534599</v>
      </c>
      <c r="E11" s="3">
        <v>3.2067397206617598</v>
      </c>
      <c r="F11" s="3">
        <v>1.9823228051247399</v>
      </c>
      <c r="G11" s="3">
        <v>3.31217177074199</v>
      </c>
      <c r="H11" s="3">
        <v>4.1700632662538801</v>
      </c>
      <c r="I11" s="3">
        <v>1.2078907210396901</v>
      </c>
      <c r="J11" s="3">
        <v>2.1022932342426501</v>
      </c>
      <c r="K11" s="3">
        <v>3.6491623084804501</v>
      </c>
      <c r="L11" s="3">
        <v>3.0814615464786699</v>
      </c>
      <c r="M11" s="3">
        <v>4.0974509664979504</v>
      </c>
      <c r="N11" s="3">
        <v>4.0613458766300203</v>
      </c>
    </row>
    <row r="12" spans="1:14" x14ac:dyDescent="0.35">
      <c r="A12" s="2">
        <v>42039</v>
      </c>
      <c r="B12" s="3">
        <v>4.2939646340505702</v>
      </c>
      <c r="C12" s="3">
        <v>4.69378123510542</v>
      </c>
      <c r="D12" s="3">
        <v>2.89425708206254</v>
      </c>
      <c r="E12" s="3">
        <v>2.8951408329497901</v>
      </c>
      <c r="F12" s="3">
        <v>2.0028942242896801</v>
      </c>
      <c r="G12" s="3">
        <v>3.2918169317797998</v>
      </c>
      <c r="H12" s="3">
        <v>3.9989393994876301</v>
      </c>
      <c r="I12" s="3">
        <v>1.26336058111876</v>
      </c>
      <c r="J12" s="3">
        <v>2.1549667726442201</v>
      </c>
      <c r="K12" s="3">
        <v>3.2987069627623602</v>
      </c>
      <c r="L12" s="3">
        <v>2.90041212861688</v>
      </c>
      <c r="M12" s="3">
        <v>3.8336999084263299</v>
      </c>
      <c r="N12" s="3">
        <v>3.71302426186281</v>
      </c>
    </row>
    <row r="13" spans="1:14" x14ac:dyDescent="0.35">
      <c r="A13" s="2">
        <v>42067</v>
      </c>
      <c r="B13" s="3">
        <v>4.2786939582460199</v>
      </c>
      <c r="C13" s="3">
        <v>4.5751627807176103</v>
      </c>
      <c r="D13" s="3">
        <v>2.8817856093137801</v>
      </c>
      <c r="E13" s="3">
        <v>2.7830902482211601</v>
      </c>
      <c r="F13" s="3">
        <v>1.8945902498606599</v>
      </c>
      <c r="G13" s="3">
        <v>3.1790003717084301</v>
      </c>
      <c r="H13" s="3">
        <v>3.9099848483326598</v>
      </c>
      <c r="I13" s="3">
        <v>1.2101408545018799</v>
      </c>
      <c r="J13" s="3">
        <v>2.1352215920001298</v>
      </c>
      <c r="K13" s="3">
        <v>3.2032266719908198</v>
      </c>
      <c r="L13" s="3">
        <v>2.7115116715301699</v>
      </c>
      <c r="M13" s="3">
        <v>3.6701945058399499</v>
      </c>
      <c r="N13" s="3">
        <v>3.4747231844366002</v>
      </c>
    </row>
    <row r="14" spans="1:14" x14ac:dyDescent="0.35">
      <c r="A14" s="2">
        <v>42096</v>
      </c>
      <c r="B14" s="3">
        <v>4.4138014957123</v>
      </c>
      <c r="C14" s="3">
        <v>4.6105427087076096</v>
      </c>
      <c r="D14" s="3">
        <v>2.8898505926306899</v>
      </c>
      <c r="E14" s="3">
        <v>2.6897686403498202</v>
      </c>
      <c r="F14" s="3">
        <v>1.87306489716522</v>
      </c>
      <c r="G14" s="3">
        <v>3.1310947975759502</v>
      </c>
      <c r="H14" s="3">
        <v>4.0204209325582001</v>
      </c>
      <c r="I14" s="3">
        <v>1.2822542300114801</v>
      </c>
      <c r="J14" s="3">
        <v>2.18037388974949</v>
      </c>
      <c r="K14" s="3">
        <v>3.1690834870554498</v>
      </c>
      <c r="L14" s="3">
        <v>2.6544686056369402</v>
      </c>
      <c r="M14" s="3">
        <v>3.6593769068961501</v>
      </c>
      <c r="N14" s="3">
        <v>3.1316035807262699</v>
      </c>
    </row>
    <row r="15" spans="1:14" x14ac:dyDescent="0.35">
      <c r="A15" s="2">
        <v>42128</v>
      </c>
      <c r="B15" s="3">
        <v>4.4798010827833403</v>
      </c>
      <c r="C15" s="3">
        <v>4.6412195906918097</v>
      </c>
      <c r="D15" s="3">
        <v>2.8164815887254999</v>
      </c>
      <c r="E15" s="3">
        <v>2.8313052755384298</v>
      </c>
      <c r="F15" s="3">
        <v>1.8641846079772599</v>
      </c>
      <c r="G15" s="3">
        <v>3.0971168579077299</v>
      </c>
      <c r="H15" s="3">
        <v>3.9203949349509499</v>
      </c>
      <c r="I15" s="3">
        <v>1.23725505667508</v>
      </c>
      <c r="J15" s="3">
        <v>2.1441308405287001</v>
      </c>
      <c r="K15" s="3">
        <v>3.23008449182558</v>
      </c>
      <c r="L15" s="3">
        <v>2.7385138050708502</v>
      </c>
      <c r="M15" s="3">
        <v>3.7922137696959699</v>
      </c>
      <c r="N15" s="3">
        <v>3.17642927206668</v>
      </c>
    </row>
    <row r="16" spans="1:14" x14ac:dyDescent="0.35">
      <c r="A16" s="2">
        <v>42159</v>
      </c>
      <c r="B16" s="3">
        <v>4.4201361714595704</v>
      </c>
      <c r="C16" s="3">
        <v>4.9402546925016599</v>
      </c>
      <c r="D16" s="3">
        <v>2.90063917353018</v>
      </c>
      <c r="E16" s="3">
        <v>2.96323636338921</v>
      </c>
      <c r="F16" s="3">
        <v>1.8470796544233501</v>
      </c>
      <c r="G16" s="3">
        <v>3.1205149689682701</v>
      </c>
      <c r="H16" s="3">
        <v>3.9896961127748298</v>
      </c>
      <c r="I16" s="3">
        <v>1.24566531612437</v>
      </c>
      <c r="J16" s="3">
        <v>2.1738431608619901</v>
      </c>
      <c r="K16" s="3">
        <v>3.3042734333581598</v>
      </c>
      <c r="L16" s="3">
        <v>2.86920066045636</v>
      </c>
      <c r="M16" s="3">
        <v>3.84371011100898</v>
      </c>
      <c r="N16" s="3">
        <v>3.22621512697682</v>
      </c>
    </row>
    <row r="17" spans="1:14" x14ac:dyDescent="0.35">
      <c r="A17" s="2">
        <v>42187</v>
      </c>
      <c r="B17" s="3">
        <v>4.6118671941691503</v>
      </c>
      <c r="C17" s="3">
        <v>4.85649458853878</v>
      </c>
      <c r="D17" s="3">
        <v>3.0015151753047</v>
      </c>
      <c r="E17" s="3">
        <v>3.05685616476568</v>
      </c>
      <c r="F17" s="3">
        <v>1.9015929706569401</v>
      </c>
      <c r="G17" s="3">
        <v>3.2380626026624202</v>
      </c>
      <c r="H17" s="3">
        <v>4.1442046729690496</v>
      </c>
      <c r="I17" s="3">
        <v>1.2612209277419599</v>
      </c>
      <c r="J17" s="3">
        <v>2.19149921343609</v>
      </c>
      <c r="K17" s="3">
        <v>3.4291090081297502</v>
      </c>
      <c r="L17" s="3">
        <v>2.9503104836919598</v>
      </c>
      <c r="M17" s="3">
        <v>4.0262084881765796</v>
      </c>
      <c r="N17" s="3">
        <v>3.3237778299065299</v>
      </c>
    </row>
    <row r="18" spans="1:14" x14ac:dyDescent="0.35">
      <c r="A18" s="2">
        <v>42220</v>
      </c>
      <c r="B18" s="3">
        <v>4.5394004670719497</v>
      </c>
      <c r="C18" s="3">
        <v>4.7967084146360097</v>
      </c>
      <c r="D18" s="3">
        <v>3.0603238578866998</v>
      </c>
      <c r="E18" s="3">
        <v>2.9752385699538402</v>
      </c>
      <c r="F18" s="3">
        <v>1.90297415196875</v>
      </c>
      <c r="G18" s="3">
        <v>3.0944325510196302</v>
      </c>
      <c r="H18" s="3">
        <v>4.1017500484471201</v>
      </c>
      <c r="I18" s="3">
        <v>1.26898564208871</v>
      </c>
      <c r="J18" s="3">
        <v>2.2034946792876</v>
      </c>
      <c r="K18" s="3">
        <v>3.2806617251395398</v>
      </c>
      <c r="L18" s="3">
        <v>2.86384022510323</v>
      </c>
      <c r="M18" s="3">
        <v>3.9765215516692201</v>
      </c>
      <c r="N18" s="3">
        <v>3.1342844475480498</v>
      </c>
    </row>
    <row r="19" spans="1:14" x14ac:dyDescent="0.35">
      <c r="A19" s="2">
        <v>42251</v>
      </c>
      <c r="B19" s="3">
        <v>5.22260074814821</v>
      </c>
      <c r="C19" s="3">
        <v>5.51200695998104</v>
      </c>
      <c r="D19" s="3">
        <v>3.2566041998067798</v>
      </c>
      <c r="E19" s="3">
        <v>3.4008612431173901</v>
      </c>
      <c r="F19" s="3">
        <v>2.20556783206123</v>
      </c>
      <c r="G19" s="3">
        <v>3.3934667117799302</v>
      </c>
      <c r="H19" s="3">
        <v>4.5752074776156197</v>
      </c>
      <c r="I19" s="3">
        <v>1.39250307387024</v>
      </c>
      <c r="J19" s="3">
        <v>2.4153190608063202</v>
      </c>
      <c r="K19" s="3">
        <v>3.7202261220455699</v>
      </c>
      <c r="L19" s="3">
        <v>3.4837398594693698</v>
      </c>
      <c r="M19" s="3">
        <v>4.4089477179791396</v>
      </c>
      <c r="N19" s="3">
        <v>3.4494806855654199</v>
      </c>
    </row>
    <row r="20" spans="1:14" x14ac:dyDescent="0.35">
      <c r="A20" s="2">
        <v>42279</v>
      </c>
      <c r="B20" s="3">
        <v>5.2983767660273404</v>
      </c>
      <c r="C20" s="3">
        <v>5.4549610302002796</v>
      </c>
      <c r="D20" s="3">
        <v>3.3054713154918698</v>
      </c>
      <c r="E20" s="3">
        <v>3.51099814566017</v>
      </c>
      <c r="F20" s="3">
        <v>2.2133136853556601</v>
      </c>
      <c r="G20" s="3">
        <v>3.43939997398871</v>
      </c>
      <c r="H20" s="3">
        <v>4.4296831846613296</v>
      </c>
      <c r="I20" s="3">
        <v>1.3672001617655101</v>
      </c>
      <c r="J20" s="3">
        <v>2.3819927400980299</v>
      </c>
      <c r="K20" s="3">
        <v>3.75713712725147</v>
      </c>
      <c r="L20" s="3">
        <v>3.5927448490592102</v>
      </c>
      <c r="M20" s="3">
        <v>4.5713656665182398</v>
      </c>
      <c r="N20" s="3">
        <v>3.69527891923271</v>
      </c>
    </row>
    <row r="21" spans="1:14" x14ac:dyDescent="0.35">
      <c r="A21" s="2">
        <v>42312</v>
      </c>
      <c r="B21" s="3">
        <v>4.8425768586286697</v>
      </c>
      <c r="C21" s="3">
        <v>5.2331221559621799</v>
      </c>
      <c r="D21" s="3">
        <v>3.2338390162216601</v>
      </c>
      <c r="E21" s="3">
        <v>2.9998287589586399</v>
      </c>
      <c r="F21" s="3">
        <v>2.0795174694723699</v>
      </c>
      <c r="G21" s="3">
        <v>3.2441379162591</v>
      </c>
      <c r="H21" s="3">
        <v>4.1890863447480102</v>
      </c>
      <c r="I21" s="3">
        <v>1.2500149945807</v>
      </c>
      <c r="J21" s="3">
        <v>2.2265060951735798</v>
      </c>
      <c r="K21" s="3">
        <v>3.4057143489167898</v>
      </c>
      <c r="L21" s="3">
        <v>3.1852585945635101</v>
      </c>
      <c r="M21" s="3">
        <v>4.12405639252162</v>
      </c>
      <c r="N21" s="3">
        <v>3.5889715710003598</v>
      </c>
    </row>
    <row r="22" spans="1:14" x14ac:dyDescent="0.35">
      <c r="A22" s="2">
        <v>42342</v>
      </c>
      <c r="B22" s="3">
        <v>4.78887374216258</v>
      </c>
      <c r="C22" s="3">
        <v>5.2746795711733201</v>
      </c>
      <c r="D22" s="3">
        <v>3.3127328869269101</v>
      </c>
      <c r="E22" s="3">
        <v>3.02327542846115</v>
      </c>
      <c r="F22" s="3">
        <v>2.0516927131749001</v>
      </c>
      <c r="G22" s="3">
        <v>3.2845116199108899</v>
      </c>
      <c r="H22" s="3">
        <v>4.2863550785478903</v>
      </c>
      <c r="I22" s="3">
        <v>1.2594201906243001</v>
      </c>
      <c r="J22" s="3">
        <v>2.2641211874548</v>
      </c>
      <c r="K22" s="3">
        <v>3.5326087758085598</v>
      </c>
      <c r="L22" s="3">
        <v>3.2459220238840798</v>
      </c>
      <c r="M22" s="3">
        <v>4.2157138131563903</v>
      </c>
      <c r="N22" s="3">
        <v>3.6609645805887499</v>
      </c>
    </row>
    <row r="23" spans="1:14" x14ac:dyDescent="0.35">
      <c r="A23" s="2">
        <v>42373</v>
      </c>
      <c r="B23" s="3">
        <v>4.7301952688323601</v>
      </c>
      <c r="C23" s="3">
        <v>5.1425333614273798</v>
      </c>
      <c r="D23" s="3">
        <v>3.3821873196577501</v>
      </c>
      <c r="E23" s="3">
        <v>3.1627918187645099</v>
      </c>
      <c r="F23" s="3">
        <v>2.1509945239934001</v>
      </c>
      <c r="G23" s="3">
        <v>3.3422514923307598</v>
      </c>
      <c r="H23" s="3">
        <v>4.4146472962079901</v>
      </c>
      <c r="I23" s="3">
        <v>1.2875104026795401</v>
      </c>
      <c r="J23" s="3">
        <v>2.35278634248131</v>
      </c>
      <c r="K23" s="3">
        <v>3.6951359339969998</v>
      </c>
      <c r="L23" s="3">
        <v>3.2175942245315401</v>
      </c>
      <c r="M23" s="3">
        <v>4.4674352594582603</v>
      </c>
      <c r="N23" s="3">
        <v>3.9866949557329101</v>
      </c>
    </row>
    <row r="24" spans="1:14" x14ac:dyDescent="0.35">
      <c r="A24" s="2">
        <v>42404</v>
      </c>
      <c r="B24" s="3">
        <v>4.8815805438372699</v>
      </c>
      <c r="C24" s="3">
        <v>5.1446920414845696</v>
      </c>
      <c r="D24" s="3">
        <v>3.37988259420051</v>
      </c>
      <c r="E24" s="3">
        <v>3.4841343956224202</v>
      </c>
      <c r="F24" s="3">
        <v>2.34772702152295</v>
      </c>
      <c r="G24" s="3">
        <v>3.51354674088293</v>
      </c>
      <c r="H24" s="3">
        <v>4.5277995906779704</v>
      </c>
      <c r="I24" s="3">
        <v>1.3984289379076</v>
      </c>
      <c r="J24" s="3">
        <v>2.4518202590146898</v>
      </c>
      <c r="K24" s="3">
        <v>3.9150136998354101</v>
      </c>
      <c r="L24" s="3">
        <v>3.4065065226489901</v>
      </c>
      <c r="M24" s="3">
        <v>4.5132168642495598</v>
      </c>
      <c r="N24" s="3">
        <v>4.5965907639730004</v>
      </c>
    </row>
    <row r="25" spans="1:14" x14ac:dyDescent="0.35">
      <c r="A25" s="2">
        <v>42433</v>
      </c>
      <c r="B25" s="3">
        <v>4.7355690434556204</v>
      </c>
      <c r="C25" s="3">
        <v>4.8076398435173999</v>
      </c>
      <c r="D25" s="3">
        <v>3.25532814973938</v>
      </c>
      <c r="E25" s="3">
        <v>3.3580765193853099</v>
      </c>
      <c r="F25" s="3">
        <v>2.3348712620541701</v>
      </c>
      <c r="G25" s="3">
        <v>3.48595322964661</v>
      </c>
      <c r="H25" s="3">
        <v>4.3451297176959001</v>
      </c>
      <c r="I25" s="3">
        <v>1.3752583445411299</v>
      </c>
      <c r="J25" s="3">
        <v>2.4751977345461702</v>
      </c>
      <c r="K25" s="3">
        <v>3.7332835280433501</v>
      </c>
      <c r="L25" s="3">
        <v>3.30689514791493</v>
      </c>
      <c r="M25" s="3">
        <v>4.2724422741614401</v>
      </c>
      <c r="N25" s="3">
        <v>4.3335672392327496</v>
      </c>
    </row>
    <row r="26" spans="1:14" x14ac:dyDescent="0.35">
      <c r="A26" s="2">
        <v>42464</v>
      </c>
      <c r="B26" s="3">
        <v>4.5540894814410899</v>
      </c>
      <c r="C26" s="3">
        <v>4.9388432787726204</v>
      </c>
      <c r="D26" s="3">
        <v>3.1960417937109602</v>
      </c>
      <c r="E26" s="3">
        <v>3.3384261133544202</v>
      </c>
      <c r="F26" s="3">
        <v>2.4826517338591398</v>
      </c>
      <c r="G26" s="3">
        <v>3.5720704575452098</v>
      </c>
      <c r="H26" s="3">
        <v>4.3671734109404401</v>
      </c>
      <c r="I26" s="3">
        <v>1.3257056083218599</v>
      </c>
      <c r="J26" s="3">
        <v>2.2917987413403398</v>
      </c>
      <c r="K26" s="3">
        <v>3.8020944205311702</v>
      </c>
      <c r="L26" s="3">
        <v>3.3342024712768099</v>
      </c>
      <c r="M26" s="3">
        <v>4.4026623563380998</v>
      </c>
      <c r="N26" s="3">
        <v>4.5400717595901599</v>
      </c>
    </row>
    <row r="27" spans="1:14" x14ac:dyDescent="0.35">
      <c r="A27" s="2">
        <v>42494</v>
      </c>
      <c r="B27" s="3">
        <v>4.5754346484583301</v>
      </c>
      <c r="C27" s="3">
        <v>4.6373535844382499</v>
      </c>
      <c r="D27" s="3">
        <v>3.1259452667250298</v>
      </c>
      <c r="E27" s="3">
        <v>3.3797492932466802</v>
      </c>
      <c r="F27" s="3">
        <v>2.46637665648089</v>
      </c>
      <c r="G27" s="3">
        <v>3.5821444808761602</v>
      </c>
      <c r="H27" s="3">
        <v>4.3840908476051696</v>
      </c>
      <c r="I27" s="3">
        <v>1.40017082717854</v>
      </c>
      <c r="J27" s="3">
        <v>2.2927014117324598</v>
      </c>
      <c r="K27" s="3">
        <v>3.8050040825951501</v>
      </c>
      <c r="L27" s="3">
        <v>3.4449171676166501</v>
      </c>
      <c r="M27" s="3">
        <v>4.5066376565326802</v>
      </c>
      <c r="N27" s="3">
        <v>4.4813716475648704</v>
      </c>
    </row>
    <row r="28" spans="1:14" x14ac:dyDescent="0.35">
      <c r="A28" s="2">
        <v>42524</v>
      </c>
      <c r="B28" s="3">
        <v>4.3243854089323799</v>
      </c>
      <c r="C28" s="3">
        <v>4.6073685139404503</v>
      </c>
      <c r="D28" s="3">
        <v>3.0146854903203102</v>
      </c>
      <c r="E28" s="3">
        <v>3.3264989388852499</v>
      </c>
      <c r="F28" s="3">
        <v>2.3645745513007199</v>
      </c>
      <c r="G28" s="3">
        <v>3.4711195277941602</v>
      </c>
      <c r="H28" s="3">
        <v>4.2939492948551203</v>
      </c>
      <c r="I28" s="3">
        <v>1.34556864664874</v>
      </c>
      <c r="J28" s="3">
        <v>2.2720847472371499</v>
      </c>
      <c r="K28" s="3">
        <v>3.74099399348952</v>
      </c>
      <c r="L28" s="3">
        <v>3.15820379646118</v>
      </c>
      <c r="M28" s="3">
        <v>4.4492085155359398</v>
      </c>
      <c r="N28" s="3">
        <v>4.6806841080965702</v>
      </c>
    </row>
    <row r="29" spans="1:14" x14ac:dyDescent="0.35">
      <c r="A29" s="2">
        <v>42552</v>
      </c>
      <c r="B29" s="3">
        <v>4.39813902459698</v>
      </c>
      <c r="C29" s="3">
        <v>4.6711015072447699</v>
      </c>
      <c r="D29" s="3">
        <v>3.0768974137006002</v>
      </c>
      <c r="E29" s="3">
        <v>3.4509056450175302</v>
      </c>
      <c r="F29" s="3">
        <v>2.5223679725129</v>
      </c>
      <c r="G29" s="3">
        <v>3.5203014955333001</v>
      </c>
      <c r="H29" s="3">
        <v>4.1832785336422598</v>
      </c>
      <c r="I29" s="3">
        <v>1.35862473258535</v>
      </c>
      <c r="J29" s="3">
        <v>2.2767591215617702</v>
      </c>
      <c r="K29" s="3">
        <v>3.8749892885785799</v>
      </c>
      <c r="L29" s="3">
        <v>3.3296145943365199</v>
      </c>
      <c r="M29" s="3">
        <v>4.4598482880517798</v>
      </c>
      <c r="N29" s="3">
        <v>4.95911206174502</v>
      </c>
    </row>
    <row r="30" spans="1:14" x14ac:dyDescent="0.35">
      <c r="A30" s="2">
        <v>42586</v>
      </c>
      <c r="B30" s="3">
        <v>4.1756382331329496</v>
      </c>
      <c r="C30" s="3">
        <v>4.5067475101508201</v>
      </c>
      <c r="D30" s="3">
        <v>2.9933494731812398</v>
      </c>
      <c r="E30" s="3">
        <v>3.29355906323087</v>
      </c>
      <c r="F30" s="3">
        <v>2.4555376380872702</v>
      </c>
      <c r="G30" s="3">
        <v>3.5118009164571502</v>
      </c>
      <c r="H30" s="3">
        <v>4.1339116674230203</v>
      </c>
      <c r="I30" s="3">
        <v>1.2881413867148499</v>
      </c>
      <c r="J30" s="3">
        <v>2.2206927845399398</v>
      </c>
      <c r="K30" s="3">
        <v>3.8065177941373398</v>
      </c>
      <c r="L30" s="3">
        <v>3.22708402576824</v>
      </c>
      <c r="M30" s="3">
        <v>4.3684161080334603</v>
      </c>
      <c r="N30" s="3">
        <v>4.9181401791549204</v>
      </c>
    </row>
    <row r="31" spans="1:14" x14ac:dyDescent="0.35">
      <c r="A31" s="2">
        <v>42615</v>
      </c>
      <c r="B31" s="3">
        <v>4.1999024551795703</v>
      </c>
      <c r="C31" s="3">
        <v>4.5823608241987204</v>
      </c>
      <c r="D31" s="3">
        <v>2.9357004564537701</v>
      </c>
      <c r="E31" s="3">
        <v>3.1575918083706598</v>
      </c>
      <c r="F31" s="3">
        <v>2.3410050025581901</v>
      </c>
      <c r="G31" s="3">
        <v>3.4282207094856698</v>
      </c>
      <c r="H31" s="3">
        <v>4.0356491162386998</v>
      </c>
      <c r="I31" s="3">
        <v>1.28338731892531</v>
      </c>
      <c r="J31" s="3">
        <v>2.21341278146833</v>
      </c>
      <c r="K31" s="3">
        <v>3.65727704865518</v>
      </c>
      <c r="L31" s="3">
        <v>3.0671957463802402</v>
      </c>
      <c r="M31" s="3">
        <v>4.1854020946983601</v>
      </c>
      <c r="N31" s="3">
        <v>4.71141530882967</v>
      </c>
    </row>
    <row r="32" spans="1:14" x14ac:dyDescent="0.35">
      <c r="A32" s="2">
        <v>42647</v>
      </c>
      <c r="B32" s="3">
        <v>4.31175282565325</v>
      </c>
      <c r="C32" s="3">
        <v>4.5114034593338204</v>
      </c>
      <c r="D32" s="3">
        <v>2.9709131661730699</v>
      </c>
      <c r="E32" s="3">
        <v>3.1368079695418101</v>
      </c>
      <c r="F32" s="3">
        <v>2.3795188794894502</v>
      </c>
      <c r="G32" s="3">
        <v>3.4693262125998898</v>
      </c>
      <c r="H32" s="3">
        <v>4.0927771825230401</v>
      </c>
      <c r="I32" s="3">
        <v>1.2651742188449799</v>
      </c>
      <c r="J32" s="3">
        <v>2.2400826857109801</v>
      </c>
      <c r="K32" s="3">
        <v>3.69666651328337</v>
      </c>
      <c r="L32" s="3">
        <v>3.08425972778601</v>
      </c>
      <c r="M32" s="3">
        <v>4.1418716639045199</v>
      </c>
      <c r="N32" s="3">
        <v>5.0069152120356097</v>
      </c>
    </row>
    <row r="33" spans="1:14" x14ac:dyDescent="0.35">
      <c r="A33" s="2">
        <v>42678</v>
      </c>
      <c r="B33" s="3">
        <v>4.7555480054140702</v>
      </c>
      <c r="C33" s="3">
        <v>4.7768930052530898</v>
      </c>
      <c r="D33" s="3">
        <v>2.9927632344179398</v>
      </c>
      <c r="E33" s="3">
        <v>3.27905138003926</v>
      </c>
      <c r="F33" s="3">
        <v>2.3909010067058398</v>
      </c>
      <c r="G33" s="3">
        <v>3.71827232610039</v>
      </c>
      <c r="H33" s="3">
        <v>4.4726564020469697</v>
      </c>
      <c r="I33" s="3">
        <v>1.33313270243846</v>
      </c>
      <c r="J33" s="3">
        <v>2.3238411603778601</v>
      </c>
      <c r="K33" s="3">
        <v>3.8420670036528199</v>
      </c>
      <c r="L33" s="3">
        <v>3.2294777760324802</v>
      </c>
      <c r="M33" s="3">
        <v>4.2457055587185097</v>
      </c>
      <c r="N33" s="3">
        <v>4.9969074976834698</v>
      </c>
    </row>
    <row r="34" spans="1:14" x14ac:dyDescent="0.35">
      <c r="A34" s="2">
        <v>42706</v>
      </c>
      <c r="B34" s="3">
        <v>4.5771612799335903</v>
      </c>
      <c r="C34" s="3">
        <v>4.5921258937981202</v>
      </c>
      <c r="D34" s="3">
        <v>2.8850908089866398</v>
      </c>
      <c r="E34" s="3">
        <v>3.2270697440505201</v>
      </c>
      <c r="F34" s="3">
        <v>2.1676026399486101</v>
      </c>
      <c r="G34" s="3">
        <v>3.7163069981916199</v>
      </c>
      <c r="H34" s="3">
        <v>4.4379286725315099</v>
      </c>
      <c r="I34" s="3">
        <v>1.3159234002306099</v>
      </c>
      <c r="J34" s="3">
        <v>2.2232763064649599</v>
      </c>
      <c r="K34" s="3">
        <v>3.6935932302750398</v>
      </c>
      <c r="L34" s="3">
        <v>3.1743143630295698</v>
      </c>
      <c r="M34" s="3">
        <v>4.03949567137985</v>
      </c>
      <c r="N34" s="3">
        <v>4.8237432990970799</v>
      </c>
    </row>
    <row r="35" spans="1:14" x14ac:dyDescent="0.35">
      <c r="A35" s="2">
        <v>42739</v>
      </c>
      <c r="B35" s="3">
        <v>4.5854951229860204</v>
      </c>
      <c r="C35" s="3">
        <v>4.4719070394181797</v>
      </c>
      <c r="D35" s="3">
        <v>2.8082013098954901</v>
      </c>
      <c r="E35" s="3">
        <v>2.9542452089483802</v>
      </c>
      <c r="F35" s="3">
        <v>2.0775685046377199</v>
      </c>
      <c r="G35" s="3">
        <v>3.5122864385178398</v>
      </c>
      <c r="H35" s="3">
        <v>4.25376568923103</v>
      </c>
      <c r="I35" s="3">
        <v>1.28306640940629</v>
      </c>
      <c r="J35" s="3">
        <v>2.1592873186382899</v>
      </c>
      <c r="K35" s="3">
        <v>3.4457616683946002</v>
      </c>
      <c r="L35" s="3">
        <v>2.9390998275587799</v>
      </c>
      <c r="M35" s="3">
        <v>3.8654011357032898</v>
      </c>
      <c r="N35" s="3">
        <v>4.2301917276839003</v>
      </c>
    </row>
    <row r="36" spans="1:14" x14ac:dyDescent="0.35">
      <c r="A36" s="2">
        <v>42769</v>
      </c>
      <c r="B36" s="3">
        <v>4.4877159654301799</v>
      </c>
      <c r="C36" s="3">
        <v>4.5826792781228098</v>
      </c>
      <c r="D36" s="3">
        <v>2.8248768484555198</v>
      </c>
      <c r="E36" s="3">
        <v>2.96780169636894</v>
      </c>
      <c r="F36" s="3">
        <v>2.1650400585982998</v>
      </c>
      <c r="G36" s="3">
        <v>3.4472700678564099</v>
      </c>
      <c r="H36" s="3">
        <v>4.2925041356029903</v>
      </c>
      <c r="I36" s="3">
        <v>1.2389942599388299</v>
      </c>
      <c r="J36" s="3">
        <v>2.15382596381122</v>
      </c>
      <c r="K36" s="3">
        <v>3.48467204640201</v>
      </c>
      <c r="L36" s="3">
        <v>2.9453471749987998</v>
      </c>
      <c r="M36" s="3">
        <v>3.6798441314298702</v>
      </c>
      <c r="N36" s="3">
        <v>4.3562680021264697</v>
      </c>
    </row>
    <row r="37" spans="1:14" x14ac:dyDescent="0.35">
      <c r="A37" s="2">
        <v>42797</v>
      </c>
      <c r="B37" s="3">
        <v>4.5385388196988501</v>
      </c>
      <c r="C37" s="3">
        <v>4.5658548654995403</v>
      </c>
      <c r="D37" s="3">
        <v>2.87954070619418</v>
      </c>
      <c r="E37" s="3">
        <v>2.9145313297344502</v>
      </c>
      <c r="F37" s="3">
        <v>2.1333885394956198</v>
      </c>
      <c r="G37" s="3">
        <v>3.3496627877658298</v>
      </c>
      <c r="H37" s="3">
        <v>4.28452968118164</v>
      </c>
      <c r="I37" s="3">
        <v>1.2159597853727699</v>
      </c>
      <c r="J37" s="3">
        <v>2.0887819076200702</v>
      </c>
      <c r="K37" s="3">
        <v>3.43312872630518</v>
      </c>
      <c r="L37" s="3">
        <v>2.81676394391233</v>
      </c>
      <c r="M37" s="3">
        <v>3.6383066445052101</v>
      </c>
      <c r="N37" s="3">
        <v>4.0599035047738896</v>
      </c>
    </row>
    <row r="38" spans="1:14" x14ac:dyDescent="0.35">
      <c r="A38" s="2">
        <v>42829</v>
      </c>
      <c r="B38" s="3">
        <v>4.5487337288240299</v>
      </c>
      <c r="C38" s="3">
        <v>4.52036715266029</v>
      </c>
      <c r="D38" s="3">
        <v>2.8988789168117099</v>
      </c>
      <c r="E38" s="3">
        <v>2.918040731529</v>
      </c>
      <c r="F38" s="3">
        <v>2.2349412893962701</v>
      </c>
      <c r="G38" s="3">
        <v>3.4231489445731902</v>
      </c>
      <c r="H38" s="3">
        <v>4.3461831119786103</v>
      </c>
      <c r="I38" s="3">
        <v>1.2068655906874799</v>
      </c>
      <c r="J38" s="3">
        <v>2.12061673233943</v>
      </c>
      <c r="K38" s="3">
        <v>3.3654130582075301</v>
      </c>
      <c r="L38" s="3">
        <v>2.7751955848228098</v>
      </c>
      <c r="M38" s="3">
        <v>3.67771797992242</v>
      </c>
      <c r="N38" s="3">
        <v>3.9495916764357601</v>
      </c>
    </row>
    <row r="39" spans="1:14" x14ac:dyDescent="0.35">
      <c r="A39" s="2">
        <v>42859</v>
      </c>
      <c r="B39" s="3">
        <v>4.4920920379242402</v>
      </c>
      <c r="C39" s="3">
        <v>4.5259007535702898</v>
      </c>
      <c r="D39" s="3">
        <v>2.9703478790569</v>
      </c>
      <c r="E39" s="3">
        <v>2.8728308734216101</v>
      </c>
      <c r="F39" s="3">
        <v>2.1896464583029198</v>
      </c>
      <c r="G39" s="3">
        <v>3.3211775435648101</v>
      </c>
      <c r="H39" s="3">
        <v>4.3640763639265003</v>
      </c>
      <c r="I39" s="3">
        <v>1.1830403351376899</v>
      </c>
      <c r="J39" s="3">
        <v>2.1067028500838898</v>
      </c>
      <c r="K39" s="3">
        <v>3.20302724166321</v>
      </c>
      <c r="L39" s="3">
        <v>2.6989620753892098</v>
      </c>
      <c r="M39" s="3">
        <v>3.5127057442930001</v>
      </c>
      <c r="N39" s="3">
        <v>3.8200839697748799</v>
      </c>
    </row>
    <row r="40" spans="1:14" x14ac:dyDescent="0.35">
      <c r="A40" s="2">
        <v>42888</v>
      </c>
      <c r="B40" s="3">
        <v>4.4118676527318099</v>
      </c>
      <c r="C40" s="3">
        <v>4.6112418730562599</v>
      </c>
      <c r="D40" s="3">
        <v>2.9794980092830601</v>
      </c>
      <c r="E40" s="3">
        <v>2.8934581401345598</v>
      </c>
      <c r="F40" s="3">
        <v>2.13768306048346</v>
      </c>
      <c r="G40" s="3">
        <v>3.2691637748831499</v>
      </c>
      <c r="H40" s="3">
        <v>4.2203661247031103</v>
      </c>
      <c r="I40" s="3">
        <v>1.1410321241391701</v>
      </c>
      <c r="J40" s="3">
        <v>2.0749453225239698</v>
      </c>
      <c r="K40" s="3">
        <v>3.2257745583614801</v>
      </c>
      <c r="L40" s="3">
        <v>2.6927038252585902</v>
      </c>
      <c r="M40" s="3">
        <v>3.3660431580176899</v>
      </c>
      <c r="N40" s="3">
        <v>3.79358750966842</v>
      </c>
    </row>
    <row r="41" spans="1:14" x14ac:dyDescent="0.35">
      <c r="A41" s="2">
        <v>42919</v>
      </c>
      <c r="B41" s="3">
        <v>4.4072224799542399</v>
      </c>
      <c r="C41" s="3">
        <v>4.6559301981127597</v>
      </c>
      <c r="D41" s="3">
        <v>3.0513431131620399</v>
      </c>
      <c r="E41" s="3">
        <v>3.0004145659501602</v>
      </c>
      <c r="F41" s="3">
        <v>2.1677046596338201</v>
      </c>
      <c r="G41" s="3">
        <v>3.2630517763917402</v>
      </c>
      <c r="H41" s="3">
        <v>4.3235689855315202</v>
      </c>
      <c r="I41" s="3">
        <v>1.21065328104709</v>
      </c>
      <c r="J41" s="3">
        <v>2.1012994409914101</v>
      </c>
      <c r="K41" s="3">
        <v>3.35209483649732</v>
      </c>
      <c r="L41" s="3">
        <v>2.8002921219541399</v>
      </c>
      <c r="M41" s="3">
        <v>3.56050769275156</v>
      </c>
      <c r="N41" s="3">
        <v>3.8099664237187998</v>
      </c>
    </row>
    <row r="42" spans="1:14" x14ac:dyDescent="0.35">
      <c r="A42" s="2">
        <v>42951</v>
      </c>
      <c r="B42" s="3">
        <v>4.3617634683403699</v>
      </c>
      <c r="C42" s="3">
        <v>4.6026109278046397</v>
      </c>
      <c r="D42" s="3">
        <v>3.01971169312734</v>
      </c>
      <c r="E42" s="3">
        <v>3.0466426738721402</v>
      </c>
      <c r="F42" s="3">
        <v>2.1645406637068598</v>
      </c>
      <c r="G42" s="3">
        <v>3.2385510174472198</v>
      </c>
      <c r="H42" s="3">
        <v>4.2279744618422397</v>
      </c>
      <c r="I42" s="3">
        <v>1.1733588326675</v>
      </c>
      <c r="J42" s="3">
        <v>2.0822004347271101</v>
      </c>
      <c r="K42" s="3">
        <v>3.3498223415706199</v>
      </c>
      <c r="L42" s="3">
        <v>2.7501230696009502</v>
      </c>
      <c r="M42" s="3">
        <v>3.6872827469713201</v>
      </c>
      <c r="N42" s="3">
        <v>3.7112126741980398</v>
      </c>
    </row>
    <row r="43" spans="1:14" x14ac:dyDescent="0.35">
      <c r="A43" s="2">
        <v>42979</v>
      </c>
      <c r="B43" s="3">
        <v>4.3877691292458101</v>
      </c>
      <c r="C43" s="3">
        <v>4.5739171505752498</v>
      </c>
      <c r="D43" s="3">
        <v>3.0708359150306999</v>
      </c>
      <c r="E43" s="3">
        <v>3.12476873166622</v>
      </c>
      <c r="F43" s="3">
        <v>2.20887719488853</v>
      </c>
      <c r="G43" s="3">
        <v>3.3196690323312401</v>
      </c>
      <c r="H43" s="3">
        <v>4.3144270116887604</v>
      </c>
      <c r="I43" s="3">
        <v>1.16027732463639</v>
      </c>
      <c r="J43" s="3">
        <v>2.0926726252533601</v>
      </c>
      <c r="K43" s="3">
        <v>3.4048012319706702</v>
      </c>
      <c r="L43" s="3">
        <v>2.86919605885253</v>
      </c>
      <c r="M43" s="3">
        <v>3.7410051753084601</v>
      </c>
      <c r="N43" s="3">
        <v>3.7636520894242902</v>
      </c>
    </row>
    <row r="44" spans="1:14" x14ac:dyDescent="0.35">
      <c r="A44" s="2">
        <v>43012</v>
      </c>
      <c r="B44" s="3">
        <v>4.4123228709317903</v>
      </c>
      <c r="C44" s="3">
        <v>4.6511264228967697</v>
      </c>
      <c r="D44" s="3">
        <v>2.9649231189701601</v>
      </c>
      <c r="E44" s="3">
        <v>2.9577658764748902</v>
      </c>
      <c r="F44" s="3">
        <v>2.1542803391633201</v>
      </c>
      <c r="G44" s="3">
        <v>3.2319141752183</v>
      </c>
      <c r="H44" s="3">
        <v>4.2715185785721097</v>
      </c>
      <c r="I44" s="3">
        <v>1.16023455436958</v>
      </c>
      <c r="J44" s="3">
        <v>2.0473876096388302</v>
      </c>
      <c r="K44" s="3">
        <v>3.2826454472718001</v>
      </c>
      <c r="L44" s="3">
        <v>2.77129783606755</v>
      </c>
      <c r="M44" s="3">
        <v>3.5263425702805602</v>
      </c>
      <c r="N44" s="3">
        <v>3.7976569744254398</v>
      </c>
    </row>
    <row r="45" spans="1:14" x14ac:dyDescent="0.35">
      <c r="A45" s="2">
        <v>43042</v>
      </c>
      <c r="B45" s="3">
        <v>4.4075702403316797</v>
      </c>
      <c r="C45" s="3">
        <v>4.4690097871741399</v>
      </c>
      <c r="D45" s="3">
        <v>2.9155958220189202</v>
      </c>
      <c r="E45" s="3">
        <v>2.8528624226719299</v>
      </c>
      <c r="F45" s="3">
        <v>2.0362271998346899</v>
      </c>
      <c r="G45" s="3">
        <v>3.2263265005114699</v>
      </c>
      <c r="H45" s="3">
        <v>4.2861520225808203</v>
      </c>
      <c r="I45" s="3">
        <v>1.11336772703611</v>
      </c>
      <c r="J45" s="3">
        <v>2.02482466402925</v>
      </c>
      <c r="K45" s="3">
        <v>3.2288127284464498</v>
      </c>
      <c r="L45" s="3">
        <v>2.7432985167933799</v>
      </c>
      <c r="M45" s="3">
        <v>3.5137970766270499</v>
      </c>
      <c r="N45" s="3">
        <v>3.7384130467608299</v>
      </c>
    </row>
    <row r="46" spans="1:14" x14ac:dyDescent="0.35">
      <c r="A46" s="2">
        <v>43073</v>
      </c>
      <c r="B46" s="3">
        <v>4.3410706465001896</v>
      </c>
      <c r="C46" s="3">
        <v>4.5010212676043899</v>
      </c>
      <c r="D46" s="3">
        <v>2.9338021613706999</v>
      </c>
      <c r="E46" s="3">
        <v>2.9114200537962902</v>
      </c>
      <c r="F46" s="3">
        <v>2.0835876942962002</v>
      </c>
      <c r="G46" s="3">
        <v>3.23359095534239</v>
      </c>
      <c r="H46" s="3">
        <v>4.3867258266985898</v>
      </c>
      <c r="I46" s="3">
        <v>1.1222086981642601</v>
      </c>
      <c r="J46" s="3">
        <v>1.9776678866936099</v>
      </c>
      <c r="K46" s="3">
        <v>3.2709402070873299</v>
      </c>
      <c r="L46" s="3">
        <v>2.8482211556875598</v>
      </c>
      <c r="M46" s="3">
        <v>3.6650053479509701</v>
      </c>
      <c r="N46" s="3">
        <v>3.88694648558752</v>
      </c>
    </row>
    <row r="47" spans="1:14" x14ac:dyDescent="0.35">
      <c r="A47" s="2">
        <v>43104</v>
      </c>
      <c r="B47" s="3">
        <v>4.1876341949334197</v>
      </c>
      <c r="C47" s="3">
        <v>4.4451170148607204</v>
      </c>
      <c r="D47" s="3">
        <v>2.8771265397931698</v>
      </c>
      <c r="E47" s="3">
        <v>2.8986437346842302</v>
      </c>
      <c r="F47" s="3">
        <v>2.0073735900368499</v>
      </c>
      <c r="G47" s="3">
        <v>3.17900439832344</v>
      </c>
      <c r="H47" s="3">
        <v>4.1881788415493997</v>
      </c>
      <c r="I47" s="3">
        <v>1.0713288724385099</v>
      </c>
      <c r="J47" s="3">
        <v>1.9285477244952201</v>
      </c>
      <c r="K47" s="3">
        <v>3.2649216074092098</v>
      </c>
      <c r="L47" s="3">
        <v>2.8195410035829802</v>
      </c>
      <c r="M47" s="3">
        <v>3.7030625093220699</v>
      </c>
      <c r="N47" s="3">
        <v>3.8879926617652298</v>
      </c>
    </row>
    <row r="48" spans="1:14" x14ac:dyDescent="0.35">
      <c r="A48" s="2">
        <v>43133</v>
      </c>
      <c r="B48" s="3">
        <v>4.1922913911989399</v>
      </c>
      <c r="C48" s="3">
        <v>4.4730608812452299</v>
      </c>
      <c r="D48" s="3">
        <v>3.0344459458536699</v>
      </c>
      <c r="E48" s="3">
        <v>3.03486414155075</v>
      </c>
      <c r="F48" s="3">
        <v>2.03511276396523</v>
      </c>
      <c r="G48" s="3">
        <v>3.2339927761948202</v>
      </c>
      <c r="H48" s="3">
        <v>4.2797272394745001</v>
      </c>
      <c r="I48" s="3">
        <v>1.0631498940693</v>
      </c>
      <c r="J48" s="3">
        <v>1.9280779015741101</v>
      </c>
      <c r="K48" s="3">
        <v>3.2879864495511599</v>
      </c>
      <c r="L48" s="3">
        <v>2.8516294004674898</v>
      </c>
      <c r="M48" s="3">
        <v>3.8127309028438501</v>
      </c>
      <c r="N48" s="3">
        <v>3.8234207733703802</v>
      </c>
    </row>
    <row r="49" spans="1:14" x14ac:dyDescent="0.35">
      <c r="A49" s="2">
        <v>43161</v>
      </c>
      <c r="B49" s="3">
        <v>4.2890364617011603</v>
      </c>
      <c r="C49" s="3">
        <v>4.6655946532039101</v>
      </c>
      <c r="D49" s="3">
        <v>3.1664404485766302</v>
      </c>
      <c r="E49" s="3">
        <v>3.2641544217434202</v>
      </c>
      <c r="F49" s="3">
        <v>2.2691825195966699</v>
      </c>
      <c r="G49" s="3">
        <v>3.5284385682339199</v>
      </c>
      <c r="H49" s="3">
        <v>4.7258745631615602</v>
      </c>
      <c r="I49" s="3">
        <v>1.07210358135772</v>
      </c>
      <c r="J49" s="3">
        <v>2.00588531378872</v>
      </c>
      <c r="K49" s="3">
        <v>3.4729556178548999</v>
      </c>
      <c r="L49" s="3">
        <v>3.0171312447530401</v>
      </c>
      <c r="M49" s="3">
        <v>3.9858224750922502</v>
      </c>
      <c r="N49" s="3">
        <v>4.1433448917959197</v>
      </c>
    </row>
    <row r="50" spans="1:14" x14ac:dyDescent="0.35">
      <c r="A50" s="2">
        <v>43194</v>
      </c>
      <c r="B50" s="3">
        <v>4.2796868203671403</v>
      </c>
      <c r="C50" s="3">
        <v>4.8377965262842499</v>
      </c>
      <c r="D50" s="3">
        <v>3.2337328107546499</v>
      </c>
      <c r="E50" s="3">
        <v>3.2910605175106702</v>
      </c>
      <c r="F50" s="3">
        <v>2.2899700825297198</v>
      </c>
      <c r="G50" s="3">
        <v>3.5728231134433299</v>
      </c>
      <c r="H50" s="3">
        <v>4.5746127182734098</v>
      </c>
      <c r="I50" s="3">
        <v>1.12858728074745</v>
      </c>
      <c r="J50" s="3">
        <v>2.0571953212428098</v>
      </c>
      <c r="K50" s="3">
        <v>3.4888383882973599</v>
      </c>
      <c r="L50" s="3">
        <v>3.0160106675034801</v>
      </c>
      <c r="M50" s="3">
        <v>4.1637963367181801</v>
      </c>
      <c r="N50" s="3">
        <v>4.1084128803373501</v>
      </c>
    </row>
    <row r="51" spans="1:14" x14ac:dyDescent="0.35">
      <c r="A51" s="2">
        <v>43224</v>
      </c>
      <c r="B51" s="3">
        <v>4.2158892253853999</v>
      </c>
      <c r="C51" s="3">
        <v>4.67529411445381</v>
      </c>
      <c r="D51" s="3">
        <v>3.1334356872658198</v>
      </c>
      <c r="E51" s="3">
        <v>3.1195843423405099</v>
      </c>
      <c r="F51" s="3">
        <v>2.2151202571347799</v>
      </c>
      <c r="G51" s="3">
        <v>3.4711290525709999</v>
      </c>
      <c r="H51" s="3">
        <v>4.3546189047231199</v>
      </c>
      <c r="I51" s="3">
        <v>1.11070277517455</v>
      </c>
      <c r="J51" s="3">
        <v>2.0663921065984798</v>
      </c>
      <c r="K51" s="3">
        <v>3.3037109831064702</v>
      </c>
      <c r="L51" s="3">
        <v>2.9320710356759898</v>
      </c>
      <c r="M51" s="3">
        <v>4.0337433824572697</v>
      </c>
      <c r="N51" s="3">
        <v>3.8397496963501401</v>
      </c>
    </row>
    <row r="52" spans="1:14" x14ac:dyDescent="0.35">
      <c r="A52" s="2">
        <v>43255</v>
      </c>
      <c r="B52" s="3">
        <v>4.17116088116122</v>
      </c>
      <c r="C52" s="3">
        <v>4.7260350998072802</v>
      </c>
      <c r="D52" s="3">
        <v>3.09685861351478</v>
      </c>
      <c r="E52" s="3">
        <v>3.1477797933358</v>
      </c>
      <c r="F52" s="3">
        <v>2.2405938798188401</v>
      </c>
      <c r="G52" s="3">
        <v>3.5459554398852098</v>
      </c>
      <c r="H52" s="3">
        <v>4.3098581703382202</v>
      </c>
      <c r="I52" s="3">
        <v>1.05666052867409</v>
      </c>
      <c r="J52" s="3">
        <v>2.0145353512673698</v>
      </c>
      <c r="K52" s="3">
        <v>3.3523484143255202</v>
      </c>
      <c r="L52" s="3">
        <v>2.8765837011058601</v>
      </c>
      <c r="M52" s="3">
        <v>4.0893710098326697</v>
      </c>
      <c r="N52" s="3">
        <v>4.34169098146298</v>
      </c>
    </row>
    <row r="53" spans="1:14" x14ac:dyDescent="0.35">
      <c r="A53" s="2">
        <v>43284</v>
      </c>
      <c r="B53" s="3">
        <v>4.0145683088214001</v>
      </c>
      <c r="C53" s="3">
        <v>4.5929636200057704</v>
      </c>
      <c r="D53" s="3">
        <v>3.0753412419583199</v>
      </c>
      <c r="E53" s="3">
        <v>3.2681498878459299</v>
      </c>
      <c r="F53" s="3">
        <v>2.3515379573335702</v>
      </c>
      <c r="G53" s="3">
        <v>3.5522652063850502</v>
      </c>
      <c r="H53" s="3">
        <v>4.4355280619011204</v>
      </c>
      <c r="I53" s="3">
        <v>1.0810501539859301</v>
      </c>
      <c r="J53" s="3">
        <v>2.0587995920464599</v>
      </c>
      <c r="K53" s="3">
        <v>3.4665935651196</v>
      </c>
      <c r="L53" s="3">
        <v>2.9666762201022201</v>
      </c>
      <c r="M53" s="3">
        <v>4.17906637120055</v>
      </c>
      <c r="N53" s="3">
        <v>4.4734304311105797</v>
      </c>
    </row>
    <row r="54" spans="1:14" x14ac:dyDescent="0.35">
      <c r="A54" s="2">
        <v>43315</v>
      </c>
      <c r="B54" s="3">
        <v>4.1403200013465797</v>
      </c>
      <c r="C54" s="3">
        <v>4.63159948350894</v>
      </c>
      <c r="D54" s="3">
        <v>3.0707001063754502</v>
      </c>
      <c r="E54" s="3">
        <v>3.20173208428678</v>
      </c>
      <c r="F54" s="3">
        <v>2.2928213476572901</v>
      </c>
      <c r="G54" s="3">
        <v>3.3745904544224499</v>
      </c>
      <c r="H54" s="3">
        <v>4.4234967968111603</v>
      </c>
      <c r="I54" s="3">
        <v>1.0795035387195699</v>
      </c>
      <c r="J54" s="3">
        <v>1.98851052453935</v>
      </c>
      <c r="K54" s="3">
        <v>3.3947373539399499</v>
      </c>
      <c r="L54" s="3">
        <v>2.8361045196146999</v>
      </c>
      <c r="M54" s="3">
        <v>4.0956234979869102</v>
      </c>
      <c r="N54" s="3">
        <v>4.4423208419397504</v>
      </c>
    </row>
    <row r="55" spans="1:14" x14ac:dyDescent="0.35">
      <c r="A55" s="2">
        <v>43347</v>
      </c>
      <c r="B55" s="3">
        <v>3.9170686228114899</v>
      </c>
      <c r="C55" s="3">
        <v>4.6476361350580797</v>
      </c>
      <c r="D55" s="3">
        <v>3.1450760883458102</v>
      </c>
      <c r="E55" s="3">
        <v>3.30082908432317</v>
      </c>
      <c r="F55" s="3">
        <v>2.33894835363632</v>
      </c>
      <c r="G55" s="3">
        <v>3.42509276169003</v>
      </c>
      <c r="H55" s="3">
        <v>4.5932105384240502</v>
      </c>
      <c r="I55" s="3">
        <v>1.0548818350092199</v>
      </c>
      <c r="J55" s="3">
        <v>1.95979248615028</v>
      </c>
      <c r="K55" s="3">
        <v>3.4962465948667001</v>
      </c>
      <c r="L55" s="3">
        <v>2.9457349883553001</v>
      </c>
      <c r="M55" s="3">
        <v>4.0451121468169902</v>
      </c>
      <c r="N55" s="3">
        <v>4.7003781161118896</v>
      </c>
    </row>
    <row r="56" spans="1:14" x14ac:dyDescent="0.35">
      <c r="A56" s="2">
        <v>43377</v>
      </c>
      <c r="B56" s="3">
        <v>4.0340606704150899</v>
      </c>
      <c r="C56" s="3">
        <v>4.7947704097067998</v>
      </c>
      <c r="D56" s="3">
        <v>3.1838177117666802</v>
      </c>
      <c r="E56" s="3">
        <v>3.3276028671472502</v>
      </c>
      <c r="F56" s="3">
        <v>2.2414915571765701</v>
      </c>
      <c r="G56" s="3">
        <v>3.4420817033610298</v>
      </c>
      <c r="H56" s="3">
        <v>4.5723367434426896</v>
      </c>
      <c r="I56" s="3">
        <v>1.08265742986666</v>
      </c>
      <c r="J56" s="3">
        <v>1.9690113128983799</v>
      </c>
      <c r="K56" s="3">
        <v>3.4915924869710602</v>
      </c>
      <c r="L56" s="3">
        <v>3.0626344642722998</v>
      </c>
      <c r="M56" s="3">
        <v>4.0540247591319201</v>
      </c>
      <c r="N56" s="3">
        <v>4.7324612041095104</v>
      </c>
    </row>
    <row r="57" spans="1:14" x14ac:dyDescent="0.35">
      <c r="A57" s="2">
        <v>43406</v>
      </c>
      <c r="B57" s="3">
        <v>4.2119740238094998</v>
      </c>
      <c r="C57" s="3">
        <v>5.0732344328433499</v>
      </c>
      <c r="D57" s="3">
        <v>3.38607122550708</v>
      </c>
      <c r="E57" s="3">
        <v>3.5880819167473201</v>
      </c>
      <c r="F57" s="3">
        <v>2.4450371195043599</v>
      </c>
      <c r="G57" s="3">
        <v>3.5045369907554602</v>
      </c>
      <c r="H57" s="3">
        <v>4.8525065115873698</v>
      </c>
      <c r="I57" s="3">
        <v>1.1821925784935201</v>
      </c>
      <c r="J57" s="3">
        <v>2.1013667816829402</v>
      </c>
      <c r="K57" s="3">
        <v>3.7018332273390899</v>
      </c>
      <c r="L57" s="3">
        <v>3.1999416607388702</v>
      </c>
      <c r="M57" s="3">
        <v>4.3071938840821904</v>
      </c>
      <c r="N57" s="3">
        <v>5.02846733666882</v>
      </c>
    </row>
    <row r="58" spans="1:14" x14ac:dyDescent="0.35">
      <c r="A58" s="2">
        <v>43438</v>
      </c>
      <c r="B58" s="3">
        <v>4.1155742955602603</v>
      </c>
      <c r="C58" s="3">
        <v>5.2787550377823802</v>
      </c>
      <c r="D58" s="3">
        <v>3.4080264900638402</v>
      </c>
      <c r="E58" s="3">
        <v>3.6612965633855499</v>
      </c>
      <c r="F58" s="3">
        <v>2.4828869264882401</v>
      </c>
      <c r="G58" s="3">
        <v>3.50676905467239</v>
      </c>
      <c r="H58" s="3">
        <v>4.9610495824494798</v>
      </c>
      <c r="I58" s="3">
        <v>1.21844131815612</v>
      </c>
      <c r="J58" s="3">
        <v>2.1346312487744199</v>
      </c>
      <c r="K58" s="3">
        <v>3.77375068983075</v>
      </c>
      <c r="L58" s="3">
        <v>3.2200215523407101</v>
      </c>
      <c r="M58" s="3">
        <v>4.4588485126336703</v>
      </c>
      <c r="N58" s="3">
        <v>5.1951762827849697</v>
      </c>
    </row>
    <row r="59" spans="1:14" x14ac:dyDescent="0.35">
      <c r="A59" s="2">
        <v>43469</v>
      </c>
      <c r="B59" s="3">
        <v>4.19553378891551</v>
      </c>
      <c r="C59" s="3">
        <v>5.3555576445058302</v>
      </c>
      <c r="D59" s="3">
        <v>3.5743536428213201</v>
      </c>
      <c r="E59" s="3">
        <v>3.8803184061531</v>
      </c>
      <c r="F59" s="3">
        <v>2.7942279675749502</v>
      </c>
      <c r="G59" s="3">
        <v>3.636441554693</v>
      </c>
      <c r="H59" s="3">
        <v>5.2568020275078302</v>
      </c>
      <c r="I59" s="3">
        <v>1.3035472974435101</v>
      </c>
      <c r="J59" s="3">
        <v>2.2990818870937701</v>
      </c>
      <c r="K59" s="3">
        <v>4.0029931113699</v>
      </c>
      <c r="L59" s="3">
        <v>3.4555205597822698</v>
      </c>
      <c r="M59" s="3">
        <v>4.6446982944077604</v>
      </c>
      <c r="N59" s="3">
        <v>5.2786932270062303</v>
      </c>
    </row>
    <row r="60" spans="1:14" x14ac:dyDescent="0.35">
      <c r="A60" s="2">
        <v>43500</v>
      </c>
      <c r="B60" s="3">
        <v>4.1094632030556797</v>
      </c>
      <c r="C60" s="3">
        <v>5.0950350851901396</v>
      </c>
      <c r="D60" s="3">
        <v>3.3233481536177898</v>
      </c>
      <c r="E60" s="3">
        <v>3.7173364700760998</v>
      </c>
      <c r="F60" s="3">
        <v>2.6134079880701502</v>
      </c>
      <c r="G60" s="3">
        <v>3.4653860514866701</v>
      </c>
      <c r="H60" s="3">
        <v>5.03469624008848</v>
      </c>
      <c r="I60" s="3">
        <v>1.2114485367710901</v>
      </c>
      <c r="J60" s="3">
        <v>2.1475729117980298</v>
      </c>
      <c r="K60" s="3">
        <v>3.7935959367438099</v>
      </c>
      <c r="L60" s="3">
        <v>3.2500171218083298</v>
      </c>
      <c r="M60" s="3">
        <v>4.31295938189837</v>
      </c>
      <c r="N60" s="3">
        <v>5.1168197442728696</v>
      </c>
    </row>
    <row r="61" spans="1:14" x14ac:dyDescent="0.35">
      <c r="A61" s="2">
        <v>43528</v>
      </c>
      <c r="B61" s="3">
        <v>3.8887071742991099</v>
      </c>
      <c r="C61" s="3">
        <v>4.9182233736674403</v>
      </c>
      <c r="D61" s="3">
        <v>3.2690267521679099</v>
      </c>
      <c r="E61" s="3">
        <v>3.57796067458287</v>
      </c>
      <c r="F61" s="3">
        <v>2.5364186431760798</v>
      </c>
      <c r="G61" s="3">
        <v>3.3434183867151899</v>
      </c>
      <c r="H61" s="3">
        <v>4.9663099175244101</v>
      </c>
      <c r="I61" s="3">
        <v>1.1703388748799</v>
      </c>
      <c r="J61" s="3">
        <v>2.1034652089378301</v>
      </c>
      <c r="K61" s="3">
        <v>3.61018153264353</v>
      </c>
      <c r="L61" s="3">
        <v>3.10244073755478</v>
      </c>
      <c r="M61" s="3">
        <v>4.1296297563964099</v>
      </c>
      <c r="N61" s="3">
        <v>4.7793103127203302</v>
      </c>
    </row>
    <row r="62" spans="1:14" x14ac:dyDescent="0.35">
      <c r="A62" s="2">
        <v>43559</v>
      </c>
      <c r="B62" s="3">
        <v>3.7439032673327102</v>
      </c>
      <c r="C62" s="3">
        <v>4.8988154007473099</v>
      </c>
      <c r="D62" s="3">
        <v>3.2338733633392498</v>
      </c>
      <c r="E62" s="3">
        <v>3.4858833668459801</v>
      </c>
      <c r="F62" s="3">
        <v>2.5604329675890001</v>
      </c>
      <c r="G62" s="3">
        <v>3.2963424855168202</v>
      </c>
      <c r="H62" s="3">
        <v>4.8256743929208898</v>
      </c>
      <c r="I62" s="3">
        <v>1.11521314586928</v>
      </c>
      <c r="J62" s="3">
        <v>2.0600776121258102</v>
      </c>
      <c r="K62" s="3">
        <v>3.5325753513280298</v>
      </c>
      <c r="L62" s="3">
        <v>3.00838411035306</v>
      </c>
      <c r="M62" s="3">
        <v>4.07415953652532</v>
      </c>
      <c r="N62" s="3">
        <v>4.6171682000536602</v>
      </c>
    </row>
    <row r="63" spans="1:14" x14ac:dyDescent="0.35">
      <c r="A63" s="2">
        <v>43588</v>
      </c>
      <c r="B63" s="3">
        <v>3.6958597130289901</v>
      </c>
      <c r="C63" s="3">
        <v>4.8789762186178303</v>
      </c>
      <c r="D63" s="3">
        <v>3.2212488066083398</v>
      </c>
      <c r="E63" s="3">
        <v>3.3798528009891502</v>
      </c>
      <c r="F63" s="3">
        <v>2.5679259887402099</v>
      </c>
      <c r="G63" s="3">
        <v>3.2613671467848602</v>
      </c>
      <c r="H63" s="3">
        <v>4.8524683957399199</v>
      </c>
      <c r="I63" s="3">
        <v>1.0802552840141899</v>
      </c>
      <c r="J63" s="3">
        <v>2.0238384191446799</v>
      </c>
      <c r="K63" s="3">
        <v>3.4898344139045601</v>
      </c>
      <c r="L63" s="3">
        <v>2.9531329821735399</v>
      </c>
      <c r="M63" s="3">
        <v>4.0250773763548899</v>
      </c>
      <c r="N63" s="3">
        <v>4.6341291795723496</v>
      </c>
    </row>
    <row r="64" spans="1:14" x14ac:dyDescent="0.35">
      <c r="A64" s="2">
        <v>43620</v>
      </c>
      <c r="B64" s="3">
        <v>3.7815199523437601</v>
      </c>
      <c r="C64" s="3">
        <v>4.8534546775583296</v>
      </c>
      <c r="D64" s="3">
        <v>3.3540468397582202</v>
      </c>
      <c r="E64" s="3">
        <v>3.5875130521290801</v>
      </c>
      <c r="F64" s="3">
        <v>2.7781645776770798</v>
      </c>
      <c r="G64" s="3">
        <v>3.3148319930864001</v>
      </c>
      <c r="H64" s="3">
        <v>4.9148280796081902</v>
      </c>
      <c r="I64" s="3">
        <v>1.1946491609795999</v>
      </c>
      <c r="J64" s="3">
        <v>2.13909420065111</v>
      </c>
      <c r="K64" s="3">
        <v>3.6894129350832401</v>
      </c>
      <c r="L64" s="3">
        <v>3.1556844896453602</v>
      </c>
      <c r="M64" s="3">
        <v>4.3729530002852401</v>
      </c>
      <c r="N64" s="3">
        <v>5.0534818251191496</v>
      </c>
    </row>
    <row r="65" spans="1:14" x14ac:dyDescent="0.35">
      <c r="A65" s="2">
        <v>43649</v>
      </c>
      <c r="B65" s="3">
        <v>3.5509817006971498</v>
      </c>
      <c r="C65" s="3">
        <v>4.6132305304365202</v>
      </c>
      <c r="D65" s="3">
        <v>3.28350093395983</v>
      </c>
      <c r="E65" s="3">
        <v>3.4263104497266301</v>
      </c>
      <c r="F65" s="3">
        <v>2.6405883988468801</v>
      </c>
      <c r="G65" s="3">
        <v>3.1791284894457199</v>
      </c>
      <c r="H65" s="3">
        <v>4.6996267632754103</v>
      </c>
      <c r="I65" s="3">
        <v>1.08864064799322</v>
      </c>
      <c r="J65" s="3">
        <v>2.01162769265154</v>
      </c>
      <c r="K65" s="3">
        <v>3.4830783525906899</v>
      </c>
      <c r="L65" s="3">
        <v>2.9424171183944301</v>
      </c>
      <c r="M65" s="3">
        <v>4.0958616669680703</v>
      </c>
      <c r="N65" s="3">
        <v>4.6971118470554796</v>
      </c>
    </row>
    <row r="66" spans="1:14" x14ac:dyDescent="0.35">
      <c r="A66" s="2">
        <v>43679</v>
      </c>
      <c r="B66" s="3">
        <v>3.4066492880923902</v>
      </c>
      <c r="C66" s="3">
        <v>4.56425079486326</v>
      </c>
      <c r="D66" s="3">
        <v>3.3863835815424701</v>
      </c>
      <c r="E66" s="3">
        <v>3.5395087204224698</v>
      </c>
      <c r="F66" s="3">
        <v>2.7160504937113501</v>
      </c>
      <c r="G66" s="3">
        <v>3.2536793091485801</v>
      </c>
      <c r="H66" s="3">
        <v>4.9557584365651897</v>
      </c>
      <c r="I66" s="3">
        <v>1.1162191895570299</v>
      </c>
      <c r="J66" s="3">
        <v>2.0652722228834102</v>
      </c>
      <c r="K66" s="3">
        <v>3.6599211096662501</v>
      </c>
      <c r="L66" s="3">
        <v>2.9691377792406799</v>
      </c>
      <c r="M66" s="3">
        <v>4.1520859047692102</v>
      </c>
      <c r="N66" s="3">
        <v>4.9104069267287302</v>
      </c>
    </row>
    <row r="67" spans="1:14" x14ac:dyDescent="0.35">
      <c r="A67" s="2">
        <v>43712</v>
      </c>
      <c r="B67" s="3">
        <v>3.3041253025852</v>
      </c>
      <c r="C67" s="3">
        <v>4.6119010729337999</v>
      </c>
      <c r="D67" s="3">
        <v>3.3868660461764102</v>
      </c>
      <c r="E67" s="3">
        <v>3.49094372410817</v>
      </c>
      <c r="F67" s="3">
        <v>2.7564394083118402</v>
      </c>
      <c r="G67" s="3">
        <v>3.2170192967394402</v>
      </c>
      <c r="H67" s="3">
        <v>4.9929347745818902</v>
      </c>
      <c r="I67" s="3">
        <v>1.11438660086899</v>
      </c>
      <c r="J67" s="3">
        <v>2.0737650139862098</v>
      </c>
      <c r="K67" s="3">
        <v>3.5715763134311498</v>
      </c>
      <c r="L67" s="3">
        <v>2.9258647337431101</v>
      </c>
      <c r="M67" s="3">
        <v>4.1616160700652198</v>
      </c>
      <c r="N67" s="3">
        <v>4.8009680299700097</v>
      </c>
    </row>
    <row r="68" spans="1:14" x14ac:dyDescent="0.35">
      <c r="A68" s="2">
        <v>43742</v>
      </c>
      <c r="B68" s="3">
        <v>3.3476637295652498</v>
      </c>
      <c r="C68" s="3">
        <v>4.55438622426741</v>
      </c>
      <c r="D68" s="3">
        <v>3.38862059274526</v>
      </c>
      <c r="E68" s="3">
        <v>3.4970880139619598</v>
      </c>
      <c r="F68" s="3">
        <v>2.6508704385594402</v>
      </c>
      <c r="G68" s="3">
        <v>3.27933245349102</v>
      </c>
      <c r="H68" s="3">
        <v>5.05931907495121</v>
      </c>
      <c r="I68" s="3">
        <v>1.11610304227057</v>
      </c>
      <c r="J68" s="3">
        <v>2.0732652108410501</v>
      </c>
      <c r="K68" s="3">
        <v>3.6019278658263998</v>
      </c>
      <c r="L68" s="3">
        <v>2.81032375082343</v>
      </c>
      <c r="M68" s="3">
        <v>4.0408479013373499</v>
      </c>
      <c r="N68" s="3">
        <v>4.8800723202173701</v>
      </c>
    </row>
    <row r="69" spans="1:14" x14ac:dyDescent="0.35">
      <c r="A69" s="2">
        <v>43773</v>
      </c>
      <c r="B69" s="3">
        <v>3.3699044577617898</v>
      </c>
      <c r="C69" s="3">
        <v>4.3814530962434901</v>
      </c>
      <c r="D69" s="3">
        <v>3.3175710379836598</v>
      </c>
      <c r="E69" s="3">
        <v>3.1977115549922299</v>
      </c>
      <c r="F69" s="3">
        <v>2.5164546078835501</v>
      </c>
      <c r="G69" s="3">
        <v>3.1220445272772199</v>
      </c>
      <c r="H69" s="3">
        <v>4.7724929510348897</v>
      </c>
      <c r="I69" s="3">
        <v>1.06797775553727</v>
      </c>
      <c r="J69" s="3">
        <v>2.00438008006279</v>
      </c>
      <c r="K69" s="3">
        <v>3.4010317380988102</v>
      </c>
      <c r="L69" s="3">
        <v>2.7106462665013198</v>
      </c>
      <c r="M69" s="3">
        <v>3.6599152517439602</v>
      </c>
      <c r="N69" s="3">
        <v>4.5384445976779597</v>
      </c>
    </row>
    <row r="70" spans="1:14" x14ac:dyDescent="0.35">
      <c r="A70" s="2">
        <v>43803</v>
      </c>
      <c r="B70" s="3">
        <v>3.26626182715798</v>
      </c>
      <c r="C70" s="3">
        <v>4.4088369609069398</v>
      </c>
      <c r="D70" s="3">
        <v>3.2826107618126099</v>
      </c>
      <c r="E70" s="3">
        <v>3.1178354097752399</v>
      </c>
      <c r="F70" s="3">
        <v>2.4625562104446299</v>
      </c>
      <c r="G70" s="3">
        <v>3.1352836081267101</v>
      </c>
      <c r="H70" s="3">
        <v>4.8193758926881003</v>
      </c>
      <c r="I70" s="3">
        <v>1.08654061774371</v>
      </c>
      <c r="J70" s="3">
        <v>1.99520521291437</v>
      </c>
      <c r="K70" s="3">
        <v>3.4363819458644498</v>
      </c>
      <c r="L70" s="3">
        <v>2.6760129581046801</v>
      </c>
      <c r="M70" s="3">
        <v>3.7283381223504</v>
      </c>
      <c r="N70" s="3">
        <v>4.6114457289707804</v>
      </c>
    </row>
    <row r="71" spans="1:14" x14ac:dyDescent="0.35">
      <c r="A71" s="2">
        <v>43833</v>
      </c>
      <c r="B71" s="3">
        <v>3.1561350172961</v>
      </c>
      <c r="C71" s="3">
        <v>4.2914743023878597</v>
      </c>
      <c r="D71" s="3">
        <v>3.2643285477653601</v>
      </c>
      <c r="E71" s="3">
        <v>3.0987281538940801</v>
      </c>
      <c r="F71" s="3">
        <v>2.4471056933305499</v>
      </c>
      <c r="G71" s="3">
        <v>3.0226171047913799</v>
      </c>
      <c r="H71" s="3">
        <v>4.5536035854311399</v>
      </c>
      <c r="I71" s="3">
        <v>1.0411164867806999</v>
      </c>
      <c r="J71" s="3">
        <v>1.9315871187946101</v>
      </c>
      <c r="K71" s="3">
        <v>3.32107569158241</v>
      </c>
      <c r="L71" s="3">
        <v>2.5769230848688398</v>
      </c>
      <c r="M71" s="3">
        <v>3.5954906982778398</v>
      </c>
      <c r="N71" s="3">
        <v>4.4842432747532097</v>
      </c>
    </row>
    <row r="72" spans="1:14" x14ac:dyDescent="0.35">
      <c r="A72" s="2">
        <v>43865</v>
      </c>
      <c r="B72" s="3">
        <v>3.1562252761143301</v>
      </c>
      <c r="C72" s="3">
        <v>4.1947156635132501</v>
      </c>
      <c r="D72" s="3">
        <v>3.2403005422061302</v>
      </c>
      <c r="E72" s="3">
        <v>3.10255154453835</v>
      </c>
      <c r="F72" s="3">
        <v>2.5023955373365299</v>
      </c>
      <c r="G72" s="3">
        <v>2.99210895299057</v>
      </c>
      <c r="H72" s="3">
        <v>4.6823403143571003</v>
      </c>
      <c r="I72" s="3">
        <v>0.986578331159224</v>
      </c>
      <c r="J72" s="3">
        <v>1.9115699726638899</v>
      </c>
      <c r="K72" s="3">
        <v>3.3653009620213798</v>
      </c>
      <c r="L72" s="3">
        <v>2.6037133971620499</v>
      </c>
      <c r="M72" s="3">
        <v>3.5447541185223401</v>
      </c>
      <c r="N72" s="3">
        <v>4.5203675226161302</v>
      </c>
    </row>
    <row r="73" spans="1:14" x14ac:dyDescent="0.35">
      <c r="A73" s="2">
        <v>43894</v>
      </c>
      <c r="B73" s="3">
        <v>3.1278108742341901</v>
      </c>
      <c r="C73" s="3">
        <v>4.5606191423027198</v>
      </c>
      <c r="D73" s="3">
        <v>3.4285173055402498</v>
      </c>
      <c r="E73" s="3">
        <v>3.3785534524755998</v>
      </c>
      <c r="F73" s="3">
        <v>2.7795422967152299</v>
      </c>
      <c r="G73" s="3">
        <v>3.1503214887581401</v>
      </c>
      <c r="H73" s="3">
        <v>5.1450297854659803</v>
      </c>
      <c r="I73" s="3">
        <v>1.0356278139797901</v>
      </c>
      <c r="J73" s="3">
        <v>2.0264296942047801</v>
      </c>
      <c r="K73" s="3">
        <v>3.60785633554719</v>
      </c>
      <c r="L73" s="3">
        <v>2.7806929774099798</v>
      </c>
      <c r="M73" s="3">
        <v>3.7516860385969899</v>
      </c>
      <c r="N73" s="3">
        <v>4.9629103012771001</v>
      </c>
    </row>
    <row r="74" spans="1:14" x14ac:dyDescent="0.35">
      <c r="A74" s="2">
        <v>43924</v>
      </c>
      <c r="B74" s="3">
        <v>3.1925212016116302</v>
      </c>
      <c r="C74" s="3">
        <v>5.1303469485334903</v>
      </c>
      <c r="D74" s="3">
        <v>4.4274093326505</v>
      </c>
      <c r="E74" s="3">
        <v>4.0076095072639299</v>
      </c>
      <c r="F74" s="3">
        <v>3.1421570177251699</v>
      </c>
      <c r="G74" s="3">
        <v>3.5340052396166901</v>
      </c>
      <c r="H74" s="3">
        <v>6.3800701856375897</v>
      </c>
      <c r="I74" s="3">
        <v>1.2314570073004301</v>
      </c>
      <c r="J74" s="3">
        <v>2.5172870158117999</v>
      </c>
      <c r="K74" s="3">
        <v>4.4884395162109696</v>
      </c>
      <c r="L74" s="3">
        <v>3.2048560952892702</v>
      </c>
      <c r="M74" s="3">
        <v>3.9919705312607601</v>
      </c>
      <c r="N74" s="3">
        <v>6.36779775197604</v>
      </c>
    </row>
    <row r="75" spans="1:14" x14ac:dyDescent="0.35">
      <c r="A75" s="2">
        <v>43955</v>
      </c>
      <c r="B75" s="3">
        <v>2.7065880356410399</v>
      </c>
      <c r="C75" s="3">
        <v>4.00674108048484</v>
      </c>
      <c r="D75" s="3">
        <v>3.8724996151620399</v>
      </c>
      <c r="E75" s="3">
        <v>3.47439046850271</v>
      </c>
      <c r="F75" s="3">
        <v>2.8650962005501701</v>
      </c>
      <c r="G75" s="3">
        <v>3.3805900530692599</v>
      </c>
      <c r="H75" s="3">
        <v>4.836052495283</v>
      </c>
      <c r="I75" s="3">
        <v>1.0315644146698599</v>
      </c>
      <c r="J75" s="3">
        <v>2.1420957446547</v>
      </c>
      <c r="K75" s="3">
        <v>3.6650147151400301</v>
      </c>
      <c r="L75" s="3">
        <v>2.7663588935998602</v>
      </c>
      <c r="M75" s="3">
        <v>3.4333017465905402</v>
      </c>
      <c r="N75" s="3">
        <v>5.4635202648736003</v>
      </c>
    </row>
    <row r="76" spans="1:14" x14ac:dyDescent="0.35">
      <c r="A76" s="2">
        <v>43986</v>
      </c>
      <c r="B76" s="3">
        <v>2.54012925470259</v>
      </c>
      <c r="C76" s="3">
        <v>3.3462846918442901</v>
      </c>
      <c r="D76" s="3">
        <v>3.5438441791806601</v>
      </c>
      <c r="E76" s="3">
        <v>2.8598309711686398</v>
      </c>
      <c r="F76" s="3">
        <v>2.4732111648212598</v>
      </c>
      <c r="G76" s="3">
        <v>3.0873093361186599</v>
      </c>
      <c r="H76" s="3">
        <v>3.95289395542081</v>
      </c>
      <c r="I76" s="3">
        <v>0.94390861919166802</v>
      </c>
      <c r="J76" s="3">
        <v>1.9385920061472699</v>
      </c>
      <c r="K76" s="3">
        <v>3.0983844942320702</v>
      </c>
      <c r="L76" s="3">
        <v>2.3802870608897901</v>
      </c>
      <c r="M76" s="3">
        <v>2.93989721630046</v>
      </c>
      <c r="N76" s="3">
        <v>4.2283856992954103</v>
      </c>
    </row>
    <row r="77" spans="1:14" x14ac:dyDescent="0.35">
      <c r="A77" s="2">
        <v>44014</v>
      </c>
      <c r="B77" s="3">
        <v>2.471428962794</v>
      </c>
      <c r="C77" s="3">
        <v>3.3886707717089299</v>
      </c>
      <c r="D77" s="3">
        <v>3.5263001018989701</v>
      </c>
      <c r="E77" s="3">
        <v>2.8655914908376801</v>
      </c>
      <c r="F77" s="3">
        <v>2.5332265929864199</v>
      </c>
      <c r="G77" s="3">
        <v>3.0430185724154399</v>
      </c>
      <c r="H77" s="3">
        <v>4.0839248035576601</v>
      </c>
      <c r="I77" s="3">
        <v>0.87962469433777701</v>
      </c>
      <c r="J77" s="3">
        <v>1.9140020787941101</v>
      </c>
      <c r="K77" s="3">
        <v>3.0826010359315901</v>
      </c>
      <c r="L77" s="3">
        <v>2.3437097190671499</v>
      </c>
      <c r="M77" s="3">
        <v>3.0045038183238302</v>
      </c>
      <c r="N77" s="3">
        <v>4.26315896223712</v>
      </c>
    </row>
    <row r="78" spans="1:14" x14ac:dyDescent="0.35">
      <c r="A78" s="2">
        <v>44047</v>
      </c>
      <c r="B78" s="3">
        <v>2.3653916237537098</v>
      </c>
      <c r="C78" s="3">
        <v>3.3865732581546699</v>
      </c>
      <c r="D78" s="3">
        <v>3.3824659604006202</v>
      </c>
      <c r="E78" s="3">
        <v>2.8707004588086402</v>
      </c>
      <c r="F78" s="3">
        <v>2.5080013655964302</v>
      </c>
      <c r="G78" s="3">
        <v>2.96687242714275</v>
      </c>
      <c r="H78" s="3">
        <v>4.0003060257378404</v>
      </c>
      <c r="I78" s="3">
        <v>0.82139778299504895</v>
      </c>
      <c r="J78" s="3">
        <v>1.7995898096826699</v>
      </c>
      <c r="K78" s="3">
        <v>3.17507082393533</v>
      </c>
      <c r="L78" s="3">
        <v>2.3647043844533999</v>
      </c>
      <c r="M78" s="3">
        <v>3.0270629365902799</v>
      </c>
      <c r="N78" s="3">
        <v>3.94921362535655</v>
      </c>
    </row>
    <row r="79" spans="1:14" x14ac:dyDescent="0.35">
      <c r="A79" s="2">
        <v>44078</v>
      </c>
      <c r="B79" s="3">
        <v>2.3930541961016201</v>
      </c>
      <c r="C79" s="3">
        <v>3.5095581192595802</v>
      </c>
      <c r="D79" s="3">
        <v>3.41112968466877</v>
      </c>
      <c r="E79" s="3">
        <v>2.8590949416068598</v>
      </c>
      <c r="F79" s="3">
        <v>2.3806223224912202</v>
      </c>
      <c r="G79" s="3">
        <v>2.9828708778369002</v>
      </c>
      <c r="H79" s="3">
        <v>4.1844964272571197</v>
      </c>
      <c r="I79" s="3">
        <v>0.78685076828295497</v>
      </c>
      <c r="J79" s="3">
        <v>1.7416227648804701</v>
      </c>
      <c r="K79" s="3">
        <v>3.1509713084466502</v>
      </c>
      <c r="L79" s="3">
        <v>2.3577811188830502</v>
      </c>
      <c r="M79" s="3">
        <v>3.0461361915456999</v>
      </c>
      <c r="N79" s="3">
        <v>4.1045846920680198</v>
      </c>
    </row>
    <row r="80" spans="1:14" x14ac:dyDescent="0.35">
      <c r="A80" s="2">
        <v>44106</v>
      </c>
      <c r="B80" s="3">
        <v>2.4519419504232798</v>
      </c>
      <c r="C80" s="3">
        <v>3.7249684556834901</v>
      </c>
      <c r="D80" s="3">
        <v>3.4366620525084999</v>
      </c>
      <c r="E80" s="3">
        <v>2.8779421610387002</v>
      </c>
      <c r="F80" s="3">
        <v>2.4189895625465501</v>
      </c>
      <c r="G80" s="3">
        <v>2.9544104904960098</v>
      </c>
      <c r="H80" s="3">
        <v>4.2341674395293101</v>
      </c>
      <c r="I80" s="3">
        <v>0.81263971321582795</v>
      </c>
      <c r="J80" s="3">
        <v>1.7814193154933</v>
      </c>
      <c r="K80" s="3">
        <v>3.2759649782939499</v>
      </c>
      <c r="L80" s="3">
        <v>2.3266707057297702</v>
      </c>
      <c r="M80" s="3">
        <v>3.0326695194952502</v>
      </c>
      <c r="N80" s="3">
        <v>4.2128087944612904</v>
      </c>
    </row>
    <row r="81" spans="1:14" x14ac:dyDescent="0.35">
      <c r="A81" s="2">
        <v>44139</v>
      </c>
      <c r="B81" s="3">
        <v>2.40976755305971</v>
      </c>
      <c r="C81" s="3">
        <v>3.70433970946549</v>
      </c>
      <c r="D81" s="3">
        <v>3.4678082183877201</v>
      </c>
      <c r="E81" s="3">
        <v>2.9976125165051499</v>
      </c>
      <c r="F81" s="3">
        <v>2.39042503171411</v>
      </c>
      <c r="G81" s="3">
        <v>2.9463373869862202</v>
      </c>
      <c r="H81" s="3">
        <v>4.3743216449210598</v>
      </c>
      <c r="I81" s="3">
        <v>0.78685561973653495</v>
      </c>
      <c r="J81" s="3">
        <v>1.7410501190522201</v>
      </c>
      <c r="K81" s="3">
        <v>3.2244523965181</v>
      </c>
      <c r="L81" s="3">
        <v>2.2948103784960301</v>
      </c>
      <c r="M81" s="3">
        <v>3.1764711194536699</v>
      </c>
      <c r="N81" s="3">
        <v>4.2694597206508096</v>
      </c>
    </row>
    <row r="82" spans="1:14" x14ac:dyDescent="0.35">
      <c r="A82" s="2">
        <v>44169</v>
      </c>
      <c r="B82" s="3">
        <v>2.4140124372025098</v>
      </c>
      <c r="C82" s="3">
        <v>3.4243803648986102</v>
      </c>
      <c r="D82" s="3">
        <v>3.1250323502730399</v>
      </c>
      <c r="E82" s="3">
        <v>2.7788620418417902</v>
      </c>
      <c r="F82" s="3">
        <v>2.1633150844682101</v>
      </c>
      <c r="G82" s="3">
        <v>2.92200975373758</v>
      </c>
      <c r="H82" s="3">
        <v>3.84858808246676</v>
      </c>
      <c r="I82" s="3">
        <v>0.74136195603362498</v>
      </c>
      <c r="J82" s="3">
        <v>1.62198324650601</v>
      </c>
      <c r="K82" s="3">
        <v>2.8595569601144599</v>
      </c>
      <c r="L82" s="3">
        <v>2.0551381128142299</v>
      </c>
      <c r="M82" s="3">
        <v>3.0139745951586701</v>
      </c>
      <c r="N82" s="3">
        <v>3.9368062781048798</v>
      </c>
    </row>
    <row r="83" spans="1:14" x14ac:dyDescent="0.35">
      <c r="A83" s="2">
        <v>44200</v>
      </c>
      <c r="B83" s="3">
        <v>2.4141388668584698</v>
      </c>
      <c r="C83" s="3">
        <v>3.5412185007266701</v>
      </c>
      <c r="D83" s="3">
        <v>3.1173385164362402</v>
      </c>
      <c r="E83" s="3">
        <v>2.71128493244629</v>
      </c>
      <c r="F83" s="3">
        <v>2.1515538353064598</v>
      </c>
      <c r="G83" s="3">
        <v>2.8078468389217002</v>
      </c>
      <c r="H83" s="3">
        <v>3.9001017601378001</v>
      </c>
      <c r="I83" s="3">
        <v>0.77533409894102401</v>
      </c>
      <c r="J83" s="3">
        <v>1.6011557422573</v>
      </c>
      <c r="K83" s="3">
        <v>2.9203651259281398</v>
      </c>
      <c r="L83" s="3">
        <v>1.9468442336095699</v>
      </c>
      <c r="M83" s="3">
        <v>3.0831727254119601</v>
      </c>
      <c r="N83" s="3">
        <v>3.94015298222961</v>
      </c>
    </row>
    <row r="84" spans="1:14" x14ac:dyDescent="0.35">
      <c r="A84" s="2">
        <v>44231</v>
      </c>
      <c r="B84" s="3">
        <v>2.5040736476507202</v>
      </c>
      <c r="C84" s="3">
        <v>3.60855689339928</v>
      </c>
      <c r="D84" s="3">
        <v>3.0196957763212899</v>
      </c>
      <c r="E84" s="3">
        <v>2.7203220188489001</v>
      </c>
      <c r="F84" s="3">
        <v>2.09717202267466</v>
      </c>
      <c r="G84" s="3">
        <v>2.8197023085253399</v>
      </c>
      <c r="H84" s="3">
        <v>4.0615483350439403</v>
      </c>
      <c r="I84" s="3">
        <v>0.73202243579000703</v>
      </c>
      <c r="J84" s="3">
        <v>1.5477522254787199</v>
      </c>
      <c r="K84" s="3">
        <v>2.94182165844156</v>
      </c>
      <c r="L84" s="3">
        <v>1.9410179083804</v>
      </c>
      <c r="M84" s="3">
        <v>2.9655206075051499</v>
      </c>
      <c r="N84" s="3">
        <v>3.947679057397</v>
      </c>
    </row>
    <row r="85" spans="1:14" x14ac:dyDescent="0.35">
      <c r="A85" s="2">
        <v>44259</v>
      </c>
      <c r="B85" s="3">
        <v>2.6171942189236899</v>
      </c>
      <c r="C85" s="3">
        <v>3.8622132220508001</v>
      </c>
      <c r="D85" s="3">
        <v>2.9607200674261098</v>
      </c>
      <c r="E85" s="3">
        <v>2.8105447408611299</v>
      </c>
      <c r="F85" s="3">
        <v>2.1147547016788701</v>
      </c>
      <c r="G85" s="3">
        <v>2.8897132242403099</v>
      </c>
      <c r="H85" s="3">
        <v>3.96711984776389</v>
      </c>
      <c r="I85" s="3">
        <v>0.80326998186490794</v>
      </c>
      <c r="J85" s="3">
        <v>1.5988423930416999</v>
      </c>
      <c r="K85" s="3">
        <v>2.8214626153772202</v>
      </c>
      <c r="L85" s="3">
        <v>2.0916827322230902</v>
      </c>
      <c r="M85" s="3">
        <v>2.91072312756623</v>
      </c>
      <c r="N85" s="3">
        <v>4.2166381005087397</v>
      </c>
    </row>
    <row r="86" spans="1:14" x14ac:dyDescent="0.35">
      <c r="A86" s="2">
        <v>44287</v>
      </c>
      <c r="B86" s="3">
        <v>2.59658834852817</v>
      </c>
      <c r="C86" s="3">
        <v>3.97163701521748</v>
      </c>
      <c r="D86" s="3">
        <v>2.80258135035122</v>
      </c>
      <c r="E86" s="3">
        <v>2.6899807727586098</v>
      </c>
      <c r="F86" s="3">
        <v>2.0639765986588898</v>
      </c>
      <c r="G86" s="3">
        <v>2.7935006971027998</v>
      </c>
      <c r="H86" s="3">
        <v>4.0490320608381403</v>
      </c>
      <c r="I86" s="3">
        <v>0.75417258751375704</v>
      </c>
      <c r="J86" s="3">
        <v>1.5063526880646601</v>
      </c>
      <c r="K86" s="3">
        <v>2.7400858141387401</v>
      </c>
      <c r="L86" s="3">
        <v>1.9176825648873801</v>
      </c>
      <c r="M86" s="3">
        <v>2.7547793033497099</v>
      </c>
      <c r="N86" s="3">
        <v>3.9963737163555502</v>
      </c>
    </row>
    <row r="87" spans="1:14" x14ac:dyDescent="0.35">
      <c r="A87" s="2">
        <v>44320</v>
      </c>
      <c r="B87" s="3">
        <v>2.5586397454396499</v>
      </c>
      <c r="C87" s="3">
        <v>3.9111947970851699</v>
      </c>
      <c r="D87" s="3">
        <v>2.7452953046589901</v>
      </c>
      <c r="E87" s="3">
        <v>2.8350070830347902</v>
      </c>
      <c r="F87" s="3">
        <v>2.1645854211493201</v>
      </c>
      <c r="G87" s="3">
        <v>2.7952639627317102</v>
      </c>
      <c r="H87" s="3">
        <v>3.9854835684293501</v>
      </c>
      <c r="I87" s="3">
        <v>0.74804055190243801</v>
      </c>
      <c r="J87" s="3">
        <v>1.46685066090706</v>
      </c>
      <c r="K87" s="3">
        <v>2.7247317054852802</v>
      </c>
      <c r="L87" s="3">
        <v>2.0150422023860202</v>
      </c>
      <c r="M87" s="3">
        <v>2.8795330769428902</v>
      </c>
      <c r="N87" s="3">
        <v>4.2263489936296104</v>
      </c>
    </row>
    <row r="88" spans="1:14" x14ac:dyDescent="0.35">
      <c r="A88" s="2">
        <v>44351</v>
      </c>
      <c r="B88" s="3">
        <v>2.6873857162312</v>
      </c>
      <c r="C88" s="3">
        <v>3.8208968694180601</v>
      </c>
      <c r="D88" s="3">
        <v>2.5945381468635</v>
      </c>
      <c r="E88" s="3">
        <v>2.7778418824614701</v>
      </c>
      <c r="F88" s="3">
        <v>2.14244312632461</v>
      </c>
      <c r="G88" s="3">
        <v>2.6723385570607698</v>
      </c>
      <c r="H88" s="3">
        <v>3.88651397325149</v>
      </c>
      <c r="I88" s="3">
        <v>0.739173930389873</v>
      </c>
      <c r="J88" s="3">
        <v>1.4530805726071101</v>
      </c>
      <c r="K88" s="3">
        <v>2.67103769954866</v>
      </c>
      <c r="L88" s="3">
        <v>2.0007175762881699</v>
      </c>
      <c r="M88" s="3">
        <v>2.6761497742353701</v>
      </c>
      <c r="N88" s="3">
        <v>4.0578080931420999</v>
      </c>
    </row>
    <row r="89" spans="1:14" x14ac:dyDescent="0.35">
      <c r="A89" s="2">
        <v>44379</v>
      </c>
      <c r="B89" s="3">
        <v>2.6274135393594298</v>
      </c>
      <c r="C89" s="3">
        <v>4.0588734035747196</v>
      </c>
      <c r="D89" s="3">
        <v>2.7041918481249398</v>
      </c>
      <c r="E89" s="3">
        <v>2.8024834719227099</v>
      </c>
      <c r="F89" s="3">
        <v>2.18215093561684</v>
      </c>
      <c r="G89" s="3">
        <v>2.6310063326827202</v>
      </c>
      <c r="H89" s="3">
        <v>3.99409262579473</v>
      </c>
      <c r="I89" s="3">
        <v>0.69620934283835401</v>
      </c>
      <c r="J89" s="3">
        <v>1.42582413384686</v>
      </c>
      <c r="K89" s="3">
        <v>2.6931270451367499</v>
      </c>
      <c r="L89" s="3">
        <v>2.0086946793146501</v>
      </c>
      <c r="M89" s="3">
        <v>2.6956297751989702</v>
      </c>
      <c r="N89" s="3">
        <v>4.1376130952577999</v>
      </c>
    </row>
    <row r="90" spans="1:14" x14ac:dyDescent="0.35">
      <c r="A90" s="2">
        <v>44412</v>
      </c>
      <c r="B90" s="3">
        <v>2.6164025702683502</v>
      </c>
      <c r="C90" s="3">
        <v>4.0443422198980601</v>
      </c>
      <c r="D90" s="3">
        <v>2.7007869544874801</v>
      </c>
      <c r="E90" s="3">
        <v>2.8245996735883301</v>
      </c>
      <c r="F90" s="3">
        <v>2.2539452541515201</v>
      </c>
      <c r="G90" s="3">
        <v>2.5799198824263501</v>
      </c>
      <c r="H90" s="3">
        <v>4.1323998057080997</v>
      </c>
      <c r="I90" s="3">
        <v>0.69984012522108696</v>
      </c>
      <c r="J90" s="3">
        <v>1.4285840787504001</v>
      </c>
      <c r="K90" s="3">
        <v>2.6938533590608502</v>
      </c>
      <c r="L90" s="3">
        <v>1.9248875890576</v>
      </c>
      <c r="M90" s="3">
        <v>2.7073902795447302</v>
      </c>
      <c r="N90" s="3">
        <v>4.3631039615526301</v>
      </c>
    </row>
    <row r="91" spans="1:14" x14ac:dyDescent="0.35">
      <c r="A91" s="2">
        <v>44442</v>
      </c>
      <c r="B91" s="3">
        <v>2.5667310845766398</v>
      </c>
      <c r="C91" s="3">
        <v>4.0138660273057702</v>
      </c>
      <c r="D91" s="3">
        <v>2.7130578577917199</v>
      </c>
      <c r="E91" s="3">
        <v>2.8433104513362899</v>
      </c>
      <c r="F91" s="3">
        <v>2.1925258248649802</v>
      </c>
      <c r="G91" s="3">
        <v>2.5755871068023701</v>
      </c>
      <c r="H91" s="3">
        <v>4.1645028881805404</v>
      </c>
      <c r="I91" s="3">
        <v>0.67707934468187103</v>
      </c>
      <c r="J91" s="3">
        <v>1.3969885191626099</v>
      </c>
      <c r="K91" s="3">
        <v>2.7562679069265101</v>
      </c>
      <c r="L91" s="3">
        <v>1.8382556948222799</v>
      </c>
      <c r="M91" s="3">
        <v>2.7295762601538498</v>
      </c>
      <c r="N91" s="3">
        <v>4.4217926580871003</v>
      </c>
    </row>
    <row r="92" spans="1:14" x14ac:dyDescent="0.35">
      <c r="A92" s="2">
        <v>44473</v>
      </c>
      <c r="B92" s="3">
        <v>2.6082984633077202</v>
      </c>
      <c r="C92" s="3">
        <v>4.0837451160997302</v>
      </c>
      <c r="D92" s="3">
        <v>2.8371025384995199</v>
      </c>
      <c r="E92" s="3">
        <v>3.0250430106015198</v>
      </c>
      <c r="F92" s="3">
        <v>2.2712791780557899</v>
      </c>
      <c r="G92" s="3">
        <v>2.7783502870210599</v>
      </c>
      <c r="H92" s="3">
        <v>4.2120967598114198</v>
      </c>
      <c r="I92" s="3">
        <v>0.73966076641302103</v>
      </c>
      <c r="J92" s="3">
        <v>1.4791260733103899</v>
      </c>
      <c r="K92" s="3">
        <v>2.88467128593931</v>
      </c>
      <c r="L92" s="3">
        <v>2.0120675887299599</v>
      </c>
      <c r="M92" s="3">
        <v>2.9370122109743799</v>
      </c>
      <c r="N92" s="3">
        <v>4.5802589361693498</v>
      </c>
    </row>
    <row r="93" spans="1:14" x14ac:dyDescent="0.35">
      <c r="A93" s="2">
        <v>44504</v>
      </c>
      <c r="B93" s="3">
        <v>2.6848841475876699</v>
      </c>
      <c r="C93" s="3">
        <v>3.3607709186319399</v>
      </c>
      <c r="D93" s="3">
        <v>2.7195679021030701</v>
      </c>
      <c r="E93" s="3">
        <v>2.9047568431767101</v>
      </c>
      <c r="F93" s="3">
        <v>2.19798047659221</v>
      </c>
      <c r="G93" s="3">
        <v>2.5771394436640298</v>
      </c>
      <c r="H93" s="3">
        <v>4.0500687532736297</v>
      </c>
      <c r="I93" s="3">
        <v>0.65829900365007299</v>
      </c>
      <c r="J93" s="3">
        <v>1.37361284435333</v>
      </c>
      <c r="K93" s="3">
        <v>2.7470924857016601</v>
      </c>
      <c r="L93" s="3">
        <v>1.84565483419015</v>
      </c>
      <c r="M93" s="3">
        <v>2.9878565305521199</v>
      </c>
      <c r="N93" s="3">
        <v>4.32112627872643</v>
      </c>
    </row>
    <row r="94" spans="1:14" x14ac:dyDescent="0.35">
      <c r="A94" s="2">
        <v>44533</v>
      </c>
      <c r="B94" s="3">
        <v>2.7998955878785599</v>
      </c>
      <c r="C94" s="3">
        <v>4.0399429949094099</v>
      </c>
      <c r="D94" s="3">
        <v>2.8714511077597402</v>
      </c>
      <c r="E94" s="3">
        <v>3.15433445094716</v>
      </c>
      <c r="F94" s="3">
        <v>2.3362741528641102</v>
      </c>
      <c r="G94" s="3">
        <v>2.6707760747183702</v>
      </c>
      <c r="H94" s="3">
        <v>4.1077278254668297</v>
      </c>
      <c r="I94" s="3">
        <v>0.69027890707236506</v>
      </c>
      <c r="J94" s="3">
        <v>1.4198762321262499</v>
      </c>
      <c r="K94" s="3">
        <v>2.8763062924938501</v>
      </c>
      <c r="L94" s="3">
        <v>2.0059587022778298</v>
      </c>
      <c r="M94" s="3">
        <v>3.0255724296237698</v>
      </c>
      <c r="N94" s="3">
        <v>4.7523535882579599</v>
      </c>
    </row>
    <row r="95" spans="1:14" x14ac:dyDescent="0.35">
      <c r="A95" s="2">
        <v>44565</v>
      </c>
      <c r="B95" s="3">
        <v>2.7722180499581399</v>
      </c>
      <c r="C95" s="3">
        <v>3.8121530631221798</v>
      </c>
      <c r="D95" s="3">
        <v>2.7858488908291701</v>
      </c>
      <c r="E95" s="3">
        <v>2.99933909828433</v>
      </c>
      <c r="F95" s="3">
        <v>2.2737088559035499</v>
      </c>
      <c r="G95" s="3">
        <v>2.5280489055520898</v>
      </c>
      <c r="H95" s="3">
        <v>3.8360526545624301</v>
      </c>
      <c r="I95" s="3">
        <v>0.67173310229615302</v>
      </c>
      <c r="J95" s="3">
        <v>1.3486790673917699</v>
      </c>
      <c r="K95" s="3">
        <v>2.6875497600899201</v>
      </c>
      <c r="L95" s="3">
        <v>1.93435633515663</v>
      </c>
      <c r="M95" s="3">
        <v>2.7981371187986999</v>
      </c>
      <c r="N95" s="3">
        <v>4.5123428300335204</v>
      </c>
    </row>
    <row r="96" spans="1:14" x14ac:dyDescent="0.35">
      <c r="A96" s="2">
        <v>44596</v>
      </c>
      <c r="B96" s="3">
        <v>2.9508850358633998</v>
      </c>
      <c r="C96" s="3">
        <v>4.3114491725965998</v>
      </c>
      <c r="D96" s="3">
        <v>2.8036267952063199</v>
      </c>
      <c r="E96" s="3">
        <v>3.2422356938473098</v>
      </c>
      <c r="F96" s="3">
        <v>2.43842933459739</v>
      </c>
      <c r="G96" s="3">
        <v>2.7748580148498898</v>
      </c>
      <c r="H96" s="3">
        <v>3.83763462893458</v>
      </c>
      <c r="I96" s="3">
        <v>0.75345213905687203</v>
      </c>
      <c r="J96" s="3">
        <v>1.45560127112607</v>
      </c>
      <c r="K96" s="3">
        <v>2.8918213064299998</v>
      </c>
      <c r="L96" s="3">
        <v>2.2318437509392801</v>
      </c>
      <c r="M96" s="3">
        <v>2.94404820193675</v>
      </c>
      <c r="N96" s="3">
        <v>4.8217482873471997</v>
      </c>
    </row>
    <row r="97" spans="1:14" x14ac:dyDescent="0.35">
      <c r="A97" s="2">
        <v>44624</v>
      </c>
      <c r="B97" s="3">
        <v>3.0070985371623902</v>
      </c>
      <c r="C97" s="3">
        <v>4.3056108704206197</v>
      </c>
      <c r="D97" s="3">
        <v>2.8455788547432102</v>
      </c>
      <c r="E97" s="3">
        <v>3.86072841516427</v>
      </c>
      <c r="F97" s="3">
        <v>2.6226796842657198</v>
      </c>
      <c r="G97" s="3">
        <v>2.9672191572464399</v>
      </c>
      <c r="H97" s="3">
        <v>4.1826931261269298</v>
      </c>
      <c r="I97" s="3">
        <v>0.81131091219672702</v>
      </c>
      <c r="J97" s="3">
        <v>1.52731176315102</v>
      </c>
      <c r="K97" s="3">
        <v>3.4006010860626001</v>
      </c>
      <c r="L97" s="3">
        <v>2.4978094812559402</v>
      </c>
      <c r="M97" s="3">
        <v>3.37343342803976</v>
      </c>
      <c r="N97" s="3">
        <v>5.6503761022117498</v>
      </c>
    </row>
    <row r="98" spans="1:14" x14ac:dyDescent="0.35">
      <c r="A98" s="2">
        <v>44655</v>
      </c>
      <c r="B98" s="3">
        <v>3.08426673508552</v>
      </c>
      <c r="C98" s="3">
        <v>4.3075442218698203</v>
      </c>
      <c r="D98" s="3">
        <v>2.8102731527668099</v>
      </c>
      <c r="E98" s="3">
        <v>3.51401099695744</v>
      </c>
      <c r="F98" s="3">
        <v>2.5026446887239402</v>
      </c>
      <c r="G98" s="3">
        <v>2.74864770252585</v>
      </c>
      <c r="H98" s="3">
        <v>3.9715372608923198</v>
      </c>
      <c r="I98" s="3">
        <v>0.74320820483071204</v>
      </c>
      <c r="J98" s="3">
        <v>1.4389589701319101</v>
      </c>
      <c r="K98" s="3">
        <v>3.0660765638058498</v>
      </c>
      <c r="L98" s="3">
        <v>2.2112889163671601</v>
      </c>
      <c r="M98" s="3">
        <v>3.0801419632058802</v>
      </c>
      <c r="N98" s="3">
        <v>5.0086286158638798</v>
      </c>
    </row>
    <row r="99" spans="1:14" x14ac:dyDescent="0.35">
      <c r="A99" s="2">
        <v>44685</v>
      </c>
      <c r="B99" s="3">
        <v>3.0980352860333298</v>
      </c>
      <c r="C99" s="3">
        <v>4.5447799666001201</v>
      </c>
      <c r="D99" s="3">
        <v>3.0030289671060002</v>
      </c>
      <c r="E99" s="3">
        <v>3.7657962102951101</v>
      </c>
      <c r="F99" s="3">
        <v>2.58721581890146</v>
      </c>
      <c r="G99" s="3">
        <v>2.9114694932808098</v>
      </c>
      <c r="H99" s="3">
        <v>4.10815404555977</v>
      </c>
      <c r="I99" s="3">
        <v>0.83541560500377698</v>
      </c>
      <c r="J99" s="3">
        <v>1.5382845418101001</v>
      </c>
      <c r="K99" s="3">
        <v>3.22448161137737</v>
      </c>
      <c r="L99" s="3">
        <v>2.4158905923317602</v>
      </c>
      <c r="M99" s="3">
        <v>3.38130135221629</v>
      </c>
      <c r="N99" s="3">
        <v>5.1822227951149502</v>
      </c>
    </row>
    <row r="100" spans="1:14" x14ac:dyDescent="0.35">
      <c r="A100" s="2">
        <v>44715</v>
      </c>
      <c r="B100" s="3">
        <v>3.20359566457096</v>
      </c>
      <c r="C100" s="3">
        <v>4.67171506929082</v>
      </c>
      <c r="D100" s="3">
        <v>3.1024299942501798</v>
      </c>
      <c r="E100" s="3">
        <v>3.7266379651703998</v>
      </c>
      <c r="F100" s="3">
        <v>2.5820584683078698</v>
      </c>
      <c r="G100" s="3">
        <v>2.97445030051647</v>
      </c>
      <c r="H100" s="3">
        <v>4.0698231549119601</v>
      </c>
      <c r="I100" s="3">
        <v>0.908893488542593</v>
      </c>
      <c r="J100" s="3">
        <v>1.6176386173021</v>
      </c>
      <c r="K100" s="3">
        <v>3.2079262143016898</v>
      </c>
      <c r="L100" s="3">
        <v>2.5609364680395799</v>
      </c>
      <c r="M100" s="3">
        <v>3.2385929604819399</v>
      </c>
      <c r="N100" s="3">
        <v>5.2622055760474398</v>
      </c>
    </row>
    <row r="101" spans="1:14" x14ac:dyDescent="0.35">
      <c r="A101" s="2">
        <v>44743</v>
      </c>
      <c r="B101" s="3">
        <v>3.4094977645468001</v>
      </c>
      <c r="C101" s="3">
        <v>5.3160403707034201</v>
      </c>
      <c r="D101" s="3">
        <v>3.42241268976922</v>
      </c>
      <c r="E101" s="3">
        <v>4.2119272278797499</v>
      </c>
      <c r="F101" s="3">
        <v>2.74049663731132</v>
      </c>
      <c r="G101" s="3">
        <v>3.1965228343548899</v>
      </c>
      <c r="H101" s="3">
        <v>4.32321531067159</v>
      </c>
      <c r="I101" s="3">
        <v>0.99234214423649103</v>
      </c>
      <c r="J101" s="3">
        <v>1.7547822123144099</v>
      </c>
      <c r="K101" s="3">
        <v>3.5373011191181201</v>
      </c>
      <c r="L101" s="3">
        <v>3.48420352945727</v>
      </c>
      <c r="M101" s="3">
        <v>3.63852903608446</v>
      </c>
      <c r="N101" s="3">
        <v>5.9288194662000402</v>
      </c>
    </row>
    <row r="102" spans="1:14" x14ac:dyDescent="0.35">
      <c r="A102" s="2">
        <v>44777</v>
      </c>
      <c r="B102" s="3">
        <v>3.18936434001033</v>
      </c>
      <c r="C102" s="3">
        <v>4.83233508518859</v>
      </c>
      <c r="D102" s="3">
        <v>3.3485858179233801</v>
      </c>
      <c r="E102" s="3">
        <v>3.9554891889274399</v>
      </c>
      <c r="F102" s="3">
        <v>2.6238090754129</v>
      </c>
      <c r="G102" s="3">
        <v>3.05614856348982</v>
      </c>
      <c r="H102" s="3">
        <v>4.1895963961131697</v>
      </c>
      <c r="I102" s="3">
        <v>0.86965596649927002</v>
      </c>
      <c r="J102" s="3">
        <v>1.62454990973672</v>
      </c>
      <c r="K102" s="3">
        <v>3.2571298555985102</v>
      </c>
      <c r="L102" s="3">
        <v>3.0413857238227</v>
      </c>
      <c r="M102" s="3">
        <v>3.4589274178990701</v>
      </c>
      <c r="N102" s="3">
        <v>5.7768383769001304</v>
      </c>
    </row>
    <row r="103" spans="1:14" x14ac:dyDescent="0.35">
      <c r="A103" s="2">
        <v>44806</v>
      </c>
      <c r="B103" s="3">
        <v>3.1975030689859998</v>
      </c>
      <c r="C103" s="3">
        <v>4.8731086432875603</v>
      </c>
      <c r="D103" s="3">
        <v>3.4774993126967799</v>
      </c>
      <c r="E103" s="3">
        <v>4.1385548345337</v>
      </c>
      <c r="F103" s="3">
        <v>2.6414844816722698</v>
      </c>
      <c r="G103" s="3">
        <v>3.1965103585154302</v>
      </c>
      <c r="H103" s="3">
        <v>4.4384675155815101</v>
      </c>
      <c r="I103" s="3">
        <v>0.962519191385244</v>
      </c>
      <c r="J103" s="3">
        <v>1.7405880623586101</v>
      </c>
      <c r="K103" s="3">
        <v>3.4973700253473798</v>
      </c>
      <c r="L103" s="3">
        <v>3.7930401273864298</v>
      </c>
      <c r="M103" s="3">
        <v>3.7126333104950802</v>
      </c>
      <c r="N103" s="3">
        <v>5.6446969685769401</v>
      </c>
    </row>
    <row r="104" spans="1:14" x14ac:dyDescent="0.35">
      <c r="A104" s="2">
        <v>44838</v>
      </c>
      <c r="B104" s="3">
        <v>3.41395046271797</v>
      </c>
      <c r="C104" s="3">
        <v>5.0310982971114804</v>
      </c>
      <c r="D104" s="3">
        <v>3.4613445308720099</v>
      </c>
      <c r="E104" s="3">
        <v>4.2806059344270402</v>
      </c>
      <c r="F104" s="3">
        <v>2.7049863303542798</v>
      </c>
      <c r="G104" s="3">
        <v>3.3228446187262799</v>
      </c>
      <c r="H104" s="3">
        <v>4.5285152673959104</v>
      </c>
      <c r="I104" s="3">
        <v>1.01424016343692</v>
      </c>
      <c r="J104" s="3">
        <v>1.8085483265904501</v>
      </c>
      <c r="K104" s="3">
        <v>3.5928058702526902</v>
      </c>
      <c r="L104" s="3">
        <v>2.91948559780481</v>
      </c>
      <c r="M104" s="3">
        <v>3.6264155383452201</v>
      </c>
      <c r="N104" s="3">
        <v>5.9182761072336501</v>
      </c>
    </row>
    <row r="105" spans="1:14" x14ac:dyDescent="0.35">
      <c r="A105" s="2">
        <v>44869</v>
      </c>
      <c r="B105" s="3">
        <v>3.4048413892266902</v>
      </c>
      <c r="C105" s="3">
        <v>4.9267094317270503</v>
      </c>
      <c r="D105" s="3">
        <v>3.46403487133021</v>
      </c>
      <c r="E105" s="3">
        <v>4.06174750648161</v>
      </c>
      <c r="F105" s="3">
        <v>2.6945902158619202</v>
      </c>
      <c r="G105" s="3">
        <v>3.2886204579789098</v>
      </c>
      <c r="H105" s="3">
        <v>4.4438586698168701</v>
      </c>
      <c r="I105" s="3">
        <v>1.0907144875189001</v>
      </c>
      <c r="J105" s="3">
        <v>1.83310410661943</v>
      </c>
      <c r="K105" s="3">
        <v>3.4227645376661502</v>
      </c>
      <c r="L105" s="3">
        <v>2.9488402237690599</v>
      </c>
      <c r="M105" s="3">
        <v>3.7190774029309899</v>
      </c>
      <c r="N105" s="3">
        <v>5.54664553856193</v>
      </c>
    </row>
    <row r="106" spans="1:14" x14ac:dyDescent="0.35">
      <c r="A106" s="2">
        <v>44897</v>
      </c>
      <c r="B106" s="3">
        <v>3.3885573622714</v>
      </c>
      <c r="C106" s="3">
        <v>4.4336585553645804</v>
      </c>
      <c r="D106" s="3">
        <v>3.2817011342395501</v>
      </c>
      <c r="E106" s="3">
        <v>3.7098850693713601</v>
      </c>
      <c r="F106" s="3">
        <v>2.6400789138706102</v>
      </c>
      <c r="G106" s="3">
        <v>3.0846754008924</v>
      </c>
      <c r="H106" s="3">
        <v>4.2121674823373603</v>
      </c>
      <c r="I106" s="3">
        <v>0.98703769284804899</v>
      </c>
      <c r="J106" s="3">
        <v>1.69903313735057</v>
      </c>
      <c r="K106" s="3">
        <v>3.2603258108665201</v>
      </c>
      <c r="L106" s="3">
        <v>2.6342428956904902</v>
      </c>
      <c r="M106" s="3">
        <v>3.5593135725727798</v>
      </c>
      <c r="N106" s="3">
        <v>5.6775556387591504</v>
      </c>
    </row>
    <row r="107" spans="1:14" x14ac:dyDescent="0.35">
      <c r="A107" s="2">
        <v>44930</v>
      </c>
      <c r="B107" s="3">
        <v>3.4353659497674398</v>
      </c>
      <c r="C107" s="3">
        <v>4.5997796822579602</v>
      </c>
      <c r="D107" s="3">
        <v>3.43467322805486</v>
      </c>
      <c r="E107" s="3">
        <v>3.6763884610911401</v>
      </c>
      <c r="F107" s="3">
        <v>2.7941180057715802</v>
      </c>
      <c r="G107" s="3">
        <v>3.11096047047173</v>
      </c>
      <c r="H107" s="3">
        <v>4.2284205718015597</v>
      </c>
      <c r="I107" s="3">
        <v>1.0419443537769599</v>
      </c>
      <c r="J107" s="3">
        <v>1.8048829116659799</v>
      </c>
      <c r="K107" s="3">
        <v>3.2468052809521302</v>
      </c>
      <c r="L107" s="3">
        <v>2.68045351424372</v>
      </c>
      <c r="M107" s="3">
        <v>3.6472275240764702</v>
      </c>
      <c r="N107" s="3">
        <v>5.6651830242386803</v>
      </c>
    </row>
    <row r="108" spans="1:14" x14ac:dyDescent="0.35">
      <c r="A108" s="2">
        <v>44960</v>
      </c>
      <c r="B108" s="3">
        <v>3.2789381491557399</v>
      </c>
      <c r="C108" s="3">
        <v>4.2493445040074604</v>
      </c>
      <c r="D108" s="3">
        <v>3.2536756515630398</v>
      </c>
      <c r="E108" s="3">
        <v>3.42585563222999</v>
      </c>
      <c r="F108" s="3">
        <v>2.63319226216041</v>
      </c>
      <c r="G108" s="3">
        <v>3.0274275263934101</v>
      </c>
      <c r="H108" s="3">
        <v>4.0946523137157396</v>
      </c>
      <c r="I108" s="3">
        <v>0.91467578058225096</v>
      </c>
      <c r="J108" s="3">
        <v>1.6913412165489099</v>
      </c>
      <c r="K108" s="3">
        <v>3.05813258530929</v>
      </c>
      <c r="L108" s="3">
        <v>2.50476080702443</v>
      </c>
      <c r="M108" s="3">
        <v>3.4277717996347201</v>
      </c>
      <c r="N108" s="3">
        <v>5.4338696736761802</v>
      </c>
    </row>
    <row r="109" spans="1:14" x14ac:dyDescent="0.35">
      <c r="A109" s="2">
        <v>44988</v>
      </c>
      <c r="B109" s="3">
        <v>3.3916629430260601</v>
      </c>
      <c r="C109" s="3">
        <v>4.4570027669012102</v>
      </c>
      <c r="D109" s="3">
        <v>3.2869995218633901</v>
      </c>
      <c r="E109" s="3">
        <v>3.4825021363935198</v>
      </c>
      <c r="F109" s="3">
        <v>2.5773961021153702</v>
      </c>
      <c r="G109" s="3">
        <v>3.13399285623849</v>
      </c>
      <c r="H109" s="3">
        <v>4.1258415674168596</v>
      </c>
      <c r="I109" s="3">
        <v>0.94246865698860904</v>
      </c>
      <c r="J109" s="3">
        <v>1.73619171284966</v>
      </c>
      <c r="K109" s="3">
        <v>3.1361680972822499</v>
      </c>
      <c r="L109" s="3">
        <v>2.62721850533603</v>
      </c>
      <c r="M109" s="3">
        <v>3.4974281912402301</v>
      </c>
      <c r="N109" s="3">
        <v>5.2194612572616901</v>
      </c>
    </row>
    <row r="110" spans="1:14" x14ac:dyDescent="0.35">
      <c r="A110" s="2">
        <v>45020</v>
      </c>
      <c r="B110" s="3">
        <v>3.3949664529489101</v>
      </c>
      <c r="C110" s="3">
        <v>4.4811363499133501</v>
      </c>
      <c r="D110" s="3">
        <v>3.3050867897691898</v>
      </c>
      <c r="E110" s="3">
        <v>3.5366289750311601</v>
      </c>
      <c r="F110" s="3">
        <v>2.5997998817015602</v>
      </c>
      <c r="G110" s="3">
        <v>3.1704587179255701</v>
      </c>
      <c r="H110" s="3">
        <v>4.2026996783982398</v>
      </c>
      <c r="I110" s="3">
        <v>0.88925204306321204</v>
      </c>
      <c r="J110" s="3">
        <v>1.72017953460072</v>
      </c>
      <c r="K110" s="3">
        <v>3.1675205911258799</v>
      </c>
      <c r="L110" s="3">
        <v>2.6529483670423302</v>
      </c>
      <c r="M110" s="3">
        <v>3.6415466401407701</v>
      </c>
      <c r="N110" s="3">
        <v>5.4561500407907797</v>
      </c>
    </row>
    <row r="111" spans="1:14" x14ac:dyDescent="0.35">
      <c r="A111" s="2">
        <v>45050</v>
      </c>
      <c r="B111" s="3">
        <v>3.40701420995227</v>
      </c>
      <c r="C111" s="3">
        <v>4.4768385587083497</v>
      </c>
      <c r="D111" s="3">
        <v>3.3014586218392701</v>
      </c>
      <c r="E111" s="3">
        <v>3.57287175517332</v>
      </c>
      <c r="F111" s="3">
        <v>2.53593258721927</v>
      </c>
      <c r="G111" s="3">
        <v>3.06588191082432</v>
      </c>
      <c r="H111" s="3">
        <v>4.2483860169452798</v>
      </c>
      <c r="I111" s="3">
        <v>0.88207342624268803</v>
      </c>
      <c r="J111" s="3">
        <v>1.7381424698375301</v>
      </c>
      <c r="K111" s="3">
        <v>3.1979636577310999</v>
      </c>
      <c r="L111" s="3">
        <v>2.7264195252193399</v>
      </c>
      <c r="M111" s="3">
        <v>3.7111604814010599</v>
      </c>
      <c r="N111" s="3">
        <v>5.5152293213307004</v>
      </c>
    </row>
    <row r="112" spans="1:14" x14ac:dyDescent="0.35">
      <c r="A112" s="2">
        <v>45079</v>
      </c>
      <c r="B112" s="3">
        <v>3.4176437566000999</v>
      </c>
      <c r="C112" s="3">
        <v>4.4791514095311404</v>
      </c>
      <c r="D112" s="3">
        <v>3.31108210263712</v>
      </c>
      <c r="E112" s="3">
        <v>3.618187211125</v>
      </c>
      <c r="F112" s="3">
        <v>2.4213198532157301</v>
      </c>
      <c r="G112" s="3">
        <v>3.12627979885354</v>
      </c>
      <c r="H112" s="3">
        <v>4.3529412669634304</v>
      </c>
      <c r="I112" s="3">
        <v>0.79160911037144999</v>
      </c>
      <c r="J112" s="3">
        <v>1.6559055065363699</v>
      </c>
      <c r="K112" s="3">
        <v>3.2604129702845901</v>
      </c>
      <c r="L112" s="3">
        <v>2.6879028226558002</v>
      </c>
      <c r="M112" s="3">
        <v>3.7123831911207099</v>
      </c>
      <c r="N112" s="3">
        <v>5.43936078668085</v>
      </c>
    </row>
    <row r="113" spans="1:25" x14ac:dyDescent="0.35">
      <c r="A113" s="2">
        <v>45110</v>
      </c>
      <c r="B113" s="3">
        <v>3.4144678924145699</v>
      </c>
      <c r="C113" s="3">
        <v>4.2792914252348302</v>
      </c>
      <c r="D113" s="3">
        <v>3.2469932279143099</v>
      </c>
      <c r="E113" s="3">
        <v>3.6405617429898398</v>
      </c>
      <c r="F113" s="3">
        <v>2.3000287790546499</v>
      </c>
      <c r="G113" s="3">
        <v>3.1855511409335699</v>
      </c>
      <c r="H113" s="3">
        <v>4.38194774822776</v>
      </c>
      <c r="I113" s="3">
        <v>0.76138984234595197</v>
      </c>
      <c r="J113" s="3">
        <v>1.5948956271958801</v>
      </c>
      <c r="K113" s="3">
        <v>3.2409978295240802</v>
      </c>
      <c r="L113" s="3">
        <v>2.6869293408093999</v>
      </c>
      <c r="M113" s="3">
        <v>3.7282645248977899</v>
      </c>
      <c r="N113" s="3">
        <v>5.2626367402740497</v>
      </c>
    </row>
    <row r="114" spans="1:25" x14ac:dyDescent="0.35">
      <c r="A114" s="2">
        <v>45142</v>
      </c>
      <c r="B114" s="3">
        <v>3.4463299645874099</v>
      </c>
      <c r="C114" s="3">
        <v>4.1646608715307796</v>
      </c>
      <c r="D114" s="3">
        <v>3.4456465088263699</v>
      </c>
      <c r="E114" s="3">
        <v>3.70320206673814</v>
      </c>
      <c r="F114" s="3">
        <v>2.3812065111048399</v>
      </c>
      <c r="G114" s="3">
        <v>3.2027226644568998</v>
      </c>
      <c r="H114" s="3">
        <v>4.3891837143891097</v>
      </c>
      <c r="I114" s="3">
        <v>0.882686229005201</v>
      </c>
      <c r="J114" s="3">
        <v>1.5988511427456</v>
      </c>
      <c r="K114" s="3">
        <v>3.3076032469677501</v>
      </c>
      <c r="L114" s="3">
        <v>2.7253088333259701</v>
      </c>
      <c r="M114" s="3">
        <v>3.8619696146599001</v>
      </c>
      <c r="N114" s="3">
        <v>5.4608374885718298</v>
      </c>
    </row>
    <row r="115" spans="1:25" x14ac:dyDescent="0.35">
      <c r="A115" s="2">
        <v>45170</v>
      </c>
      <c r="B115" s="3">
        <v>3.3074930185700602</v>
      </c>
      <c r="C115" s="3">
        <v>4.1546426282075704</v>
      </c>
      <c r="D115" s="3">
        <v>3.4466674695265298</v>
      </c>
      <c r="E115" s="3">
        <v>3.7175364546224001</v>
      </c>
      <c r="F115" s="3">
        <v>2.3355260047544899</v>
      </c>
      <c r="G115" s="3">
        <v>3.2453674033270001</v>
      </c>
      <c r="H115" s="3">
        <v>4.4766416375696796</v>
      </c>
      <c r="I115" s="3">
        <v>0.87404868469581798</v>
      </c>
      <c r="J115" s="3">
        <v>1.5922947943538499</v>
      </c>
      <c r="K115" s="3">
        <v>3.3246122010785601</v>
      </c>
      <c r="L115" s="3">
        <v>2.88342968572098</v>
      </c>
      <c r="M115" s="3">
        <v>3.9544965256708702</v>
      </c>
      <c r="N115" s="3">
        <v>5.3873841436868402</v>
      </c>
    </row>
    <row r="116" spans="1:25" x14ac:dyDescent="0.35">
      <c r="A116" s="2">
        <v>45203</v>
      </c>
      <c r="B116" s="3">
        <v>3.4478991481407602</v>
      </c>
      <c r="C116" s="3">
        <v>4.4465436030633896</v>
      </c>
      <c r="D116" s="3">
        <v>3.7405887416220902</v>
      </c>
      <c r="E116" s="3">
        <v>3.9338380116229699</v>
      </c>
      <c r="F116" s="3">
        <v>2.4999368630632102</v>
      </c>
      <c r="G116" s="3">
        <v>3.4195311978305001</v>
      </c>
      <c r="H116" s="3">
        <v>4.6089687455797304</v>
      </c>
      <c r="I116" s="3">
        <v>0.94256807547140298</v>
      </c>
      <c r="J116" s="3">
        <v>1.70015508701414</v>
      </c>
      <c r="K116" s="3">
        <v>3.4915238470057801</v>
      </c>
      <c r="L116" s="3">
        <v>3.0584348499648399</v>
      </c>
      <c r="M116" s="3">
        <v>4.1029925033333203</v>
      </c>
      <c r="N116" s="3">
        <v>5.7007460943189399</v>
      </c>
    </row>
    <row r="117" spans="1:25" x14ac:dyDescent="0.35">
      <c r="A117" s="2">
        <v>45233</v>
      </c>
      <c r="B117" s="3">
        <v>3.47318267410976</v>
      </c>
      <c r="C117" s="3">
        <v>4.3654809027651096</v>
      </c>
      <c r="D117" s="3">
        <v>3.6142433633115698</v>
      </c>
      <c r="E117" s="3">
        <v>3.93031420690237</v>
      </c>
      <c r="F117" s="3">
        <v>2.4076348525697102</v>
      </c>
      <c r="G117" s="3">
        <v>3.46260057708268</v>
      </c>
      <c r="H117" s="3">
        <v>4.5644750648233696</v>
      </c>
      <c r="I117" s="3">
        <v>0.92832005586592004</v>
      </c>
      <c r="J117" s="3">
        <v>1.66734526753801</v>
      </c>
      <c r="K117" s="3">
        <v>3.4541575001755001</v>
      </c>
      <c r="L117" s="3">
        <v>2.97389704718241</v>
      </c>
      <c r="M117" s="3">
        <v>3.8562615181208102</v>
      </c>
      <c r="N117" s="3">
        <v>5.5752846282580304</v>
      </c>
    </row>
    <row r="118" spans="1:25" x14ac:dyDescent="0.35">
      <c r="A118" s="2">
        <v>45264</v>
      </c>
      <c r="B118" s="3">
        <v>3.1353816903423199</v>
      </c>
      <c r="C118" s="3">
        <v>4.2623856101299102</v>
      </c>
      <c r="D118" s="3">
        <v>3.4470468459070398</v>
      </c>
      <c r="E118" s="3">
        <v>3.6090591228438398</v>
      </c>
      <c r="F118" s="3">
        <v>2.4136793735484701</v>
      </c>
      <c r="G118" s="3">
        <v>3.3558613302120102</v>
      </c>
      <c r="H118" s="3">
        <v>4.4238598631866397</v>
      </c>
      <c r="I118" s="3">
        <v>0.89333643426943299</v>
      </c>
      <c r="J118" s="3">
        <v>1.59432874967421</v>
      </c>
      <c r="K118" s="3">
        <v>3.3267450405696599</v>
      </c>
      <c r="L118" s="3">
        <v>2.7876198409379498</v>
      </c>
      <c r="M118" s="3">
        <v>3.1380418253057001</v>
      </c>
      <c r="N118" s="3">
        <v>5.4492500661688297</v>
      </c>
    </row>
    <row r="119" spans="1:25" x14ac:dyDescent="0.35">
      <c r="A119" s="2">
        <v>45295</v>
      </c>
      <c r="B119" s="3">
        <v>2.9891036595343898</v>
      </c>
      <c r="C119" s="3">
        <v>4.0540102095414996</v>
      </c>
      <c r="D119" s="3">
        <v>3.36761991574715</v>
      </c>
      <c r="E119" s="3">
        <v>3.5953442106648899</v>
      </c>
      <c r="F119" s="3">
        <v>2.4217912598934599</v>
      </c>
      <c r="G119" s="3">
        <v>3.27047896671231</v>
      </c>
      <c r="H119" s="3">
        <v>4.2687207646250096</v>
      </c>
      <c r="I119" s="3">
        <v>0.95071050118608702</v>
      </c>
      <c r="J119" s="3">
        <v>1.5696322108968299</v>
      </c>
      <c r="K119" s="3">
        <v>3.2682167380110001</v>
      </c>
      <c r="L119" s="3">
        <v>2.7332115589499502</v>
      </c>
      <c r="M119" s="3">
        <v>2.9819788941340901</v>
      </c>
      <c r="N119" s="3">
        <v>5.4546459887771901</v>
      </c>
    </row>
    <row r="120" spans="1:25" x14ac:dyDescent="0.35">
      <c r="A120" s="2">
        <v>45324</v>
      </c>
      <c r="B120" s="3">
        <v>2.9820176332235699</v>
      </c>
      <c r="C120" s="3">
        <v>3.9590217454451002</v>
      </c>
      <c r="D120" s="3">
        <v>3.3257777413792899</v>
      </c>
      <c r="E120" s="3">
        <v>3.5332807539723801</v>
      </c>
      <c r="F120" s="3">
        <v>2.2780023349527099</v>
      </c>
      <c r="G120" s="3">
        <v>3.31210706583619</v>
      </c>
      <c r="H120" s="3">
        <v>4.29976879811539</v>
      </c>
      <c r="I120" s="3">
        <v>0.89483024199980299</v>
      </c>
      <c r="J120" s="3">
        <v>1.5008749126313199</v>
      </c>
      <c r="K120" s="3">
        <v>3.20794258474006</v>
      </c>
      <c r="L120" s="3">
        <v>2.5530473761578998</v>
      </c>
      <c r="M120" s="3">
        <v>3.3140954738691302</v>
      </c>
      <c r="N120" s="3">
        <v>5.3782130191392401</v>
      </c>
    </row>
    <row r="121" spans="1:25" x14ac:dyDescent="0.35">
      <c r="A121" s="2">
        <v>45355</v>
      </c>
      <c r="B121" s="3">
        <v>2.7776308766351598</v>
      </c>
      <c r="C121" s="3">
        <v>3.9647602367814199</v>
      </c>
      <c r="D121" s="3">
        <v>3.22692190062646</v>
      </c>
      <c r="E121" s="3">
        <v>3.4313930632682301</v>
      </c>
      <c r="F121" s="3">
        <v>2.1568067723032098</v>
      </c>
      <c r="G121" s="3">
        <v>3.3030696960132602</v>
      </c>
      <c r="H121" s="3">
        <v>4.1759744128029803</v>
      </c>
      <c r="I121" s="3">
        <v>0.87450176439071403</v>
      </c>
      <c r="J121" s="3">
        <v>1.46237681530292</v>
      </c>
      <c r="K121" s="3">
        <v>3.12810804060986</v>
      </c>
      <c r="L121" s="3">
        <v>2.5748510779992499</v>
      </c>
      <c r="M121" s="3">
        <v>3.2818258094702601</v>
      </c>
      <c r="N121" s="3">
        <v>5.2803233493866504</v>
      </c>
    </row>
    <row r="122" spans="1:25" x14ac:dyDescent="0.35">
      <c r="A122" s="2">
        <v>45385</v>
      </c>
      <c r="B122" s="3">
        <v>2.7654194182065699</v>
      </c>
      <c r="C122" s="3">
        <v>3.94293470959057</v>
      </c>
      <c r="D122" s="3">
        <v>3.10659251536143</v>
      </c>
      <c r="E122" s="3">
        <v>3.2706315779532402</v>
      </c>
      <c r="F122" s="3">
        <v>2.19846964061965</v>
      </c>
      <c r="G122" s="3">
        <v>3.3062181408186802</v>
      </c>
      <c r="H122" s="3">
        <v>4.04071763503896</v>
      </c>
      <c r="I122" s="3">
        <v>0.90315820374892297</v>
      </c>
      <c r="J122" s="3">
        <v>1.4406171092897999</v>
      </c>
      <c r="K122" s="3">
        <v>3.0724335425026301</v>
      </c>
      <c r="L122" s="3">
        <v>2.5199373366355</v>
      </c>
      <c r="M122" s="3">
        <v>3.2214482084995399</v>
      </c>
      <c r="N122" s="3">
        <v>5.1268304432349101</v>
      </c>
    </row>
    <row r="125" spans="1:25" x14ac:dyDescent="0.35">
      <c r="A125" s="2" t="s">
        <v>91</v>
      </c>
      <c r="B125" s="3" cm="1">
        <f t="array" ref="B125">MIN(_xlfn._xlws.FILTER(B1:B122, ISNUMBER(B1:B122)))</f>
        <v>2.3653916237537098</v>
      </c>
      <c r="C125" s="3" cm="1">
        <f t="array" ref="C125">MIN(_xlfn._xlws.FILTER(C1:C122, ISNUMBER(C1:C122)))</f>
        <v>3.3462846918442901</v>
      </c>
      <c r="D125" s="3" cm="1">
        <f t="array" ref="D125">MIN(_xlfn._xlws.FILTER(D1:D122, ISNUMBER(D1:D122)))</f>
        <v>2.5945381468635</v>
      </c>
      <c r="E125" s="3" cm="1">
        <f t="array" ref="E125">MIN(_xlfn._xlws.FILTER(E1:E122, ISNUMBER(E1:E122)))</f>
        <v>2.6897686403498202</v>
      </c>
      <c r="F125" s="3" cm="1">
        <f t="array" ref="F125">MIN(_xlfn._xlws.FILTER(F1:F122, ISNUMBER(F1:F122)))</f>
        <v>1.8470796544233501</v>
      </c>
      <c r="G125" s="3" cm="1">
        <f t="array" ref="G125">MIN(_xlfn._xlws.FILTER(G1:G122, ISNUMBER(G1:G122)))</f>
        <v>2.5280489055520898</v>
      </c>
      <c r="H125" s="3" cm="1">
        <f t="array" ref="H125">MIN(_xlfn._xlws.FILTER(H1:H122, ISNUMBER(H1:H122)))</f>
        <v>3.8006162773929701</v>
      </c>
      <c r="I125" s="3" cm="1">
        <f t="array" ref="I125">MIN(_xlfn._xlws.FILTER(I1:I122, ISNUMBER(I1:I122)))</f>
        <v>0.65829900365007299</v>
      </c>
      <c r="J125" s="3" cm="1">
        <f t="array" ref="J125">MIN(_xlfn._xlws.FILTER(J1:J122, ISNUMBER(J1:J122)))</f>
        <v>1.3486790673917699</v>
      </c>
      <c r="K125" s="3" cm="1">
        <f t="array" ref="K125">MIN(_xlfn._xlws.FILTER(K1:K122, ISNUMBER(K1:K122)))</f>
        <v>2.67103769954866</v>
      </c>
      <c r="L125" s="3" cm="1">
        <f t="array" ref="L125">MIN(_xlfn._xlws.FILTER(L1:L122, ISNUMBER(L1:L122)))</f>
        <v>1.8382556948222799</v>
      </c>
      <c r="M125" s="3" cm="1">
        <f t="array" ref="M125">MIN(_xlfn._xlws.FILTER(M1:M122, ISNUMBER(M1:M122)))</f>
        <v>2.6761497742353701</v>
      </c>
      <c r="N125" s="3" cm="1">
        <f t="array" ref="N125">MIN(_xlfn._xlws.FILTER(N1:N122, ISNUMBER(N1:N122)))</f>
        <v>3.1316035807262699</v>
      </c>
    </row>
    <row r="126" spans="1:25" x14ac:dyDescent="0.35">
      <c r="A126" s="2" t="s">
        <v>92</v>
      </c>
      <c r="B126" s="3" cm="1">
        <f t="array" ref="B126">MAX(_xlfn._xlws.FILTER(B1:B122, ISNUMBER(B1:B122)))</f>
        <v>5.2983767660273404</v>
      </c>
      <c r="C126" s="3" cm="1">
        <f t="array" ref="C126">MAX(_xlfn._xlws.FILTER(C1:C122, ISNUMBER(C1:C122)))</f>
        <v>5.51200695998104</v>
      </c>
      <c r="D126" s="3" cm="1">
        <f t="array" ref="D126">MAX(_xlfn._xlws.FILTER(D1:D122, ISNUMBER(D1:D122)))</f>
        <v>4.4274093326505</v>
      </c>
      <c r="E126" s="3" cm="1">
        <f t="array" ref="E126">MAX(_xlfn._xlws.FILTER(E1:E122, ISNUMBER(E1:E122)))</f>
        <v>4.2806059344270402</v>
      </c>
      <c r="F126" s="3" cm="1">
        <f t="array" ref="F126">MAX(_xlfn._xlws.FILTER(F1:F122, ISNUMBER(F1:F122)))</f>
        <v>3.1421570177251699</v>
      </c>
      <c r="G126" s="3" cm="1">
        <f t="array" ref="G126">MAX(_xlfn._xlws.FILTER(G1:G122, ISNUMBER(G1:G122)))</f>
        <v>3.71827232610039</v>
      </c>
      <c r="H126" s="3" cm="1">
        <f t="array" ref="H126">MAX(_xlfn._xlws.FILTER(H1:H122, ISNUMBER(H1:H122)))</f>
        <v>6.3800701856375897</v>
      </c>
      <c r="I126" s="3" cm="1">
        <f t="array" ref="I126">MAX(_xlfn._xlws.FILTER(I1:I122, ISNUMBER(I1:I122)))</f>
        <v>1.42203366990281</v>
      </c>
      <c r="J126" s="3" cm="1">
        <f t="array" ref="J126">MAX(_xlfn._xlws.FILTER(J1:J122, ISNUMBER(J1:J122)))</f>
        <v>2.5172870158117999</v>
      </c>
      <c r="K126" s="3" cm="1">
        <f t="array" ref="K126">MAX(_xlfn._xlws.FILTER(K1:K122, ISNUMBER(K1:K122)))</f>
        <v>4.4884395162109696</v>
      </c>
      <c r="L126" s="3" cm="1">
        <f t="array" ref="L126">MAX(_xlfn._xlws.FILTER(L1:L122, ISNUMBER(L1:L122)))</f>
        <v>3.7930401273864298</v>
      </c>
      <c r="M126" s="3" cm="1">
        <f t="array" ref="M126">MAX(_xlfn._xlws.FILTER(M1:M122, ISNUMBER(M1:M122)))</f>
        <v>4.6446982944077604</v>
      </c>
      <c r="N126" s="3" cm="1">
        <f t="array" ref="N126">MAX(_xlfn._xlws.FILTER(N1:N122, ISNUMBER(N1:N122)))</f>
        <v>6.36779775197604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0.16300000000000001</v>
      </c>
      <c r="C128" s="9" cm="1">
        <f t="array" ref="C128">_xlfn.PERCENTRANK.EXC(_xlfn._xlws.FILTER(C1:C122, ISNUMBER(C1:C122)),C122)</f>
        <v>0.122</v>
      </c>
      <c r="D128" s="9" cm="1">
        <f t="array" ref="D128">_xlfn.PERCENTRANK.EXC(_xlfn._xlws.FILTER(D1:D122, ISNUMBER(D1:D122)),D122)</f>
        <v>0.48299999999999998</v>
      </c>
      <c r="E128" s="9" cm="1">
        <f t="array" ref="E128">_xlfn.PERCENTRANK.EXC(_xlfn._xlws.FILTER(E1:E122, ISNUMBER(E1:E122)),E122)</f>
        <v>0.53200000000000003</v>
      </c>
      <c r="F128" s="9" cm="1">
        <f t="array" ref="F128">_xlfn.PERCENTRANK.EXC(_xlfn._xlws.FILTER(F1:F122, ISNUMBER(F1:F122)),F122)</f>
        <v>0.36799999999999999</v>
      </c>
      <c r="G128" s="9" cm="1">
        <f t="array" ref="G128">_xlfn.PERCENTRANK.EXC(_xlfn._xlws.FILTER(G1:G122, ISNUMBER(G1:G122)),G122)</f>
        <v>0.622</v>
      </c>
      <c r="H128" s="9" cm="1">
        <f t="array" ref="H128">_xlfn.PERCENTRANK.EXC(_xlfn._xlws.FILTER(H1:H122, ISNUMBER(H1:H122)),H122)</f>
        <v>0.19600000000000001</v>
      </c>
      <c r="I128" s="9" cm="1">
        <f t="array" ref="I128">_xlfn.PERCENTRANK.EXC(_xlfn._xlws.FILTER(I1:I122, ISNUMBER(I1:I122)),I122)</f>
        <v>0.27800000000000002</v>
      </c>
      <c r="J128" s="9" cm="1">
        <f t="array" ref="J128">_xlfn.PERCENTRANK.EXC(_xlfn._xlws.FILTER(J1:J122, ISNUMBER(J1:J122)),J122)</f>
        <v>6.5000000000000002E-2</v>
      </c>
      <c r="K128" s="9" cm="1">
        <f t="array" ref="K128">_xlfn.PERCENTRANK.EXC(_xlfn._xlws.FILTER(K1:K122, ISNUMBER(K1:K122)),K122)</f>
        <v>0.14699999999999999</v>
      </c>
      <c r="L128" s="9" cm="1">
        <f t="array" ref="L128">_xlfn.PERCENTRANK.EXC(_xlfn._xlws.FILTER(L1:L122, ISNUMBER(L1:L122)),L122)</f>
        <v>0.21299999999999999</v>
      </c>
      <c r="M128" s="9" cm="1">
        <f t="array" ref="M128">_xlfn.PERCENTRANK.EXC(_xlfn._xlws.FILTER(M1:M122, ISNUMBER(M1:M122)),M122)</f>
        <v>0.20399999999999999</v>
      </c>
      <c r="N128" s="9" cm="1">
        <f t="array" ref="N128">_xlfn.PERCENTRANK.EXC(_xlfn._xlws.FILTER(N1:N122, ISNUMBER(N1:N122)),N122)</f>
        <v>0.76200000000000001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863</v>
      </c>
      <c r="L1" t="s">
        <v>865</v>
      </c>
      <c r="M1" t="s">
        <v>862</v>
      </c>
      <c r="N1" t="s">
        <v>864</v>
      </c>
    </row>
    <row r="2" spans="1:26" x14ac:dyDescent="0.35">
      <c r="A2" s="2" cm="1">
        <f t="array" ref="A2:A122">_xll.FDS(B1,"JULIAN(FG_TOTAL_RETURNC(-10AY,0,AM).dates)")</f>
        <v>41733</v>
      </c>
      <c r="B2" s="24" cm="1">
        <f t="array" ref="B2:B122">_xll.FDS(B1,"FG_TOTAL_RETURNC(-10AY,0,AM)")/100</f>
        <v>3.2574057999999996E-2</v>
      </c>
      <c r="C2" s="24" cm="1">
        <f t="array" ref="C2:C122">_xll.FDS(C1,"FG_TOTAL_RETURNC(-10AY,0,AM)")/100</f>
        <v>3.0652761000000001E-2</v>
      </c>
      <c r="D2" s="24" cm="1">
        <f t="array" ref="D2:D122">_xll.FDS(D1,"FG_TOTAL_RETURNC(-10AY,0,AM)")/100</f>
        <v>2.0869017E-2</v>
      </c>
      <c r="E2" s="24" cm="1">
        <f t="array" ref="E2:E122">_xll.FDS(E1,"FG_TOTAL_RETURNC(-10AY,0,AM)")/100</f>
        <v>9.5820429999999993E-4</v>
      </c>
      <c r="F2" s="24" cm="1">
        <f t="array" ref="F2:F122">_xll.FDS(F1,"FG_TOTAL_RETURNC(-10AY,0,AM)")/100</f>
        <v>-2.4075627000000002E-2</v>
      </c>
      <c r="G2" s="24" cm="1">
        <f t="array" ref="G2:G122">_xll.FDS(G1,"FG_TOTAL_RETURNC(-10AY,0,AM)")/100</f>
        <v>4.7086476999999996E-3</v>
      </c>
      <c r="H2" s="24" cm="1">
        <f t="array" ref="H2:H122">_xll.FDS(H1,"FG_TOTAL_RETURNC(-10AY,0,AM)")/100</f>
        <v>-2.8328657E-2</v>
      </c>
      <c r="I2" s="24" cm="1">
        <f t="array" ref="I2:I122">_xll.FDS(I1,"FG_TOTAL_RETURNC(-10AY,0,AM)")/100</f>
        <v>-4.6691179999999999E-2</v>
      </c>
      <c r="J2" s="24" cm="1">
        <f t="array" ref="J2:J122">_xll.FDS(J1,"FG_TOTAL_RETURNC(-10AY,0,AM)")/100</f>
        <v>-1.8899441E-3</v>
      </c>
      <c r="K2" s="24" cm="1">
        <f t="array" ref="K2:K122">_xll.FDS(K1,"FG_TOTAL_RETURNC(-10AY,0,AM)")/100</f>
        <v>1.6591787E-2</v>
      </c>
      <c r="L2" s="24" cm="1">
        <f t="array" ref="L2:L122">_xll.FDS(L1,"FG_TOTAL_RETURNC(-10AY,0,AM)")/100</f>
        <v>1.3639927000000001E-2</v>
      </c>
      <c r="M2" s="24" cm="1">
        <f t="array" ref="M2:M122">_xll.FDS(M1,"FG_TOTAL_RETURNC(-10AY,0,AM)")/100</f>
        <v>-2.7632713000000001E-4</v>
      </c>
      <c r="N2" s="24" cm="1">
        <f t="array" ref="N2:N122">_xll.FDS(N1,"FG_TOTAL_RETURNC(-10AY,0,AM)")/100</f>
        <v>7.3538183999999993E-2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41761</v>
      </c>
      <c r="B3" s="24">
        <v>3.7950634999999996E-2</v>
      </c>
      <c r="C3" s="24">
        <v>1.4677525E-2</v>
      </c>
      <c r="D3" s="24">
        <v>2.6474476E-2</v>
      </c>
      <c r="E3" s="24">
        <v>3.8288832E-3</v>
      </c>
      <c r="F3" s="24">
        <v>-1.3215900000000001E-2</v>
      </c>
      <c r="G3" s="24">
        <v>2.4604560000000001E-2</v>
      </c>
      <c r="H3" s="24">
        <v>4.9562692999999998E-2</v>
      </c>
      <c r="I3" s="24">
        <v>1.2967467E-2</v>
      </c>
      <c r="J3" s="24">
        <v>8.9056489999999999E-3</v>
      </c>
      <c r="K3" s="24">
        <v>1.8361092000000002E-2</v>
      </c>
      <c r="L3" s="24">
        <v>-1.7301082999999998E-2</v>
      </c>
      <c r="M3" s="24">
        <v>1.6026616E-2</v>
      </c>
      <c r="N3" s="24">
        <v>8.4222554999999998E-3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41794</v>
      </c>
      <c r="B4" s="24">
        <v>-4.7989009999999999E-2</v>
      </c>
      <c r="C4" s="24">
        <v>-7.6133009999999998E-4</v>
      </c>
      <c r="D4" s="24">
        <v>4.5707226000000004E-3</v>
      </c>
      <c r="E4" s="24">
        <v>1.5893220999999999E-2</v>
      </c>
      <c r="F4" s="24">
        <v>5.1785707E-2</v>
      </c>
      <c r="G4" s="24">
        <v>3.4304856999999998E-3</v>
      </c>
      <c r="H4" s="24">
        <v>1.8517970999999999E-3</v>
      </c>
      <c r="I4" s="24">
        <v>4.6062350000000002E-2</v>
      </c>
      <c r="J4" s="24">
        <v>2.7278543000000002E-2</v>
      </c>
      <c r="K4" s="24">
        <v>1.6694069000000001E-3</v>
      </c>
      <c r="L4" s="24">
        <v>1.3302088E-2</v>
      </c>
      <c r="M4" s="24">
        <v>7.6148510000000006E-3</v>
      </c>
      <c r="N4" s="24">
        <v>-1.6703724999999999E-2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41823</v>
      </c>
      <c r="B5" s="24">
        <v>4.2865157000000001E-2</v>
      </c>
      <c r="C5" s="24">
        <v>2.6272654999999999E-2</v>
      </c>
      <c r="D5" s="24">
        <v>6.5368294999999993E-2</v>
      </c>
      <c r="E5" s="24">
        <v>1.1873722E-2</v>
      </c>
      <c r="F5" s="24">
        <v>4.1032552999999999E-2</v>
      </c>
      <c r="G5" s="24">
        <v>8.7007283999999997E-3</v>
      </c>
      <c r="H5" s="24">
        <v>3.2214642000000002E-2</v>
      </c>
      <c r="I5" s="24">
        <v>4.8480869999999995E-2</v>
      </c>
      <c r="J5" s="24">
        <v>3.0837416999999999E-2</v>
      </c>
      <c r="K5" s="24">
        <v>-1.1857748E-3</v>
      </c>
      <c r="L5" s="24">
        <v>1.8771528999999999E-2</v>
      </c>
      <c r="M5" s="24">
        <v>-1.7177104999999998E-2</v>
      </c>
      <c r="N5" s="24">
        <v>1.9749283999999999E-2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41855</v>
      </c>
      <c r="B6" s="24">
        <v>-5.1565885999999998E-2</v>
      </c>
      <c r="C6" s="24">
        <v>-3.7682055999999997E-4</v>
      </c>
      <c r="D6" s="24">
        <v>-1.5365720000000001E-2</v>
      </c>
      <c r="E6" s="24">
        <v>-9.2744464999999998E-2</v>
      </c>
      <c r="F6" s="24">
        <v>-1.3957322000000001E-2</v>
      </c>
      <c r="G6" s="24">
        <v>-5.5764256000000005E-2</v>
      </c>
      <c r="H6" s="24">
        <v>-4.3212770000000005E-2</v>
      </c>
      <c r="I6" s="24">
        <v>-3.9707421999999994E-3</v>
      </c>
      <c r="J6" s="24">
        <v>-2.1745681999999999E-2</v>
      </c>
      <c r="K6" s="24">
        <v>-6.9846687000000005E-2</v>
      </c>
      <c r="L6" s="24">
        <v>-7.8734040000000005E-2</v>
      </c>
      <c r="M6" s="24">
        <v>-3.9830506000000002E-2</v>
      </c>
      <c r="N6" s="24">
        <v>-7.4887395000000009E-2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41886</v>
      </c>
      <c r="B7" s="24">
        <v>4.7169923999999998E-3</v>
      </c>
      <c r="C7" s="24">
        <v>2.7139068000000002E-2</v>
      </c>
      <c r="D7" s="24">
        <v>2.3720264000000001E-2</v>
      </c>
      <c r="E7" s="24">
        <v>1.4951348E-2</v>
      </c>
      <c r="F7" s="24">
        <v>-9.9916459999999999E-3</v>
      </c>
      <c r="G7" s="24">
        <v>2.815175E-2</v>
      </c>
      <c r="H7" s="24">
        <v>1.4727116E-3</v>
      </c>
      <c r="I7" s="24">
        <v>4.2698264000000007E-2</v>
      </c>
      <c r="J7" s="24">
        <v>3.2596349999999996E-2</v>
      </c>
      <c r="K7" s="24">
        <v>1.8315076999999999E-2</v>
      </c>
      <c r="L7" s="24">
        <v>3.5609483999999997E-2</v>
      </c>
      <c r="M7" s="24">
        <v>-5.0015449999999996E-3</v>
      </c>
      <c r="N7" s="24">
        <v>-2.4346112999999998E-3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41915</v>
      </c>
      <c r="B8" s="24">
        <v>-5.3867044000000003E-2</v>
      </c>
      <c r="C8" s="24">
        <v>-0.11853211999999999</v>
      </c>
      <c r="D8" s="24">
        <v>-7.7134131999999994E-2</v>
      </c>
      <c r="E8" s="24">
        <v>-7.3997916999999996E-2</v>
      </c>
      <c r="F8" s="24">
        <v>-3.2800674000000002E-2</v>
      </c>
      <c r="G8" s="24">
        <v>-5.8035670000000004E-2</v>
      </c>
      <c r="H8" s="24">
        <v>-7.3529424999999995E-2</v>
      </c>
      <c r="I8" s="24">
        <v>-9.9256039999999993E-3</v>
      </c>
      <c r="J8" s="24">
        <v>-1.3837813999999999E-2</v>
      </c>
      <c r="K8" s="24">
        <v>-7.5899243000000005E-2</v>
      </c>
      <c r="L8" s="24">
        <v>-4.7330084000000001E-2</v>
      </c>
      <c r="M8" s="24">
        <v>-4.7900619999999998E-2</v>
      </c>
      <c r="N8" s="24">
        <v>-7.8706445999999999E-2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41947</v>
      </c>
      <c r="B9" s="24">
        <v>4.0480493999999999E-2</v>
      </c>
      <c r="C9" s="24">
        <v>4.371357E-2</v>
      </c>
      <c r="D9" s="24">
        <v>-4.0634273999999998E-2</v>
      </c>
      <c r="E9" s="24">
        <v>-5.5494310000000005E-3</v>
      </c>
      <c r="F9" s="24">
        <v>2.7826070000000001E-2</v>
      </c>
      <c r="G9" s="24">
        <v>1.1690378E-2</v>
      </c>
      <c r="H9" s="24">
        <v>-6.3491464000000001E-3</v>
      </c>
      <c r="I9" s="24">
        <v>3.2494663999999999E-2</v>
      </c>
      <c r="J9" s="24">
        <v>2.3152828E-2</v>
      </c>
      <c r="K9" s="24">
        <v>-2.3355424E-2</v>
      </c>
      <c r="L9" s="24">
        <v>8.4924700000000002E-4</v>
      </c>
      <c r="M9" s="24">
        <v>1.3354063000000001E-2</v>
      </c>
      <c r="N9" s="24">
        <v>-5.0993385000000002E-2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41977</v>
      </c>
      <c r="B10" s="24">
        <v>1.6014099E-2</v>
      </c>
      <c r="C10" s="24">
        <v>-6.1029077000000001E-2</v>
      </c>
      <c r="D10" s="24">
        <v>1.446271E-2</v>
      </c>
      <c r="E10" s="24">
        <v>6.0267925E-2</v>
      </c>
      <c r="F10" s="24">
        <v>-6.7681670000000003E-3</v>
      </c>
      <c r="G10" s="24">
        <v>3.2479763000000002E-2</v>
      </c>
      <c r="H10" s="24">
        <v>1.4376879E-2</v>
      </c>
      <c r="I10" s="24">
        <v>3.9561987E-2</v>
      </c>
      <c r="J10" s="24">
        <v>3.2774686999999997E-2</v>
      </c>
      <c r="K10" s="24">
        <v>3.7863730999999998E-2</v>
      </c>
      <c r="L10" s="24">
        <v>5.2609204999999999E-2</v>
      </c>
      <c r="M10" s="24">
        <v>1.7468572000000002E-2</v>
      </c>
      <c r="N10" s="24">
        <v>1.3258934E-2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42006</v>
      </c>
      <c r="B11" s="24">
        <v>6.5152644999999995E-3</v>
      </c>
      <c r="C11" s="24">
        <v>-3.0665814999999999E-2</v>
      </c>
      <c r="D11" s="24">
        <v>-1.2688816E-2</v>
      </c>
      <c r="E11" s="24">
        <v>-4.2806983E-2</v>
      </c>
      <c r="F11" s="24">
        <v>-3.5241662999999999E-2</v>
      </c>
      <c r="G11" s="24">
        <v>-4.6279488000000008E-2</v>
      </c>
      <c r="H11" s="24">
        <v>-4.3962479999999998E-2</v>
      </c>
      <c r="I11" s="24">
        <v>-1.9439161E-2</v>
      </c>
      <c r="J11" s="24">
        <v>-5.3023695999999997E-3</v>
      </c>
      <c r="K11" s="24">
        <v>-5.0007286000000005E-2</v>
      </c>
      <c r="L11" s="24">
        <v>-3.7427901999999999E-2</v>
      </c>
      <c r="M11" s="24">
        <v>-4.5451283000000002E-2</v>
      </c>
      <c r="N11" s="24">
        <v>-5.4770890000000003E-2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42039</v>
      </c>
      <c r="B12" s="24">
        <v>-4.7944188000000002E-3</v>
      </c>
      <c r="C12" s="24">
        <v>2.8506756000000001E-2</v>
      </c>
      <c r="D12" s="24">
        <v>-4.6706200000000003E-2</v>
      </c>
      <c r="E12" s="24">
        <v>5.3519009999999999E-2</v>
      </c>
      <c r="F12" s="24">
        <v>3.4635782000000004E-2</v>
      </c>
      <c r="G12" s="24">
        <v>2.9178619999999999E-2</v>
      </c>
      <c r="H12" s="24">
        <v>3.4714339999999996E-2</v>
      </c>
      <c r="I12" s="24">
        <v>-6.8002939999999999E-4</v>
      </c>
      <c r="J12" s="24">
        <v>-6.668925E-3</v>
      </c>
      <c r="K12" s="24">
        <v>3.8336039000000002E-2</v>
      </c>
      <c r="L12" s="24">
        <v>9.2437270000000002E-3</v>
      </c>
      <c r="M12" s="24">
        <v>3.0832887000000003E-2</v>
      </c>
      <c r="N12" s="24">
        <v>2.6412249000000002E-2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42067</v>
      </c>
      <c r="B13" s="24">
        <v>4.2089223999999995E-2</v>
      </c>
      <c r="C13" s="24">
        <v>3.7395477000000003E-2</v>
      </c>
      <c r="D13" s="24">
        <v>1.9744039000000001E-2</v>
      </c>
      <c r="E13" s="24">
        <v>2.3660421000000001E-2</v>
      </c>
      <c r="F13" s="24">
        <v>5.2360535E-2</v>
      </c>
      <c r="G13" s="24">
        <v>1.8798113000000002E-2</v>
      </c>
      <c r="H13" s="24">
        <v>2.0562887000000002E-2</v>
      </c>
      <c r="I13" s="24">
        <v>5.4243207000000002E-2</v>
      </c>
      <c r="J13" s="24">
        <v>3.0236719999999998E-2</v>
      </c>
      <c r="K13" s="24">
        <v>2.7494192000000001E-2</v>
      </c>
      <c r="L13" s="24">
        <v>6.3280582000000002E-2</v>
      </c>
      <c r="M13" s="24">
        <v>5.7971000000000002E-2</v>
      </c>
      <c r="N13" s="24">
        <v>4.5032144000000003E-2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42096</v>
      </c>
      <c r="B14" s="24">
        <v>-2.0681201999999999E-2</v>
      </c>
      <c r="C14" s="24">
        <v>-2.5445282E-2</v>
      </c>
      <c r="D14" s="24">
        <v>-9.3223449999999992E-3</v>
      </c>
      <c r="E14" s="24">
        <v>3.0931354000000001E-2</v>
      </c>
      <c r="F14" s="24">
        <v>3.5073400000000005E-2</v>
      </c>
      <c r="G14" s="24">
        <v>2.2686004999999999E-2</v>
      </c>
      <c r="H14" s="24">
        <v>-3.3934294999999996E-2</v>
      </c>
      <c r="I14" s="24">
        <v>-2.8489947000000002E-2</v>
      </c>
      <c r="J14" s="24">
        <v>-1.3708234E-2</v>
      </c>
      <c r="K14" s="24">
        <v>1.5290498999999999E-2</v>
      </c>
      <c r="L14" s="24">
        <v>1.4487027999999999E-2</v>
      </c>
      <c r="M14" s="24">
        <v>-1.6321837999999998E-2</v>
      </c>
      <c r="N14" s="24">
        <v>3.2831788000000001E-2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42128</v>
      </c>
      <c r="B15" s="24">
        <v>1.9875765000000002E-3</v>
      </c>
      <c r="C15" s="24">
        <v>1.8711925000000001E-2</v>
      </c>
      <c r="D15" s="24">
        <v>6.1527369999999998E-2</v>
      </c>
      <c r="E15" s="24">
        <v>-1.1539756999999999E-2</v>
      </c>
      <c r="F15" s="24">
        <v>3.0732870000000002E-2</v>
      </c>
      <c r="G15" s="24">
        <v>3.4605144999999997E-2</v>
      </c>
      <c r="H15" s="24">
        <v>5.7628989999999998E-2</v>
      </c>
      <c r="I15" s="24">
        <v>3.9098144000000001E-2</v>
      </c>
      <c r="J15" s="24">
        <v>2.366364E-2</v>
      </c>
      <c r="K15" s="24">
        <v>2.9367447000000001E-2</v>
      </c>
      <c r="L15" s="24">
        <v>1.42802E-2</v>
      </c>
      <c r="M15" s="24">
        <v>1.2148141999999999E-2</v>
      </c>
      <c r="N15" s="24">
        <v>2.1854281000000003E-2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42159</v>
      </c>
      <c r="B16" s="24">
        <v>-4.6617927999999996E-2</v>
      </c>
      <c r="C16" s="24">
        <v>-7.6890172999999992E-2</v>
      </c>
      <c r="D16" s="24">
        <v>-5.7279229999999993E-2</v>
      </c>
      <c r="E16" s="24">
        <v>-2.0680428000000001E-2</v>
      </c>
      <c r="F16" s="24">
        <v>-3.0580760000000003E-3</v>
      </c>
      <c r="G16" s="24">
        <v>9.719848599999999E-3</v>
      </c>
      <c r="H16" s="24">
        <v>-1.2454569E-2</v>
      </c>
      <c r="I16" s="24">
        <v>3.0211209999999999E-3</v>
      </c>
      <c r="J16" s="24">
        <v>-5.6350829999999999E-3</v>
      </c>
      <c r="K16" s="24">
        <v>-6.5837500000000002E-3</v>
      </c>
      <c r="L16" s="24">
        <v>1.255703E-2</v>
      </c>
      <c r="M16" s="24">
        <v>1.0831356E-2</v>
      </c>
      <c r="N16" s="24">
        <v>1.6850232999999999E-2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42187</v>
      </c>
      <c r="B17" s="24">
        <v>-6.8306627000000009E-2</v>
      </c>
      <c r="C17" s="24">
        <v>1.3806819999999999E-2</v>
      </c>
      <c r="D17" s="24">
        <v>-2.6924252999999999E-2</v>
      </c>
      <c r="E17" s="24">
        <v>-2.8731287000000001E-2</v>
      </c>
      <c r="F17" s="24">
        <v>-5.7451724999999995E-3</v>
      </c>
      <c r="G17" s="24">
        <v>-3.8731813000000004E-2</v>
      </c>
      <c r="H17" s="24">
        <v>-1.6553998E-2</v>
      </c>
      <c r="I17" s="24">
        <v>-1.2416303E-2</v>
      </c>
      <c r="J17" s="24">
        <v>-8.5958839999999998E-3</v>
      </c>
      <c r="K17" s="24">
        <v>-3.4376859999999995E-2</v>
      </c>
      <c r="L17" s="24">
        <v>-2.2060692E-2</v>
      </c>
      <c r="M17" s="24">
        <v>-4.9956800000000003E-2</v>
      </c>
      <c r="N17" s="24">
        <v>-2.8431296000000002E-2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42220</v>
      </c>
      <c r="B18" s="24">
        <v>-1.030916E-2</v>
      </c>
      <c r="C18" s="24">
        <v>-1.4025210999999999E-2</v>
      </c>
      <c r="D18" s="24">
        <v>-4.8689184000000003E-2</v>
      </c>
      <c r="E18" s="24">
        <v>1.7481207999999998E-2</v>
      </c>
      <c r="F18" s="24">
        <v>-3.1007528000000003E-3</v>
      </c>
      <c r="G18" s="24">
        <v>2.4427055999999999E-2</v>
      </c>
      <c r="H18" s="24">
        <v>7.0729255999999992E-3</v>
      </c>
      <c r="I18" s="24">
        <v>3.186667E-2</v>
      </c>
      <c r="J18" s="24">
        <v>9.9850892999999996E-3</v>
      </c>
      <c r="K18" s="24">
        <v>3.7999153000000001E-2</v>
      </c>
      <c r="L18" s="24">
        <v>3.4603477000000001E-2</v>
      </c>
      <c r="M18" s="24">
        <v>-1.2622476E-3</v>
      </c>
      <c r="N18" s="24">
        <v>2.3364544000000001E-2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42251</v>
      </c>
      <c r="B19" s="24">
        <v>-9.8669049999999994E-2</v>
      </c>
      <c r="C19" s="24">
        <v>-0.16832619999999998</v>
      </c>
      <c r="D19" s="24">
        <v>-7.9921190000000003E-2</v>
      </c>
      <c r="E19" s="24">
        <v>-0.10308557499999998</v>
      </c>
      <c r="F19" s="24">
        <v>-0.10653185999999999</v>
      </c>
      <c r="G19" s="24">
        <v>-8.6546955000000009E-2</v>
      </c>
      <c r="H19" s="24">
        <v>-0.11669368000000001</v>
      </c>
      <c r="I19" s="24">
        <v>-8.2861959999999998E-2</v>
      </c>
      <c r="J19" s="24">
        <v>-8.0189170000000004E-2</v>
      </c>
      <c r="K19" s="24">
        <v>-9.6376530000000002E-2</v>
      </c>
      <c r="L19" s="24">
        <v>-0.10747844000000001</v>
      </c>
      <c r="M19" s="24">
        <v>-6.5402802999999995E-2</v>
      </c>
      <c r="N19" s="24">
        <v>-6.5883874999999995E-2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42279</v>
      </c>
      <c r="B20" s="24">
        <v>3.5955070999999998E-2</v>
      </c>
      <c r="C20" s="24">
        <v>4.0478826000000002E-2</v>
      </c>
      <c r="D20" s="24">
        <v>-8.5580349999999999E-4</v>
      </c>
      <c r="E20" s="24">
        <v>-2.8146982000000001E-2</v>
      </c>
      <c r="F20" s="24">
        <v>1.3925195E-2</v>
      </c>
      <c r="G20" s="24">
        <v>-1.2891293000000001E-3</v>
      </c>
      <c r="H20" s="24">
        <v>3.302741E-2</v>
      </c>
      <c r="I20" s="24">
        <v>2.0621657000000002E-2</v>
      </c>
      <c r="J20" s="24">
        <v>1.7867326999999999E-2</v>
      </c>
      <c r="K20" s="24">
        <v>1.2401819000000001E-2</v>
      </c>
      <c r="L20" s="24">
        <v>-4.2104719999999998E-4</v>
      </c>
      <c r="M20" s="24">
        <v>-5.4090620000000001E-3</v>
      </c>
      <c r="N20" s="24">
        <v>2.4441361000000002E-2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42312</v>
      </c>
      <c r="B21" s="24">
        <v>0.11465764000000001</v>
      </c>
      <c r="C21" s="24">
        <v>4.0547966999999997E-2</v>
      </c>
      <c r="D21" s="24">
        <v>2.6980639000000001E-2</v>
      </c>
      <c r="E21" s="24">
        <v>8.00482E-2</v>
      </c>
      <c r="F21" s="24">
        <v>5.9227467000000006E-2</v>
      </c>
      <c r="G21" s="24">
        <v>2.7428270000000001E-2</v>
      </c>
      <c r="H21" s="24">
        <v>4.4997096E-2</v>
      </c>
      <c r="I21" s="24">
        <v>0.10585509999999999</v>
      </c>
      <c r="J21" s="24">
        <v>7.8769207000000008E-2</v>
      </c>
      <c r="K21" s="24">
        <v>5.5532930000000001E-2</v>
      </c>
      <c r="L21" s="24">
        <v>5.5602310000000002E-2</v>
      </c>
      <c r="M21" s="24">
        <v>3.5350084000000004E-2</v>
      </c>
      <c r="N21" s="24">
        <v>-6.8166850000000003E-3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42342</v>
      </c>
      <c r="B22" s="24">
        <v>2.5576829999999998E-2</v>
      </c>
      <c r="C22" s="24">
        <v>2.1063684999999999E-2</v>
      </c>
      <c r="D22" s="24">
        <v>-3.6697210000000001E-2</v>
      </c>
      <c r="E22" s="24">
        <v>2.9795169999999997E-3</v>
      </c>
      <c r="F22" s="24">
        <v>6.4829589999999999E-3</v>
      </c>
      <c r="G22" s="24">
        <v>-9.1080665999999991E-3</v>
      </c>
      <c r="H22" s="24">
        <v>-3.6260605000000001E-2</v>
      </c>
      <c r="I22" s="24">
        <v>1.0433197E-3</v>
      </c>
      <c r="J22" s="24">
        <v>-3.5178064999999998E-3</v>
      </c>
      <c r="K22" s="24">
        <v>-2.9400407999999999E-2</v>
      </c>
      <c r="L22" s="24">
        <v>-2.0351170999999998E-2</v>
      </c>
      <c r="M22" s="24">
        <v>1.6415119000000001E-3</v>
      </c>
      <c r="N22" s="24">
        <v>-3.4316777999999996E-3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42373</v>
      </c>
      <c r="B23" s="24">
        <v>2.7684570000000002E-2</v>
      </c>
      <c r="C23" s="24">
        <v>-8.6529255000000003E-3</v>
      </c>
      <c r="D23" s="24">
        <v>-7.0225419999999997E-2</v>
      </c>
      <c r="E23" s="24">
        <v>-5.0872684000000001E-2</v>
      </c>
      <c r="F23" s="24">
        <v>-3.2459676E-2</v>
      </c>
      <c r="G23" s="24">
        <v>-2.7258277000000001E-2</v>
      </c>
      <c r="H23" s="24">
        <v>-4.7790109999999997E-2</v>
      </c>
      <c r="I23" s="24">
        <v>-4.6019610000000002E-2</v>
      </c>
      <c r="J23" s="24">
        <v>-3.5221933999999996E-2</v>
      </c>
      <c r="K23" s="24">
        <v>-4.7169330000000002E-2</v>
      </c>
      <c r="L23" s="24">
        <v>-3.8932084999999998E-2</v>
      </c>
      <c r="M23" s="24">
        <v>-6.2426624000000007E-2</v>
      </c>
      <c r="N23" s="24">
        <v>-6.4675330000000003E-2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42404</v>
      </c>
      <c r="B24" s="24">
        <v>-3.1182766000000001E-2</v>
      </c>
      <c r="C24" s="24">
        <v>-5.6149779999999996E-2</v>
      </c>
      <c r="D24" s="24">
        <v>3.3034086000000001E-3</v>
      </c>
      <c r="E24" s="24">
        <v>-5.8685419999999995E-2</v>
      </c>
      <c r="F24" s="24">
        <v>-6.6219625000000004E-2</v>
      </c>
      <c r="G24" s="24">
        <v>-5.9302689999999998E-2</v>
      </c>
      <c r="H24" s="24">
        <v>-4.4710340000000001E-2</v>
      </c>
      <c r="I24" s="24">
        <v>-7.1689486999999996E-2</v>
      </c>
      <c r="J24" s="24">
        <v>-4.6857176E-2</v>
      </c>
      <c r="K24" s="24">
        <v>-3.1066297999999999E-2</v>
      </c>
      <c r="L24" s="24">
        <v>-7.6759460000000003E-3</v>
      </c>
      <c r="M24" s="24">
        <v>-4.3736876999999993E-2</v>
      </c>
      <c r="N24" s="24">
        <v>-0.13146234000000001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42433</v>
      </c>
      <c r="B25" s="24">
        <v>6.6870092999999992E-2</v>
      </c>
      <c r="C25" s="24">
        <v>7.9320073000000005E-2</v>
      </c>
      <c r="D25" s="24">
        <v>6.3969970000000001E-2</v>
      </c>
      <c r="E25" s="24">
        <v>2.0781398000000003E-2</v>
      </c>
      <c r="F25" s="24">
        <v>3.4111261000000004E-2</v>
      </c>
      <c r="G25" s="24">
        <v>1.3162373999999999E-2</v>
      </c>
      <c r="H25" s="24">
        <v>2.6367783999999998E-2</v>
      </c>
      <c r="I25" s="24">
        <v>3.9547443000000002E-2</v>
      </c>
      <c r="J25" s="24">
        <v>4.6085477E-2</v>
      </c>
      <c r="K25" s="24">
        <v>2.3830174999999999E-2</v>
      </c>
      <c r="L25" s="24">
        <v>1.6330003999999999E-2</v>
      </c>
      <c r="M25" s="24">
        <v>4.2078257000000001E-2</v>
      </c>
      <c r="N25" s="24">
        <v>1.6156435E-2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42464</v>
      </c>
      <c r="B26" s="24">
        <v>5.1495433000000007E-2</v>
      </c>
      <c r="C26" s="24">
        <v>-4.724443E-3</v>
      </c>
      <c r="D26" s="24">
        <v>3.0946016E-2</v>
      </c>
      <c r="E26" s="24">
        <v>3.420198E-2</v>
      </c>
      <c r="F26" s="24">
        <v>-3.3854187000000001E-2</v>
      </c>
      <c r="G26" s="24">
        <v>1.2991428000000001E-2</v>
      </c>
      <c r="H26" s="24">
        <v>6.4229965000000004E-4</v>
      </c>
      <c r="I26" s="24">
        <v>4.3488382999999999E-2</v>
      </c>
      <c r="J26" s="24">
        <v>3.4322261999999999E-2</v>
      </c>
      <c r="K26" s="24">
        <v>1.4811754E-2</v>
      </c>
      <c r="L26" s="24">
        <v>3.5517930000000003E-2</v>
      </c>
      <c r="M26" s="24">
        <v>3.3707857000000001E-2</v>
      </c>
      <c r="N26" s="24">
        <v>-5.8577060000000007E-3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42494</v>
      </c>
      <c r="B27" s="24">
        <v>2.3002744000000002E-2</v>
      </c>
      <c r="C27" s="24">
        <v>2.9535889999999999E-2</v>
      </c>
      <c r="D27" s="24">
        <v>3.6020637000000001E-2</v>
      </c>
      <c r="E27" s="24">
        <v>1.2204646999999999E-2</v>
      </c>
      <c r="F27" s="24">
        <v>2.6055693999999997E-2</v>
      </c>
      <c r="G27" s="24">
        <v>1.5187383E-2</v>
      </c>
      <c r="H27" s="24">
        <v>1.4120698000000001E-2</v>
      </c>
      <c r="I27" s="24">
        <v>-4.4478774000000006E-2</v>
      </c>
      <c r="J27" s="24">
        <v>-6.0121420000000007E-3</v>
      </c>
      <c r="K27" s="24">
        <v>1.2927531999999999E-2</v>
      </c>
      <c r="L27" s="24">
        <v>-6.9416165E-3</v>
      </c>
      <c r="M27" s="24">
        <v>-7.4728729999999997E-3</v>
      </c>
      <c r="N27" s="24">
        <v>3.1144737999999998E-2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42524</v>
      </c>
      <c r="B28" s="24">
        <v>4.3278575000000007E-2</v>
      </c>
      <c r="C28" s="24">
        <v>6.1475040000000007E-3</v>
      </c>
      <c r="D28" s="24">
        <v>3.6837697000000003E-2</v>
      </c>
      <c r="E28" s="24">
        <v>1.5947223E-2</v>
      </c>
      <c r="F28" s="24">
        <v>2.7145267000000001E-2</v>
      </c>
      <c r="G28" s="24">
        <v>2.8257965999999999E-2</v>
      </c>
      <c r="H28" s="24">
        <v>2.9746890000000002E-2</v>
      </c>
      <c r="I28" s="24">
        <v>4.7691464000000003E-2</v>
      </c>
      <c r="J28" s="24">
        <v>2.5706053E-2</v>
      </c>
      <c r="K28" s="24">
        <v>2.3466467999999997E-2</v>
      </c>
      <c r="L28" s="24">
        <v>3.7006616999999999E-2</v>
      </c>
      <c r="M28" s="24">
        <v>2.0533920000000001E-2</v>
      </c>
      <c r="N28" s="24">
        <v>-1.6326487000000001E-2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42552</v>
      </c>
      <c r="B29" s="24">
        <v>1.8619895000000001E-2</v>
      </c>
      <c r="C29" s="24">
        <v>9.0146064999999994E-3</v>
      </c>
      <c r="D29" s="24">
        <v>-9.1099740000000001E-4</v>
      </c>
      <c r="E29" s="24">
        <v>-5.4130609999999996E-2</v>
      </c>
      <c r="F29" s="24">
        <v>-1.3546883999999999E-2</v>
      </c>
      <c r="G29" s="24">
        <v>-1.0553478999999999E-2</v>
      </c>
      <c r="H29" s="24">
        <v>-3.2005430000000001E-2</v>
      </c>
      <c r="I29" s="24">
        <v>-1.5346825E-2</v>
      </c>
      <c r="J29" s="24">
        <v>3.5048722999999997E-3</v>
      </c>
      <c r="K29" s="24">
        <v>-5.5503902000000001E-2</v>
      </c>
      <c r="L29" s="24">
        <v>-7.0414542999999996E-2</v>
      </c>
      <c r="M29" s="24">
        <v>-4.233551E-2</v>
      </c>
      <c r="N29" s="24">
        <v>-7.6491299999999998E-2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42586</v>
      </c>
      <c r="B30" s="24">
        <v>6.1290263999999997E-2</v>
      </c>
      <c r="C30" s="24">
        <v>5.7318210000000001E-2</v>
      </c>
      <c r="D30" s="24">
        <v>1.20821E-2</v>
      </c>
      <c r="E30" s="24">
        <v>4.8921942999999996E-2</v>
      </c>
      <c r="F30" s="24">
        <v>5.0522685000000005E-2</v>
      </c>
      <c r="G30" s="24">
        <v>5.0318240000000007E-3</v>
      </c>
      <c r="H30" s="24">
        <v>1.3012289999999999E-2</v>
      </c>
      <c r="I30" s="24">
        <v>7.0225715999999994E-2</v>
      </c>
      <c r="J30" s="24">
        <v>3.0911088000000003E-2</v>
      </c>
      <c r="K30" s="24">
        <v>2.3591160000000003E-2</v>
      </c>
      <c r="L30" s="24">
        <v>3.1155347999999999E-2</v>
      </c>
      <c r="M30" s="24">
        <v>1.0921001E-2</v>
      </c>
      <c r="N30" s="24">
        <v>-4.6210289999999996E-3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42615</v>
      </c>
      <c r="B31" s="24">
        <v>3.2783270000000003E-2</v>
      </c>
      <c r="C31" s="24">
        <v>-1.5488862999999999E-2</v>
      </c>
      <c r="D31" s="24">
        <v>2.9049040000000002E-2</v>
      </c>
      <c r="E31" s="24">
        <v>4.9011946000000001E-2</v>
      </c>
      <c r="F31" s="24">
        <v>3.3167480999999999E-2</v>
      </c>
      <c r="G31" s="24">
        <v>2.2029399999999998E-2</v>
      </c>
      <c r="H31" s="24">
        <v>4.0462493999999995E-2</v>
      </c>
      <c r="I31" s="24">
        <v>1.2535691E-2</v>
      </c>
      <c r="J31" s="24">
        <v>9.0582370000000002E-3</v>
      </c>
      <c r="K31" s="24">
        <v>4.4387460000000004E-2</v>
      </c>
      <c r="L31" s="24">
        <v>6.4204810000000001E-2</v>
      </c>
      <c r="M31" s="24">
        <v>4.2131780000000001E-2</v>
      </c>
      <c r="N31" s="24">
        <v>6.4995289999999997E-2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42647</v>
      </c>
      <c r="B32" s="24">
        <v>-3.2793820000000001E-2</v>
      </c>
      <c r="C32" s="24">
        <v>2.1632314E-2</v>
      </c>
      <c r="D32" s="24">
        <v>-2.4361967999999998E-2</v>
      </c>
      <c r="E32" s="24">
        <v>-9.7965599999999993E-3</v>
      </c>
      <c r="F32" s="24">
        <v>-2.4076700000000002E-3</v>
      </c>
      <c r="G32" s="24">
        <v>-6.5317153999999997E-3</v>
      </c>
      <c r="H32" s="24">
        <v>-1.9753098E-2</v>
      </c>
      <c r="I32" s="24">
        <v>1.3205051000000001E-2</v>
      </c>
      <c r="J32" s="24">
        <v>-1.1912404999999999E-2</v>
      </c>
      <c r="K32" s="24">
        <v>-1.3485909000000001E-2</v>
      </c>
      <c r="L32" s="24">
        <v>-9.4637274999999996E-3</v>
      </c>
      <c r="M32" s="24">
        <v>6.5652129999999994E-3</v>
      </c>
      <c r="N32" s="24">
        <v>-5.4054019999999994E-2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42678</v>
      </c>
      <c r="B33" s="24">
        <v>-7.8026533000000009E-2</v>
      </c>
      <c r="C33" s="24">
        <v>-4.2348440000000001E-2</v>
      </c>
      <c r="D33" s="24">
        <v>-1.1890590000000001E-2</v>
      </c>
      <c r="E33" s="24">
        <v>-4.1476430000000002E-2</v>
      </c>
      <c r="F33" s="24">
        <v>-4.0225386999999998E-3</v>
      </c>
      <c r="G33" s="24">
        <v>-5.8842896999999998E-2</v>
      </c>
      <c r="H33" s="24">
        <v>-7.2418155999999997E-2</v>
      </c>
      <c r="I33" s="24">
        <v>-3.9874969999999996E-2</v>
      </c>
      <c r="J33" s="24">
        <v>-2.8554081999999998E-2</v>
      </c>
      <c r="K33" s="24">
        <v>-2.526921E-2</v>
      </c>
      <c r="L33" s="24">
        <v>-4.6974539999999995E-2</v>
      </c>
      <c r="M33" s="24">
        <v>-7.6553345000000009E-2</v>
      </c>
      <c r="N33" s="24">
        <v>-2.7650595E-3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42706</v>
      </c>
      <c r="B34" s="24">
        <v>4.9505234000000002E-3</v>
      </c>
      <c r="C34" s="24">
        <v>3.9698482E-2</v>
      </c>
      <c r="D34" s="24">
        <v>5.2145960000000005E-2</v>
      </c>
      <c r="E34" s="24">
        <v>-1.7864287E-2</v>
      </c>
      <c r="F34" s="24">
        <v>2.0194053999999999E-3</v>
      </c>
      <c r="G34" s="24">
        <v>-1.1177063000000001E-2</v>
      </c>
      <c r="H34" s="24">
        <v>3.0210495E-2</v>
      </c>
      <c r="I34" s="24">
        <v>1.8037795999999998E-2</v>
      </c>
      <c r="J34" s="24">
        <v>5.3368450000000005E-2</v>
      </c>
      <c r="K34" s="24">
        <v>-5.9499144999999995E-3</v>
      </c>
      <c r="L34" s="24">
        <v>-3.2163740000000003E-2</v>
      </c>
      <c r="M34" s="24">
        <v>2.0074367999999999E-2</v>
      </c>
      <c r="N34" s="24">
        <v>2.2643209000000001E-2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42739</v>
      </c>
      <c r="B35" s="24">
        <v>-1.6901790999999999E-2</v>
      </c>
      <c r="C35" s="24">
        <v>3.4679055E-2</v>
      </c>
      <c r="D35" s="24">
        <v>2.9629470000000002E-2</v>
      </c>
      <c r="E35" s="24">
        <v>7.7977420000000006E-2</v>
      </c>
      <c r="F35" s="24">
        <v>2.4574159999999998E-2</v>
      </c>
      <c r="G35" s="24">
        <v>5.5409074000000003E-2</v>
      </c>
      <c r="H35" s="24">
        <v>3.9235473E-2</v>
      </c>
      <c r="I35" s="24">
        <v>4.1890143999999997E-2</v>
      </c>
      <c r="J35" s="24">
        <v>3.7500143E-2</v>
      </c>
      <c r="K35" s="24">
        <v>6.5380216000000005E-2</v>
      </c>
      <c r="L35" s="24">
        <v>6.3158274E-2</v>
      </c>
      <c r="M35" s="24">
        <v>6.0311912999999995E-2</v>
      </c>
      <c r="N35" s="24">
        <v>0.12460661000000001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42769</v>
      </c>
      <c r="B36" s="24">
        <v>7.7511786999999999E-2</v>
      </c>
      <c r="C36" s="24">
        <v>3.5491585999999999E-2</v>
      </c>
      <c r="D36" s="24">
        <v>1.9820570999999999E-2</v>
      </c>
      <c r="E36" s="24">
        <v>3.713429E-2</v>
      </c>
      <c r="F36" s="24">
        <v>1.5920401000000001E-2</v>
      </c>
      <c r="G36" s="24">
        <v>3.1480193000000004E-2</v>
      </c>
      <c r="H36" s="24">
        <v>1.2536168E-2</v>
      </c>
      <c r="I36" s="24">
        <v>4.5677659999999995E-2</v>
      </c>
      <c r="J36" s="24">
        <v>1.2181163E-2</v>
      </c>
      <c r="K36" s="24">
        <v>1.5706777999999998E-2</v>
      </c>
      <c r="L36" s="24">
        <v>3.3305883000000001E-2</v>
      </c>
      <c r="M36" s="24">
        <v>6.2908172999999998E-2</v>
      </c>
      <c r="N36" s="24">
        <v>-1.4598547999999999E-2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42797</v>
      </c>
      <c r="B37" s="24">
        <v>-3.5509825000000002E-2</v>
      </c>
      <c r="C37" s="24">
        <v>1.8063902999999999E-2</v>
      </c>
      <c r="D37" s="24">
        <v>-1.5768230000000001E-2</v>
      </c>
      <c r="E37" s="24">
        <v>1.2296557E-2</v>
      </c>
      <c r="F37" s="24">
        <v>6.2683820000000003E-3</v>
      </c>
      <c r="G37" s="24">
        <v>2.1753192000000001E-2</v>
      </c>
      <c r="H37" s="24">
        <v>1.6825317999999999E-2</v>
      </c>
      <c r="I37" s="24">
        <v>4.2488933E-2</v>
      </c>
      <c r="J37" s="24">
        <v>3.9591908000000002E-2</v>
      </c>
      <c r="K37" s="24">
        <v>1.5860437999999998E-2</v>
      </c>
      <c r="L37" s="24">
        <v>3.5415888E-2</v>
      </c>
      <c r="M37" s="24">
        <v>-6.4683557000000001E-3</v>
      </c>
      <c r="N37" s="24">
        <v>9.4650984000000001E-3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42829</v>
      </c>
      <c r="B38" s="24">
        <v>6.6509247000000006E-3</v>
      </c>
      <c r="C38" s="24">
        <v>2.2747993000000001E-2</v>
      </c>
      <c r="D38" s="24">
        <v>1.4902352999999998E-3</v>
      </c>
      <c r="E38" s="24">
        <v>2.6437998000000001E-2</v>
      </c>
      <c r="F38" s="24">
        <v>4.0880441999999999E-3</v>
      </c>
      <c r="G38" s="24">
        <v>1.7477035999999998E-2</v>
      </c>
      <c r="H38" s="24">
        <v>1.1551738000000001E-2</v>
      </c>
      <c r="I38" s="24">
        <v>1.3477683000000001E-2</v>
      </c>
      <c r="J38" s="24">
        <v>-8.0263615000000007E-3</v>
      </c>
      <c r="K38" s="24">
        <v>3.3177137000000002E-2</v>
      </c>
      <c r="L38" s="24">
        <v>2.9976845000000002E-2</v>
      </c>
      <c r="M38" s="24">
        <v>1.2044310000000001E-2</v>
      </c>
      <c r="N38" s="24">
        <v>3.9951085999999997E-2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42859</v>
      </c>
      <c r="B39" s="24">
        <v>1.4157295000000001E-3</v>
      </c>
      <c r="C39" s="24">
        <v>-2.1352289999999999E-2</v>
      </c>
      <c r="D39" s="24">
        <v>-3.9806544999999999E-2</v>
      </c>
      <c r="E39" s="24">
        <v>5.8823585999999997E-2</v>
      </c>
      <c r="F39" s="24">
        <v>1.7448544999999999E-2</v>
      </c>
      <c r="G39" s="24">
        <v>6.6520929999999992E-2</v>
      </c>
      <c r="H39" s="24">
        <v>2.7160405999999998E-2</v>
      </c>
      <c r="I39" s="24">
        <v>3.4186124999999998E-2</v>
      </c>
      <c r="J39" s="24">
        <v>1.3929009999999999E-2</v>
      </c>
      <c r="K39" s="24">
        <v>9.4068769999999996E-2</v>
      </c>
      <c r="L39" s="24">
        <v>7.8731419999999996E-2</v>
      </c>
      <c r="M39" s="24">
        <v>8.4271429999999994E-2</v>
      </c>
      <c r="N39" s="24">
        <v>7.4480534000000001E-2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42888</v>
      </c>
      <c r="B40" s="24">
        <v>6.4443946000000002E-2</v>
      </c>
      <c r="C40" s="24">
        <v>-1.272732E-2</v>
      </c>
      <c r="D40" s="24">
        <v>2.0534753999999999E-2</v>
      </c>
      <c r="E40" s="24">
        <v>4.1748880000000002E-2</v>
      </c>
      <c r="F40" s="24">
        <v>4.6112895000000001E-2</v>
      </c>
      <c r="G40" s="24">
        <v>3.6017537000000002E-2</v>
      </c>
      <c r="H40" s="24">
        <v>4.5673130000000006E-2</v>
      </c>
      <c r="I40" s="24">
        <v>4.6847700000000006E-2</v>
      </c>
      <c r="J40" s="24">
        <v>2.2658706000000001E-2</v>
      </c>
      <c r="K40" s="24">
        <v>3.2458543999999999E-2</v>
      </c>
      <c r="L40" s="24">
        <v>3.3206581999999998E-2</v>
      </c>
      <c r="M40" s="24">
        <v>2.8181552999999998E-2</v>
      </c>
      <c r="N40" s="24">
        <v>3.4294128E-2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42919</v>
      </c>
      <c r="B41" s="24">
        <v>3.5700679999999999E-2</v>
      </c>
      <c r="C41" s="24">
        <v>1.5399814000000001E-2</v>
      </c>
      <c r="D41" s="24">
        <v>3.1214355999999999E-2</v>
      </c>
      <c r="E41" s="24">
        <v>-2.5563300000000001E-2</v>
      </c>
      <c r="F41" s="24">
        <v>-2.1239758000000001E-2</v>
      </c>
      <c r="G41" s="24">
        <v>-8.9314579999999998E-3</v>
      </c>
      <c r="H41" s="24">
        <v>-2.0758450000000001E-2</v>
      </c>
      <c r="I41" s="24">
        <v>-4.8075795000000004E-2</v>
      </c>
      <c r="J41" s="24">
        <v>-3.1903386000000002E-3</v>
      </c>
      <c r="K41" s="24">
        <v>-2.1837354000000003E-2</v>
      </c>
      <c r="L41" s="24">
        <v>-2.1290182999999997E-2</v>
      </c>
      <c r="M41" s="24">
        <v>2.6469229999999998E-3</v>
      </c>
      <c r="N41" s="24">
        <v>7.4261427E-3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42951</v>
      </c>
      <c r="B42" s="24">
        <v>3.3964753E-2</v>
      </c>
      <c r="C42" s="24">
        <v>4.4949054999999995E-2</v>
      </c>
      <c r="D42" s="24">
        <v>3.0809164E-2</v>
      </c>
      <c r="E42" s="24">
        <v>2.5420904000000001E-2</v>
      </c>
      <c r="F42" s="24">
        <v>3.2777666999999996E-2</v>
      </c>
      <c r="G42" s="24">
        <v>1.3690591E-2</v>
      </c>
      <c r="H42" s="24">
        <v>3.1503081000000002E-2</v>
      </c>
      <c r="I42" s="24">
        <v>5.4776309999999995E-2</v>
      </c>
      <c r="J42" s="24">
        <v>2.1468997E-2</v>
      </c>
      <c r="K42" s="24">
        <v>4.1391372999999995E-2</v>
      </c>
      <c r="L42" s="24">
        <v>7.2022199999999995E-2</v>
      </c>
      <c r="M42" s="24">
        <v>1.3537407E-2</v>
      </c>
      <c r="N42" s="24">
        <v>7.985747E-2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42979</v>
      </c>
      <c r="B43" s="24">
        <v>-2.5689662000000002E-2</v>
      </c>
      <c r="C43" s="24">
        <v>1.1973381E-2</v>
      </c>
      <c r="D43" s="24">
        <v>1.224339E-2</v>
      </c>
      <c r="E43" s="24">
        <v>-6.7610740000000006E-3</v>
      </c>
      <c r="F43" s="24">
        <v>-1.1788130000000001E-2</v>
      </c>
      <c r="G43" s="24">
        <v>-1.5517293999999999E-2</v>
      </c>
      <c r="H43" s="24">
        <v>-1.1343776999999999E-2</v>
      </c>
      <c r="I43" s="24">
        <v>1.6359209999999999E-2</v>
      </c>
      <c r="J43" s="24">
        <v>1.7379521999999999E-3</v>
      </c>
      <c r="K43" s="24">
        <v>-4.6760439999999999E-3</v>
      </c>
      <c r="L43" s="24">
        <v>-9.0438723999999998E-3</v>
      </c>
      <c r="M43" s="24">
        <v>1.074338E-2</v>
      </c>
      <c r="N43" s="24">
        <v>4.6219826000000004E-3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43012</v>
      </c>
      <c r="B44" s="24">
        <v>1.0373831E-2</v>
      </c>
      <c r="C44" s="24">
        <v>-2.1910607999999998E-2</v>
      </c>
      <c r="D44" s="24">
        <v>3.5574555000000001E-2</v>
      </c>
      <c r="E44" s="24">
        <v>5.2836299999999996E-2</v>
      </c>
      <c r="F44" s="24">
        <v>2.8629064999999999E-2</v>
      </c>
      <c r="G44" s="24">
        <v>2.7437330000000003E-2</v>
      </c>
      <c r="H44" s="24">
        <v>2.6184200999999997E-2</v>
      </c>
      <c r="I44" s="24">
        <v>2.400279E-3</v>
      </c>
      <c r="J44" s="24">
        <v>2.6526093000000001E-2</v>
      </c>
      <c r="K44" s="24">
        <v>3.7248373000000001E-2</v>
      </c>
      <c r="L44" s="24">
        <v>2.4445891000000001E-2</v>
      </c>
      <c r="M44" s="24">
        <v>4.0505649999999997E-2</v>
      </c>
      <c r="N44" s="24">
        <v>1.1830449E-2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43042</v>
      </c>
      <c r="B45" s="24">
        <v>-2.6310146E-2</v>
      </c>
      <c r="C45" s="24">
        <v>2.3745536999999997E-2</v>
      </c>
      <c r="D45" s="24">
        <v>0</v>
      </c>
      <c r="E45" s="24">
        <v>2.8017281999999998E-2</v>
      </c>
      <c r="F45" s="24">
        <v>5.602145E-2</v>
      </c>
      <c r="G45" s="24">
        <v>-1.6193150999999999E-2</v>
      </c>
      <c r="H45" s="24">
        <v>-8.6015460000000001E-4</v>
      </c>
      <c r="I45" s="24">
        <v>4.9578905000000006E-2</v>
      </c>
      <c r="J45" s="24">
        <v>2.0895958000000003E-2</v>
      </c>
      <c r="K45" s="24">
        <v>1.42349E-2</v>
      </c>
      <c r="L45" s="24">
        <v>6.3632727000000004E-3</v>
      </c>
      <c r="M45" s="24">
        <v>-1.8498122999999998E-2</v>
      </c>
      <c r="N45" s="24">
        <v>1.3965487E-2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43073</v>
      </c>
      <c r="B46" s="24">
        <v>-6.5904856000000001E-4</v>
      </c>
      <c r="C46" s="24">
        <v>-6.5645576000000006E-3</v>
      </c>
      <c r="D46" s="24">
        <v>3.4351350000000002E-3</v>
      </c>
      <c r="E46" s="24">
        <v>-9.8831653999999994E-3</v>
      </c>
      <c r="F46" s="24">
        <v>-3.0410885999999997E-3</v>
      </c>
      <c r="G46" s="24">
        <v>8.3742139999999996E-3</v>
      </c>
      <c r="H46" s="24">
        <v>-8.6081030000000004E-4</v>
      </c>
      <c r="I46" s="24">
        <v>-3.6536455000000002E-3</v>
      </c>
      <c r="J46" s="24">
        <v>2.201593E-2</v>
      </c>
      <c r="K46" s="24">
        <v>-3.1898021999999999E-3</v>
      </c>
      <c r="L46" s="24">
        <v>-9.1685057000000011E-3</v>
      </c>
      <c r="M46" s="24">
        <v>-4.0225030000000002E-2</v>
      </c>
      <c r="N46" s="24">
        <v>-1.2171685999999999E-2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43104</v>
      </c>
      <c r="B47" s="24">
        <v>8.328772000000001E-2</v>
      </c>
      <c r="C47" s="24">
        <v>6.3441156999999998E-2</v>
      </c>
      <c r="D47" s="24">
        <v>4.8174260000000003E-2</v>
      </c>
      <c r="E47" s="24">
        <v>3.0422330000000001E-2</v>
      </c>
      <c r="F47" s="24">
        <v>5.5491566999999999E-2</v>
      </c>
      <c r="G47" s="24">
        <v>3.4364342999999999E-2</v>
      </c>
      <c r="H47" s="24">
        <v>6.0154439999999997E-2</v>
      </c>
      <c r="I47" s="24">
        <v>5.1947355000000001E-2</v>
      </c>
      <c r="J47" s="24">
        <v>3.3494233999999998E-2</v>
      </c>
      <c r="K47" s="24">
        <v>2.5507927E-2</v>
      </c>
      <c r="L47" s="24">
        <v>3.7106276000000001E-2</v>
      </c>
      <c r="M47" s="24">
        <v>3.0730963E-2</v>
      </c>
      <c r="N47" s="24">
        <v>2.8014182999999998E-2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43133</v>
      </c>
      <c r="B48" s="24">
        <v>1.3650417E-2</v>
      </c>
      <c r="C48" s="24">
        <v>-1.6977787000000001E-3</v>
      </c>
      <c r="D48" s="24">
        <v>-4.2011260000000002E-2</v>
      </c>
      <c r="E48" s="24">
        <v>-3.5314560000000001E-3</v>
      </c>
      <c r="F48" s="24">
        <v>7.2733163999999994E-3</v>
      </c>
      <c r="G48" s="24">
        <v>1.1904715999999999E-2</v>
      </c>
      <c r="H48" s="24">
        <v>1.10411644E-3</v>
      </c>
      <c r="I48" s="24">
        <v>2.6823044000000001E-2</v>
      </c>
      <c r="J48" s="24">
        <v>1.4137983E-2</v>
      </c>
      <c r="K48" s="24">
        <v>1.9405246000000001E-2</v>
      </c>
      <c r="L48" s="24">
        <v>2.0730257000000002E-2</v>
      </c>
      <c r="M48" s="24">
        <v>1.8093109E-2</v>
      </c>
      <c r="N48" s="24">
        <v>5.2965403000000001E-2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43161</v>
      </c>
      <c r="B49" s="24">
        <v>-6.7332983000000001E-3</v>
      </c>
      <c r="C49" s="24">
        <v>-3.3163310000000001E-2</v>
      </c>
      <c r="D49" s="24">
        <v>-5.1104965000000002E-2</v>
      </c>
      <c r="E49" s="24">
        <v>-6.0543420000000001E-2</v>
      </c>
      <c r="F49" s="24">
        <v>-3.7708579999999998E-2</v>
      </c>
      <c r="G49" s="24">
        <v>-5.9917870000000005E-2</v>
      </c>
      <c r="H49" s="24">
        <v>-5.238491E-2</v>
      </c>
      <c r="I49" s="24">
        <v>8.3835125000000007E-3</v>
      </c>
      <c r="J49" s="24">
        <v>-2.3125887000000001E-2</v>
      </c>
      <c r="K49" s="24">
        <v>-3.6843657000000002E-2</v>
      </c>
      <c r="L49" s="24">
        <v>-4.1830896999999999E-2</v>
      </c>
      <c r="M49" s="24">
        <v>-6.2341269999999997E-2</v>
      </c>
      <c r="N49" s="24">
        <v>-5.0903615999999999E-2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43194</v>
      </c>
      <c r="B50" s="24">
        <v>1.7460942E-2</v>
      </c>
      <c r="C50" s="24">
        <v>-3.07827E-2</v>
      </c>
      <c r="D50" s="24">
        <v>-1.8194914E-3</v>
      </c>
      <c r="E50" s="24">
        <v>3.1435490000000001E-4</v>
      </c>
      <c r="F50" s="24">
        <v>5.0024986000000004E-3</v>
      </c>
      <c r="G50" s="24">
        <v>-1.4551818000000001E-2</v>
      </c>
      <c r="H50" s="24">
        <v>1.9202828000000002E-2</v>
      </c>
      <c r="I50" s="24">
        <v>-3.6060214E-2</v>
      </c>
      <c r="J50" s="24">
        <v>-1.6596376999999999E-2</v>
      </c>
      <c r="K50" s="24">
        <v>1.2750626000000002E-3</v>
      </c>
      <c r="L50" s="24">
        <v>7.9089403000000003E-3</v>
      </c>
      <c r="M50" s="24">
        <v>-1.8953085000000001E-2</v>
      </c>
      <c r="N50" s="24">
        <v>2.5388837000000001E-2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43224</v>
      </c>
      <c r="B51" s="24">
        <v>-1.8574535999999999E-2</v>
      </c>
      <c r="C51" s="24">
        <v>3.1306623999999998E-2</v>
      </c>
      <c r="D51" s="24">
        <v>3.2081604E-2</v>
      </c>
      <c r="E51" s="24">
        <v>3.2055378000000002E-2</v>
      </c>
      <c r="F51" s="24">
        <v>7.6322555999999995E-3</v>
      </c>
      <c r="G51" s="24">
        <v>6.2019824999999997E-3</v>
      </c>
      <c r="H51" s="24">
        <v>2.9688835E-2</v>
      </c>
      <c r="I51" s="24">
        <v>3.2114625000000001E-2</v>
      </c>
      <c r="J51" s="24">
        <v>9.3337300000000002E-3</v>
      </c>
      <c r="K51" s="24">
        <v>4.0433049999999998E-2</v>
      </c>
      <c r="L51" s="24">
        <v>3.1386614000000002E-3</v>
      </c>
      <c r="M51" s="24">
        <v>8.5862875000000012E-3</v>
      </c>
      <c r="N51" s="24">
        <v>5.1996349999999997E-2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43255</v>
      </c>
      <c r="B52" s="24">
        <v>7.4058769999999999E-3</v>
      </c>
      <c r="C52" s="24">
        <v>5.7193039999999997E-3</v>
      </c>
      <c r="D52" s="24">
        <v>-4.5920014000000002E-3</v>
      </c>
      <c r="E52" s="24">
        <v>-2.5883079000000003E-2</v>
      </c>
      <c r="F52" s="24">
        <v>-3.6225914999999998E-3</v>
      </c>
      <c r="G52" s="24">
        <v>-1.0272920000000001E-2</v>
      </c>
      <c r="H52" s="24">
        <v>4.9903393000000004E-3</v>
      </c>
      <c r="I52" s="24">
        <v>5.7196616999999998E-2</v>
      </c>
      <c r="J52" s="24">
        <v>3.3380985000000002E-2</v>
      </c>
      <c r="K52" s="24">
        <v>-1.5605926999999999E-2</v>
      </c>
      <c r="L52" s="24">
        <v>-4.0675401999999998E-3</v>
      </c>
      <c r="M52" s="24">
        <v>-3.0398369000000003E-4</v>
      </c>
      <c r="N52" s="24">
        <v>-0.10826719000000001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43284</v>
      </c>
      <c r="B53" s="24">
        <v>9.3579290000000009E-3</v>
      </c>
      <c r="C53" s="24">
        <v>3.8123129999999999E-4</v>
      </c>
      <c r="D53" s="24">
        <v>1.7239213E-2</v>
      </c>
      <c r="E53" s="24">
        <v>-4.1805386999999999E-2</v>
      </c>
      <c r="F53" s="24">
        <v>-5.1962137000000005E-2</v>
      </c>
      <c r="G53" s="24">
        <v>-6.5393449999999994E-3</v>
      </c>
      <c r="H53" s="24">
        <v>-2.6203156000000002E-2</v>
      </c>
      <c r="I53" s="24">
        <v>-1.7979622000000001E-2</v>
      </c>
      <c r="J53" s="24">
        <v>-1.0121644000000001E-2</v>
      </c>
      <c r="K53" s="24">
        <v>-3.2740653000000002E-2</v>
      </c>
      <c r="L53" s="24">
        <v>-3.035146E-2</v>
      </c>
      <c r="M53" s="24">
        <v>-2.4067162999999999E-2</v>
      </c>
      <c r="N53" s="24">
        <v>-1.7426908000000001E-2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43315</v>
      </c>
      <c r="B54" s="24">
        <v>-2.3863374999999999E-2</v>
      </c>
      <c r="C54" s="24">
        <v>1.2929082000000001E-2</v>
      </c>
      <c r="D54" s="24">
        <v>2.8129339999999999E-2</v>
      </c>
      <c r="E54" s="24">
        <v>2.5392532000000002E-2</v>
      </c>
      <c r="F54" s="24">
        <v>2.8988122999999998E-2</v>
      </c>
      <c r="G54" s="24">
        <v>5.9057592999999999E-2</v>
      </c>
      <c r="H54" s="24">
        <v>2.9003619999999999E-4</v>
      </c>
      <c r="I54" s="24">
        <v>5.4332494999999995E-2</v>
      </c>
      <c r="J54" s="24">
        <v>4.688084E-2</v>
      </c>
      <c r="K54" s="24">
        <v>2.9855610000000001E-2</v>
      </c>
      <c r="L54" s="24">
        <v>4.2146800000000005E-2</v>
      </c>
      <c r="M54" s="24">
        <v>4.0769696000000001E-2</v>
      </c>
      <c r="N54" s="24">
        <v>-3.7969947E-3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43347</v>
      </c>
      <c r="B55" s="24">
        <v>2.2549986999999997E-2</v>
      </c>
      <c r="C55" s="24">
        <v>-2.1126746999999998E-2</v>
      </c>
      <c r="D55" s="24">
        <v>-3.112173E-2</v>
      </c>
      <c r="E55" s="24">
        <v>-2.6067138E-2</v>
      </c>
      <c r="F55" s="24">
        <v>-1.8268704E-2</v>
      </c>
      <c r="G55" s="24">
        <v>-2.8893948000000003E-3</v>
      </c>
      <c r="H55" s="24">
        <v>-3.3343017000000003E-2</v>
      </c>
      <c r="I55" s="24">
        <v>3.2041311000000003E-2</v>
      </c>
      <c r="J55" s="24">
        <v>2.1896958000000001E-2</v>
      </c>
      <c r="K55" s="24">
        <v>-2.3574352E-2</v>
      </c>
      <c r="L55" s="24">
        <v>-2.7804077E-2</v>
      </c>
      <c r="M55" s="24">
        <v>-2.8204322E-3</v>
      </c>
      <c r="N55" s="24">
        <v>-4.712409E-2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43377</v>
      </c>
      <c r="B56" s="24">
        <v>-3.0502856000000002E-2</v>
      </c>
      <c r="C56" s="24">
        <v>-2.9676258999999997E-2</v>
      </c>
      <c r="D56" s="24">
        <v>1.3060331000000001E-2</v>
      </c>
      <c r="E56" s="24">
        <v>-1.4051497E-2</v>
      </c>
      <c r="F56" s="24">
        <v>2.8869509999999998E-2</v>
      </c>
      <c r="G56" s="24">
        <v>-9.2726945999999991E-3</v>
      </c>
      <c r="H56" s="24">
        <v>1.2297511000000001E-2</v>
      </c>
      <c r="I56" s="24">
        <v>-1.6911209E-2</v>
      </c>
      <c r="J56" s="24">
        <v>3.2471418000000001E-3</v>
      </c>
      <c r="K56" s="24">
        <v>2.6100874000000002E-3</v>
      </c>
      <c r="L56" s="24">
        <v>-3.8349031999999998E-2</v>
      </c>
      <c r="M56" s="24">
        <v>7.2281359999999996E-3</v>
      </c>
      <c r="N56" s="24">
        <v>-6.1818360000000004E-3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43406</v>
      </c>
      <c r="B57" s="24">
        <v>-2.0408154000000001E-2</v>
      </c>
      <c r="C57" s="24">
        <v>-3.2437502999999999E-2</v>
      </c>
      <c r="D57" s="24">
        <v>-6.8292736999999992E-2</v>
      </c>
      <c r="E57" s="24">
        <v>-5.7346399999999999E-2</v>
      </c>
      <c r="F57" s="24">
        <v>-6.9979725000000007E-2</v>
      </c>
      <c r="G57" s="24">
        <v>-2.8663337000000001E-2</v>
      </c>
      <c r="H57" s="24">
        <v>-4.4148207000000002E-2</v>
      </c>
      <c r="I57" s="24">
        <v>-7.1279763999999995E-2</v>
      </c>
      <c r="J57" s="24">
        <v>-6.0634317E-2</v>
      </c>
      <c r="K57" s="24">
        <v>-6.3130435999999998E-2</v>
      </c>
      <c r="L57" s="24">
        <v>-3.3457219999999996E-2</v>
      </c>
      <c r="M57" s="24">
        <v>-6.5834580000000004E-2</v>
      </c>
      <c r="N57" s="24">
        <v>-5.7446003000000002E-2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43438</v>
      </c>
      <c r="B58" s="24">
        <v>4.3402789999999997E-2</v>
      </c>
      <c r="C58" s="24">
        <v>-1.3888836E-2</v>
      </c>
      <c r="D58" s="24">
        <v>-1.1219144E-2</v>
      </c>
      <c r="E58" s="24">
        <v>-4.6796319999999995E-2</v>
      </c>
      <c r="F58" s="24">
        <v>-1.8175185E-2</v>
      </c>
      <c r="G58" s="24">
        <v>-5.7211520000000002E-3</v>
      </c>
      <c r="H58" s="24">
        <v>-3.7507712999999998E-2</v>
      </c>
      <c r="I58" s="24">
        <v>-2.1608233000000001E-2</v>
      </c>
      <c r="J58" s="24">
        <v>-6.0319303999999997E-3</v>
      </c>
      <c r="K58" s="24">
        <v>-3.9597153999999996E-2</v>
      </c>
      <c r="L58" s="24">
        <v>-1.7482519000000002E-2</v>
      </c>
      <c r="M58" s="24">
        <v>-3.2398164E-2</v>
      </c>
      <c r="N58" s="24">
        <v>-2.4068355999999999E-2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43469</v>
      </c>
      <c r="B59" s="24">
        <v>-1.6525506999999998E-2</v>
      </c>
      <c r="C59" s="24">
        <v>-9.8301770000000007E-3</v>
      </c>
      <c r="D59" s="24">
        <v>-5.2090405999999999E-2</v>
      </c>
      <c r="E59" s="24">
        <v>-2.7190328E-2</v>
      </c>
      <c r="F59" s="24">
        <v>-2.1159827999999999E-2</v>
      </c>
      <c r="G59" s="24">
        <v>-2.9678939999999997E-2</v>
      </c>
      <c r="H59" s="24">
        <v>-1.4011145000000001E-2</v>
      </c>
      <c r="I59" s="24">
        <v>-5.4502068000000001E-2</v>
      </c>
      <c r="J59" s="24">
        <v>-6.0517550000000003E-2</v>
      </c>
      <c r="K59" s="24">
        <v>-3.3187149999999999E-2</v>
      </c>
      <c r="L59" s="24">
        <v>-5.311304E-2</v>
      </c>
      <c r="M59" s="24">
        <v>-1.5981436000000002E-2</v>
      </c>
      <c r="N59" s="24">
        <v>3.1099320000000001E-3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43500</v>
      </c>
      <c r="B60" s="24">
        <v>4.1980624000000001E-2</v>
      </c>
      <c r="C60" s="24">
        <v>5.6036710000000003E-2</v>
      </c>
      <c r="D60" s="24">
        <v>0.10344828</v>
      </c>
      <c r="E60" s="24">
        <v>4.1149020000000001E-2</v>
      </c>
      <c r="F60" s="24">
        <v>3.2590031999999998E-2</v>
      </c>
      <c r="G60" s="24">
        <v>4.0262219999999994E-2</v>
      </c>
      <c r="H60" s="24">
        <v>5.7743669999999997E-2</v>
      </c>
      <c r="I60" s="24">
        <v>8.5130929999999994E-2</v>
      </c>
      <c r="J60" s="24">
        <v>7.753873E-2</v>
      </c>
      <c r="K60" s="24">
        <v>6.1255097000000001E-2</v>
      </c>
      <c r="L60" s="24">
        <v>7.9682826999999998E-2</v>
      </c>
      <c r="M60" s="24">
        <v>5.4405093000000002E-2</v>
      </c>
      <c r="N60" s="24">
        <v>4.9799204E-2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43528</v>
      </c>
      <c r="B61" s="24">
        <v>3.285122E-2</v>
      </c>
      <c r="C61" s="24">
        <v>2.8461218E-2</v>
      </c>
      <c r="D61" s="24">
        <v>1.6544104E-2</v>
      </c>
      <c r="E61" s="24">
        <v>2.0507097000000002E-2</v>
      </c>
      <c r="F61" s="24">
        <v>3.1377076999999998E-3</v>
      </c>
      <c r="G61" s="24">
        <v>4.2604210000000003E-2</v>
      </c>
      <c r="H61" s="24">
        <v>2.7137875999999998E-2</v>
      </c>
      <c r="I61" s="24">
        <v>2.8844476000000001E-2</v>
      </c>
      <c r="J61" s="24">
        <v>2.7356981999999998E-2</v>
      </c>
      <c r="K61" s="24">
        <v>4.4971704000000001E-2</v>
      </c>
      <c r="L61" s="24">
        <v>3.8824797000000001E-2</v>
      </c>
      <c r="M61" s="24">
        <v>3.9945839999999998E-3</v>
      </c>
      <c r="N61" s="24">
        <v>3.7107944000000004E-2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43559</v>
      </c>
      <c r="B62" s="24">
        <v>3.9207816E-2</v>
      </c>
      <c r="C62" s="24">
        <v>1.4540315E-2</v>
      </c>
      <c r="D62" s="24">
        <v>1.4466524000000001E-2</v>
      </c>
      <c r="E62" s="24">
        <v>1.9729613999999999E-2</v>
      </c>
      <c r="F62" s="24">
        <v>1.8031359E-2</v>
      </c>
      <c r="G62" s="24">
        <v>2.5323749000000003E-2</v>
      </c>
      <c r="H62" s="24">
        <v>3.5944820000000002E-2</v>
      </c>
      <c r="I62" s="24">
        <v>5.5175780000000001E-2</v>
      </c>
      <c r="J62" s="24">
        <v>3.2350897999999996E-2</v>
      </c>
      <c r="K62" s="24">
        <v>2.2704124000000003E-2</v>
      </c>
      <c r="L62" s="24">
        <v>3.0976415E-2</v>
      </c>
      <c r="M62" s="24">
        <v>4.4098140000000001E-2</v>
      </c>
      <c r="N62" s="24">
        <v>3.9468765000000003E-2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43588</v>
      </c>
      <c r="B63" s="24">
        <v>9.6249580000000001E-4</v>
      </c>
      <c r="C63" s="24">
        <v>9.2464685000000005E-3</v>
      </c>
      <c r="D63" s="24">
        <v>1.1764646E-2</v>
      </c>
      <c r="E63" s="24">
        <v>3.7262678E-2</v>
      </c>
      <c r="F63" s="24">
        <v>1.1386156000000001E-2</v>
      </c>
      <c r="G63" s="24">
        <v>1.8523693000000001E-2</v>
      </c>
      <c r="H63" s="24">
        <v>4.4482946000000004E-3</v>
      </c>
      <c r="I63" s="24">
        <v>4.0280820000000002E-2</v>
      </c>
      <c r="J63" s="24">
        <v>2.3852706000000001E-2</v>
      </c>
      <c r="K63" s="24">
        <v>1.7892598999999999E-2</v>
      </c>
      <c r="L63" s="24">
        <v>3.2005189999999996E-2</v>
      </c>
      <c r="M63" s="24">
        <v>1.6830801999999999E-2</v>
      </c>
      <c r="N63" s="24">
        <v>-1.4194845999999999E-3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43620</v>
      </c>
      <c r="B64" s="24">
        <v>-2.1153808E-2</v>
      </c>
      <c r="C64" s="24">
        <v>9.619832E-3</v>
      </c>
      <c r="D64" s="24">
        <v>-2.0436942999999999E-2</v>
      </c>
      <c r="E64" s="24">
        <v>-4.421419E-2</v>
      </c>
      <c r="F64" s="24">
        <v>-4.1458187000000007E-2</v>
      </c>
      <c r="G64" s="24">
        <v>8.5421799999999999E-3</v>
      </c>
      <c r="H64" s="24">
        <v>-5.1372824000000004E-2</v>
      </c>
      <c r="I64" s="24">
        <v>-8.4767930000000005E-2</v>
      </c>
      <c r="J64" s="24">
        <v>-4.5913696000000004E-2</v>
      </c>
      <c r="K64" s="24">
        <v>-3.6783813999999998E-2</v>
      </c>
      <c r="L64" s="24">
        <v>-4.5253158000000002E-2</v>
      </c>
      <c r="M64" s="24">
        <v>-7.0580900000000002E-2</v>
      </c>
      <c r="N64" s="24">
        <v>-4.5842169999999995E-2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43649</v>
      </c>
      <c r="B65" s="24">
        <v>7.5347543000000003E-2</v>
      </c>
      <c r="C65" s="24">
        <v>5.4226400000000001E-2</v>
      </c>
      <c r="D65" s="24">
        <v>5.2643776000000003E-2</v>
      </c>
      <c r="E65" s="24">
        <v>5.3398729999999998E-2</v>
      </c>
      <c r="F65" s="24">
        <v>4.7644140000000001E-2</v>
      </c>
      <c r="G65" s="24">
        <v>5.5404663E-2</v>
      </c>
      <c r="H65" s="24">
        <v>4.641199E-2</v>
      </c>
      <c r="I65" s="24">
        <v>9.6923110000000007E-2</v>
      </c>
      <c r="J65" s="24">
        <v>7.0313453999999997E-2</v>
      </c>
      <c r="K65" s="24">
        <v>7.2589397E-2</v>
      </c>
      <c r="L65" s="24">
        <v>6.4683675999999996E-2</v>
      </c>
      <c r="M65" s="24">
        <v>8.8193779999999999E-2</v>
      </c>
      <c r="N65" s="24">
        <v>8.9911350000000001E-2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43679</v>
      </c>
      <c r="B66" s="24">
        <v>4.0801763999999997E-3</v>
      </c>
      <c r="C66" s="24">
        <v>-2.5032937999999998E-2</v>
      </c>
      <c r="D66" s="24">
        <v>-3.2413839999999999E-2</v>
      </c>
      <c r="E66" s="24">
        <v>-6.5209745999999999E-2</v>
      </c>
      <c r="F66" s="24">
        <v>-2.9269099999999999E-2</v>
      </c>
      <c r="G66" s="24">
        <v>-1.5852034000000001E-2</v>
      </c>
      <c r="H66" s="24">
        <v>-6.3148259999999998E-2</v>
      </c>
      <c r="I66" s="24">
        <v>-2.136439E-2</v>
      </c>
      <c r="J66" s="24">
        <v>-2.0682692999999999E-2</v>
      </c>
      <c r="K66" s="24">
        <v>-5.7797850000000005E-2</v>
      </c>
      <c r="L66" s="24">
        <v>-2.8070211000000001E-2</v>
      </c>
      <c r="M66" s="24">
        <v>-8.3811339999999998E-2</v>
      </c>
      <c r="N66" s="24">
        <v>-5.1272989999999997E-2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43712</v>
      </c>
      <c r="B67" s="24">
        <v>-1.1267126000000001E-2</v>
      </c>
      <c r="C67" s="24">
        <v>-1.7567634999999998E-2</v>
      </c>
      <c r="D67" s="24">
        <v>8.9094640000000006E-3</v>
      </c>
      <c r="E67" s="24">
        <v>7.5411800000000002E-4</v>
      </c>
      <c r="F67" s="24">
        <v>3.5146474999999998E-3</v>
      </c>
      <c r="G67" s="24">
        <v>1.2617468999999999E-2</v>
      </c>
      <c r="H67" s="24">
        <v>3.9075613E-3</v>
      </c>
      <c r="I67" s="24">
        <v>5.2307844000000006E-3</v>
      </c>
      <c r="J67" s="24">
        <v>4.8527717999999999E-3</v>
      </c>
      <c r="K67" s="24">
        <v>2.1932839999999999E-2</v>
      </c>
      <c r="L67" s="24">
        <v>1.6409636000000002E-2</v>
      </c>
      <c r="M67" s="24">
        <v>-5.9130190000000003E-3</v>
      </c>
      <c r="N67" s="24">
        <v>2.4599313999999997E-2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43742</v>
      </c>
      <c r="B68" s="24">
        <v>-1.8681109000000001E-2</v>
      </c>
      <c r="C68" s="24">
        <v>4.5847892999999998E-4</v>
      </c>
      <c r="D68" s="24">
        <v>-7.0643425000000001E-4</v>
      </c>
      <c r="E68" s="24">
        <v>-3.7679076000000002E-3</v>
      </c>
      <c r="F68" s="24">
        <v>4.5529960000000001E-2</v>
      </c>
      <c r="G68" s="24">
        <v>-1.8292724999999999E-2</v>
      </c>
      <c r="H68" s="24">
        <v>-7.784605E-3</v>
      </c>
      <c r="I68" s="24">
        <v>4.5703649999999998E-3</v>
      </c>
      <c r="J68" s="24">
        <v>5.6978463999999996E-3</v>
      </c>
      <c r="K68" s="24">
        <v>-1.0731040999999998E-2</v>
      </c>
      <c r="L68" s="24">
        <v>1.6144514E-3</v>
      </c>
      <c r="M68" s="24">
        <v>1.7493963000000002E-3</v>
      </c>
      <c r="N68" s="24">
        <v>-1.9643485999999998E-2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43773</v>
      </c>
      <c r="B69" s="24">
        <v>6.6628455999999999E-3</v>
      </c>
      <c r="C69" s="24">
        <v>3.9871693E-2</v>
      </c>
      <c r="D69" s="24">
        <v>3.3580779999999998E-2</v>
      </c>
      <c r="E69" s="24">
        <v>9.9470500000000003E-2</v>
      </c>
      <c r="F69" s="24">
        <v>5.1833509999999999E-2</v>
      </c>
      <c r="G69" s="24">
        <v>4.8609375999999996E-2</v>
      </c>
      <c r="H69" s="24">
        <v>7.2899580000000005E-2</v>
      </c>
      <c r="I69" s="24">
        <v>5.9795619999999994E-2</v>
      </c>
      <c r="J69" s="24">
        <v>4.4232964999999999E-2</v>
      </c>
      <c r="K69" s="24">
        <v>7.1525455000000002E-2</v>
      </c>
      <c r="L69" s="24">
        <v>4.2875530000000002E-2</v>
      </c>
      <c r="M69" s="24">
        <v>0.12713945000000001</v>
      </c>
      <c r="N69" s="24">
        <v>9.4990729999999995E-2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43803</v>
      </c>
      <c r="B70" s="24">
        <v>6.637668599999999E-2</v>
      </c>
      <c r="C70" s="24">
        <v>-8.3737372999999997E-3</v>
      </c>
      <c r="D70" s="24">
        <v>6.4979790000000001E-3</v>
      </c>
      <c r="E70" s="24">
        <v>-2.4079679999999999E-3</v>
      </c>
      <c r="F70" s="24">
        <v>9.2189309999999997E-3</v>
      </c>
      <c r="G70" s="24">
        <v>7.7259539999999997E-4</v>
      </c>
      <c r="H70" s="24">
        <v>-5.4844619999999998E-3</v>
      </c>
      <c r="I70" s="24">
        <v>1.1644125E-2</v>
      </c>
      <c r="J70" s="24">
        <v>1.3306379E-2</v>
      </c>
      <c r="K70" s="24">
        <v>-6.6434739999999999E-3</v>
      </c>
      <c r="L70" s="24">
        <v>7.1098804000000008E-3</v>
      </c>
      <c r="M70" s="24">
        <v>-8.6768269999999998E-3</v>
      </c>
      <c r="N70" s="24">
        <v>-2.0332098E-2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43833</v>
      </c>
      <c r="B71" s="24">
        <v>3.9060472999999998E-2</v>
      </c>
      <c r="C71" s="24">
        <v>1.9992352000000001E-2</v>
      </c>
      <c r="D71" s="24">
        <v>2.7121425000000001E-2</v>
      </c>
      <c r="E71" s="24">
        <v>1.0689615999999999E-2</v>
      </c>
      <c r="F71" s="24">
        <v>-5.0980449999999998E-3</v>
      </c>
      <c r="G71" s="24">
        <v>4.7092080000000001E-2</v>
      </c>
      <c r="H71" s="24">
        <v>5.4916263E-2</v>
      </c>
      <c r="I71" s="24">
        <v>6.0330750000000002E-2</v>
      </c>
      <c r="J71" s="24">
        <v>4.0224194999999997E-2</v>
      </c>
      <c r="K71" s="24">
        <v>4.0427565999999998E-2</v>
      </c>
      <c r="L71" s="24">
        <v>4.2016625000000002E-2</v>
      </c>
      <c r="M71" s="24">
        <v>4.1971087000000004E-2</v>
      </c>
      <c r="N71" s="24">
        <v>2.7164220000000003E-2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43865</v>
      </c>
      <c r="B72" s="24">
        <v>-2.143979E-2</v>
      </c>
      <c r="C72" s="24">
        <v>8.8889599999999996E-3</v>
      </c>
      <c r="D72" s="24">
        <v>6.0342549999999997E-3</v>
      </c>
      <c r="E72" s="24">
        <v>-7.1647763E-3</v>
      </c>
      <c r="F72" s="24">
        <v>-2.1959543000000001E-3</v>
      </c>
      <c r="G72" s="24">
        <v>1.4254211999999999E-2</v>
      </c>
      <c r="H72" s="24">
        <v>-2.7777731E-2</v>
      </c>
      <c r="I72" s="24">
        <v>6.20507E-2</v>
      </c>
      <c r="J72" s="24">
        <v>2.0625950000000001E-2</v>
      </c>
      <c r="K72" s="24">
        <v>-1.9018352000000002E-2</v>
      </c>
      <c r="L72" s="24">
        <v>-5.0281286E-3</v>
      </c>
      <c r="M72" s="24">
        <v>9.1135499999999998E-4</v>
      </c>
      <c r="N72" s="24">
        <v>-2.3736954E-3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43894</v>
      </c>
      <c r="B73" s="24">
        <v>-1.8525124E-2</v>
      </c>
      <c r="C73" s="24">
        <v>-8.5022029999999998E-2</v>
      </c>
      <c r="D73" s="24">
        <v>-5.5648146000000002E-2</v>
      </c>
      <c r="E73" s="24">
        <v>-6.8041204999999993E-2</v>
      </c>
      <c r="F73" s="24">
        <v>-8.4306769999999989E-2</v>
      </c>
      <c r="G73" s="24">
        <v>-2.253455E-2</v>
      </c>
      <c r="H73" s="24">
        <v>-7.8115519999999994E-2</v>
      </c>
      <c r="I73" s="24">
        <v>-4.0664730000000003E-2</v>
      </c>
      <c r="J73" s="24">
        <v>-4.9231170000000005E-2</v>
      </c>
      <c r="K73" s="24">
        <v>-5.4409026999999999E-2</v>
      </c>
      <c r="L73" s="24">
        <v>-4.5481562999999996E-2</v>
      </c>
      <c r="M73" s="24">
        <v>-3.7632823000000003E-2</v>
      </c>
      <c r="N73" s="24">
        <v>-6.0163140000000004E-2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43924</v>
      </c>
      <c r="B74" s="24">
        <v>-0.19453715999999999</v>
      </c>
      <c r="C74" s="24">
        <v>-0.2859894</v>
      </c>
      <c r="D74" s="24">
        <v>-0.25864500000000001</v>
      </c>
      <c r="E74" s="24">
        <v>-0.24668144000000003</v>
      </c>
      <c r="F74" s="24">
        <v>-0.13902754000000001</v>
      </c>
      <c r="G74" s="24">
        <v>-0.13881999</v>
      </c>
      <c r="H74" s="24">
        <v>-0.25651174999999998</v>
      </c>
      <c r="I74" s="24">
        <v>-0.15791339000000001</v>
      </c>
      <c r="J74" s="24">
        <v>-0.20183247000000001</v>
      </c>
      <c r="K74" s="24">
        <v>-0.27744704999999997</v>
      </c>
      <c r="L74" s="24">
        <v>-0.22734355999999997</v>
      </c>
      <c r="M74" s="24">
        <v>-0.248502</v>
      </c>
      <c r="N74" s="24">
        <v>-0.29150086999999997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43955</v>
      </c>
      <c r="B75" s="24">
        <v>9.6189860000000002E-2</v>
      </c>
      <c r="C75" s="24">
        <v>0.11665535</v>
      </c>
      <c r="D75" s="24">
        <v>0.14040923</v>
      </c>
      <c r="E75" s="24">
        <v>0.12187958</v>
      </c>
      <c r="F75" s="24">
        <v>8.6536410000000008E-2</v>
      </c>
      <c r="G75" s="24">
        <v>4.9222827000000004E-2</v>
      </c>
      <c r="H75" s="24">
        <v>9.5787159999999996E-2</v>
      </c>
      <c r="I75" s="24">
        <v>0.17369259000000001</v>
      </c>
      <c r="J75" s="24">
        <v>0.14255213999999999</v>
      </c>
      <c r="K75" s="24">
        <v>8.7871909999999998E-2</v>
      </c>
      <c r="L75" s="24">
        <v>0.12132203999999999</v>
      </c>
      <c r="M75" s="24">
        <v>0.11665976</v>
      </c>
      <c r="N75" s="24">
        <v>4.9515010000000005E-2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43986</v>
      </c>
      <c r="B76" s="24">
        <v>0.1286186</v>
      </c>
      <c r="C76" s="24">
        <v>0.19444454</v>
      </c>
      <c r="D76" s="24">
        <v>9.7662809999999989E-2</v>
      </c>
      <c r="E76" s="24">
        <v>0.21771383</v>
      </c>
      <c r="F76" s="24">
        <v>0.11166012</v>
      </c>
      <c r="G76" s="24">
        <v>8.0109710000000001E-2</v>
      </c>
      <c r="H76" s="24">
        <v>0.10360182</v>
      </c>
      <c r="I76" s="24">
        <v>9.2045309999999991E-2</v>
      </c>
      <c r="J76" s="24">
        <v>9.8000409999999996E-2</v>
      </c>
      <c r="K76" s="24">
        <v>0.18300379</v>
      </c>
      <c r="L76" s="24">
        <v>0.17361618000000001</v>
      </c>
      <c r="M76" s="24">
        <v>0.21044720000000003</v>
      </c>
      <c r="N76" s="24">
        <v>0.19795715000000003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44014</v>
      </c>
      <c r="B77" s="24">
        <v>4.9372434999999999E-2</v>
      </c>
      <c r="C77" s="24">
        <v>1.7390012999999999E-2</v>
      </c>
      <c r="D77" s="24">
        <v>4.6420096999999998E-4</v>
      </c>
      <c r="E77" s="24">
        <v>-1.8804072999999998E-3</v>
      </c>
      <c r="F77" s="24">
        <v>-1.1336684E-2</v>
      </c>
      <c r="G77" s="24">
        <v>1.9616127000000001E-2</v>
      </c>
      <c r="H77" s="24">
        <v>-2.6907443999999999E-2</v>
      </c>
      <c r="I77" s="24">
        <v>7.4856996999999995E-2</v>
      </c>
      <c r="J77" s="24">
        <v>7.2332620000000007E-3</v>
      </c>
      <c r="K77" s="24">
        <v>-3.4888387E-3</v>
      </c>
      <c r="L77" s="24">
        <v>2.2644042999999999E-2</v>
      </c>
      <c r="M77" s="24">
        <v>-1.7410755E-2</v>
      </c>
      <c r="N77" s="24">
        <v>8.4105729999999993E-3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44047</v>
      </c>
      <c r="B78" s="24">
        <v>3.2849908000000004E-2</v>
      </c>
      <c r="C78" s="24">
        <v>2.4710059999999999E-2</v>
      </c>
      <c r="D78" s="24">
        <v>6.6026926E-2</v>
      </c>
      <c r="E78" s="24">
        <v>5.1867960000000005E-2</v>
      </c>
      <c r="F78" s="24">
        <v>1.6131996999999999E-2</v>
      </c>
      <c r="G78" s="24">
        <v>4.3544292000000005E-2</v>
      </c>
      <c r="H78" s="24">
        <v>1.4154553E-2</v>
      </c>
      <c r="I78" s="24">
        <v>7.2128177000000002E-2</v>
      </c>
      <c r="J78" s="24">
        <v>5.7105303000000003E-2</v>
      </c>
      <c r="K78" s="24">
        <v>2.8735637999999997E-2</v>
      </c>
      <c r="L78" s="24">
        <v>4.9713849999999997E-2</v>
      </c>
      <c r="M78" s="24">
        <v>0.10206032000000001</v>
      </c>
      <c r="N78" s="24">
        <v>3.9056182000000002E-2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44078</v>
      </c>
      <c r="B79" s="24">
        <v>4.7369003000000002E-3</v>
      </c>
      <c r="C79" s="24">
        <v>-1.4763474E-3</v>
      </c>
      <c r="D79" s="24">
        <v>1.5844344999999999E-2</v>
      </c>
      <c r="E79" s="24">
        <v>2.9310345999999998E-2</v>
      </c>
      <c r="F79" s="24">
        <v>3.5497664999999998E-2</v>
      </c>
      <c r="G79" s="24">
        <v>8.2484484000000004E-3</v>
      </c>
      <c r="H79" s="24">
        <v>-1.3202607999999999E-2</v>
      </c>
      <c r="I79" s="24">
        <v>4.8820139999999998E-2</v>
      </c>
      <c r="J79" s="24">
        <v>3.7902235999999999E-2</v>
      </c>
      <c r="K79" s="24">
        <v>2.3393869999999997E-2</v>
      </c>
      <c r="L79" s="24">
        <v>8.6104870000000002E-4</v>
      </c>
      <c r="M79" s="24">
        <v>2.2720813999999999E-2</v>
      </c>
      <c r="N79" s="24">
        <v>0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44106</v>
      </c>
      <c r="B80" s="24">
        <v>-1.7285763999999999E-2</v>
      </c>
      <c r="C80" s="24">
        <v>-2.1685599999999999E-2</v>
      </c>
      <c r="D80" s="24">
        <v>-2.3750365000000002E-2</v>
      </c>
      <c r="E80" s="24">
        <v>-2.2780597E-2</v>
      </c>
      <c r="F80" s="24">
        <v>1.2747645E-2</v>
      </c>
      <c r="G80" s="24">
        <v>-1.9249916E-3</v>
      </c>
      <c r="H80" s="24">
        <v>-1.6055048000000002E-2</v>
      </c>
      <c r="I80" s="24">
        <v>-3.1285225999999999E-2</v>
      </c>
      <c r="J80" s="24">
        <v>-2.1536767000000002E-2</v>
      </c>
      <c r="K80" s="24">
        <v>-4.1282835000000004E-2</v>
      </c>
      <c r="L80" s="24">
        <v>1.4625787999999999E-2</v>
      </c>
      <c r="M80" s="24">
        <v>-5.9055685999999993E-3</v>
      </c>
      <c r="N80" s="24">
        <v>-4.1895149999999999E-2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44139</v>
      </c>
      <c r="B81" s="24">
        <v>4.2691109999999997E-2</v>
      </c>
      <c r="C81" s="24">
        <v>3.4256935000000002E-2</v>
      </c>
      <c r="D81" s="24">
        <v>3.6299230000000002E-4</v>
      </c>
      <c r="E81" s="24">
        <v>-4.4223546999999995E-2</v>
      </c>
      <c r="F81" s="24">
        <v>2.0411609999999997E-2</v>
      </c>
      <c r="G81" s="24">
        <v>4.0984154000000004E-3</v>
      </c>
      <c r="H81" s="24">
        <v>-7.7699419999999993E-3</v>
      </c>
      <c r="I81" s="24">
        <v>4.5933485000000003E-2</v>
      </c>
      <c r="J81" s="24">
        <v>2.9055833999999999E-2</v>
      </c>
      <c r="K81" s="24">
        <v>1.2099624E-2</v>
      </c>
      <c r="L81" s="24">
        <v>1.4414906999999999E-2</v>
      </c>
      <c r="M81" s="24">
        <v>9.3352794999999999E-3</v>
      </c>
      <c r="N81" s="24">
        <v>3.6779642000000002E-3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44169</v>
      </c>
      <c r="B82" s="24">
        <v>8.5366959999999992E-2</v>
      </c>
      <c r="C82" s="24">
        <v>0.14807593999999999</v>
      </c>
      <c r="D82" s="24">
        <v>0.13756811000000002</v>
      </c>
      <c r="E82" s="24">
        <v>0.11692977</v>
      </c>
      <c r="F82" s="24">
        <v>0.10118340999999999</v>
      </c>
      <c r="G82" s="24">
        <v>3.8415313E-2</v>
      </c>
      <c r="H82" s="24">
        <v>0.16875479999999998</v>
      </c>
      <c r="I82" s="24">
        <v>6.4863442999999993E-2</v>
      </c>
      <c r="J82" s="24">
        <v>7.6584934999999993E-2</v>
      </c>
      <c r="K82" s="24">
        <v>0.18389584</v>
      </c>
      <c r="L82" s="24">
        <v>0.12705493000000001</v>
      </c>
      <c r="M82" s="24">
        <v>0.11715244999999999</v>
      </c>
      <c r="N82" s="24">
        <v>0.19096088000000003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44200</v>
      </c>
      <c r="B83" s="24">
        <v>4.0187239999999999E-2</v>
      </c>
      <c r="C83" s="24">
        <v>2.8168201E-2</v>
      </c>
      <c r="D83" s="24">
        <v>-4.0763617000000004E-4</v>
      </c>
      <c r="E83" s="24">
        <v>4.5766830000000001E-2</v>
      </c>
      <c r="F83" s="24">
        <v>1.4556527E-2</v>
      </c>
      <c r="G83" s="24">
        <v>4.4938684E-2</v>
      </c>
      <c r="H83" s="24">
        <v>5.6971309999999994E-3</v>
      </c>
      <c r="I83" s="24">
        <v>1.4244794999999999E-2</v>
      </c>
      <c r="J83" s="24">
        <v>1.4014244E-3</v>
      </c>
      <c r="K83" s="24">
        <v>3.7561654999999998E-3</v>
      </c>
      <c r="L83" s="24">
        <v>4.1217566000000004E-2</v>
      </c>
      <c r="M83" s="24">
        <v>1.8605231999999999E-2</v>
      </c>
      <c r="N83" s="24">
        <v>2.2737026E-2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44231</v>
      </c>
      <c r="B84" s="24">
        <v>-5.8892964999999993E-3</v>
      </c>
      <c r="C84" s="24">
        <v>2.1639585000000003E-2</v>
      </c>
      <c r="D84" s="24">
        <v>2.5210023000000002E-2</v>
      </c>
      <c r="E84" s="24">
        <v>9.6393824000000003E-3</v>
      </c>
      <c r="F84" s="24">
        <v>2.9209018000000003E-2</v>
      </c>
      <c r="G84" s="24">
        <v>-1.1290670000000001E-2</v>
      </c>
      <c r="H84" s="24">
        <v>-6.7389009999999994E-4</v>
      </c>
      <c r="I84" s="24">
        <v>6.7666770000000001E-2</v>
      </c>
      <c r="J84" s="24">
        <v>4.7181249999999994E-2</v>
      </c>
      <c r="K84" s="24">
        <v>-1.2191474000000001E-2</v>
      </c>
      <c r="L84" s="24">
        <v>3.9542674999999999E-2</v>
      </c>
      <c r="M84" s="24">
        <v>3.9206028000000004E-2</v>
      </c>
      <c r="N84" s="24">
        <v>8.7630750000000004E-3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44259</v>
      </c>
      <c r="B85" s="24">
        <v>-7.8495206999999997E-2</v>
      </c>
      <c r="C85" s="24">
        <v>1.8329978E-2</v>
      </c>
      <c r="D85" s="24">
        <v>2.868855E-2</v>
      </c>
      <c r="E85" s="24">
        <v>-1.0471224999999999E-2</v>
      </c>
      <c r="F85" s="24">
        <v>-1.6009271000000002E-2</v>
      </c>
      <c r="G85" s="24">
        <v>-3.6498009999999997E-2</v>
      </c>
      <c r="H85" s="24">
        <v>4.1132809999999999E-2</v>
      </c>
      <c r="I85" s="24">
        <v>-7.9154489999999994E-2</v>
      </c>
      <c r="J85" s="24">
        <v>-2.4573385999999999E-2</v>
      </c>
      <c r="K85" s="24">
        <v>2.5888084999999998E-2</v>
      </c>
      <c r="L85" s="24">
        <v>-1.5811144999999999E-2</v>
      </c>
      <c r="M85" s="24">
        <v>1.9102216000000002E-2</v>
      </c>
      <c r="N85" s="24">
        <v>-1.3364553000000002E-3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44287</v>
      </c>
      <c r="B86" s="24">
        <v>2.0892620000000002E-3</v>
      </c>
      <c r="C86" s="24">
        <v>5.199909E-3</v>
      </c>
      <c r="D86" s="24">
        <v>6.1599729999999998E-2</v>
      </c>
      <c r="E86" s="24">
        <v>5.6644917000000003E-2</v>
      </c>
      <c r="F86" s="24">
        <v>2.2629738E-2</v>
      </c>
      <c r="G86" s="24">
        <v>4.4620037000000001E-2</v>
      </c>
      <c r="H86" s="24">
        <v>2.558291E-2</v>
      </c>
      <c r="I86" s="24">
        <v>6.8635463999999993E-2</v>
      </c>
      <c r="J86" s="24">
        <v>6.6961290000000007E-2</v>
      </c>
      <c r="K86" s="24">
        <v>3.8438916000000004E-2</v>
      </c>
      <c r="L86" s="24">
        <v>0.10291028000000001</v>
      </c>
      <c r="M86" s="24">
        <v>6.0215592000000005E-2</v>
      </c>
      <c r="N86" s="24">
        <v>6.4570069999999993E-2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44320</v>
      </c>
      <c r="B87" s="24">
        <v>4.2502046000000002E-2</v>
      </c>
      <c r="C87" s="24">
        <v>3.7007569999999997E-2</v>
      </c>
      <c r="D87" s="24">
        <v>3.2043933999999996E-2</v>
      </c>
      <c r="E87" s="24">
        <v>3.2401085E-3</v>
      </c>
      <c r="F87" s="24">
        <v>-2.5744855000000001E-2</v>
      </c>
      <c r="G87" s="24">
        <v>2.4694085000000001E-2</v>
      </c>
      <c r="H87" s="24">
        <v>3.1259893999999996E-2</v>
      </c>
      <c r="I87" s="24">
        <v>1.7161131E-2</v>
      </c>
      <c r="J87" s="24">
        <v>3.7467836999999997E-2</v>
      </c>
      <c r="K87" s="24">
        <v>4.4927954999999999E-2</v>
      </c>
      <c r="L87" s="24">
        <v>-1.2665987000000001E-3</v>
      </c>
      <c r="M87" s="24">
        <v>1.7237544E-2</v>
      </c>
      <c r="N87" s="24">
        <v>-1.0370850000000001E-2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44351</v>
      </c>
      <c r="B88" s="24">
        <v>-3.6307693000000002E-2</v>
      </c>
      <c r="C88" s="24">
        <v>5.0652385000000001E-2</v>
      </c>
      <c r="D88" s="24">
        <v>6.881118E-2</v>
      </c>
      <c r="E88" s="24">
        <v>6.4004659999999991E-2</v>
      </c>
      <c r="F88" s="24">
        <v>3.2511949999999998E-2</v>
      </c>
      <c r="G88" s="24">
        <v>7.4250937000000003E-2</v>
      </c>
      <c r="H88" s="24">
        <v>4.4396877000000001E-2</v>
      </c>
      <c r="I88" s="24">
        <v>1.6538382000000001E-2</v>
      </c>
      <c r="J88" s="24">
        <v>1.6794205E-2</v>
      </c>
      <c r="K88" s="24">
        <v>6.0302854000000003E-2</v>
      </c>
      <c r="L88" s="24">
        <v>5.6013464999999998E-2</v>
      </c>
      <c r="M88" s="24">
        <v>7.1475150000000001E-2</v>
      </c>
      <c r="N88" s="24">
        <v>8.3201049999999999E-2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44379</v>
      </c>
      <c r="B89" s="24">
        <v>-7.0586800000000003E-3</v>
      </c>
      <c r="C89" s="24">
        <v>-3.1611502E-2</v>
      </c>
      <c r="D89" s="24">
        <v>-9.1173649999999988E-3</v>
      </c>
      <c r="E89" s="24">
        <v>-2.3419142E-2</v>
      </c>
      <c r="F89" s="24">
        <v>-1.6413033E-2</v>
      </c>
      <c r="G89" s="24">
        <v>7.7415705000000003E-3</v>
      </c>
      <c r="H89" s="24">
        <v>-1.5002310000000001E-2</v>
      </c>
      <c r="I89" s="24">
        <v>6.9884420000000003E-2</v>
      </c>
      <c r="J89" s="24">
        <v>2.9716491999999997E-2</v>
      </c>
      <c r="K89" s="24">
        <v>-1.8228589999999999E-2</v>
      </c>
      <c r="L89" s="24">
        <v>-2.4406313999999998E-2</v>
      </c>
      <c r="M89" s="24">
        <v>-2.4225712E-2</v>
      </c>
      <c r="N89" s="24">
        <v>-3.4692883000000001E-2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44412</v>
      </c>
      <c r="B90" s="24">
        <v>6.8137645999999993E-3</v>
      </c>
      <c r="C90" s="24">
        <v>0</v>
      </c>
      <c r="D90" s="24">
        <v>-1.1692882E-2</v>
      </c>
      <c r="E90" s="24">
        <v>-5.7470800000000005E-4</v>
      </c>
      <c r="F90" s="24">
        <v>-5.1539539999999997E-3</v>
      </c>
      <c r="G90" s="24">
        <v>3.0433058999999998E-2</v>
      </c>
      <c r="H90" s="24">
        <v>4.8426390000000001E-3</v>
      </c>
      <c r="I90" s="24">
        <v>2.4258255999999999E-2</v>
      </c>
      <c r="J90" s="24">
        <v>1.2127638000000001E-2</v>
      </c>
      <c r="K90" s="24">
        <v>2.04885E-2</v>
      </c>
      <c r="L90" s="24">
        <v>4.4196724999999999E-2</v>
      </c>
      <c r="M90" s="24">
        <v>3.9549232000000004E-2</v>
      </c>
      <c r="N90" s="24">
        <v>3.0744075999999997E-4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44442</v>
      </c>
      <c r="B91" s="24">
        <v>4.3667315999999998E-2</v>
      </c>
      <c r="C91" s="24">
        <v>1.4914035999999999E-2</v>
      </c>
      <c r="D91" s="24">
        <v>2.4468898999999999E-2</v>
      </c>
      <c r="E91" s="24">
        <v>9.7757580000000007E-3</v>
      </c>
      <c r="F91" s="24">
        <v>6.2907099999999994E-2</v>
      </c>
      <c r="G91" s="24">
        <v>5.7482719999999996E-3</v>
      </c>
      <c r="H91" s="24">
        <v>8.1325770000000002E-3</v>
      </c>
      <c r="I91" s="24">
        <v>3.8738012000000002E-2</v>
      </c>
      <c r="J91" s="24">
        <v>3.2119870000000002E-2</v>
      </c>
      <c r="K91" s="24">
        <v>4.6331882E-3</v>
      </c>
      <c r="L91" s="24">
        <v>6.1511040000000003E-2</v>
      </c>
      <c r="M91" s="24">
        <v>-4.2953490000000004E-3</v>
      </c>
      <c r="N91" s="24">
        <v>1.7516851E-2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44473</v>
      </c>
      <c r="B92" s="24">
        <v>-3.1032860000000002E-2</v>
      </c>
      <c r="C92" s="24">
        <v>-5.6141734000000006E-2</v>
      </c>
      <c r="D92" s="24">
        <v>-3.8057685000000001E-2</v>
      </c>
      <c r="E92" s="24">
        <v>-6.9476070000000001E-2</v>
      </c>
      <c r="F92" s="24">
        <v>-5.3195952999999997E-2</v>
      </c>
      <c r="G92" s="24">
        <v>-7.4300346000000003E-2</v>
      </c>
      <c r="H92" s="24">
        <v>-3.0475080000000002E-2</v>
      </c>
      <c r="I92" s="24">
        <v>-7.4824810000000005E-2</v>
      </c>
      <c r="J92" s="24">
        <v>-5.0880910000000001E-2</v>
      </c>
      <c r="K92" s="24">
        <v>-4.2018948E-2</v>
      </c>
      <c r="L92" s="24">
        <v>-9.260291000000001E-2</v>
      </c>
      <c r="M92" s="24">
        <v>-7.8677120000000003E-2</v>
      </c>
      <c r="N92" s="24">
        <v>-4.2283353999999995E-2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44504</v>
      </c>
      <c r="B93" s="24">
        <v>1.9121170000000001E-3</v>
      </c>
      <c r="C93" s="24">
        <v>4.7505020000000002E-2</v>
      </c>
      <c r="D93" s="24">
        <v>7.6398373000000006E-2</v>
      </c>
      <c r="E93" s="24">
        <v>5.6303499999999999E-2</v>
      </c>
      <c r="F93" s="24">
        <v>3.3534288000000002E-2</v>
      </c>
      <c r="G93" s="24">
        <v>9.0909119999999996E-2</v>
      </c>
      <c r="H93" s="24">
        <v>2.8967619999999999E-2</v>
      </c>
      <c r="I93" s="24">
        <v>0.12931765000000001</v>
      </c>
      <c r="J93" s="24">
        <v>8.9282400000000012E-2</v>
      </c>
      <c r="K93" s="24">
        <v>7.2479250000000009E-2</v>
      </c>
      <c r="L93" s="24">
        <v>9.1786380000000001E-2</v>
      </c>
      <c r="M93" s="24">
        <v>8.6956500000000006E-2</v>
      </c>
      <c r="N93" s="24">
        <v>7.4424505000000002E-2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44533</v>
      </c>
      <c r="B94" s="24">
        <v>-7.6812983000000001E-2</v>
      </c>
      <c r="C94" s="24">
        <v>-7.3551835999999995E-2</v>
      </c>
      <c r="D94" s="24">
        <v>-5.804819E-2</v>
      </c>
      <c r="E94" s="24">
        <v>-7.821554E-2</v>
      </c>
      <c r="F94" s="24">
        <v>-4.141164E-2</v>
      </c>
      <c r="G94" s="24">
        <v>-3.1615972999999999E-2</v>
      </c>
      <c r="H94" s="24">
        <v>-3.4141958E-2</v>
      </c>
      <c r="I94" s="24">
        <v>-3.7893593000000003E-2</v>
      </c>
      <c r="J94" s="24">
        <v>-2.8892039999999997E-2</v>
      </c>
      <c r="K94" s="24">
        <v>-5.7107153000000001E-2</v>
      </c>
      <c r="L94" s="24">
        <v>-9.2345295000000008E-2</v>
      </c>
      <c r="M94" s="24">
        <v>-8.8820570000000001E-2</v>
      </c>
      <c r="N94" s="24">
        <v>-7.279128E-2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44565</v>
      </c>
      <c r="B95" s="24">
        <v>3.6479712000000004E-2</v>
      </c>
      <c r="C95" s="24">
        <v>7.6521039999999999E-2</v>
      </c>
      <c r="D95" s="24">
        <v>4.1020750000000002E-2</v>
      </c>
      <c r="E95" s="24">
        <v>5.4297924000000004E-2</v>
      </c>
      <c r="F95" s="24">
        <v>2.1551132000000001E-2</v>
      </c>
      <c r="G95" s="24">
        <v>6.3683986999999997E-2</v>
      </c>
      <c r="H95" s="24">
        <v>7.5321079999999999E-2</v>
      </c>
      <c r="I95" s="24">
        <v>3.6154270000000002E-2</v>
      </c>
      <c r="J95" s="24">
        <v>5.6965469999999997E-2</v>
      </c>
      <c r="K95" s="24">
        <v>7.3325515000000008E-2</v>
      </c>
      <c r="L95" s="24">
        <v>4.4487475999999998E-2</v>
      </c>
      <c r="M95" s="24">
        <v>9.111727E-2</v>
      </c>
      <c r="N95" s="24">
        <v>7.5883149999999996E-2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44596</v>
      </c>
      <c r="B96" s="24">
        <v>-9.2642550000000004E-2</v>
      </c>
      <c r="C96" s="24">
        <v>-8.475244500000001E-2</v>
      </c>
      <c r="D96" s="24">
        <v>5.2369833000000003E-3</v>
      </c>
      <c r="E96" s="24">
        <v>-3.8484633000000004E-2</v>
      </c>
      <c r="F96" s="24">
        <v>-5.4336666999999998E-2</v>
      </c>
      <c r="G96" s="24">
        <v>-7.4081063000000003E-2</v>
      </c>
      <c r="H96" s="24">
        <v>1.1851907E-2</v>
      </c>
      <c r="I96" s="24">
        <v>-9.7006080000000008E-2</v>
      </c>
      <c r="J96" s="24">
        <v>-6.0412464000000006E-2</v>
      </c>
      <c r="K96" s="24">
        <v>-3.2160043999999999E-2</v>
      </c>
      <c r="L96" s="24">
        <v>-8.0844289999999999E-2</v>
      </c>
      <c r="M96" s="24">
        <v>-9.9808509999999989E-2</v>
      </c>
      <c r="N96" s="24">
        <v>-2.4171830000000002E-2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44624</v>
      </c>
      <c r="B97" s="24">
        <v>4.0729046000000005E-2</v>
      </c>
      <c r="C97" s="24">
        <v>7.1830389999999994E-2</v>
      </c>
      <c r="D97" s="24">
        <v>3.9073229999999999E-3</v>
      </c>
      <c r="E97" s="24">
        <v>-0.19043154000000001</v>
      </c>
      <c r="F97" s="24">
        <v>-4.7337293999999995E-2</v>
      </c>
      <c r="G97" s="24">
        <v>-6.0159564000000006E-2</v>
      </c>
      <c r="H97" s="24">
        <v>-8.023429E-2</v>
      </c>
      <c r="I97" s="24">
        <v>-5.7847619999999995E-2</v>
      </c>
      <c r="J97" s="24">
        <v>-3.6839783000000001E-2</v>
      </c>
      <c r="K97" s="24">
        <v>-0.16457354999999999</v>
      </c>
      <c r="L97" s="24">
        <v>-0.16269493000000002</v>
      </c>
      <c r="M97" s="24">
        <v>-0.18723397999999999</v>
      </c>
      <c r="N97" s="24">
        <v>-0.18715595000000002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44655</v>
      </c>
      <c r="B98" s="24">
        <v>-8.9349747000000007E-3</v>
      </c>
      <c r="C98" s="24">
        <v>8.5183620000000002E-2</v>
      </c>
      <c r="D98" s="24">
        <v>5.3969860000000001E-2</v>
      </c>
      <c r="E98" s="24">
        <v>0.10467362</v>
      </c>
      <c r="F98" s="24">
        <v>2.0431518999999999E-2</v>
      </c>
      <c r="G98" s="24">
        <v>8.4040999999999991E-2</v>
      </c>
      <c r="H98" s="24">
        <v>7.9274178000000001E-2</v>
      </c>
      <c r="I98" s="24">
        <v>9.6227409999999999E-2</v>
      </c>
      <c r="J98" s="24">
        <v>6.0239553000000001E-2</v>
      </c>
      <c r="K98" s="24">
        <v>0.11713112000000001</v>
      </c>
      <c r="L98" s="24">
        <v>0.11642944</v>
      </c>
      <c r="M98" s="24">
        <v>0.16026759999999998</v>
      </c>
      <c r="N98" s="24">
        <v>0.12151993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44685</v>
      </c>
      <c r="B99" s="24">
        <v>-9.1626410000000005E-2</v>
      </c>
      <c r="C99" s="24">
        <v>-5.6175528000000002E-2</v>
      </c>
      <c r="D99" s="24">
        <v>-5.7360887999999999E-2</v>
      </c>
      <c r="E99" s="24">
        <v>-6.5734329999999994E-2</v>
      </c>
      <c r="F99" s="24">
        <v>-6.9998383999999997E-2</v>
      </c>
      <c r="G99" s="24">
        <v>-6.5675855000000005E-2</v>
      </c>
      <c r="H99" s="24">
        <v>-2.5368750000000002E-2</v>
      </c>
      <c r="I99" s="24">
        <v>-0.10750061000000001</v>
      </c>
      <c r="J99" s="24">
        <v>-6.0726760000000005E-2</v>
      </c>
      <c r="K99" s="24">
        <v>-5.2705289999999995E-2</v>
      </c>
      <c r="L99" s="24">
        <v>-8.4588640000000007E-2</v>
      </c>
      <c r="M99" s="24">
        <v>-8.5986499999999993E-2</v>
      </c>
      <c r="N99" s="24">
        <v>-5.3002357E-2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44715</v>
      </c>
      <c r="B100" s="24">
        <v>-2.8948903000000002E-2</v>
      </c>
      <c r="C100" s="24">
        <v>-1.5372515E-2</v>
      </c>
      <c r="D100" s="24">
        <v>-7.051468E-3</v>
      </c>
      <c r="E100" s="24">
        <v>2.4326443999999999E-2</v>
      </c>
      <c r="F100" s="24">
        <v>-1.8084764E-2</v>
      </c>
      <c r="G100" s="24">
        <v>-3.3748924999999999E-2</v>
      </c>
      <c r="H100" s="24">
        <v>-4.8426390000000001E-3</v>
      </c>
      <c r="I100" s="24">
        <v>-7.0995150000000007E-2</v>
      </c>
      <c r="J100" s="24">
        <v>-4.3164069999999999E-2</v>
      </c>
      <c r="K100" s="24">
        <v>1.6572832999999999E-2</v>
      </c>
      <c r="L100" s="24">
        <v>-1.3924003000000001E-2</v>
      </c>
      <c r="M100" s="24">
        <v>1.1245251000000001E-2</v>
      </c>
      <c r="N100" s="24">
        <v>4.2508839999999999E-3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44743</v>
      </c>
      <c r="B101" s="24">
        <v>-8.2780599999999996E-2</v>
      </c>
      <c r="C101" s="24">
        <v>-0.1284486</v>
      </c>
      <c r="D101" s="24">
        <v>-9.800774000000001E-2</v>
      </c>
      <c r="E101" s="24">
        <v>-0.13255042</v>
      </c>
      <c r="F101" s="24">
        <v>-6.0357865999999996E-2</v>
      </c>
      <c r="G101" s="24">
        <v>-5.6098994999999999E-2</v>
      </c>
      <c r="H101" s="24">
        <v>-7.4246764000000007E-2</v>
      </c>
      <c r="I101" s="24">
        <v>-7.6879980000000001E-2</v>
      </c>
      <c r="J101" s="24">
        <v>-6.736702E-2</v>
      </c>
      <c r="K101" s="24">
        <v>-9.7579659999999999E-2</v>
      </c>
      <c r="L101" s="24">
        <v>-9.641087000000001E-2</v>
      </c>
      <c r="M101" s="24">
        <v>-0.14770830000000001</v>
      </c>
      <c r="N101" s="24">
        <v>-0.11981976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44777</v>
      </c>
      <c r="B102" s="24">
        <v>0.11025942000000001</v>
      </c>
      <c r="C102" s="24">
        <v>6.8753004000000006E-2</v>
      </c>
      <c r="D102" s="24">
        <v>2.6439428000000001E-2</v>
      </c>
      <c r="E102" s="24">
        <v>3.7342548000000003E-2</v>
      </c>
      <c r="F102" s="24">
        <v>4.9010395999999998E-2</v>
      </c>
      <c r="G102" s="24">
        <v>4.3290019999999999E-2</v>
      </c>
      <c r="H102" s="24">
        <v>3.0779480000000001E-2</v>
      </c>
      <c r="I102" s="24">
        <v>0.149824505</v>
      </c>
      <c r="J102" s="24">
        <v>8.6376080000000008E-2</v>
      </c>
      <c r="K102" s="24">
        <v>6.5426825999999993E-2</v>
      </c>
      <c r="L102" s="24">
        <v>0.10103619</v>
      </c>
      <c r="M102" s="24">
        <v>0.10412573999999999</v>
      </c>
      <c r="N102" s="24">
        <v>1.9826531000000001E-2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44806</v>
      </c>
      <c r="B103" s="24">
        <v>-4.8131647E-2</v>
      </c>
      <c r="C103" s="24">
        <v>-3.4161508E-2</v>
      </c>
      <c r="D103" s="24">
        <v>-3.6634207000000002E-2</v>
      </c>
      <c r="E103" s="24">
        <v>-0.10632061999999999</v>
      </c>
      <c r="F103" s="24">
        <v>-5.8939877000000002E-2</v>
      </c>
      <c r="G103" s="24">
        <v>-7.7685649999999995E-2</v>
      </c>
      <c r="H103" s="24">
        <v>-7.7896776000000001E-2</v>
      </c>
      <c r="I103" s="24">
        <v>-9.0104760000000006E-2</v>
      </c>
      <c r="J103" s="24">
        <v>-5.2949309999999999E-2</v>
      </c>
      <c r="K103" s="24">
        <v>-9.756862999999999E-2</v>
      </c>
      <c r="L103" s="24">
        <v>-0.13411766</v>
      </c>
      <c r="M103" s="24">
        <v>-0.13463819499999999</v>
      </c>
      <c r="N103" s="24">
        <v>-7.6144219999999999E-2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44838</v>
      </c>
      <c r="B104" s="24">
        <v>-9.0676365000000009E-2</v>
      </c>
      <c r="C104" s="24">
        <v>-4.2719364000000003E-2</v>
      </c>
      <c r="D104" s="24">
        <v>-1.8419445E-2</v>
      </c>
      <c r="E104" s="24">
        <v>-3.2786727000000001E-3</v>
      </c>
      <c r="F104" s="24">
        <v>-2.0049632000000001E-2</v>
      </c>
      <c r="G104" s="24">
        <v>-1.8745303000000001E-2</v>
      </c>
      <c r="H104" s="24">
        <v>-1.8303454E-2</v>
      </c>
      <c r="I104" s="24">
        <v>-4.2474985E-2</v>
      </c>
      <c r="J104" s="24">
        <v>-3.2390892999999997E-2</v>
      </c>
      <c r="K104" s="24">
        <v>-1.3816953000000002E-3</v>
      </c>
      <c r="L104" s="24">
        <v>1.2077093000000001E-3</v>
      </c>
      <c r="M104" s="24">
        <v>6.5113306000000003E-3</v>
      </c>
      <c r="N104" s="24">
        <v>1.6221045999999999E-2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44869</v>
      </c>
      <c r="B105" s="24">
        <v>4.6691774999999998E-2</v>
      </c>
      <c r="C105" s="24">
        <v>2.3512483000000001E-2</v>
      </c>
      <c r="D105" s="24">
        <v>9.3824862999999994E-3</v>
      </c>
      <c r="E105" s="24">
        <v>4.8402190000000005E-2</v>
      </c>
      <c r="F105" s="24">
        <v>-8.768498999999999E-3</v>
      </c>
      <c r="G105" s="24">
        <v>3.0566453999999999E-3</v>
      </c>
      <c r="H105" s="24">
        <v>3.2986759999999997E-2</v>
      </c>
      <c r="I105" s="24">
        <v>-6.1850967E-2</v>
      </c>
      <c r="J105" s="24">
        <v>-4.2860507999999999E-3</v>
      </c>
      <c r="K105" s="24">
        <v>6.2608123000000002E-2</v>
      </c>
      <c r="L105" s="24">
        <v>4.6743154999999998E-3</v>
      </c>
      <c r="M105" s="24">
        <v>3.7112593999999999E-2</v>
      </c>
      <c r="N105" s="24">
        <v>7.8516005999999999E-2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44897</v>
      </c>
      <c r="B106" s="24">
        <v>0.11947988999999999</v>
      </c>
      <c r="C106" s="24">
        <v>0.10829819</v>
      </c>
      <c r="D106" s="24">
        <v>5.5472374000000005E-2</v>
      </c>
      <c r="E106" s="24">
        <v>0.15374278999999999</v>
      </c>
      <c r="F106" s="24">
        <v>9.9469299999999997E-2</v>
      </c>
      <c r="G106" s="24">
        <v>0.10208225</v>
      </c>
      <c r="H106" s="24">
        <v>0.10725438999999999</v>
      </c>
      <c r="I106" s="24">
        <v>0.10529697</v>
      </c>
      <c r="J106" s="24">
        <v>8.1200960000000003E-2</v>
      </c>
      <c r="K106" s="24">
        <v>0.10937511000000001</v>
      </c>
      <c r="L106" s="24">
        <v>0.18267154999999999</v>
      </c>
      <c r="M106" s="24">
        <v>0.12573873499999999</v>
      </c>
      <c r="N106" s="24">
        <v>0.11839998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44930</v>
      </c>
      <c r="B107" s="24">
        <v>-1.2857795E-2</v>
      </c>
      <c r="C107" s="24">
        <v>-2.8345406E-2</v>
      </c>
      <c r="D107" s="24">
        <v>-4.2498292999999999E-2</v>
      </c>
      <c r="E107" s="24">
        <v>5.3882600000000006E-3</v>
      </c>
      <c r="F107" s="24">
        <v>-2.9494584000000001E-2</v>
      </c>
      <c r="G107" s="24">
        <v>2.7649403000000001E-3</v>
      </c>
      <c r="H107" s="24">
        <v>-9.8543763000000003E-3</v>
      </c>
      <c r="I107" s="24">
        <v>-8.9435399999999998E-2</v>
      </c>
      <c r="J107" s="24">
        <v>-5.250871E-2</v>
      </c>
      <c r="K107" s="24">
        <v>1.1557937000000001E-2</v>
      </c>
      <c r="L107" s="24">
        <v>-4.2783021999999995E-3</v>
      </c>
      <c r="M107" s="24">
        <v>-2.3319483000000002E-2</v>
      </c>
      <c r="N107" s="24">
        <v>1.6126036999999999E-2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44960</v>
      </c>
      <c r="B108" s="24">
        <v>5.7888270000000006E-2</v>
      </c>
      <c r="C108" s="24">
        <v>8.780491E-2</v>
      </c>
      <c r="D108" s="24">
        <v>6.9235325E-2</v>
      </c>
      <c r="E108" s="24">
        <v>9.8569759999999992E-2</v>
      </c>
      <c r="F108" s="24">
        <v>7.2008849999999999E-2</v>
      </c>
      <c r="G108" s="24">
        <v>3.5386085999999997E-2</v>
      </c>
      <c r="H108" s="24">
        <v>3.5347103999999997E-2</v>
      </c>
      <c r="I108" s="24">
        <v>0.15217888000000002</v>
      </c>
      <c r="J108" s="24">
        <v>7.4499726000000002E-2</v>
      </c>
      <c r="K108" s="24">
        <v>8.1513880000000011E-2</v>
      </c>
      <c r="L108" s="24">
        <v>9.8230249999999991E-2</v>
      </c>
      <c r="M108" s="24">
        <v>8.1982020000000003E-2</v>
      </c>
      <c r="N108" s="24">
        <v>7.3597670000000004E-2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44988</v>
      </c>
      <c r="B109" s="24">
        <v>-4.1425824E-2</v>
      </c>
      <c r="C109" s="24">
        <v>-4.2804774999999996E-2</v>
      </c>
      <c r="D109" s="24">
        <v>-1.9144176999999998E-2</v>
      </c>
      <c r="E109" s="24">
        <v>-1.6889513000000002E-2</v>
      </c>
      <c r="F109" s="24">
        <v>-1.1712014999999999E-2</v>
      </c>
      <c r="G109" s="24">
        <v>-2.0195305E-2</v>
      </c>
      <c r="H109" s="24">
        <v>1.5518308000000001E-2</v>
      </c>
      <c r="I109" s="24">
        <v>-2.1229326999999999E-2</v>
      </c>
      <c r="J109" s="24">
        <v>-1.9789040000000001E-2</v>
      </c>
      <c r="K109" s="24">
        <v>4.3069123999999997E-3</v>
      </c>
      <c r="L109" s="24">
        <v>-2.4287760000000002E-2</v>
      </c>
      <c r="M109" s="24">
        <v>5.5515765999999999E-4</v>
      </c>
      <c r="N109" s="24">
        <v>2.5291204000000001E-2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45020</v>
      </c>
      <c r="B110" s="24">
        <v>1.045227E-2</v>
      </c>
      <c r="C110" s="24">
        <v>-1.4054537000000001E-2</v>
      </c>
      <c r="D110" s="24">
        <v>-3.444314E-3</v>
      </c>
      <c r="E110" s="24">
        <v>2.5769472000000002E-2</v>
      </c>
      <c r="F110" s="24">
        <v>2.718711E-2</v>
      </c>
      <c r="G110" s="24">
        <v>3.0804037999999999E-2</v>
      </c>
      <c r="H110" s="24">
        <v>-9.1695785999999996E-4</v>
      </c>
      <c r="I110" s="24">
        <v>6.6345689999999999E-2</v>
      </c>
      <c r="J110" s="24">
        <v>1.4988899E-2</v>
      </c>
      <c r="K110" s="24">
        <v>2.5194287000000003E-2</v>
      </c>
      <c r="L110" s="24">
        <v>1.5557765999999999E-2</v>
      </c>
      <c r="M110" s="24">
        <v>-6.9348215999999992E-3</v>
      </c>
      <c r="N110" s="24">
        <v>-5.5177209999999997E-3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45050</v>
      </c>
      <c r="B111" s="24">
        <v>3.9780140000000001E-4</v>
      </c>
      <c r="C111" s="24">
        <v>-2.1166325E-2</v>
      </c>
      <c r="D111" s="24">
        <v>-6.3364505999999998E-3</v>
      </c>
      <c r="E111" s="24">
        <v>1.4654517000000001E-2</v>
      </c>
      <c r="F111" s="24">
        <v>-3.3932328000000002E-3</v>
      </c>
      <c r="G111" s="24">
        <v>6.4820885999999994E-2</v>
      </c>
      <c r="H111" s="24">
        <v>1.8966079E-2</v>
      </c>
      <c r="I111" s="24">
        <v>-9.0888740000000003E-3</v>
      </c>
      <c r="J111" s="24">
        <v>-8.6622833999999999E-3</v>
      </c>
      <c r="K111" s="24">
        <v>1.6209126000000001E-2</v>
      </c>
      <c r="L111" s="24">
        <v>-2.0504354999999998E-2</v>
      </c>
      <c r="M111" s="24">
        <v>2.1787763000000002E-2</v>
      </c>
      <c r="N111" s="24">
        <v>1.8603086000000001E-2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45079</v>
      </c>
      <c r="B112" s="24">
        <v>-2.8633951999999997E-2</v>
      </c>
      <c r="C112" s="24">
        <v>2.2064446999999999E-3</v>
      </c>
      <c r="D112" s="24">
        <v>-1.7391443000000001E-3</v>
      </c>
      <c r="E112" s="24">
        <v>-1.6162276E-2</v>
      </c>
      <c r="F112" s="24">
        <v>5.5498719999999994E-2</v>
      </c>
      <c r="G112" s="24">
        <v>-2.6207208999999999E-2</v>
      </c>
      <c r="H112" s="24">
        <v>-2.0414293E-2</v>
      </c>
      <c r="I112" s="24">
        <v>0.1217066</v>
      </c>
      <c r="J112" s="24">
        <v>5.6253552000000005E-2</v>
      </c>
      <c r="K112" s="24">
        <v>-2.7527629999999997E-2</v>
      </c>
      <c r="L112" s="24">
        <v>2.6948929999999999E-2</v>
      </c>
      <c r="M112" s="24">
        <v>-3.6085367E-2</v>
      </c>
      <c r="N112" s="24">
        <v>-1.3777614000000001E-2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45110</v>
      </c>
      <c r="B113" s="24">
        <v>1.476562E-2</v>
      </c>
      <c r="C113" s="24">
        <v>1.7107009999999999E-2</v>
      </c>
      <c r="D113" s="24">
        <v>3.2423019999999997E-2</v>
      </c>
      <c r="E113" s="24">
        <v>2.0994544E-2</v>
      </c>
      <c r="F113" s="24">
        <v>8.5216760000000006E-3</v>
      </c>
      <c r="G113" s="24">
        <v>-5.0671697000000005E-3</v>
      </c>
      <c r="H113" s="24">
        <v>6.3036680000000001E-3</v>
      </c>
      <c r="I113" s="24">
        <v>4.5534014999999997E-2</v>
      </c>
      <c r="J113" s="24">
        <v>4.0952799999999998E-2</v>
      </c>
      <c r="K113" s="24">
        <v>3.8854837000000003E-2</v>
      </c>
      <c r="L113" s="24">
        <v>2.7551532E-2</v>
      </c>
      <c r="M113" s="24">
        <v>-1.4179944999999998E-3</v>
      </c>
      <c r="N113" s="24">
        <v>6.3148736999999996E-2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45142</v>
      </c>
      <c r="B114" s="24">
        <v>-1.5484988999999999E-2</v>
      </c>
      <c r="C114" s="24">
        <v>-8.8222619999999991E-3</v>
      </c>
      <c r="D114" s="24">
        <v>-1.0795474000000001E-2</v>
      </c>
      <c r="E114" s="24">
        <v>-7.0348379999999999E-3</v>
      </c>
      <c r="F114" s="24">
        <v>-4.9927829999999998E-3</v>
      </c>
      <c r="G114" s="24">
        <v>1.3066292E-2</v>
      </c>
      <c r="H114" s="24">
        <v>4.3464899999999997E-3</v>
      </c>
      <c r="I114" s="24">
        <v>4.7260523000000002E-3</v>
      </c>
      <c r="J114" s="24">
        <v>6.8049429999999999E-3</v>
      </c>
      <c r="K114" s="24">
        <v>-8.8518859999999998E-3</v>
      </c>
      <c r="L114" s="24">
        <v>-9.2220309999999995E-4</v>
      </c>
      <c r="M114" s="24">
        <v>-1.4200508999999998E-2</v>
      </c>
      <c r="N114" s="24">
        <v>5.9486629999999999E-3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45170</v>
      </c>
      <c r="B115" s="24">
        <v>-5.8360934000000003E-2</v>
      </c>
      <c r="C115" s="24">
        <v>-9.790778E-3</v>
      </c>
      <c r="D115" s="24">
        <v>3.1591654000000004E-3</v>
      </c>
      <c r="E115" s="24">
        <v>-2.1962404000000001E-2</v>
      </c>
      <c r="F115" s="24">
        <v>4.2085648E-3</v>
      </c>
      <c r="G115" s="24">
        <v>-1.2682735999999998E-2</v>
      </c>
      <c r="H115" s="24">
        <v>-8.9643599999999993E-3</v>
      </c>
      <c r="I115" s="24">
        <v>1.4917731E-2</v>
      </c>
      <c r="J115" s="24">
        <v>9.8028183000000001E-3</v>
      </c>
      <c r="K115" s="24">
        <v>-1.6811131999999999E-2</v>
      </c>
      <c r="L115" s="24">
        <v>-5.1234719999999997E-2</v>
      </c>
      <c r="M115" s="24">
        <v>-4.4943749999999998E-2</v>
      </c>
      <c r="N115" s="24">
        <v>-9.0258720000000008E-3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45203</v>
      </c>
      <c r="B116" s="24">
        <v>-3.5384655000000001E-2</v>
      </c>
      <c r="C116" s="24">
        <v>-6.0674190000000003E-2</v>
      </c>
      <c r="D116" s="24">
        <v>-7.7870072999999998E-2</v>
      </c>
      <c r="E116" s="24">
        <v>-6.9540024000000006E-2</v>
      </c>
      <c r="F116" s="24">
        <v>-6.366861E-2</v>
      </c>
      <c r="G116" s="24">
        <v>-6.4445852999999997E-2</v>
      </c>
      <c r="H116" s="24">
        <v>-3.7429869999999997E-2</v>
      </c>
      <c r="I116" s="24">
        <v>-4.5870360000000006E-2</v>
      </c>
      <c r="J116" s="24">
        <v>-5.5439233999999997E-2</v>
      </c>
      <c r="K116" s="24">
        <v>-6.9195804999999999E-2</v>
      </c>
      <c r="L116" s="24">
        <v>-8.7083449999999993E-2</v>
      </c>
      <c r="M116" s="24">
        <v>-3.0165910000000001E-2</v>
      </c>
      <c r="N116" s="24">
        <v>-7.4434699999999993E-2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45233</v>
      </c>
      <c r="B117" s="24">
        <v>9.5694064999999988E-3</v>
      </c>
      <c r="C117" s="24">
        <v>4.3540716E-2</v>
      </c>
      <c r="D117" s="24">
        <v>4.9363613000000001E-2</v>
      </c>
      <c r="E117" s="24">
        <v>1.7905712000000001E-2</v>
      </c>
      <c r="F117" s="24">
        <v>6.7309380000000002E-2</v>
      </c>
      <c r="G117" s="24">
        <v>5.1198005999999992E-3</v>
      </c>
      <c r="H117" s="24">
        <v>1.523006E-2</v>
      </c>
      <c r="I117" s="24">
        <v>2.2126435999999999E-2</v>
      </c>
      <c r="J117" s="24">
        <v>2.3618937E-2</v>
      </c>
      <c r="K117" s="24">
        <v>2.324915E-2</v>
      </c>
      <c r="L117" s="24">
        <v>5.2491426000000001E-2</v>
      </c>
      <c r="M117" s="24">
        <v>2.8926968999999997E-2</v>
      </c>
      <c r="N117" s="24">
        <v>6.3454389999999999E-2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45264</v>
      </c>
      <c r="B118" s="24">
        <v>4.3105364E-2</v>
      </c>
      <c r="C118" s="24">
        <v>3.3929347999999998E-2</v>
      </c>
      <c r="D118" s="24">
        <v>4.4674634999999997E-2</v>
      </c>
      <c r="E118" s="24">
        <v>9.5219850000000009E-2</v>
      </c>
      <c r="F118" s="24">
        <v>4.0322541999999999E-3</v>
      </c>
      <c r="G118" s="24">
        <v>6.0662269999999997E-2</v>
      </c>
      <c r="H118" s="24">
        <v>4.0855410000000002E-2</v>
      </c>
      <c r="I118" s="24">
        <v>5.0610540000000002E-2</v>
      </c>
      <c r="J118" s="24">
        <v>5.0610780000000001E-2</v>
      </c>
      <c r="K118" s="24">
        <v>5.3295849999999999E-2</v>
      </c>
      <c r="L118" s="24">
        <v>7.0886015999999996E-2</v>
      </c>
      <c r="M118" s="24">
        <v>0.10429251</v>
      </c>
      <c r="N118" s="24">
        <v>5.3924680000000003E-2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45295</v>
      </c>
      <c r="B119" s="24">
        <v>4.8638344E-2</v>
      </c>
      <c r="C119" s="24">
        <v>7.8083158E-2</v>
      </c>
      <c r="D119" s="24">
        <v>4.0322184999999997E-2</v>
      </c>
      <c r="E119" s="24">
        <v>1.3670325000000001E-2</v>
      </c>
      <c r="F119" s="24">
        <v>2.7290462999999997E-2</v>
      </c>
      <c r="G119" s="24">
        <v>4.4968247000000003E-2</v>
      </c>
      <c r="H119" s="24">
        <v>3.023696E-2</v>
      </c>
      <c r="I119" s="24">
        <v>2.8357505999999998E-2</v>
      </c>
      <c r="J119" s="24">
        <v>2.7344107999999999E-2</v>
      </c>
      <c r="K119" s="24">
        <v>2.4472236999999997E-2</v>
      </c>
      <c r="L119" s="24">
        <v>2.2312522000000001E-2</v>
      </c>
      <c r="M119" s="24">
        <v>6.6209434999999997E-2</v>
      </c>
      <c r="N119" s="24">
        <v>2.8558015999999999E-2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45324</v>
      </c>
      <c r="B120" s="24">
        <v>-2.5063156999999999E-2</v>
      </c>
      <c r="C120" s="24">
        <v>-9.2359185000000007E-3</v>
      </c>
      <c r="D120" s="24">
        <v>4.1390656999999997E-3</v>
      </c>
      <c r="E120" s="24">
        <v>6.889343E-3</v>
      </c>
      <c r="F120" s="24">
        <v>5.4709790000000001E-2</v>
      </c>
      <c r="G120" s="24">
        <v>-1.1280477000000001E-2</v>
      </c>
      <c r="H120" s="24">
        <v>-1.1571287999999999E-2</v>
      </c>
      <c r="I120" s="24">
        <v>8.2593200000000006E-2</v>
      </c>
      <c r="J120" s="24">
        <v>5.7931065999999996E-2</v>
      </c>
      <c r="K120" s="24">
        <v>9.9424123999999996E-3</v>
      </c>
      <c r="L120" s="24">
        <v>6.7567586999999998E-2</v>
      </c>
      <c r="M120" s="24">
        <v>-1.3680517999999999E-2</v>
      </c>
      <c r="N120" s="24">
        <v>2.3845434E-3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45355</v>
      </c>
      <c r="B121" s="24">
        <v>-2.6139557000000001E-2</v>
      </c>
      <c r="C121" s="24">
        <v>1.7796635999999998E-2</v>
      </c>
      <c r="D121" s="24">
        <v>1.7312527000000001E-2</v>
      </c>
      <c r="E121" s="24">
        <v>5.1317096E-2</v>
      </c>
      <c r="F121" s="24">
        <v>5.1270366000000005E-2</v>
      </c>
      <c r="G121" s="24">
        <v>-9.2964769999999992E-3</v>
      </c>
      <c r="H121" s="24">
        <v>1.1090636000000001E-2</v>
      </c>
      <c r="I121" s="24">
        <v>3.4987450000000003E-2</v>
      </c>
      <c r="J121" s="24">
        <v>3.6310315000000003E-2</v>
      </c>
      <c r="K121" s="24">
        <v>4.5854926000000004E-2</v>
      </c>
      <c r="L121" s="24">
        <v>5.7180284999999997E-2</v>
      </c>
      <c r="M121" s="24">
        <v>5.4147720000000003E-2</v>
      </c>
      <c r="N121" s="24">
        <v>6.8093896000000001E-2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45386</v>
      </c>
      <c r="B122" s="24">
        <v>4.7116279999999998E-3</v>
      </c>
      <c r="C122" s="24">
        <v>1.7069101E-2</v>
      </c>
      <c r="D122" s="24">
        <v>2.7282476E-2</v>
      </c>
      <c r="E122" s="24">
        <v>2.0826577999999998E-2</v>
      </c>
      <c r="F122" s="24">
        <v>-3.5755038000000001E-3</v>
      </c>
      <c r="G122" s="24">
        <v>-4.2653084E-4</v>
      </c>
      <c r="H122" s="24">
        <v>3.6867738000000004E-2</v>
      </c>
      <c r="I122" s="24">
        <v>-1.8263458999999999E-2</v>
      </c>
      <c r="J122" s="24">
        <v>4.6360493000000003E-3</v>
      </c>
      <c r="K122" s="24">
        <v>9.6606015999999989E-3</v>
      </c>
      <c r="L122" s="24">
        <v>1.5689611000000003E-2</v>
      </c>
      <c r="M122" s="24">
        <v>7.5911282999999996E-3</v>
      </c>
      <c r="N122" s="50">
        <v>3.1737327999999995E-2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780</v>
      </c>
      <c r="B126" s="24" cm="1">
        <f t="array" ref="B126">MAX(_xlfn._xlws.FILTER(B1:B122, ISNUMBER(B1:B122)))</f>
        <v>0.1286186</v>
      </c>
      <c r="C126" s="24" cm="1">
        <f t="array" ref="C126">MAX(_xlfn._xlws.FILTER(C1:C122, ISNUMBER(C1:C122)))</f>
        <v>0.19444454</v>
      </c>
      <c r="D126" s="24" cm="1">
        <f t="array" ref="D126">MAX(_xlfn._xlws.FILTER(D1:D122, ISNUMBER(D1:D122)))</f>
        <v>0.14040923</v>
      </c>
      <c r="E126" s="24" cm="1">
        <f t="array" ref="E126">MAX(_xlfn._xlws.FILTER(E1:E122, ISNUMBER(E1:E122)))</f>
        <v>0.21771383</v>
      </c>
      <c r="F126" s="24" cm="1">
        <f t="array" ref="F126">MAX(_xlfn._xlws.FILTER(F1:F122, ISNUMBER(F1:F122)))</f>
        <v>0.11166012</v>
      </c>
      <c r="G126" s="24" cm="1">
        <f t="array" ref="G126">MAX(_xlfn._xlws.FILTER(G1:G122, ISNUMBER(G1:G122)))</f>
        <v>0.10208225</v>
      </c>
      <c r="H126" s="24" cm="1">
        <f t="array" ref="H126">MAX(_xlfn._xlws.FILTER(H1:H122, ISNUMBER(H1:H122)))</f>
        <v>0.16875479999999998</v>
      </c>
      <c r="I126" s="24" cm="1">
        <f t="array" ref="I126">MAX(_xlfn._xlws.FILTER(I1:I122, ISNUMBER(I1:I122)))</f>
        <v>0.17369259000000001</v>
      </c>
      <c r="J126" s="24" cm="1">
        <f t="array" ref="J126">MAX(_xlfn._xlws.FILTER(J1:J122, ISNUMBER(J1:J122)))</f>
        <v>0.14255213999999999</v>
      </c>
      <c r="K126" s="24" cm="1">
        <f t="array" ref="K126">MAX(_xlfn._xlws.FILTER(K1:K122, ISNUMBER(K1:K122)))</f>
        <v>0.18389584</v>
      </c>
      <c r="L126" s="24" cm="1">
        <f t="array" ref="L126">MAX(_xlfn._xlws.FILTER(L1:L122, ISNUMBER(L1:L122)))</f>
        <v>0.18267154999999999</v>
      </c>
      <c r="M126" s="24" cm="1">
        <f t="array" ref="M126">MAX(_xlfn._xlws.FILTER(M1:M122, ISNUMBER(M1:M122)))</f>
        <v>0.21044720000000003</v>
      </c>
      <c r="N126" s="24" cm="1">
        <f t="array" ref="N126">MAX(_xlfn._xlws.FILTER(N1:N122, ISNUMBER(N1:N122)))</f>
        <v>0.19795715000000003</v>
      </c>
    </row>
    <row r="127" spans="1:26" x14ac:dyDescent="0.35">
      <c r="A127" t="s">
        <v>85</v>
      </c>
      <c r="B127" s="24" cm="1">
        <f t="array" ref="B127">MIN(_xlfn._xlws.FILTER(B2:B122, ISNUMBER(B2:B122)))</f>
        <v>-0.19453715999999999</v>
      </c>
      <c r="C127" s="24" cm="1">
        <f t="array" ref="C127">MIN(_xlfn._xlws.FILTER(C2:C122, ISNUMBER(C2:C122)))</f>
        <v>-0.2859894</v>
      </c>
      <c r="D127" s="24" cm="1">
        <f t="array" ref="D127">MIN(_xlfn._xlws.FILTER(D2:D122, ISNUMBER(D2:D122)))</f>
        <v>-0.25864500000000001</v>
      </c>
      <c r="E127" s="24" cm="1">
        <f t="array" ref="E127">MIN(_xlfn._xlws.FILTER(E2:E122, ISNUMBER(E2:E122)))</f>
        <v>-0.24668144000000003</v>
      </c>
      <c r="F127" s="24" cm="1">
        <f t="array" ref="F127">MIN(_xlfn._xlws.FILTER(F2:F122, ISNUMBER(F2:F122)))</f>
        <v>-0.13902754000000001</v>
      </c>
      <c r="G127" s="24" cm="1">
        <f t="array" ref="G127">MIN(_xlfn._xlws.FILTER(G2:G122, ISNUMBER(G2:G122)))</f>
        <v>-0.13881999</v>
      </c>
      <c r="H127" s="24" cm="1">
        <f t="array" ref="H127">MIN(_xlfn._xlws.FILTER(H2:H122, ISNUMBER(H2:H122)))</f>
        <v>-0.25651174999999998</v>
      </c>
      <c r="I127" s="24" cm="1">
        <f t="array" ref="I127">MIN(_xlfn._xlws.FILTER(I2:I122, ISNUMBER(I2:I122)))</f>
        <v>-0.15791339000000001</v>
      </c>
      <c r="J127" s="24" cm="1">
        <f t="array" ref="J127">MIN(_xlfn._xlws.FILTER(J2:J122, ISNUMBER(J2:J122)))</f>
        <v>-0.20183247000000001</v>
      </c>
      <c r="K127" s="24" cm="1">
        <f t="array" ref="K127">MIN(_xlfn._xlws.FILTER(K2:K122, ISNUMBER(K2:K122)))</f>
        <v>-0.27744704999999997</v>
      </c>
      <c r="L127" s="24" cm="1">
        <f t="array" ref="L127">MIN(_xlfn._xlws.FILTER(L2:L122, ISNUMBER(L2:L122)))</f>
        <v>-0.22734355999999997</v>
      </c>
      <c r="M127" s="24" cm="1">
        <f t="array" ref="M127">MIN(_xlfn._xlws.FILTER(M2:M122, ISNUMBER(M2:M122)))</f>
        <v>-0.248502</v>
      </c>
      <c r="N127" s="24" cm="1">
        <f t="array" ref="N127">MIN(_xlfn._xlws.FILTER(N2:N122, ISNUMBER(N2:N122)))</f>
        <v>-0.29150086999999997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13</v>
      </c>
      <c r="C129">
        <f>COUNTIF(C2:C122, "&lt;"&amp;Assumption!$E$50)</f>
        <v>13</v>
      </c>
      <c r="D129">
        <f>COUNTIF(D2:D122, "&lt;"&amp;Assumption!$E$50)</f>
        <v>13</v>
      </c>
      <c r="E129">
        <f>COUNTIF(E2:E122, "&lt;"&amp;Assumption!$E$50)</f>
        <v>18</v>
      </c>
      <c r="F129">
        <f>COUNTIF(F2:F122, "&lt;"&amp;Assumption!$E$50)</f>
        <v>12</v>
      </c>
      <c r="G129">
        <f>COUNTIF(G2:G122, "&lt;"&amp;Assumption!$E$50)</f>
        <v>14</v>
      </c>
      <c r="H129">
        <f>COUNTIF(H2:H122, "&lt;"&amp;Assumption!$E$50)</f>
        <v>11</v>
      </c>
      <c r="I129">
        <f>COUNTIF(I2:I122, "&lt;"&amp;Assumption!$E$50)</f>
        <v>16</v>
      </c>
      <c r="J129">
        <f>COUNTIF(J2:J122, "&lt;"&amp;Assumption!$E$50)</f>
        <v>11</v>
      </c>
      <c r="K129">
        <f>COUNTIF(K2:K122, "&lt;"&amp;Assumption!$E$50)</f>
        <v>15</v>
      </c>
      <c r="L129">
        <f>COUNTIF(L2:L122, "&lt;"&amp;Assumption!$E$50)</f>
        <v>14</v>
      </c>
      <c r="M129">
        <f>COUNTIF(M2:M122, "&lt;"&amp;Assumption!$E$50)</f>
        <v>15</v>
      </c>
      <c r="N129">
        <f>COUNTIF(N2:N122, "&lt;"&amp;Assumption!$E$50)</f>
        <v>21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0.10743801652892562</v>
      </c>
      <c r="C132" s="9">
        <f t="shared" si="2"/>
        <v>0.10743801652892562</v>
      </c>
      <c r="D132" s="9">
        <f t="shared" si="2"/>
        <v>0.10743801652892562</v>
      </c>
      <c r="E132" s="9">
        <f t="shared" si="2"/>
        <v>0.1487603305785124</v>
      </c>
      <c r="F132" s="9">
        <f t="shared" si="2"/>
        <v>9.9173553719008267E-2</v>
      </c>
      <c r="G132" s="9">
        <f t="shared" si="2"/>
        <v>0.11570247933884298</v>
      </c>
      <c r="H132" s="9">
        <f t="shared" si="2"/>
        <v>9.0909090909090912E-2</v>
      </c>
      <c r="I132" s="9">
        <f t="shared" si="2"/>
        <v>0.13223140495867769</v>
      </c>
      <c r="J132" s="9">
        <f t="shared" si="2"/>
        <v>9.0909090909090912E-2</v>
      </c>
      <c r="K132" s="9">
        <f t="shared" ref="K132:N132" si="3">K129/K130</f>
        <v>0.12396694214876033</v>
      </c>
      <c r="L132" s="9">
        <f t="shared" si="3"/>
        <v>0.11570247933884298</v>
      </c>
      <c r="M132" s="9">
        <f t="shared" si="3"/>
        <v>0.12396694214876033</v>
      </c>
      <c r="N132" s="9">
        <f t="shared" si="3"/>
        <v>0.17355371900826447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0.48299999999999998</v>
      </c>
      <c r="C134" s="9" cm="1">
        <f t="array" ref="C134">_xlfn.PERCENTRANK.EXC(_xlfn._xlws.FILTER(C2:C122, ISNUMBER(C2:C122)),C122)</f>
        <v>0.56499999999999995</v>
      </c>
      <c r="D134" s="9" cm="1">
        <f t="array" ref="D134">_xlfn.PERCENTRANK.EXC(_xlfn._xlws.FILTER(D2:D122, ISNUMBER(D2:D122)),D122)</f>
        <v>0.70399999999999996</v>
      </c>
      <c r="E134" s="9" cm="1">
        <f t="array" ref="E134">_xlfn.PERCENTRANK.EXC(_xlfn._xlws.FILTER(E2:E122, ISNUMBER(E2:E122)),E122)</f>
        <v>0.63900000000000001</v>
      </c>
      <c r="F134" s="9" cm="1">
        <f t="array" ref="F134">_xlfn.PERCENTRANK.EXC(_xlfn._xlws.FILTER(F2:F122, ISNUMBER(F2:F122)),F122)</f>
        <v>0.39300000000000002</v>
      </c>
      <c r="G134" s="9" cm="1">
        <f t="array" ref="G134">_xlfn.PERCENTRANK.EXC(_xlfn._xlws.FILTER(G2:G122, ISNUMBER(G2:G122)),G122)</f>
        <v>0.40100000000000002</v>
      </c>
      <c r="H134" s="9" cm="1">
        <f t="array" ref="H134">_xlfn.PERCENTRANK.EXC(_xlfn._xlws.FILTER(H2:H122, ISNUMBER(H2:H122)),H122)</f>
        <v>0.82699999999999996</v>
      </c>
      <c r="I134" s="9" cm="1">
        <f t="array" ref="I134">_xlfn.PERCENTRANK.EXC(_xlfn._xlws.FILTER(I2:I122, ISNUMBER(I2:I122)),I122)</f>
        <v>0.27</v>
      </c>
      <c r="J134" s="9" cm="1">
        <f t="array" ref="J134">_xlfn.PERCENTRANK.EXC(_xlfn._xlws.FILTER(J2:J122, ISNUMBER(J2:J122)),J122)</f>
        <v>0.39300000000000002</v>
      </c>
      <c r="K134" s="9" cm="1">
        <f t="array" ref="K134">_xlfn.PERCENTRANK.EXC(_xlfn._xlws.FILTER(K2:K122, ISNUMBER(K2:K122)),K122)</f>
        <v>0.45</v>
      </c>
      <c r="L134" s="9" cm="1">
        <f t="array" ref="L134">_xlfn.PERCENTRANK.EXC(_xlfn._xlws.FILTER(L2:L122, ISNUMBER(L2:L122)),L122)</f>
        <v>0.54900000000000004</v>
      </c>
      <c r="M134" s="9" cm="1">
        <f t="array" ref="M134">_xlfn.PERCENTRANK.EXC(_xlfn._xlws.FILTER(M2:M122, ISNUMBER(M2:M122)),M122)</f>
        <v>0.50800000000000001</v>
      </c>
      <c r="N134" s="9" cm="1">
        <f t="array" ref="N134">_xlfn.PERCENTRANK.EXC(_xlfn._xlws.FILTER(N2:N122, ISNUMBER(N2:N122)),N122)</f>
        <v>0.72899999999999998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0.60799999999999998</v>
      </c>
      <c r="C136" s="9" cm="1">
        <f t="array" ref="C136">_xlfn.PERCENTRANK.EXC(_xlfn._xlws.FILTER(C4:C125, ISNUMBER(C4:C125)),C113)</f>
        <v>0.57499999999999996</v>
      </c>
      <c r="D136" s="9" cm="1">
        <f t="array" ref="D136">_xlfn.PERCENTRANK.EXC(_xlfn._xlws.FILTER(D4:D125, ISNUMBER(D4:D125)),D113)</f>
        <v>0.78300000000000003</v>
      </c>
      <c r="E136" s="9" cm="1">
        <f t="array" ref="E136">_xlfn.PERCENTRANK.EXC(_xlfn._xlws.FILTER(E4:E125, ISNUMBER(E4:E125)),E113)</f>
        <v>0.64100000000000001</v>
      </c>
      <c r="F136" s="9" cm="1">
        <f t="array" ref="F136">_xlfn.PERCENTRANK.EXC(_xlfn._xlws.FILTER(F4:F125, ISNUMBER(F4:F125)),F113)</f>
        <v>0.53300000000000003</v>
      </c>
      <c r="G136" s="9" cm="1">
        <f t="array" ref="G136">_xlfn.PERCENTRANK.EXC(_xlfn._xlws.FILTER(G4:G125, ISNUMBER(G4:G125)),G113)</f>
        <v>0.375</v>
      </c>
      <c r="H136" s="9" cm="1">
        <f t="array" ref="H136">_xlfn.PERCENTRANK.EXC(_xlfn._xlws.FILTER(H4:H125, ISNUMBER(H4:H125)),H113)</f>
        <v>0.52500000000000002</v>
      </c>
      <c r="I136" s="9" cm="1">
        <f t="array" ref="I136">_xlfn.PERCENTRANK.EXC(_xlfn._xlws.FILTER(I4:I125, ISNUMBER(I4:I125)),I113)</f>
        <v>0.67500000000000004</v>
      </c>
      <c r="J136" s="9" cm="1">
        <f t="array" ref="J136">_xlfn.PERCENTRANK.EXC(_xlfn._xlws.FILTER(J4:J125, ISNUMBER(J4:J125)),J113)</f>
        <v>0.80800000000000005</v>
      </c>
      <c r="K136" s="9" cm="1">
        <f t="array" ref="K136">_xlfn.PERCENTRANK.EXC(_xlfn._xlws.FILTER(K4:K125, ISNUMBER(K4:K125)),K113)</f>
        <v>0.78300000000000003</v>
      </c>
      <c r="L136" s="9" cm="1">
        <f t="array" ref="L136">_xlfn.PERCENTRANK.EXC(_xlfn._xlws.FILTER(L4:L125, ISNUMBER(L4:L125)),L113)</f>
        <v>0.61599999999999999</v>
      </c>
      <c r="M136" s="9" cm="1">
        <f t="array" ref="M136">_xlfn.PERCENTRANK.EXC(_xlfn._xlws.FILTER(M4:M125, ISNUMBER(M4:M125)),M113)</f>
        <v>0.40799999999999997</v>
      </c>
      <c r="N136" s="9" cm="1">
        <f t="array" ref="N136">_xlfn.PERCENTRANK.EXC(_xlfn._xlws.FILTER(N4:N125, ISNUMBER(N4:N125)),N113)</f>
        <v>0.84099999999999997</v>
      </c>
    </row>
    <row r="138" spans="1:17" x14ac:dyDescent="0.35">
      <c r="A138" t="s">
        <v>827</v>
      </c>
      <c r="B138">
        <f t="shared" ref="B138:J138" si="4">STDEV(B40:B122)</f>
        <v>5.1430061344517934E-2</v>
      </c>
      <c r="C138">
        <f t="shared" si="4"/>
        <v>5.9768866591600016E-2</v>
      </c>
      <c r="D138">
        <f t="shared" si="4"/>
        <v>5.2254817748294276E-2</v>
      </c>
      <c r="E138">
        <f t="shared" si="4"/>
        <v>6.6075425648618041E-2</v>
      </c>
      <c r="F138">
        <f t="shared" si="4"/>
        <v>4.4162842219284654E-2</v>
      </c>
      <c r="G138">
        <f t="shared" si="4"/>
        <v>4.2552810738392365E-2</v>
      </c>
      <c r="H138">
        <f t="shared" si="4"/>
        <v>5.2038178375429296E-2</v>
      </c>
      <c r="I138">
        <f t="shared" si="4"/>
        <v>6.474743855180623E-2</v>
      </c>
      <c r="J138">
        <f t="shared" si="4"/>
        <v>4.9061864091422526E-2</v>
      </c>
      <c r="K138">
        <f t="shared" ref="K138:N138" si="5">STDEV(K40:K122)</f>
        <v>6.2943684948687878E-2</v>
      </c>
      <c r="L138">
        <f t="shared" si="5"/>
        <v>6.6772203038819908E-2</v>
      </c>
      <c r="M138">
        <f t="shared" si="5"/>
        <v>7.1886615500353634E-2</v>
      </c>
      <c r="N138">
        <f t="shared" si="5"/>
        <v>6.8482849213999955E-2</v>
      </c>
    </row>
    <row r="139" spans="1:17" x14ac:dyDescent="0.35">
      <c r="A139" t="s">
        <v>828</v>
      </c>
      <c r="B139" s="74">
        <f t="shared" ref="B139:J139" si="6">B138*SQRT(12)</f>
        <v>0.17815895857017836</v>
      </c>
      <c r="C139" s="74">
        <f t="shared" si="6"/>
        <v>0.2070454272949146</v>
      </c>
      <c r="D139" s="74">
        <f t="shared" si="6"/>
        <v>0.18101599856059519</v>
      </c>
      <c r="E139" s="74">
        <f t="shared" si="6"/>
        <v>0.22889198871029237</v>
      </c>
      <c r="F139" s="74">
        <f t="shared" si="6"/>
        <v>0.15298457306089777</v>
      </c>
      <c r="G139" s="74">
        <f t="shared" si="6"/>
        <v>0.14740726040751617</v>
      </c>
      <c r="H139" s="74">
        <f t="shared" si="6"/>
        <v>0.18026553775915119</v>
      </c>
      <c r="I139" s="74">
        <f t="shared" si="6"/>
        <v>0.22429170646334445</v>
      </c>
      <c r="J139" s="74">
        <f t="shared" si="6"/>
        <v>0.16995528264076576</v>
      </c>
      <c r="K139" s="74">
        <f t="shared" ref="K139:N139" si="7">K138*SQRT(12)</f>
        <v>0.21804332069347163</v>
      </c>
      <c r="L139" s="74">
        <f t="shared" si="7"/>
        <v>0.23130569639308213</v>
      </c>
      <c r="M139" s="74">
        <f t="shared" si="7"/>
        <v>0.24902254086156175</v>
      </c>
      <c r="N139" s="74">
        <f t="shared" si="7"/>
        <v>0.23723154857145254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863</v>
      </c>
      <c r="L1" s="47" t="s">
        <v>865</v>
      </c>
      <c r="M1" s="47" t="s">
        <v>862</v>
      </c>
      <c r="N1" s="47" t="s">
        <v>864</v>
      </c>
    </row>
    <row r="2" spans="1:14" x14ac:dyDescent="0.35">
      <c r="A2" s="2" cm="1">
        <f t="array" ref="A2:A122">_xll.FDS(B1,"JULIAN(P_PRICE_RETURNS_PR('52W',2,-10AY,0,AM).dates)")</f>
        <v>41733</v>
      </c>
      <c r="B2" s="7" cm="1">
        <f t="array" ref="B2:B122">_xll.FDS(B1,"P_PRICE_RETURNS_PR('52W',2,-10AY,0,AM)")</f>
        <v>17.150486000000001</v>
      </c>
      <c r="C2" s="7" cm="1">
        <f t="array" ref="C2:C122">_xll.FDS(C1,"P_PRICE_RETURNS_PR('52W',2,-10AY,0,AM)")</f>
        <v>1.6517997</v>
      </c>
      <c r="D2" s="7" cm="1">
        <f t="array" ref="D2:D122">_xll.FDS(D1,"P_PRICE_RETURNS_PR('52W',2,-10AY,0,AM)")</f>
        <v>10.432541000000001</v>
      </c>
      <c r="E2" s="7" cm="1">
        <f t="array" ref="E2:E122">_xll.FDS(E1,"P_PRICE_RETURNS_PR('52W',2,-10AY,0,AM)")</f>
        <v>29.102266</v>
      </c>
      <c r="F2" s="7" cm="1">
        <f t="array" ref="F2:F122">_xll.FDS(F1,"P_PRICE_RETURNS_PR('52W',2,-10AY,0,AM)")</f>
        <v>5.343318</v>
      </c>
      <c r="G2" s="7" cm="1">
        <f t="array" ref="G2:G122">_xll.FDS(G1,"P_PRICE_RETURNS_PR('52W',2,-10AY,0,AM)")</f>
        <v>18.5351</v>
      </c>
      <c r="H2" s="7" cm="1">
        <f t="array" ref="H2:H122">_xll.FDS(H1,"P_PRICE_RETURNS_PR('52W',2,-10AY,0,AM)")</f>
        <v>16.230941999999999</v>
      </c>
      <c r="I2" s="7" cm="1">
        <f t="array" ref="I2:I122">_xll.FDS(I1,"P_PRICE_RETURNS_PR('52W',2,-10AY,0,AM)")</f>
        <v>28.220103999999999</v>
      </c>
      <c r="J2" s="7" cm="1">
        <f t="array" ref="J2:J122">_xll.FDS(J1,"P_PRICE_RETURNS_PR('52W',2,-10AY,0,AM)")</f>
        <v>22.005713</v>
      </c>
      <c r="K2" s="157" cm="1">
        <f t="array" ref="K2:K122">_xll.FDS(K1,"P_PRICE_RETURNS_PR('52W',2,-10AY,0,AM)")</f>
        <v>29.355740000000001</v>
      </c>
      <c r="L2" s="157" cm="1">
        <f t="array" ref="L2:L122">_xll.FDS(L1,"P_PRICE_RETURNS_PR('52W',2,-10AY,0,AM)")</f>
        <v>27.92437</v>
      </c>
      <c r="M2" s="157" cm="1">
        <f t="array" ref="M2:M122">_xll.FDS(M1,"P_PRICE_RETURNS_PR('52W',2,-10AY,0,AM)")</f>
        <v>16.902505999999999</v>
      </c>
      <c r="N2" s="157" cm="1">
        <f t="array" ref="N2:N122">_xll.FDS(N1,"P_PRICE_RETURNS_PR('52W',2,-10AY,0,AM)")</f>
        <v>55.817709999999998</v>
      </c>
    </row>
    <row r="3" spans="1:14" x14ac:dyDescent="0.35">
      <c r="A3" s="2">
        <v>41761</v>
      </c>
      <c r="B3" s="40">
        <v>16.83098</v>
      </c>
      <c r="C3" s="40">
        <v>-0.17859936000000001</v>
      </c>
      <c r="D3" s="40">
        <v>12.745869000000001</v>
      </c>
      <c r="E3" s="40">
        <v>26.323450000000001</v>
      </c>
      <c r="F3" s="40">
        <v>-2.4479508000000001</v>
      </c>
      <c r="G3" s="40">
        <v>17.651249</v>
      </c>
      <c r="H3" s="40">
        <v>17.843163000000001</v>
      </c>
      <c r="I3" s="40">
        <v>24.689662999999999</v>
      </c>
      <c r="J3" s="40">
        <v>20.094882999999999</v>
      </c>
      <c r="K3" s="47">
        <v>25.711310000000001</v>
      </c>
      <c r="L3" s="47">
        <v>22.227360000000001</v>
      </c>
      <c r="M3" s="47">
        <v>16.818225999999999</v>
      </c>
      <c r="N3" s="47">
        <v>41.68253</v>
      </c>
    </row>
    <row r="4" spans="1:14" x14ac:dyDescent="0.35">
      <c r="A4" s="2">
        <v>41794</v>
      </c>
      <c r="B4" s="40">
        <v>22.315480000000001</v>
      </c>
      <c r="C4" s="40">
        <v>11.803877</v>
      </c>
      <c r="D4" s="40">
        <v>13.546478</v>
      </c>
      <c r="E4" s="40">
        <v>24.071370999999999</v>
      </c>
      <c r="F4" s="40">
        <v>8.1437229999999996</v>
      </c>
      <c r="G4" s="40">
        <v>20.19266</v>
      </c>
      <c r="H4" s="40">
        <v>17.623889999999999</v>
      </c>
      <c r="I4" s="40">
        <v>27.359950999999999</v>
      </c>
      <c r="J4" s="40">
        <v>20.497071999999999</v>
      </c>
      <c r="K4" s="47">
        <v>23.059332000000001</v>
      </c>
      <c r="L4" s="47">
        <v>20.678985999999998</v>
      </c>
      <c r="M4" s="47">
        <v>16.533899999999999</v>
      </c>
      <c r="N4" s="47">
        <v>34.761749999999999</v>
      </c>
    </row>
    <row r="5" spans="1:14" x14ac:dyDescent="0.35">
      <c r="A5" s="2">
        <v>41823</v>
      </c>
      <c r="B5" s="40">
        <v>30.837477</v>
      </c>
      <c r="C5" s="40">
        <v>24.479711999999999</v>
      </c>
      <c r="D5" s="40">
        <v>27.272224000000001</v>
      </c>
      <c r="E5" s="40">
        <v>32.593226999999999</v>
      </c>
      <c r="F5" s="40">
        <v>7.8951716000000003</v>
      </c>
      <c r="G5" s="40">
        <v>23.149193</v>
      </c>
      <c r="H5" s="40">
        <v>26.970911000000001</v>
      </c>
      <c r="I5" s="40">
        <v>34.902540000000002</v>
      </c>
      <c r="J5" s="40">
        <v>25.307869</v>
      </c>
      <c r="K5" s="47">
        <v>29.733550999999999</v>
      </c>
      <c r="L5" s="47">
        <v>26.249790000000001</v>
      </c>
      <c r="M5" s="47">
        <v>21.768236000000002</v>
      </c>
      <c r="N5" s="47">
        <v>53.476418000000002</v>
      </c>
    </row>
    <row r="6" spans="1:14" x14ac:dyDescent="0.35">
      <c r="A6" s="2">
        <v>41855</v>
      </c>
      <c r="B6" s="40">
        <v>19.778835000000001</v>
      </c>
      <c r="C6" s="40">
        <v>18.001223</v>
      </c>
      <c r="D6" s="40">
        <v>18.551327000000001</v>
      </c>
      <c r="E6" s="40">
        <v>9.600949</v>
      </c>
      <c r="F6" s="40">
        <v>4.0270567000000002</v>
      </c>
      <c r="G6" s="40">
        <v>10.187996</v>
      </c>
      <c r="H6" s="40">
        <v>13.572359000000001</v>
      </c>
      <c r="I6" s="40">
        <v>25.744842999999999</v>
      </c>
      <c r="J6" s="40">
        <v>15.648901</v>
      </c>
      <c r="K6" s="47">
        <v>8.0923800000000004</v>
      </c>
      <c r="L6" s="47">
        <v>4.9941180000000003</v>
      </c>
      <c r="M6" s="47">
        <v>6.3534617000000004</v>
      </c>
      <c r="N6" s="47">
        <v>26.171469999999999</v>
      </c>
    </row>
    <row r="7" spans="1:14" x14ac:dyDescent="0.35">
      <c r="A7" s="2">
        <v>41886</v>
      </c>
      <c r="B7" s="40">
        <v>19.730007000000001</v>
      </c>
      <c r="C7" s="40">
        <v>15.764093000000001</v>
      </c>
      <c r="D7" s="40">
        <v>20.838021999999999</v>
      </c>
      <c r="E7" s="40">
        <v>14.710521999999999</v>
      </c>
      <c r="F7" s="40">
        <v>6.6300034999999999</v>
      </c>
      <c r="G7" s="40">
        <v>15.575576</v>
      </c>
      <c r="H7" s="40">
        <v>13.650095</v>
      </c>
      <c r="I7" s="40">
        <v>31.558311</v>
      </c>
      <c r="J7" s="40">
        <v>23.165108</v>
      </c>
      <c r="K7" s="47">
        <v>12.995148</v>
      </c>
      <c r="L7" s="47">
        <v>10.203528</v>
      </c>
      <c r="M7" s="47">
        <v>5.9175490000000002</v>
      </c>
      <c r="N7" s="47">
        <v>26.818525000000001</v>
      </c>
    </row>
    <row r="8" spans="1:14" x14ac:dyDescent="0.35">
      <c r="A8" s="2">
        <v>41915</v>
      </c>
      <c r="B8" s="40">
        <v>3.2989383000000001</v>
      </c>
      <c r="C8" s="40">
        <v>-1.6106427000000001</v>
      </c>
      <c r="D8" s="40">
        <v>9.7358589999999996</v>
      </c>
      <c r="E8" s="40">
        <v>-1.3759732</v>
      </c>
      <c r="F8" s="40">
        <v>-0.43292641999999998</v>
      </c>
      <c r="G8" s="40">
        <v>3.9068103000000001</v>
      </c>
      <c r="H8" s="40">
        <v>2.7851940000000002</v>
      </c>
      <c r="I8" s="40">
        <v>26.545883</v>
      </c>
      <c r="J8" s="40">
        <v>19.519089999999998</v>
      </c>
      <c r="K8" s="47">
        <v>-2.1363854</v>
      </c>
      <c r="L8" s="47">
        <v>0.26315450000000001</v>
      </c>
      <c r="M8" s="47">
        <v>-3.1404912</v>
      </c>
      <c r="N8" s="47">
        <v>5.4812669999999999</v>
      </c>
    </row>
    <row r="9" spans="1:14" x14ac:dyDescent="0.35">
      <c r="A9" s="2">
        <v>41947</v>
      </c>
      <c r="B9" s="40">
        <v>4.091513</v>
      </c>
      <c r="C9" s="40">
        <v>-2.4518846999999999</v>
      </c>
      <c r="D9" s="40">
        <v>1.0098100000000001</v>
      </c>
      <c r="E9" s="40">
        <v>-6.58406</v>
      </c>
      <c r="F9" s="40">
        <v>1.6866207</v>
      </c>
      <c r="G9" s="40">
        <v>2.1386623</v>
      </c>
      <c r="H9" s="40">
        <v>-2.4166286000000001</v>
      </c>
      <c r="I9" s="40">
        <v>24.025010999999999</v>
      </c>
      <c r="J9" s="40">
        <v>15.917134000000001</v>
      </c>
      <c r="K9" s="47">
        <v>-7.5140532999999996</v>
      </c>
      <c r="L9" s="47">
        <v>-3.7041426</v>
      </c>
      <c r="M9" s="47">
        <v>-0.86781379999999997</v>
      </c>
      <c r="N9" s="47">
        <v>-6.1238647000000004</v>
      </c>
    </row>
    <row r="10" spans="1:14" x14ac:dyDescent="0.35">
      <c r="A10" s="2">
        <v>41977</v>
      </c>
      <c r="B10" s="40">
        <v>12.038898</v>
      </c>
      <c r="C10" s="40">
        <v>-1.9176424000000001</v>
      </c>
      <c r="D10" s="40">
        <v>5.2304744999999997</v>
      </c>
      <c r="E10" s="40">
        <v>-2.2691428999999999</v>
      </c>
      <c r="F10" s="40">
        <v>0.148952</v>
      </c>
      <c r="G10" s="40">
        <v>7.1262955999999997</v>
      </c>
      <c r="H10" s="40">
        <v>0.66155195</v>
      </c>
      <c r="I10" s="40">
        <v>25.070810000000002</v>
      </c>
      <c r="J10" s="40">
        <v>17.784631999999998</v>
      </c>
      <c r="K10" s="47">
        <v>-1.3891876000000001</v>
      </c>
      <c r="L10" s="47">
        <v>2.4764059999999999</v>
      </c>
      <c r="M10" s="47">
        <v>1.4593124</v>
      </c>
      <c r="N10" s="47">
        <v>0.12753010000000001</v>
      </c>
    </row>
    <row r="11" spans="1:14" x14ac:dyDescent="0.35">
      <c r="A11" s="2">
        <v>42006</v>
      </c>
      <c r="B11" s="40">
        <v>12.037039</v>
      </c>
      <c r="C11" s="40">
        <v>-4.2111754000000001</v>
      </c>
      <c r="D11" s="40">
        <v>1.180768</v>
      </c>
      <c r="E11" s="40">
        <v>-9.4949010000000005</v>
      </c>
      <c r="F11" s="40">
        <v>-4.4909420000000004</v>
      </c>
      <c r="G11" s="40">
        <v>0.13849734999999999</v>
      </c>
      <c r="H11" s="40">
        <v>-7.331353</v>
      </c>
      <c r="I11" s="40">
        <v>19.760978999999999</v>
      </c>
      <c r="J11" s="40">
        <v>14.498711</v>
      </c>
      <c r="K11" s="47">
        <v>-9.0540649999999996</v>
      </c>
      <c r="L11" s="47">
        <v>-4.6979666</v>
      </c>
      <c r="M11" s="47">
        <v>-6.5948304999999996</v>
      </c>
      <c r="N11" s="47">
        <v>-9.2173870000000004</v>
      </c>
    </row>
    <row r="12" spans="1:14" x14ac:dyDescent="0.35">
      <c r="A12" s="2">
        <v>42039</v>
      </c>
      <c r="B12" s="40">
        <v>9.2100030000000004</v>
      </c>
      <c r="C12" s="40">
        <v>2.5043250000000001</v>
      </c>
      <c r="D12" s="40">
        <v>1.0248303000000001</v>
      </c>
      <c r="E12" s="40">
        <v>-0.67827700000000002</v>
      </c>
      <c r="F12" s="40">
        <v>6.1994790000000002</v>
      </c>
      <c r="G12" s="40">
        <v>4.3235419999999998</v>
      </c>
      <c r="H12" s="40">
        <v>0.51655770000000001</v>
      </c>
      <c r="I12" s="40">
        <v>23.005915000000002</v>
      </c>
      <c r="J12" s="40">
        <v>18.621492</v>
      </c>
      <c r="K12" s="47">
        <v>-2.0400106999999998</v>
      </c>
      <c r="L12" s="47">
        <v>1.342392</v>
      </c>
      <c r="M12" s="47">
        <v>-0.58133005999999998</v>
      </c>
      <c r="N12" s="47">
        <v>-6.6978929999999997</v>
      </c>
    </row>
    <row r="13" spans="1:14" x14ac:dyDescent="0.35">
      <c r="A13" s="2">
        <v>42067</v>
      </c>
      <c r="B13" s="40">
        <v>5.8626769999999997</v>
      </c>
      <c r="C13" s="40">
        <v>-1.6208589</v>
      </c>
      <c r="D13" s="40">
        <v>-2.5491416</v>
      </c>
      <c r="E13" s="40">
        <v>-4.1408833999999999</v>
      </c>
      <c r="F13" s="40">
        <v>6.7631125000000001</v>
      </c>
      <c r="G13" s="40">
        <v>-0.47153830000000002</v>
      </c>
      <c r="H13" s="40">
        <v>-4.7300816000000001</v>
      </c>
      <c r="I13" s="40">
        <v>20.754660000000001</v>
      </c>
      <c r="J13" s="40">
        <v>14.263177000000001</v>
      </c>
      <c r="K13" s="47">
        <v>-6.861758</v>
      </c>
      <c r="L13" s="47">
        <v>1.7083287</v>
      </c>
      <c r="M13" s="47">
        <v>-1.7913342000000001</v>
      </c>
      <c r="N13" s="47">
        <v>-10.019177000000001</v>
      </c>
    </row>
    <row r="14" spans="1:14" x14ac:dyDescent="0.35">
      <c r="A14" s="2">
        <v>42096</v>
      </c>
      <c r="B14" s="40">
        <v>0.28384924</v>
      </c>
      <c r="C14" s="40">
        <v>-7.1191072000000002</v>
      </c>
      <c r="D14" s="40">
        <v>-5.4311695000000002</v>
      </c>
      <c r="E14" s="40">
        <v>-1.9275844</v>
      </c>
      <c r="F14" s="40">
        <v>12.14695</v>
      </c>
      <c r="G14" s="40">
        <v>0.28125048000000002</v>
      </c>
      <c r="H14" s="40">
        <v>-5.8742704000000003</v>
      </c>
      <c r="I14" s="40">
        <v>18.836200000000002</v>
      </c>
      <c r="J14" s="40">
        <v>11.4277</v>
      </c>
      <c r="K14" s="47">
        <v>-7.0757684999999997</v>
      </c>
      <c r="L14" s="47">
        <v>0.70918800000000004</v>
      </c>
      <c r="M14" s="47">
        <v>-5.0725579999999999</v>
      </c>
      <c r="N14" s="47">
        <v>-12.893075</v>
      </c>
    </row>
    <row r="15" spans="1:14" x14ac:dyDescent="0.35">
      <c r="A15" s="2">
        <v>42128</v>
      </c>
      <c r="B15" s="40">
        <v>-3.0759810999999999</v>
      </c>
      <c r="C15" s="40">
        <v>-6.6057323999999999</v>
      </c>
      <c r="D15" s="40">
        <v>-2.2017598</v>
      </c>
      <c r="E15" s="40">
        <v>-2.7819932000000001</v>
      </c>
      <c r="F15" s="40">
        <v>18.276978</v>
      </c>
      <c r="G15" s="40">
        <v>2.2981524000000002</v>
      </c>
      <c r="H15" s="40">
        <v>-4.5517444999999999</v>
      </c>
      <c r="I15" s="40">
        <v>26.234686</v>
      </c>
      <c r="J15" s="40">
        <v>14.561844000000001</v>
      </c>
      <c r="K15" s="47">
        <v>-5.9756400000000003</v>
      </c>
      <c r="L15" s="47">
        <v>5.0647019999999996</v>
      </c>
      <c r="M15" s="47">
        <v>-3.7364483000000002</v>
      </c>
      <c r="N15" s="47">
        <v>-12.277984999999999</v>
      </c>
    </row>
    <row r="16" spans="1:14" x14ac:dyDescent="0.35">
      <c r="A16" s="2">
        <v>42159</v>
      </c>
      <c r="B16" s="40">
        <v>-2.9363869999999999</v>
      </c>
      <c r="C16" s="40">
        <v>-13.72115</v>
      </c>
      <c r="D16" s="40">
        <v>-8.2230624999999993</v>
      </c>
      <c r="E16" s="40">
        <v>-6.2819776999999997</v>
      </c>
      <c r="F16" s="40">
        <v>12.109602000000001</v>
      </c>
      <c r="G16" s="40">
        <v>2.9393435000000001</v>
      </c>
      <c r="H16" s="40">
        <v>-5.9147360000000004</v>
      </c>
      <c r="I16" s="40">
        <v>21.040641999999998</v>
      </c>
      <c r="J16" s="40">
        <v>10.891318</v>
      </c>
      <c r="K16" s="47">
        <v>-6.7503510000000002</v>
      </c>
      <c r="L16" s="47">
        <v>4.9874543999999998</v>
      </c>
      <c r="M16" s="47">
        <v>-3.4291624999999999</v>
      </c>
      <c r="N16" s="47">
        <v>-9.2845549999999992</v>
      </c>
    </row>
    <row r="17" spans="1:14" x14ac:dyDescent="0.35">
      <c r="A17" s="2">
        <v>42187</v>
      </c>
      <c r="B17" s="40">
        <v>-12.836796</v>
      </c>
      <c r="C17" s="40">
        <v>-14.640504</v>
      </c>
      <c r="D17" s="40">
        <v>-15.785461</v>
      </c>
      <c r="E17" s="40">
        <v>-9.2121960000000005</v>
      </c>
      <c r="F17" s="40">
        <v>6.7215920000000002</v>
      </c>
      <c r="G17" s="40">
        <v>-1.6312002999999999</v>
      </c>
      <c r="H17" s="40">
        <v>-9.8944010000000002</v>
      </c>
      <c r="I17" s="40">
        <v>14.729749999999999</v>
      </c>
      <c r="J17" s="40">
        <v>7.1738359999999997</v>
      </c>
      <c r="K17" s="47">
        <v>-9.4789739999999991</v>
      </c>
      <c r="L17" s="47">
        <v>1.3664007</v>
      </c>
      <c r="M17" s="47">
        <v>-7.0961832999999999</v>
      </c>
      <c r="N17" s="47">
        <v>-13.228624999999999</v>
      </c>
    </row>
    <row r="18" spans="1:14" x14ac:dyDescent="0.35">
      <c r="A18" s="2">
        <v>42220</v>
      </c>
      <c r="B18" s="40">
        <v>-9.5114470000000004</v>
      </c>
      <c r="C18" s="40">
        <v>-15.932869999999999</v>
      </c>
      <c r="D18" s="40">
        <v>-19.010645</v>
      </c>
      <c r="E18" s="40">
        <v>0.88648795999999996</v>
      </c>
      <c r="F18" s="40">
        <v>8.2509630000000005</v>
      </c>
      <c r="G18" s="40">
        <v>6.4300300000000004</v>
      </c>
      <c r="H18" s="40">
        <v>-5.6487502999999997</v>
      </c>
      <c r="I18" s="40">
        <v>18.112563999999999</v>
      </c>
      <c r="J18" s="40">
        <v>10.108625</v>
      </c>
      <c r="K18" s="47">
        <v>0.60340165999999995</v>
      </c>
      <c r="L18" s="47">
        <v>13.177835</v>
      </c>
      <c r="M18" s="47">
        <v>-2.9003440999999999</v>
      </c>
      <c r="N18" s="47">
        <v>-4.3913719999999996</v>
      </c>
    </row>
    <row r="19" spans="1:14" x14ac:dyDescent="0.35">
      <c r="A19" s="2">
        <v>42251</v>
      </c>
      <c r="B19" s="40">
        <v>-18.822787999999999</v>
      </c>
      <c r="C19" s="40">
        <v>-31.930900000000001</v>
      </c>
      <c r="D19" s="40">
        <v>-27.210014000000001</v>
      </c>
      <c r="E19" s="40">
        <v>-10.846418</v>
      </c>
      <c r="F19" s="40">
        <v>-2.3050785</v>
      </c>
      <c r="G19" s="40">
        <v>-5.4431019999999997</v>
      </c>
      <c r="H19" s="40">
        <v>-16.781504000000002</v>
      </c>
      <c r="I19" s="40">
        <v>3.8896202999999998</v>
      </c>
      <c r="J19" s="40">
        <v>-1.9180060000000001</v>
      </c>
      <c r="K19" s="47">
        <v>-10.727442</v>
      </c>
      <c r="L19" s="47">
        <v>-2.4596930000000001</v>
      </c>
      <c r="M19" s="47">
        <v>-8.7947729999999993</v>
      </c>
      <c r="N19" s="47">
        <v>-10.47247</v>
      </c>
    </row>
    <row r="20" spans="1:14" x14ac:dyDescent="0.35">
      <c r="A20" s="2">
        <v>42279</v>
      </c>
      <c r="B20" s="40">
        <v>-12.216578999999999</v>
      </c>
      <c r="C20" s="40">
        <v>-19.851887000000001</v>
      </c>
      <c r="D20" s="40">
        <v>-21.478992000000002</v>
      </c>
      <c r="E20" s="40">
        <v>-6.7425069999999998</v>
      </c>
      <c r="F20" s="40">
        <v>3.6767601999999999</v>
      </c>
      <c r="G20" s="40">
        <v>-0.75019599999999997</v>
      </c>
      <c r="H20" s="40">
        <v>-7.3083159999999996</v>
      </c>
      <c r="I20" s="40">
        <v>8.1525920000000003</v>
      </c>
      <c r="J20" s="40">
        <v>2.3498535</v>
      </c>
      <c r="K20" s="47">
        <v>-2.8776407000000002</v>
      </c>
      <c r="L20" s="47">
        <v>2.3431299999999999</v>
      </c>
      <c r="M20" s="47">
        <v>-4.9015402999999997</v>
      </c>
      <c r="N20" s="47">
        <v>-0.44898389999999999</v>
      </c>
    </row>
    <row r="21" spans="1:14" x14ac:dyDescent="0.35">
      <c r="A21" s="2">
        <v>42312</v>
      </c>
      <c r="B21" s="40">
        <v>-4.7795056999999996</v>
      </c>
      <c r="C21" s="40">
        <v>-19.895379999999999</v>
      </c>
      <c r="D21" s="40">
        <v>-15.639472</v>
      </c>
      <c r="E21" s="40">
        <v>1.6219258000000001</v>
      </c>
      <c r="F21" s="40">
        <v>5.5435059999999998</v>
      </c>
      <c r="G21" s="40">
        <v>1.8128036999999999</v>
      </c>
      <c r="H21" s="40">
        <v>-2.4153829</v>
      </c>
      <c r="I21" s="40">
        <v>14.704250999999999</v>
      </c>
      <c r="J21" s="40">
        <v>6.7382574000000002</v>
      </c>
      <c r="K21" s="47">
        <v>5.702877</v>
      </c>
      <c r="L21" s="47">
        <v>7.9419849999999999</v>
      </c>
      <c r="M21" s="47">
        <v>-2.6562749999999999</v>
      </c>
      <c r="N21" s="47">
        <v>4.1851640000000003</v>
      </c>
    </row>
    <row r="22" spans="1:14" x14ac:dyDescent="0.35">
      <c r="A22" s="2">
        <v>42342</v>
      </c>
      <c r="B22" s="40">
        <v>-3.8832843000000001</v>
      </c>
      <c r="C22" s="40">
        <v>-12.891959999999999</v>
      </c>
      <c r="D22" s="40">
        <v>-19.893826000000001</v>
      </c>
      <c r="E22" s="40">
        <v>-3.8689136999999998</v>
      </c>
      <c r="F22" s="40">
        <v>6.9516179999999999</v>
      </c>
      <c r="G22" s="40">
        <v>-2.2881507999999999</v>
      </c>
      <c r="H22" s="40">
        <v>-7.2867927999999997</v>
      </c>
      <c r="I22" s="40">
        <v>10.454129999999999</v>
      </c>
      <c r="J22" s="40">
        <v>2.9873967000000001</v>
      </c>
      <c r="K22" s="47">
        <v>-1.1477470000000001</v>
      </c>
      <c r="L22" s="47">
        <v>0.46011210000000002</v>
      </c>
      <c r="M22" s="47">
        <v>-4.1704835999999998</v>
      </c>
      <c r="N22" s="47">
        <v>2.4690032</v>
      </c>
    </row>
    <row r="23" spans="1:14" x14ac:dyDescent="0.35">
      <c r="A23" s="2">
        <v>42373</v>
      </c>
      <c r="B23" s="40">
        <v>-1.8617272</v>
      </c>
      <c r="C23" s="40">
        <v>-10.913807</v>
      </c>
      <c r="D23" s="40">
        <v>-24.562103</v>
      </c>
      <c r="E23" s="40">
        <v>-4.6789589999999999</v>
      </c>
      <c r="F23" s="40">
        <v>7.2600245000000001</v>
      </c>
      <c r="G23" s="40">
        <v>-0.33936500000000003</v>
      </c>
      <c r="H23" s="40">
        <v>-7.6579810000000004</v>
      </c>
      <c r="I23" s="40">
        <v>7.4600099999999996</v>
      </c>
      <c r="J23" s="40">
        <v>-0.11036396</v>
      </c>
      <c r="K23" s="47">
        <v>-0.85244180000000003</v>
      </c>
      <c r="L23" s="47">
        <v>0.30311346</v>
      </c>
      <c r="M23" s="47">
        <v>-5.8746869999999998</v>
      </c>
      <c r="N23" s="47">
        <v>1.395297</v>
      </c>
    </row>
    <row r="24" spans="1:14" x14ac:dyDescent="0.35">
      <c r="A24" s="2">
        <v>42404</v>
      </c>
      <c r="B24" s="40">
        <v>-4.4639170000000004</v>
      </c>
      <c r="C24" s="40">
        <v>-18.246496</v>
      </c>
      <c r="D24" s="40">
        <v>-20.604647</v>
      </c>
      <c r="E24" s="40">
        <v>-14.831072000000001</v>
      </c>
      <c r="F24" s="40">
        <v>-3.1956017000000001</v>
      </c>
      <c r="G24" s="40">
        <v>-8.9074609999999996</v>
      </c>
      <c r="H24" s="40">
        <v>-14.74616</v>
      </c>
      <c r="I24" s="40">
        <v>-0.17586350000000001</v>
      </c>
      <c r="J24" s="40">
        <v>-4.1517075999999999</v>
      </c>
      <c r="K24" s="47">
        <v>-7.4794650000000003</v>
      </c>
      <c r="L24" s="47">
        <v>-1.3784349</v>
      </c>
      <c r="M24" s="47">
        <v>-12.683648</v>
      </c>
      <c r="N24" s="47">
        <v>-14.200526</v>
      </c>
    </row>
    <row r="25" spans="1:14" x14ac:dyDescent="0.35">
      <c r="A25" s="2">
        <v>42433</v>
      </c>
      <c r="B25" s="40">
        <v>-2.1920739999999999</v>
      </c>
      <c r="C25" s="40">
        <v>-14.942569000000001</v>
      </c>
      <c r="D25" s="40">
        <v>-17.161304000000001</v>
      </c>
      <c r="E25" s="40">
        <v>-15.070605</v>
      </c>
      <c r="F25" s="40">
        <v>-4.8743067</v>
      </c>
      <c r="G25" s="40">
        <v>-9.4113589999999991</v>
      </c>
      <c r="H25" s="40">
        <v>-14.261234</v>
      </c>
      <c r="I25" s="40">
        <v>-1.5673637</v>
      </c>
      <c r="J25" s="40">
        <v>-2.6772081999999999</v>
      </c>
      <c r="K25" s="47">
        <v>-7.8093886000000001</v>
      </c>
      <c r="L25" s="47">
        <v>-5.7332096000000003</v>
      </c>
      <c r="M25" s="47">
        <v>-13.995302000000001</v>
      </c>
      <c r="N25" s="47">
        <v>-16.571290000000001</v>
      </c>
    </row>
    <row r="26" spans="1:14" x14ac:dyDescent="0.35">
      <c r="A26" s="2">
        <v>42464</v>
      </c>
      <c r="B26" s="40">
        <v>5.0164580000000001</v>
      </c>
      <c r="C26" s="40">
        <v>-13.134086999999999</v>
      </c>
      <c r="D26" s="40">
        <v>-13.794129999999999</v>
      </c>
      <c r="E26" s="40">
        <v>-14.801168000000001</v>
      </c>
      <c r="F26" s="40">
        <v>-11.208916</v>
      </c>
      <c r="G26" s="40">
        <v>-10.270101</v>
      </c>
      <c r="H26" s="40">
        <v>-11.192542</v>
      </c>
      <c r="I26" s="40">
        <v>5.7254075999999996</v>
      </c>
      <c r="J26" s="40">
        <v>2.0622253000000001</v>
      </c>
      <c r="K26" s="47">
        <v>-7.8528643000000002</v>
      </c>
      <c r="L26" s="47">
        <v>-3.7789880999999999</v>
      </c>
      <c r="M26" s="47">
        <v>-9.6211140000000004</v>
      </c>
      <c r="N26" s="47">
        <v>-19.696498999999999</v>
      </c>
    </row>
    <row r="27" spans="1:14" x14ac:dyDescent="0.35">
      <c r="A27" s="2">
        <v>42494</v>
      </c>
      <c r="B27" s="40">
        <v>7.2190165999999998</v>
      </c>
      <c r="C27" s="40">
        <v>-12.211114</v>
      </c>
      <c r="D27" s="40">
        <v>-15.865517000000001</v>
      </c>
      <c r="E27" s="40">
        <v>-12.754554000000001</v>
      </c>
      <c r="F27" s="40">
        <v>-11.611825</v>
      </c>
      <c r="G27" s="40">
        <v>-11.954176</v>
      </c>
      <c r="H27" s="40">
        <v>-14.845878000000001</v>
      </c>
      <c r="I27" s="40">
        <v>-2.7783275000000001</v>
      </c>
      <c r="J27" s="40">
        <v>-0.89654920000000005</v>
      </c>
      <c r="K27" s="47">
        <v>-9.3245450000000005</v>
      </c>
      <c r="L27" s="47">
        <v>-5.7922305999999999</v>
      </c>
      <c r="M27" s="47">
        <v>-11.373162000000001</v>
      </c>
      <c r="N27" s="47">
        <v>-18.966388999999999</v>
      </c>
    </row>
    <row r="28" spans="1:14" x14ac:dyDescent="0.35">
      <c r="A28" s="2">
        <v>42524</v>
      </c>
      <c r="B28" s="40">
        <v>16.923582</v>
      </c>
      <c r="C28" s="40">
        <v>-7.2332200000000002</v>
      </c>
      <c r="D28" s="40">
        <v>-8.6552089999999993</v>
      </c>
      <c r="E28" s="40">
        <v>-10.647945999999999</v>
      </c>
      <c r="F28" s="40">
        <v>-9.5582250000000002</v>
      </c>
      <c r="G28" s="40">
        <v>-10.641277000000001</v>
      </c>
      <c r="H28" s="40">
        <v>-12.084693</v>
      </c>
      <c r="I28" s="40">
        <v>0.77885389999999999</v>
      </c>
      <c r="J28" s="40">
        <v>1.3632177999999999</v>
      </c>
      <c r="K28" s="47">
        <v>-8.1042400000000008</v>
      </c>
      <c r="L28" s="47">
        <v>-4.4510484000000003</v>
      </c>
      <c r="M28" s="47">
        <v>-11.648296999999999</v>
      </c>
      <c r="N28" s="47">
        <v>-22.936416999999999</v>
      </c>
    </row>
    <row r="29" spans="1:14" x14ac:dyDescent="0.35">
      <c r="A29" s="2">
        <v>42552</v>
      </c>
      <c r="B29" s="40">
        <v>28.644062000000002</v>
      </c>
      <c r="C29" s="40">
        <v>-4.1840973000000004</v>
      </c>
      <c r="D29" s="40">
        <v>-4.4914006999999998</v>
      </c>
      <c r="E29" s="40">
        <v>-12.140440999999999</v>
      </c>
      <c r="F29" s="40">
        <v>-9.6485909999999997</v>
      </c>
      <c r="G29" s="40">
        <v>-7.0082664000000001</v>
      </c>
      <c r="H29" s="40">
        <v>-12.171942</v>
      </c>
      <c r="I29" s="40">
        <v>1.2783289</v>
      </c>
      <c r="J29" s="40">
        <v>3.3800840000000001</v>
      </c>
      <c r="K29" s="47">
        <v>-9.0838669999999997</v>
      </c>
      <c r="L29" s="47">
        <v>-9.1708719999999992</v>
      </c>
      <c r="M29" s="47">
        <v>-11.095184</v>
      </c>
      <c r="N29" s="47">
        <v>-26.031101</v>
      </c>
    </row>
    <row r="30" spans="1:14" x14ac:dyDescent="0.35">
      <c r="A30" s="2">
        <v>42586</v>
      </c>
      <c r="B30" s="40">
        <v>37.555813000000001</v>
      </c>
      <c r="C30" s="40">
        <v>2.1245121999999999</v>
      </c>
      <c r="D30" s="40">
        <v>1.0770559</v>
      </c>
      <c r="E30" s="40">
        <v>-9.1347100000000001</v>
      </c>
      <c r="F30" s="40">
        <v>-4.7885536999999996</v>
      </c>
      <c r="G30" s="40">
        <v>-9.4566579999999991</v>
      </c>
      <c r="H30" s="40">
        <v>-12.086546</v>
      </c>
      <c r="I30" s="40">
        <v>5.0141096000000003</v>
      </c>
      <c r="J30" s="40">
        <v>5.6187389999999997</v>
      </c>
      <c r="K30" s="47">
        <v>-9.8939299999999992</v>
      </c>
      <c r="L30" s="47">
        <v>-8.5936730000000008</v>
      </c>
      <c r="M30" s="47">
        <v>-8.7044060000000005</v>
      </c>
      <c r="N30" s="47">
        <v>-27.525585</v>
      </c>
    </row>
    <row r="31" spans="1:14" x14ac:dyDescent="0.35">
      <c r="A31" s="2">
        <v>42615</v>
      </c>
      <c r="B31" s="40">
        <v>54.736170000000001</v>
      </c>
      <c r="C31" s="40">
        <v>16.572071000000001</v>
      </c>
      <c r="D31" s="40">
        <v>12.184143000000001</v>
      </c>
      <c r="E31" s="40">
        <v>4.3566823000000001</v>
      </c>
      <c r="F31" s="40">
        <v>7.3879479999999997</v>
      </c>
      <c r="G31" s="40">
        <v>0.49598217</v>
      </c>
      <c r="H31" s="40">
        <v>1.2027383</v>
      </c>
      <c r="I31" s="40">
        <v>13.995767000000001</v>
      </c>
      <c r="J31" s="40">
        <v>14.194632</v>
      </c>
      <c r="K31" s="47">
        <v>1.7862081999999999</v>
      </c>
      <c r="L31" s="47">
        <v>7.4507833000000003</v>
      </c>
      <c r="M31" s="47">
        <v>0.40832758000000002</v>
      </c>
      <c r="N31" s="47">
        <v>-19.122028</v>
      </c>
    </row>
    <row r="32" spans="1:14" x14ac:dyDescent="0.35">
      <c r="A32" s="2">
        <v>42647</v>
      </c>
      <c r="B32" s="40">
        <v>47.15737</v>
      </c>
      <c r="C32" s="40">
        <v>18.702256999999999</v>
      </c>
      <c r="D32" s="40">
        <v>10.388589</v>
      </c>
      <c r="E32" s="40">
        <v>8.2807659999999998</v>
      </c>
      <c r="F32" s="40">
        <v>8.3248139999999999</v>
      </c>
      <c r="G32" s="40">
        <v>0.77385899999999996</v>
      </c>
      <c r="H32" s="40">
        <v>-1.7360865999999999</v>
      </c>
      <c r="I32" s="40">
        <v>15.094851999999999</v>
      </c>
      <c r="J32" s="40">
        <v>12.476826000000001</v>
      </c>
      <c r="K32" s="47">
        <v>1.4795780000000001</v>
      </c>
      <c r="L32" s="47">
        <v>8.0030560000000008</v>
      </c>
      <c r="M32" s="47">
        <v>3.0256748</v>
      </c>
      <c r="N32" s="47">
        <v>-23.70242</v>
      </c>
    </row>
    <row r="33" spans="1:14" x14ac:dyDescent="0.35">
      <c r="A33" s="2">
        <v>42678</v>
      </c>
      <c r="B33" s="40">
        <v>21.719158</v>
      </c>
      <c r="C33" s="40">
        <v>9.2457180000000001</v>
      </c>
      <c r="D33" s="40">
        <v>6.210375</v>
      </c>
      <c r="E33" s="40">
        <v>-3.9027571999999999</v>
      </c>
      <c r="F33" s="40">
        <v>1.8563746999999999</v>
      </c>
      <c r="G33" s="40">
        <v>-7.6879206</v>
      </c>
      <c r="H33" s="40">
        <v>-12.776971</v>
      </c>
      <c r="I33" s="40">
        <v>-7.2407719999999995E-2</v>
      </c>
      <c r="J33" s="40">
        <v>1.2868762</v>
      </c>
      <c r="K33" s="47">
        <v>-6.2887849999999998</v>
      </c>
      <c r="L33" s="47">
        <v>-2.4919986999999999</v>
      </c>
      <c r="M33" s="47">
        <v>-8.1096229999999991</v>
      </c>
      <c r="N33" s="47">
        <v>-23.391169000000001</v>
      </c>
    </row>
    <row r="34" spans="1:14" x14ac:dyDescent="0.35">
      <c r="A34" s="2">
        <v>42706</v>
      </c>
      <c r="B34" s="40">
        <v>21.443928</v>
      </c>
      <c r="C34" s="40">
        <v>11.010479999999999</v>
      </c>
      <c r="D34" s="40">
        <v>15.108955</v>
      </c>
      <c r="E34" s="40">
        <v>-5.5491029999999997</v>
      </c>
      <c r="F34" s="40">
        <v>0.99806786000000003</v>
      </c>
      <c r="G34" s="40">
        <v>-6.3671170000000004</v>
      </c>
      <c r="H34" s="40">
        <v>-7.2517513999999998</v>
      </c>
      <c r="I34" s="40">
        <v>2.2367119999999998</v>
      </c>
      <c r="J34" s="40">
        <v>7.6292156999999996</v>
      </c>
      <c r="K34" s="47">
        <v>-3.5247684000000001</v>
      </c>
      <c r="L34" s="47">
        <v>-3.5498976999999998</v>
      </c>
      <c r="M34" s="47">
        <v>-5.7389080000000003</v>
      </c>
      <c r="N34" s="47">
        <v>-19.61515</v>
      </c>
    </row>
    <row r="35" spans="1:14" x14ac:dyDescent="0.35">
      <c r="A35" s="2">
        <v>42739</v>
      </c>
      <c r="B35" s="40">
        <v>14.096558</v>
      </c>
      <c r="C35" s="40">
        <v>16.101790000000001</v>
      </c>
      <c r="D35" s="40">
        <v>28.464580000000002</v>
      </c>
      <c r="E35" s="40">
        <v>6.8748592999999998</v>
      </c>
      <c r="F35" s="40">
        <v>7.3821899999999996</v>
      </c>
      <c r="G35" s="40">
        <v>-5.2011013000000002E-2</v>
      </c>
      <c r="H35" s="40">
        <v>1.7604112999999999</v>
      </c>
      <c r="I35" s="40">
        <v>10.988759999999999</v>
      </c>
      <c r="J35" s="40">
        <v>15.13958</v>
      </c>
      <c r="K35" s="47">
        <v>7.3120832</v>
      </c>
      <c r="L35" s="47">
        <v>6.5652369999999998</v>
      </c>
      <c r="M35" s="47">
        <v>5.8322310000000002</v>
      </c>
      <c r="N35" s="47">
        <v>-5.4777265000000002</v>
      </c>
    </row>
    <row r="36" spans="1:14" x14ac:dyDescent="0.35">
      <c r="A36" s="2">
        <v>42769</v>
      </c>
      <c r="B36" s="40">
        <v>27.463282</v>
      </c>
      <c r="C36" s="40">
        <v>29.576896999999999</v>
      </c>
      <c r="D36" s="40">
        <v>32.828667000000003</v>
      </c>
      <c r="E36" s="40">
        <v>17.315186000000001</v>
      </c>
      <c r="F36" s="40">
        <v>16.514289999999999</v>
      </c>
      <c r="G36" s="40">
        <v>8.6526984999999996</v>
      </c>
      <c r="H36" s="40">
        <v>8.1436399999999995</v>
      </c>
      <c r="I36" s="40">
        <v>25.008858</v>
      </c>
      <c r="J36" s="40">
        <v>22.463142000000001</v>
      </c>
      <c r="K36" s="47">
        <v>12.883604</v>
      </c>
      <c r="L36" s="47">
        <v>11.445176999999999</v>
      </c>
      <c r="M36" s="47">
        <v>19.782506999999999</v>
      </c>
      <c r="N36" s="47">
        <v>8.5325240000000004</v>
      </c>
    </row>
    <row r="37" spans="1:14" x14ac:dyDescent="0.35">
      <c r="A37" s="2">
        <v>42797</v>
      </c>
      <c r="B37" s="40">
        <v>17.188692</v>
      </c>
      <c r="C37" s="40">
        <v>22.263348000000001</v>
      </c>
      <c r="D37" s="40">
        <v>22.034157</v>
      </c>
      <c r="E37" s="40">
        <v>17.252659000000001</v>
      </c>
      <c r="F37" s="40">
        <v>14.879189999999999</v>
      </c>
      <c r="G37" s="40">
        <v>10.033810000000001</v>
      </c>
      <c r="H37" s="40">
        <v>7.5464130000000003</v>
      </c>
      <c r="I37" s="40">
        <v>25.422405000000001</v>
      </c>
      <c r="J37" s="40">
        <v>21.910799000000001</v>
      </c>
      <c r="K37" s="47">
        <v>12.234127000000001</v>
      </c>
      <c r="L37" s="47">
        <v>13.771713</v>
      </c>
      <c r="M37" s="47">
        <v>13.188065</v>
      </c>
      <c r="N37" s="47">
        <v>5.9138774999999999</v>
      </c>
    </row>
    <row r="38" spans="1:14" x14ac:dyDescent="0.35">
      <c r="A38" s="2">
        <v>42829</v>
      </c>
      <c r="B38" s="40">
        <v>9.8273390000000003</v>
      </c>
      <c r="C38" s="40">
        <v>23.461746000000002</v>
      </c>
      <c r="D38" s="40">
        <v>17.342054000000001</v>
      </c>
      <c r="E38" s="40">
        <v>15.898585000000001</v>
      </c>
      <c r="F38" s="40">
        <v>18.147040000000001</v>
      </c>
      <c r="G38" s="40">
        <v>11.012231999999999</v>
      </c>
      <c r="H38" s="40">
        <v>8.0206759999999999</v>
      </c>
      <c r="I38" s="40">
        <v>21.769141999999999</v>
      </c>
      <c r="J38" s="40">
        <v>16.537261999999998</v>
      </c>
      <c r="K38" s="47">
        <v>13.636647999999999</v>
      </c>
      <c r="L38" s="47">
        <v>12.445175000000001</v>
      </c>
      <c r="M38" s="47">
        <v>9.8042964999999995</v>
      </c>
      <c r="N38" s="47">
        <v>11.443256999999999</v>
      </c>
    </row>
    <row r="39" spans="1:14" x14ac:dyDescent="0.35">
      <c r="A39" s="2">
        <v>42859</v>
      </c>
      <c r="B39" s="40">
        <v>7.5098039999999999</v>
      </c>
      <c r="C39" s="40">
        <v>17.359234000000001</v>
      </c>
      <c r="D39" s="40">
        <v>8.7536930000000002</v>
      </c>
      <c r="E39" s="40">
        <v>21.236504</v>
      </c>
      <c r="F39" s="40">
        <v>17.155956</v>
      </c>
      <c r="G39" s="40">
        <v>16.625643</v>
      </c>
      <c r="H39" s="40">
        <v>9.4096299999999999</v>
      </c>
      <c r="I39" s="40">
        <v>31.794011999999999</v>
      </c>
      <c r="J39" s="40">
        <v>18.875205999999999</v>
      </c>
      <c r="K39" s="47">
        <v>22.73959</v>
      </c>
      <c r="L39" s="47">
        <v>22.146045999999998</v>
      </c>
      <c r="M39" s="47">
        <v>19.954073000000001</v>
      </c>
      <c r="N39" s="47">
        <v>16.126871000000001</v>
      </c>
    </row>
    <row r="40" spans="1:14" x14ac:dyDescent="0.35">
      <c r="A40" s="2">
        <v>42888</v>
      </c>
      <c r="B40" s="40">
        <v>12.160254</v>
      </c>
      <c r="C40" s="40">
        <v>17.368756999999999</v>
      </c>
      <c r="D40" s="40">
        <v>8.9574929999999995</v>
      </c>
      <c r="E40" s="40">
        <v>24.889278000000001</v>
      </c>
      <c r="F40" s="40">
        <v>19.830168</v>
      </c>
      <c r="G40" s="40">
        <v>18.078375000000001</v>
      </c>
      <c r="H40" s="40">
        <v>12.274896999999999</v>
      </c>
      <c r="I40" s="40">
        <v>31.068587999999998</v>
      </c>
      <c r="J40" s="40">
        <v>18.167995000000001</v>
      </c>
      <c r="K40" s="47">
        <v>24.418545000000002</v>
      </c>
      <c r="L40" s="47">
        <v>22.377776999999998</v>
      </c>
      <c r="M40" s="47">
        <v>21.915959999999998</v>
      </c>
      <c r="N40" s="47">
        <v>22.102844000000001</v>
      </c>
    </row>
    <row r="41" spans="1:14" x14ac:dyDescent="0.35">
      <c r="A41" s="2">
        <v>42919</v>
      </c>
      <c r="B41" s="40">
        <v>11.530256</v>
      </c>
      <c r="C41" s="40">
        <v>15.886378000000001</v>
      </c>
      <c r="D41" s="40">
        <v>10.485638</v>
      </c>
      <c r="E41" s="40">
        <v>28.070091000000001</v>
      </c>
      <c r="F41" s="40">
        <v>18.388866</v>
      </c>
      <c r="G41" s="40">
        <v>17.698383</v>
      </c>
      <c r="H41" s="40">
        <v>12.39264</v>
      </c>
      <c r="I41" s="40">
        <v>27.310658</v>
      </c>
      <c r="J41" s="40">
        <v>17.731262000000001</v>
      </c>
      <c r="K41" s="47">
        <v>28.231466000000001</v>
      </c>
      <c r="L41" s="47">
        <v>28.129650000000002</v>
      </c>
      <c r="M41" s="47">
        <v>26.529561999999999</v>
      </c>
      <c r="N41" s="47">
        <v>33.198081999999999</v>
      </c>
    </row>
    <row r="42" spans="1:14" x14ac:dyDescent="0.35">
      <c r="A42" s="2">
        <v>42951</v>
      </c>
      <c r="B42" s="40">
        <v>8.6586239999999997</v>
      </c>
      <c r="C42" s="40">
        <v>14.530647</v>
      </c>
      <c r="D42" s="40">
        <v>12.5300045</v>
      </c>
      <c r="E42" s="40">
        <v>25.200676000000001</v>
      </c>
      <c r="F42" s="40">
        <v>16.389084</v>
      </c>
      <c r="G42" s="40">
        <v>18.712389000000002</v>
      </c>
      <c r="H42" s="40">
        <v>14.444172</v>
      </c>
      <c r="I42" s="40">
        <v>25.472867999999998</v>
      </c>
      <c r="J42" s="40">
        <v>16.652965999999999</v>
      </c>
      <c r="K42" s="47">
        <v>30.461407000000001</v>
      </c>
      <c r="L42" s="47">
        <v>33.207703000000002</v>
      </c>
      <c r="M42" s="47">
        <v>26.857018</v>
      </c>
      <c r="N42" s="47">
        <v>44.502685999999997</v>
      </c>
    </row>
    <row r="43" spans="1:14" x14ac:dyDescent="0.35">
      <c r="A43" s="2">
        <v>42979</v>
      </c>
      <c r="B43" s="40">
        <v>3.5515903999999998</v>
      </c>
      <c r="C43" s="40">
        <v>17.78332</v>
      </c>
      <c r="D43" s="40">
        <v>12.299013</v>
      </c>
      <c r="E43" s="40">
        <v>19.625902</v>
      </c>
      <c r="F43" s="40">
        <v>12.134684</v>
      </c>
      <c r="G43" s="40">
        <v>15.711641</v>
      </c>
      <c r="H43" s="40">
        <v>11.007082</v>
      </c>
      <c r="I43" s="40">
        <v>26.356638</v>
      </c>
      <c r="J43" s="40">
        <v>16.328764</v>
      </c>
      <c r="K43" s="47">
        <v>26.241385999999999</v>
      </c>
      <c r="L43" s="47">
        <v>25.774944000000001</v>
      </c>
      <c r="M43" s="47">
        <v>23.978650999999999</v>
      </c>
      <c r="N43" s="47">
        <v>37.509872000000001</v>
      </c>
    </row>
    <row r="44" spans="1:14" x14ac:dyDescent="0.35">
      <c r="A44" s="2">
        <v>43012</v>
      </c>
      <c r="B44" s="40">
        <v>7.0817350000000001</v>
      </c>
      <c r="C44" s="40">
        <v>12.707853</v>
      </c>
      <c r="D44" s="40">
        <v>17.492436999999999</v>
      </c>
      <c r="E44" s="40">
        <v>26.04233</v>
      </c>
      <c r="F44" s="40">
        <v>14.788198</v>
      </c>
      <c r="G44" s="40">
        <v>18.261147000000001</v>
      </c>
      <c r="H44" s="40">
        <v>13.841963</v>
      </c>
      <c r="I44" s="40">
        <v>24.603558</v>
      </c>
      <c r="J44" s="40">
        <v>20.311785</v>
      </c>
      <c r="K44" s="47">
        <v>30.726696</v>
      </c>
      <c r="L44" s="47">
        <v>28.285385000000002</v>
      </c>
      <c r="M44" s="47">
        <v>27.184809000000001</v>
      </c>
      <c r="N44" s="47">
        <v>45.804977000000001</v>
      </c>
    </row>
    <row r="45" spans="1:14" x14ac:dyDescent="0.35">
      <c r="A45" s="2">
        <v>43042</v>
      </c>
      <c r="B45" s="40">
        <v>11.770832</v>
      </c>
      <c r="C45" s="40">
        <v>19.525563999999999</v>
      </c>
      <c r="D45" s="40">
        <v>18.242287000000001</v>
      </c>
      <c r="E45" s="40">
        <v>34.221397000000003</v>
      </c>
      <c r="F45" s="40">
        <v>20.251380000000001</v>
      </c>
      <c r="G45" s="40">
        <v>23.275839999999999</v>
      </c>
      <c r="H45" s="40">
        <v>21.388126</v>
      </c>
      <c r="I45" s="40">
        <v>35.734999999999999</v>
      </c>
      <c r="J45" s="40">
        <v>26.296794999999999</v>
      </c>
      <c r="K45" s="47">
        <v>34.481679999999997</v>
      </c>
      <c r="L45" s="47">
        <v>34.789479999999998</v>
      </c>
      <c r="M45" s="47">
        <v>33.935917000000003</v>
      </c>
      <c r="N45" s="47">
        <v>46.491073999999998</v>
      </c>
    </row>
    <row r="46" spans="1:14" x14ac:dyDescent="0.35">
      <c r="A46" s="2">
        <v>43073</v>
      </c>
      <c r="B46" s="40">
        <v>12.457013</v>
      </c>
      <c r="C46" s="40">
        <v>15.125334000000001</v>
      </c>
      <c r="D46" s="40">
        <v>13.401354</v>
      </c>
      <c r="E46" s="40">
        <v>36.279000000000003</v>
      </c>
      <c r="F46" s="40">
        <v>21.093738999999999</v>
      </c>
      <c r="G46" s="40">
        <v>26.064550000000001</v>
      </c>
      <c r="H46" s="40">
        <v>18.925894</v>
      </c>
      <c r="I46" s="40">
        <v>33.310448000000001</v>
      </c>
      <c r="J46" s="40">
        <v>22.672832</v>
      </c>
      <c r="K46" s="47">
        <v>36.40249</v>
      </c>
      <c r="L46" s="47">
        <v>38.683689999999999</v>
      </c>
      <c r="M46" s="47">
        <v>27.189754000000001</v>
      </c>
      <c r="N46" s="47">
        <v>43.204070000000002</v>
      </c>
    </row>
    <row r="47" spans="1:14" x14ac:dyDescent="0.35">
      <c r="A47" s="2">
        <v>43104</v>
      </c>
      <c r="B47" s="40">
        <v>23.917733999999999</v>
      </c>
      <c r="C47" s="40">
        <v>18.325603000000001</v>
      </c>
      <c r="D47" s="40">
        <v>15.443826</v>
      </c>
      <c r="E47" s="40">
        <v>30.267060000000001</v>
      </c>
      <c r="F47" s="40">
        <v>24.747837000000001</v>
      </c>
      <c r="G47" s="40">
        <v>23.550833000000001</v>
      </c>
      <c r="H47" s="40">
        <v>21.319769999999998</v>
      </c>
      <c r="I47" s="40">
        <v>34.597250000000003</v>
      </c>
      <c r="J47" s="40">
        <v>22.199176999999999</v>
      </c>
      <c r="K47" s="47">
        <v>31.297577</v>
      </c>
      <c r="L47" s="47">
        <v>35.285330000000002</v>
      </c>
      <c r="M47" s="47">
        <v>23.641383999999999</v>
      </c>
      <c r="N47" s="47">
        <v>30.90427</v>
      </c>
    </row>
    <row r="48" spans="1:14" x14ac:dyDescent="0.35">
      <c r="A48" s="2">
        <v>43133</v>
      </c>
      <c r="B48" s="40">
        <v>17.842328999999999</v>
      </c>
      <c r="C48" s="40">
        <v>14.181746</v>
      </c>
      <c r="D48" s="40">
        <v>8.8436009999999996</v>
      </c>
      <c r="E48" s="40">
        <v>25.431501000000001</v>
      </c>
      <c r="F48" s="40">
        <v>24.245811</v>
      </c>
      <c r="G48" s="40">
        <v>21.918571</v>
      </c>
      <c r="H48" s="40">
        <v>20.064354000000002</v>
      </c>
      <c r="I48" s="40">
        <v>32.550002999999997</v>
      </c>
      <c r="J48" s="40">
        <v>23.279357999999998</v>
      </c>
      <c r="K48" s="47">
        <v>32.405650000000001</v>
      </c>
      <c r="L48" s="47">
        <v>34.76502</v>
      </c>
      <c r="M48" s="47">
        <v>18.54335</v>
      </c>
      <c r="N48" s="47">
        <v>41.687249999999999</v>
      </c>
    </row>
    <row r="49" spans="1:14" x14ac:dyDescent="0.35">
      <c r="A49" s="2">
        <v>43161</v>
      </c>
      <c r="B49" s="40">
        <v>19.512165</v>
      </c>
      <c r="C49" s="40">
        <v>8.4839339999999996</v>
      </c>
      <c r="D49" s="40">
        <v>5.1779985000000002</v>
      </c>
      <c r="E49" s="40">
        <v>17.115819999999999</v>
      </c>
      <c r="F49" s="40">
        <v>18.349706999999999</v>
      </c>
      <c r="G49" s="40">
        <v>12.266958000000001</v>
      </c>
      <c r="H49" s="40">
        <v>11.925364</v>
      </c>
      <c r="I49" s="40">
        <v>28.080952</v>
      </c>
      <c r="J49" s="40">
        <v>15.121423999999999</v>
      </c>
      <c r="K49" s="47">
        <v>27.122174999999999</v>
      </c>
      <c r="L49" s="47">
        <v>25.550604</v>
      </c>
      <c r="M49" s="47">
        <v>13.205481000000001</v>
      </c>
      <c r="N49" s="47">
        <v>34.418823000000003</v>
      </c>
    </row>
    <row r="50" spans="1:14" x14ac:dyDescent="0.35">
      <c r="A50" s="2">
        <v>43194</v>
      </c>
      <c r="B50" s="40">
        <v>21.34074</v>
      </c>
      <c r="C50" s="40">
        <v>2.6655793000000001</v>
      </c>
      <c r="D50" s="40">
        <v>4.2054770000000001</v>
      </c>
      <c r="E50" s="40">
        <v>13.197267999999999</v>
      </c>
      <c r="F50" s="40">
        <v>18.388307999999999</v>
      </c>
      <c r="G50" s="40">
        <v>8.0073594999999997</v>
      </c>
      <c r="H50" s="40">
        <v>12.631106000000001</v>
      </c>
      <c r="I50" s="40">
        <v>21.597313</v>
      </c>
      <c r="J50" s="40">
        <v>14.055037499999999</v>
      </c>
      <c r="K50" s="47">
        <v>21.081150000000001</v>
      </c>
      <c r="L50" s="47">
        <v>21.019100000000002</v>
      </c>
      <c r="M50" s="47">
        <v>8.345008</v>
      </c>
      <c r="N50" s="47">
        <v>29.672955999999999</v>
      </c>
    </row>
    <row r="51" spans="1:14" x14ac:dyDescent="0.35">
      <c r="A51" s="2">
        <v>43224</v>
      </c>
      <c r="B51" s="40">
        <v>18.918526</v>
      </c>
      <c r="C51" s="40">
        <v>8.1897850000000005</v>
      </c>
      <c r="D51" s="40">
        <v>12.007177</v>
      </c>
      <c r="E51" s="40">
        <v>10.335504999999999</v>
      </c>
      <c r="F51" s="40">
        <v>17.246115</v>
      </c>
      <c r="G51" s="40">
        <v>1.8988132</v>
      </c>
      <c r="H51" s="40">
        <v>12.908363</v>
      </c>
      <c r="I51" s="40">
        <v>21.353745</v>
      </c>
      <c r="J51" s="40">
        <v>13.538122</v>
      </c>
      <c r="K51" s="47">
        <v>15.145254</v>
      </c>
      <c r="L51" s="47">
        <v>12.538612000000001</v>
      </c>
      <c r="M51" s="47">
        <v>0.78222749999999996</v>
      </c>
      <c r="N51" s="47">
        <v>26.959454999999998</v>
      </c>
    </row>
    <row r="52" spans="1:14" x14ac:dyDescent="0.35">
      <c r="A52" s="2">
        <v>43255</v>
      </c>
      <c r="B52" s="40">
        <v>12.546301</v>
      </c>
      <c r="C52" s="40">
        <v>10.211266</v>
      </c>
      <c r="D52" s="40">
        <v>9.2494370000000004</v>
      </c>
      <c r="E52" s="40">
        <v>3.1723618999999998</v>
      </c>
      <c r="F52" s="40">
        <v>11.671865</v>
      </c>
      <c r="G52" s="40">
        <v>-2.6541470999999999</v>
      </c>
      <c r="H52" s="40">
        <v>8.5155600000000007</v>
      </c>
      <c r="I52" s="40">
        <v>22.553432000000001</v>
      </c>
      <c r="J52" s="40">
        <v>14.728535000000001</v>
      </c>
      <c r="K52" s="47">
        <v>9.7848419999999994</v>
      </c>
      <c r="L52" s="47">
        <v>8.4786529999999996</v>
      </c>
      <c r="M52" s="47">
        <v>-2.0099222999999999</v>
      </c>
      <c r="N52" s="47">
        <v>9.4600790000000003</v>
      </c>
    </row>
    <row r="53" spans="1:14" x14ac:dyDescent="0.35">
      <c r="A53" s="2">
        <v>43284</v>
      </c>
      <c r="B53" s="40">
        <v>9.6837160000000004</v>
      </c>
      <c r="C53" s="40">
        <v>8.5811379999999993</v>
      </c>
      <c r="D53" s="40">
        <v>7.7688813000000003</v>
      </c>
      <c r="E53" s="40">
        <v>1.4526725</v>
      </c>
      <c r="F53" s="40">
        <v>8.1665880000000008</v>
      </c>
      <c r="G53" s="40">
        <v>-2.4191916</v>
      </c>
      <c r="H53" s="40">
        <v>7.9122066000000002</v>
      </c>
      <c r="I53" s="40">
        <v>26.428090999999998</v>
      </c>
      <c r="J53" s="40">
        <v>13.93075</v>
      </c>
      <c r="K53" s="47">
        <v>8.5611104999999998</v>
      </c>
      <c r="L53" s="47">
        <v>7.4743269999999997</v>
      </c>
      <c r="M53" s="47">
        <v>-4.6207370000000001</v>
      </c>
      <c r="N53" s="47">
        <v>6.7597149999999999</v>
      </c>
    </row>
    <row r="54" spans="1:14" x14ac:dyDescent="0.35">
      <c r="A54" s="2">
        <v>43315</v>
      </c>
      <c r="B54" s="40">
        <v>3.1799197000000001</v>
      </c>
      <c r="C54" s="40">
        <v>5.347359</v>
      </c>
      <c r="D54" s="40">
        <v>7.4887037000000003</v>
      </c>
      <c r="E54" s="40">
        <v>1.9751787000000001</v>
      </c>
      <c r="F54" s="40">
        <v>7.6720715000000004</v>
      </c>
      <c r="G54" s="40">
        <v>2.1828650999999999</v>
      </c>
      <c r="H54" s="40">
        <v>4.6163917000000003</v>
      </c>
      <c r="I54" s="40">
        <v>26.604043999999998</v>
      </c>
      <c r="J54" s="40">
        <v>16.97786</v>
      </c>
      <c r="K54" s="47">
        <v>7.9353569999999998</v>
      </c>
      <c r="L54" s="47">
        <v>4.6820760000000003</v>
      </c>
      <c r="M54" s="47">
        <v>-1.6008794</v>
      </c>
      <c r="N54" s="47">
        <v>-1.3479053999999999</v>
      </c>
    </row>
    <row r="55" spans="1:14" x14ac:dyDescent="0.35">
      <c r="A55" s="2">
        <v>43347</v>
      </c>
      <c r="B55" s="40">
        <v>8.6761590000000002</v>
      </c>
      <c r="C55" s="40">
        <v>1.8112302</v>
      </c>
      <c r="D55" s="40">
        <v>2.8838157999999998</v>
      </c>
      <c r="E55" s="40">
        <v>-0.52205323999999997</v>
      </c>
      <c r="F55" s="40">
        <v>7.0629597000000004</v>
      </c>
      <c r="G55" s="40">
        <v>3.2556414999999999</v>
      </c>
      <c r="H55" s="40">
        <v>2.3182391999999998</v>
      </c>
      <c r="I55" s="40">
        <v>28.324831</v>
      </c>
      <c r="J55" s="40">
        <v>19.114887</v>
      </c>
      <c r="K55" s="47">
        <v>5.3201320000000001</v>
      </c>
      <c r="L55" s="47">
        <v>2.5012612000000001</v>
      </c>
      <c r="M55" s="47">
        <v>-3.3723652</v>
      </c>
      <c r="N55" s="47">
        <v>-6.5837326000000003</v>
      </c>
    </row>
    <row r="56" spans="1:14" x14ac:dyDescent="0.35">
      <c r="A56" s="2">
        <v>43377</v>
      </c>
      <c r="B56" s="40">
        <v>4.2794466</v>
      </c>
      <c r="C56" s="40">
        <v>1.0028839000000001</v>
      </c>
      <c r="D56" s="40">
        <v>0.64704419999999996</v>
      </c>
      <c r="E56" s="40">
        <v>-6.8420053000000003</v>
      </c>
      <c r="F56" s="40">
        <v>7.0879817000000003</v>
      </c>
      <c r="G56" s="40">
        <v>-0.43365359999999997</v>
      </c>
      <c r="H56" s="40">
        <v>0.93364716000000003</v>
      </c>
      <c r="I56" s="40">
        <v>25.852608</v>
      </c>
      <c r="J56" s="40">
        <v>16.413651999999999</v>
      </c>
      <c r="K56" s="47">
        <v>1.8030286</v>
      </c>
      <c r="L56" s="47">
        <v>-3.7817001000000001</v>
      </c>
      <c r="M56" s="47">
        <v>-6.4627112999999996</v>
      </c>
      <c r="N56" s="47">
        <v>-8.246696</v>
      </c>
    </row>
    <row r="57" spans="1:14" x14ac:dyDescent="0.35">
      <c r="A57" s="2">
        <v>43406</v>
      </c>
      <c r="B57" s="40">
        <v>4.3384910000000003</v>
      </c>
      <c r="C57" s="40">
        <v>-5.0801572999999998</v>
      </c>
      <c r="D57" s="40">
        <v>-5.7732343999999998</v>
      </c>
      <c r="E57" s="40">
        <v>-14.858067</v>
      </c>
      <c r="F57" s="40">
        <v>-5.4658175</v>
      </c>
      <c r="G57" s="40">
        <v>-1.4680624</v>
      </c>
      <c r="H57" s="40">
        <v>-3.4116209</v>
      </c>
      <c r="I57" s="40">
        <v>12.431717000000001</v>
      </c>
      <c r="J57" s="40">
        <v>7.4743389999999996</v>
      </c>
      <c r="K57" s="47">
        <v>-6.3210306000000003</v>
      </c>
      <c r="L57" s="47">
        <v>-7.9382124000000003</v>
      </c>
      <c r="M57" s="47">
        <v>-11.0989275</v>
      </c>
      <c r="N57" s="47">
        <v>-15.278572</v>
      </c>
    </row>
    <row r="58" spans="1:14" x14ac:dyDescent="0.35">
      <c r="A58" s="2">
        <v>43438</v>
      </c>
      <c r="B58" s="40">
        <v>9.5371609999999993</v>
      </c>
      <c r="C58" s="40">
        <v>-5.2439330000000002</v>
      </c>
      <c r="D58" s="40">
        <v>-7.5958909999999999</v>
      </c>
      <c r="E58" s="40">
        <v>-17.762262</v>
      </c>
      <c r="F58" s="40">
        <v>-7.1210680000000002</v>
      </c>
      <c r="G58" s="40">
        <v>-3.0698120000000002</v>
      </c>
      <c r="H58" s="40">
        <v>-6.9810333</v>
      </c>
      <c r="I58" s="40">
        <v>9.3539480000000008</v>
      </c>
      <c r="J58" s="40">
        <v>4.1770459999999998</v>
      </c>
      <c r="K58" s="47">
        <v>-9.3970660000000006</v>
      </c>
      <c r="L58" s="47">
        <v>-8.3643549999999998</v>
      </c>
      <c r="M58" s="47">
        <v>-10.247892</v>
      </c>
      <c r="N58" s="47">
        <v>-15.735882999999999</v>
      </c>
    </row>
    <row r="59" spans="1:14" x14ac:dyDescent="0.35">
      <c r="A59" s="2">
        <v>43469</v>
      </c>
      <c r="B59" s="40">
        <v>-0.55550337000000005</v>
      </c>
      <c r="C59" s="40">
        <v>-11.772644</v>
      </c>
      <c r="D59" s="40">
        <v>-16.434937999999999</v>
      </c>
      <c r="E59" s="40">
        <v>-22.360320000000002</v>
      </c>
      <c r="F59" s="40">
        <v>-13.866073</v>
      </c>
      <c r="G59" s="40">
        <v>-9.0713019999999993</v>
      </c>
      <c r="H59" s="40">
        <v>-13.488388</v>
      </c>
      <c r="I59" s="40">
        <v>-1.7118514</v>
      </c>
      <c r="J59" s="40">
        <v>-5.2994250000000003</v>
      </c>
      <c r="K59" s="47">
        <v>-14.582729</v>
      </c>
      <c r="L59" s="47">
        <v>-16.335875000000001</v>
      </c>
      <c r="M59" s="47">
        <v>-14.315426</v>
      </c>
      <c r="N59" s="47">
        <v>-17.777221999999998</v>
      </c>
    </row>
    <row r="60" spans="1:14" x14ac:dyDescent="0.35">
      <c r="A60" s="2">
        <v>43500</v>
      </c>
      <c r="B60" s="40">
        <v>2.2238492999999999</v>
      </c>
      <c r="C60" s="40">
        <v>-6.6702127000000004</v>
      </c>
      <c r="D60" s="40">
        <v>-3.7465394000000001</v>
      </c>
      <c r="E60" s="40">
        <v>-18.879044</v>
      </c>
      <c r="F60" s="40">
        <v>-11.701191</v>
      </c>
      <c r="G60" s="40">
        <v>-6.5231323000000003</v>
      </c>
      <c r="H60" s="40">
        <v>-8.5938090000000003</v>
      </c>
      <c r="I60" s="40">
        <v>3.8694142999999999</v>
      </c>
      <c r="J60" s="40">
        <v>0.62094927</v>
      </c>
      <c r="K60" s="47">
        <v>-11.076069</v>
      </c>
      <c r="L60" s="47">
        <v>-11.503821</v>
      </c>
      <c r="M60" s="47">
        <v>-11.259347</v>
      </c>
      <c r="N60" s="47">
        <v>-18.024467000000001</v>
      </c>
    </row>
    <row r="61" spans="1:14" x14ac:dyDescent="0.35">
      <c r="A61" s="2">
        <v>43528</v>
      </c>
      <c r="B61" s="40">
        <v>6.2977552000000001</v>
      </c>
      <c r="C61" s="40">
        <v>-0.72155000000000002</v>
      </c>
      <c r="D61" s="40">
        <v>3.1156063000000001</v>
      </c>
      <c r="E61" s="40">
        <v>-11.880426999999999</v>
      </c>
      <c r="F61" s="40">
        <v>-7.9531850000000004</v>
      </c>
      <c r="G61" s="40">
        <v>3.6711334999999998</v>
      </c>
      <c r="H61" s="40">
        <v>-0.92310904999999999</v>
      </c>
      <c r="I61" s="40">
        <v>5.9770107000000001</v>
      </c>
      <c r="J61" s="40">
        <v>5.8208466000000003</v>
      </c>
      <c r="K61" s="47">
        <v>-3.5224259999999998</v>
      </c>
      <c r="L61" s="47">
        <v>-4.0544986999999999</v>
      </c>
      <c r="M61" s="47">
        <v>-4.9812675000000004</v>
      </c>
      <c r="N61" s="47">
        <v>-10.422718</v>
      </c>
    </row>
    <row r="62" spans="1:14" x14ac:dyDescent="0.35">
      <c r="A62" s="2">
        <v>43559</v>
      </c>
      <c r="B62" s="40">
        <v>8.5697290000000006</v>
      </c>
      <c r="C62" s="40">
        <v>3.9209603999999998</v>
      </c>
      <c r="D62" s="40">
        <v>4.7980070000000001</v>
      </c>
      <c r="E62" s="40">
        <v>-10.170095999999999</v>
      </c>
      <c r="F62" s="40">
        <v>-6.7599</v>
      </c>
      <c r="G62" s="40">
        <v>7.8661203000000004</v>
      </c>
      <c r="H62" s="40">
        <v>0.70438385000000003</v>
      </c>
      <c r="I62" s="40">
        <v>16.007636999999999</v>
      </c>
      <c r="J62" s="40">
        <v>11.087906</v>
      </c>
      <c r="K62" s="47">
        <v>-1.4576316</v>
      </c>
      <c r="L62" s="47">
        <v>-1.8586396999999999</v>
      </c>
      <c r="M62" s="47">
        <v>1.1255264</v>
      </c>
      <c r="N62" s="47">
        <v>-9.1926989999999993</v>
      </c>
    </row>
    <row r="63" spans="1:14" x14ac:dyDescent="0.35">
      <c r="A63" s="2">
        <v>43588</v>
      </c>
      <c r="B63" s="40">
        <v>11.211442999999999</v>
      </c>
      <c r="C63" s="40">
        <v>1.8324374999999999</v>
      </c>
      <c r="D63" s="40">
        <v>3.4659624</v>
      </c>
      <c r="E63" s="40">
        <v>-9.2470649999999992</v>
      </c>
      <c r="F63" s="40">
        <v>-5.7295265000000004</v>
      </c>
      <c r="G63" s="40">
        <v>9.3153714999999995</v>
      </c>
      <c r="H63" s="40">
        <v>-1.5184401999999999</v>
      </c>
      <c r="I63" s="40">
        <v>19.144058000000001</v>
      </c>
      <c r="J63" s="40">
        <v>14.144754000000001</v>
      </c>
      <c r="K63" s="47">
        <v>-3.7103533999999998</v>
      </c>
      <c r="L63" s="47">
        <v>1.6332983999999999</v>
      </c>
      <c r="M63" s="47">
        <v>2.4505496</v>
      </c>
      <c r="N63" s="47">
        <v>-13.267631</v>
      </c>
    </row>
    <row r="64" spans="1:14" x14ac:dyDescent="0.35">
      <c r="A64" s="2">
        <v>43620</v>
      </c>
      <c r="B64" s="40">
        <v>7.5918080000000003</v>
      </c>
      <c r="C64" s="40">
        <v>2.0924450000000001</v>
      </c>
      <c r="D64" s="40">
        <v>1.0996699000000001</v>
      </c>
      <c r="E64" s="40">
        <v>-11.415820999999999</v>
      </c>
      <c r="F64" s="40">
        <v>-9.9663500000000003</v>
      </c>
      <c r="G64" s="40">
        <v>11.262714000000001</v>
      </c>
      <c r="H64" s="40">
        <v>-7.2735430000000001</v>
      </c>
      <c r="I64" s="40">
        <v>1.2242913</v>
      </c>
      <c r="J64" s="40">
        <v>4.0391206999999998</v>
      </c>
      <c r="K64" s="47">
        <v>-5.6665660000000004</v>
      </c>
      <c r="L64" s="47">
        <v>-3.2098114</v>
      </c>
      <c r="M64" s="47">
        <v>-5.2148940000000001</v>
      </c>
      <c r="N64" s="47">
        <v>-7.7693820000000002</v>
      </c>
    </row>
    <row r="65" spans="1:14" x14ac:dyDescent="0.35">
      <c r="A65" s="2">
        <v>43649</v>
      </c>
      <c r="B65" s="40">
        <v>14.625942</v>
      </c>
      <c r="C65" s="40">
        <v>7.5875399999999997</v>
      </c>
      <c r="D65" s="40">
        <v>4.6184063000000002</v>
      </c>
      <c r="E65" s="40">
        <v>-2.6142835999999998</v>
      </c>
      <c r="F65" s="40">
        <v>-0.50688979999999995</v>
      </c>
      <c r="G65" s="40">
        <v>18.200147999999999</v>
      </c>
      <c r="H65" s="40">
        <v>-0.35901665999999999</v>
      </c>
      <c r="I65" s="40">
        <v>13.068199</v>
      </c>
      <c r="J65" s="40">
        <v>12.493086</v>
      </c>
      <c r="K65" s="47">
        <v>4.6059011999999999</v>
      </c>
      <c r="L65" s="47">
        <v>6.2765836999999998</v>
      </c>
      <c r="M65" s="47">
        <v>5.6881665999999997</v>
      </c>
      <c r="N65" s="47">
        <v>2.3060679999999998</v>
      </c>
    </row>
    <row r="66" spans="1:14" x14ac:dyDescent="0.35">
      <c r="A66" s="2">
        <v>43679</v>
      </c>
      <c r="B66" s="40">
        <v>17.511044999999999</v>
      </c>
      <c r="C66" s="40">
        <v>3.8296342000000001</v>
      </c>
      <c r="D66" s="40">
        <v>-1.407367</v>
      </c>
      <c r="E66" s="40">
        <v>-10.987126999999999</v>
      </c>
      <c r="F66" s="40">
        <v>-6.1558247000000001</v>
      </c>
      <c r="G66" s="40">
        <v>9.8078610000000008</v>
      </c>
      <c r="H66" s="40">
        <v>-6.1339319999999997</v>
      </c>
      <c r="I66" s="40">
        <v>5.2718759999999998</v>
      </c>
      <c r="J66" s="40">
        <v>5.6839230000000001</v>
      </c>
      <c r="K66" s="47">
        <v>-4.1752520000000004</v>
      </c>
      <c r="L66" s="47">
        <v>-0.85270999999999997</v>
      </c>
      <c r="M66" s="47">
        <v>-6.9919466999999997</v>
      </c>
      <c r="N66" s="47">
        <v>-2.3326337000000001</v>
      </c>
    </row>
    <row r="67" spans="1:14" x14ac:dyDescent="0.35">
      <c r="A67" s="2">
        <v>43712</v>
      </c>
      <c r="B67" s="40">
        <v>14.007937999999999</v>
      </c>
      <c r="C67" s="40">
        <v>3.9319514999999998</v>
      </c>
      <c r="D67" s="40">
        <v>2.5257467999999998</v>
      </c>
      <c r="E67" s="40">
        <v>-8.7742090000000008</v>
      </c>
      <c r="F67" s="40">
        <v>-4.0571631999999997</v>
      </c>
      <c r="G67" s="40">
        <v>11.547779999999999</v>
      </c>
      <c r="H67" s="40">
        <v>-3.0820430000000001</v>
      </c>
      <c r="I67" s="40">
        <v>2.2239327000000002</v>
      </c>
      <c r="J67" s="40">
        <v>3.4778237000000001</v>
      </c>
      <c r="K67" s="47">
        <v>0.16294718</v>
      </c>
      <c r="L67" s="47">
        <v>3.6235689999999998</v>
      </c>
      <c r="M67" s="47">
        <v>-7.2513459999999998</v>
      </c>
      <c r="N67" s="47">
        <v>4.7641039999999997</v>
      </c>
    </row>
    <row r="68" spans="1:14" x14ac:dyDescent="0.35">
      <c r="A68" s="2">
        <v>43742</v>
      </c>
      <c r="B68" s="40">
        <v>15.398109</v>
      </c>
      <c r="C68" s="40">
        <v>7.1597220000000004</v>
      </c>
      <c r="D68" s="40">
        <v>1.1324882999999999</v>
      </c>
      <c r="E68" s="40">
        <v>-7.8227099999999998</v>
      </c>
      <c r="F68" s="40">
        <v>-2.5035620000000001</v>
      </c>
      <c r="G68" s="40">
        <v>10.5322</v>
      </c>
      <c r="H68" s="40">
        <v>-5.0047215999999999</v>
      </c>
      <c r="I68" s="40">
        <v>4.4576406000000004</v>
      </c>
      <c r="J68" s="40">
        <v>3.7305950000000001</v>
      </c>
      <c r="K68" s="47">
        <v>-1.1698603999999999</v>
      </c>
      <c r="L68" s="47">
        <v>7.9298853999999999</v>
      </c>
      <c r="M68" s="47">
        <v>-7.7558335999999999</v>
      </c>
      <c r="N68" s="47">
        <v>3.3450484</v>
      </c>
    </row>
    <row r="69" spans="1:14" x14ac:dyDescent="0.35">
      <c r="A69" s="2">
        <v>43773</v>
      </c>
      <c r="B69" s="40">
        <v>18.587149</v>
      </c>
      <c r="C69" s="40">
        <v>15.1681185</v>
      </c>
      <c r="D69" s="40">
        <v>12.190378000000001</v>
      </c>
      <c r="E69" s="40">
        <v>7.5116158000000004</v>
      </c>
      <c r="F69" s="40">
        <v>10.266436000000001</v>
      </c>
      <c r="G69" s="40">
        <v>19.325362999999999</v>
      </c>
      <c r="H69" s="40">
        <v>6.627834</v>
      </c>
      <c r="I69" s="40">
        <v>19.200313999999999</v>
      </c>
      <c r="J69" s="40">
        <v>15.31068</v>
      </c>
      <c r="K69" s="47">
        <v>13.034964</v>
      </c>
      <c r="L69" s="47">
        <v>16.453648000000001</v>
      </c>
      <c r="M69" s="47">
        <v>11.299383000000001</v>
      </c>
      <c r="N69" s="47">
        <v>20.05875</v>
      </c>
    </row>
    <row r="70" spans="1:14" x14ac:dyDescent="0.35">
      <c r="A70" s="2">
        <v>43803</v>
      </c>
      <c r="B70" s="40">
        <v>21.198225000000001</v>
      </c>
      <c r="C70" s="40">
        <v>15.81223</v>
      </c>
      <c r="D70" s="40">
        <v>14.200628</v>
      </c>
      <c r="E70" s="40">
        <v>12.518155999999999</v>
      </c>
      <c r="F70" s="40">
        <v>13.343</v>
      </c>
      <c r="G70" s="40">
        <v>20.104683000000001</v>
      </c>
      <c r="H70" s="40">
        <v>10.175466999999999</v>
      </c>
      <c r="I70" s="40">
        <v>23.251545</v>
      </c>
      <c r="J70" s="40">
        <v>17.554129</v>
      </c>
      <c r="K70" s="47">
        <v>16.913450000000001</v>
      </c>
      <c r="L70" s="47">
        <v>19.368469999999999</v>
      </c>
      <c r="M70" s="47">
        <v>14.027953</v>
      </c>
      <c r="N70" s="47">
        <v>20.518387000000001</v>
      </c>
    </row>
    <row r="71" spans="1:14" x14ac:dyDescent="0.35">
      <c r="A71" s="2">
        <v>43833</v>
      </c>
      <c r="B71" s="40">
        <v>30.635750000000002</v>
      </c>
      <c r="C71" s="40">
        <v>23.516106000000001</v>
      </c>
      <c r="D71" s="40">
        <v>26.936482999999999</v>
      </c>
      <c r="E71" s="40">
        <v>21.277916000000001</v>
      </c>
      <c r="F71" s="40">
        <v>19.107258000000002</v>
      </c>
      <c r="G71" s="40">
        <v>32.841230000000003</v>
      </c>
      <c r="H71" s="40">
        <v>21.152996000000002</v>
      </c>
      <c r="I71" s="40">
        <v>44.134450000000001</v>
      </c>
      <c r="J71" s="40">
        <v>34.519398000000002</v>
      </c>
      <c r="K71" s="47">
        <v>29.214524999999998</v>
      </c>
      <c r="L71" s="47">
        <v>34.875416000000001</v>
      </c>
      <c r="M71" s="47">
        <v>25.684393</v>
      </c>
      <c r="N71" s="47">
        <v>27.929592</v>
      </c>
    </row>
    <row r="72" spans="1:14" x14ac:dyDescent="0.35">
      <c r="A72" s="2">
        <v>43865</v>
      </c>
      <c r="B72" s="40">
        <v>20.254648</v>
      </c>
      <c r="C72" s="40">
        <v>13.974047000000001</v>
      </c>
      <c r="D72" s="40">
        <v>12.819481</v>
      </c>
      <c r="E72" s="40">
        <v>11.474824</v>
      </c>
      <c r="F72" s="40">
        <v>11.321866999999999</v>
      </c>
      <c r="G72" s="40">
        <v>26.366900999999999</v>
      </c>
      <c r="H72" s="40">
        <v>8.3467850000000006</v>
      </c>
      <c r="I72" s="40">
        <v>35.280822999999998</v>
      </c>
      <c r="J72" s="40">
        <v>23.284911999999998</v>
      </c>
      <c r="K72" s="47">
        <v>16.298722999999999</v>
      </c>
      <c r="L72" s="47">
        <v>21.054459000000001</v>
      </c>
      <c r="M72" s="47">
        <v>14.617753</v>
      </c>
      <c r="N72" s="47">
        <v>17.27525</v>
      </c>
    </row>
    <row r="73" spans="1:14" x14ac:dyDescent="0.35">
      <c r="A73" s="2">
        <v>43894</v>
      </c>
      <c r="B73" s="40">
        <v>14.272904</v>
      </c>
      <c r="C73" s="40">
        <v>1.3978362</v>
      </c>
      <c r="D73" s="40">
        <v>4.8073410000000001</v>
      </c>
      <c r="E73" s="40">
        <v>1.8022776</v>
      </c>
      <c r="F73" s="40">
        <v>1.6178489</v>
      </c>
      <c r="G73" s="40">
        <v>18.471872000000001</v>
      </c>
      <c r="H73" s="40">
        <v>-2.7557909999999999</v>
      </c>
      <c r="I73" s="40">
        <v>26.141203000000001</v>
      </c>
      <c r="J73" s="40">
        <v>14.094173</v>
      </c>
      <c r="K73" s="47">
        <v>5.2382827000000001</v>
      </c>
      <c r="L73" s="47">
        <v>11.230230000000001</v>
      </c>
      <c r="M73" s="47">
        <v>9.865475</v>
      </c>
      <c r="N73" s="47">
        <v>6.2759159999999996</v>
      </c>
    </row>
    <row r="74" spans="1:14" x14ac:dyDescent="0.35">
      <c r="A74" s="2">
        <v>43924</v>
      </c>
      <c r="B74" s="40">
        <v>-12.056404000000001</v>
      </c>
      <c r="C74" s="40">
        <v>-29.292292</v>
      </c>
      <c r="D74" s="40">
        <v>-23.353922000000001</v>
      </c>
      <c r="E74" s="40">
        <v>-24.767272999999999</v>
      </c>
      <c r="F74" s="40">
        <v>-14.106024</v>
      </c>
      <c r="G74" s="40">
        <v>-0.8005023</v>
      </c>
      <c r="H74" s="40">
        <v>-30.456178999999999</v>
      </c>
      <c r="I74" s="40">
        <v>0.62907933999999999</v>
      </c>
      <c r="J74" s="40">
        <v>-11.553431</v>
      </c>
      <c r="K74" s="47">
        <v>-25.598568</v>
      </c>
      <c r="L74" s="47">
        <v>-16.571337</v>
      </c>
      <c r="M74" s="47">
        <v>-21.123826999999999</v>
      </c>
      <c r="N74" s="47">
        <v>-27.818770000000001</v>
      </c>
    </row>
    <row r="75" spans="1:14" x14ac:dyDescent="0.35">
      <c r="A75" s="2">
        <v>43955</v>
      </c>
      <c r="B75" s="40">
        <v>-3.0038893</v>
      </c>
      <c r="C75" s="40">
        <v>-21.043856000000002</v>
      </c>
      <c r="D75" s="40">
        <v>-13.670069</v>
      </c>
      <c r="E75" s="40">
        <v>-18.659157</v>
      </c>
      <c r="F75" s="40">
        <v>-7.6737165000000003</v>
      </c>
      <c r="G75" s="40">
        <v>2.5049329</v>
      </c>
      <c r="H75" s="40">
        <v>-23.862278</v>
      </c>
      <c r="I75" s="40">
        <v>13.577593</v>
      </c>
      <c r="J75" s="40">
        <v>-1.5606523000000001</v>
      </c>
      <c r="K75" s="47">
        <v>-20.536225999999999</v>
      </c>
      <c r="L75" s="47">
        <v>-9.4248659999999997</v>
      </c>
      <c r="M75" s="47">
        <v>-13.159985000000001</v>
      </c>
      <c r="N75" s="47">
        <v>-23.867815</v>
      </c>
    </row>
    <row r="76" spans="1:14" x14ac:dyDescent="0.35">
      <c r="A76" s="2">
        <v>43986</v>
      </c>
      <c r="B76" s="40">
        <v>11.837410999999999</v>
      </c>
      <c r="C76" s="40">
        <v>-6.5898475999999997</v>
      </c>
      <c r="D76" s="40">
        <v>-3.2618105000000002</v>
      </c>
      <c r="E76" s="40">
        <v>3.6318540000000001</v>
      </c>
      <c r="F76" s="40">
        <v>7.0745586999999999</v>
      </c>
      <c r="G76" s="40">
        <v>9.77881</v>
      </c>
      <c r="H76" s="40">
        <v>-11.423862</v>
      </c>
      <c r="I76" s="40">
        <v>35.519590000000001</v>
      </c>
      <c r="J76" s="40">
        <v>13.287914000000001</v>
      </c>
      <c r="K76" s="47">
        <v>-2.4041057000000001</v>
      </c>
      <c r="L76" s="47">
        <v>11.338877999999999</v>
      </c>
      <c r="M76" s="47">
        <v>13.097799</v>
      </c>
      <c r="N76" s="47">
        <v>-4.4150830000000001</v>
      </c>
    </row>
    <row r="77" spans="1:14" x14ac:dyDescent="0.35">
      <c r="A77" s="2">
        <v>44014</v>
      </c>
      <c r="B77" s="40">
        <v>10.6545925</v>
      </c>
      <c r="C77" s="40">
        <v>-8.7314310000000006</v>
      </c>
      <c r="D77" s="40">
        <v>-7.2576102999999996</v>
      </c>
      <c r="E77" s="40">
        <v>-1.0038435000000001</v>
      </c>
      <c r="F77" s="40">
        <v>1.337564</v>
      </c>
      <c r="G77" s="40">
        <v>6.6479445000000004</v>
      </c>
      <c r="H77" s="40">
        <v>-17.175370999999998</v>
      </c>
      <c r="I77" s="40">
        <v>33.792842999999998</v>
      </c>
      <c r="J77" s="40">
        <v>7.4635267000000001</v>
      </c>
      <c r="K77" s="47">
        <v>-8.4992830000000001</v>
      </c>
      <c r="L77" s="47">
        <v>7.836938</v>
      </c>
      <c r="M77" s="47">
        <v>2.7112959999999999</v>
      </c>
      <c r="N77" s="47">
        <v>-9.3180599999999991</v>
      </c>
    </row>
    <row r="78" spans="1:14" x14ac:dyDescent="0.35">
      <c r="A78" s="2">
        <v>44047</v>
      </c>
      <c r="B78" s="40">
        <v>12.263048</v>
      </c>
      <c r="C78" s="40">
        <v>-5.2544775000000001</v>
      </c>
      <c r="D78" s="40">
        <v>1.2970208999999999</v>
      </c>
      <c r="E78" s="40">
        <v>10.491811999999999</v>
      </c>
      <c r="F78" s="40">
        <v>5.7723639999999996</v>
      </c>
      <c r="G78" s="40">
        <v>12.457060999999999</v>
      </c>
      <c r="H78" s="40">
        <v>-10.833561</v>
      </c>
      <c r="I78" s="40">
        <v>45.479655999999999</v>
      </c>
      <c r="J78" s="40">
        <v>15.079378999999999</v>
      </c>
      <c r="K78" s="47">
        <v>-0.99893209999999999</v>
      </c>
      <c r="L78" s="47">
        <v>15.501261</v>
      </c>
      <c r="M78" s="47">
        <v>22.840140999999999</v>
      </c>
      <c r="N78" s="47">
        <v>-3.1424582000000001</v>
      </c>
    </row>
    <row r="79" spans="1:14" x14ac:dyDescent="0.35">
      <c r="A79" s="2">
        <v>44078</v>
      </c>
      <c r="B79" s="40">
        <v>14.080178999999999</v>
      </c>
      <c r="C79" s="40">
        <v>-3.7026525000000001</v>
      </c>
      <c r="D79" s="40">
        <v>1.9932866</v>
      </c>
      <c r="E79" s="40">
        <v>13.644671000000001</v>
      </c>
      <c r="F79" s="40">
        <v>9.1434479999999994</v>
      </c>
      <c r="G79" s="40">
        <v>11.971855</v>
      </c>
      <c r="H79" s="40">
        <v>-12.353259</v>
      </c>
      <c r="I79" s="40">
        <v>51.788020000000003</v>
      </c>
      <c r="J79" s="40">
        <v>18.864322999999999</v>
      </c>
      <c r="K79" s="47">
        <v>-0.85739493</v>
      </c>
      <c r="L79" s="47">
        <v>13.734387999999999</v>
      </c>
      <c r="M79" s="47">
        <v>26.378451999999999</v>
      </c>
      <c r="N79" s="47">
        <v>-5.4678917</v>
      </c>
    </row>
    <row r="80" spans="1:14" x14ac:dyDescent="0.35">
      <c r="A80" s="2">
        <v>44106</v>
      </c>
      <c r="B80" s="40">
        <v>16.166342</v>
      </c>
      <c r="C80" s="40">
        <v>-4.2097806999999996</v>
      </c>
      <c r="D80" s="40">
        <v>0.38648843999999999</v>
      </c>
      <c r="E80" s="40">
        <v>13.144731500000001</v>
      </c>
      <c r="F80" s="40">
        <v>7.4836134999999997</v>
      </c>
      <c r="G80" s="40">
        <v>15.904558</v>
      </c>
      <c r="H80" s="40">
        <v>-11.932240999999999</v>
      </c>
      <c r="I80" s="40">
        <v>50.155839999999998</v>
      </c>
      <c r="J80" s="40">
        <v>18.170642999999998</v>
      </c>
      <c r="K80" s="47">
        <v>-2.1952093000000001</v>
      </c>
      <c r="L80" s="47">
        <v>17.484247</v>
      </c>
      <c r="M80" s="47">
        <v>27.00975</v>
      </c>
      <c r="N80" s="47">
        <v>-6.5384570000000002</v>
      </c>
    </row>
    <row r="81" spans="1:14" x14ac:dyDescent="0.35">
      <c r="A81" s="2">
        <v>44139</v>
      </c>
      <c r="B81" s="40">
        <v>18.331087</v>
      </c>
      <c r="C81" s="40">
        <v>-6.342536</v>
      </c>
      <c r="D81" s="40">
        <v>-3.5610140000000001</v>
      </c>
      <c r="E81" s="40">
        <v>-3.0934035999999998</v>
      </c>
      <c r="F81" s="40">
        <v>2.5630236000000002</v>
      </c>
      <c r="G81" s="40">
        <v>9.0065589999999993</v>
      </c>
      <c r="H81" s="40">
        <v>-19.61891</v>
      </c>
      <c r="I81" s="40">
        <v>44.45579</v>
      </c>
      <c r="J81" s="40">
        <v>13.964617000000001</v>
      </c>
      <c r="K81" s="47">
        <v>-9.2477800000000006</v>
      </c>
      <c r="L81" s="47">
        <v>12.067627999999999</v>
      </c>
      <c r="M81" s="47">
        <v>12.305069</v>
      </c>
      <c r="N81" s="47">
        <v>-15.317755999999999</v>
      </c>
    </row>
    <row r="82" spans="1:14" x14ac:dyDescent="0.35">
      <c r="A82" s="2">
        <v>44169</v>
      </c>
      <c r="B82" s="40">
        <v>20.438362000000001</v>
      </c>
      <c r="C82" s="40">
        <v>8.4338899999999999</v>
      </c>
      <c r="D82" s="40">
        <v>8.997655</v>
      </c>
      <c r="E82" s="40">
        <v>8.4991219999999998</v>
      </c>
      <c r="F82" s="40">
        <v>11.909019000000001</v>
      </c>
      <c r="G82" s="40">
        <v>13.106704000000001</v>
      </c>
      <c r="H82" s="40">
        <v>-5.5361390000000004</v>
      </c>
      <c r="I82" s="40">
        <v>52.055157000000001</v>
      </c>
      <c r="J82" s="40">
        <v>21.081424999999999</v>
      </c>
      <c r="K82" s="47">
        <v>8.1597439999999999</v>
      </c>
      <c r="L82" s="47">
        <v>25.414694000000001</v>
      </c>
      <c r="M82" s="47">
        <v>26.560020000000002</v>
      </c>
      <c r="N82" s="47">
        <v>2.9463530000000002</v>
      </c>
    </row>
    <row r="83" spans="1:14" x14ac:dyDescent="0.35">
      <c r="A83" s="2">
        <v>44200</v>
      </c>
      <c r="B83" s="40">
        <v>20.568966</v>
      </c>
      <c r="C83" s="40">
        <v>9.3030449999999991</v>
      </c>
      <c r="D83" s="40">
        <v>6.0762763</v>
      </c>
      <c r="E83" s="40">
        <v>12.264716999999999</v>
      </c>
      <c r="F83" s="40">
        <v>14.119804</v>
      </c>
      <c r="G83" s="40">
        <v>12.874090000000001</v>
      </c>
      <c r="H83" s="40">
        <v>-9.9435330000000004</v>
      </c>
      <c r="I83" s="40">
        <v>45.446240000000003</v>
      </c>
      <c r="J83" s="40">
        <v>16.562484999999999</v>
      </c>
      <c r="K83" s="47">
        <v>4.3475029999999997</v>
      </c>
      <c r="L83" s="47">
        <v>25.318527</v>
      </c>
      <c r="M83" s="47">
        <v>23.721958000000001</v>
      </c>
      <c r="N83" s="47">
        <v>2.5026321</v>
      </c>
    </row>
    <row r="84" spans="1:14" x14ac:dyDescent="0.35">
      <c r="A84" s="2">
        <v>44231</v>
      </c>
      <c r="B84" s="40">
        <v>22.484946999999998</v>
      </c>
      <c r="C84" s="40">
        <v>10.684454000000001</v>
      </c>
      <c r="D84" s="40">
        <v>8.0981729999999992</v>
      </c>
      <c r="E84" s="40">
        <v>14.164828999999999</v>
      </c>
      <c r="F84" s="40">
        <v>17.711639999999999</v>
      </c>
      <c r="G84" s="40">
        <v>10.031271</v>
      </c>
      <c r="H84" s="40">
        <v>-7.4329140000000002</v>
      </c>
      <c r="I84" s="40">
        <v>46.215355000000002</v>
      </c>
      <c r="J84" s="40">
        <v>19.595300000000002</v>
      </c>
      <c r="K84" s="47">
        <v>5.0736666000000001</v>
      </c>
      <c r="L84" s="47">
        <v>30.932283000000002</v>
      </c>
      <c r="M84" s="47">
        <v>28.45552</v>
      </c>
      <c r="N84" s="47">
        <v>3.6468983000000001</v>
      </c>
    </row>
    <row r="85" spans="1:14" x14ac:dyDescent="0.35">
      <c r="A85" s="2">
        <v>44259</v>
      </c>
      <c r="B85" s="40">
        <v>15.000868000000001</v>
      </c>
      <c r="C85" s="40">
        <v>23.186886000000001</v>
      </c>
      <c r="D85" s="40">
        <v>17.752039</v>
      </c>
      <c r="E85" s="40">
        <v>21.217144000000001</v>
      </c>
      <c r="F85" s="40">
        <v>26.491223999999999</v>
      </c>
      <c r="G85" s="40">
        <v>8.4594360000000002</v>
      </c>
      <c r="H85" s="40">
        <v>4.5408964000000003</v>
      </c>
      <c r="I85" s="40">
        <v>40.348995000000002</v>
      </c>
      <c r="J85" s="40">
        <v>22.696960000000001</v>
      </c>
      <c r="K85" s="47">
        <v>13.9962435</v>
      </c>
      <c r="L85" s="47">
        <v>35.002209999999998</v>
      </c>
      <c r="M85" s="47">
        <v>36.028446000000002</v>
      </c>
      <c r="N85" s="47">
        <v>10.134411</v>
      </c>
    </row>
    <row r="86" spans="1:14" x14ac:dyDescent="0.35">
      <c r="A86" s="2">
        <v>44287</v>
      </c>
      <c r="B86" s="40">
        <v>42.820213000000003</v>
      </c>
      <c r="C86" s="40">
        <v>71.345519999999993</v>
      </c>
      <c r="D86" s="40">
        <v>70.401955000000001</v>
      </c>
      <c r="E86" s="40">
        <v>70.442819999999998</v>
      </c>
      <c r="F86" s="40">
        <v>48.740229999999997</v>
      </c>
      <c r="G86" s="40">
        <v>32.477615</v>
      </c>
      <c r="H86" s="40">
        <v>43.063879999999997</v>
      </c>
      <c r="I86" s="40">
        <v>79.143035999999995</v>
      </c>
      <c r="J86" s="40">
        <v>65.376130000000003</v>
      </c>
      <c r="K86" s="47">
        <v>61.322879999999998</v>
      </c>
      <c r="L86" s="47">
        <v>92.318129999999996</v>
      </c>
      <c r="M86" s="47">
        <v>89.209710000000001</v>
      </c>
      <c r="N86" s="47">
        <v>63.152813000000002</v>
      </c>
    </row>
    <row r="87" spans="1:14" x14ac:dyDescent="0.35">
      <c r="A87" s="2">
        <v>44320</v>
      </c>
      <c r="B87" s="40">
        <v>36.067115999999999</v>
      </c>
      <c r="C87" s="40">
        <v>61.055329999999998</v>
      </c>
      <c r="D87" s="40">
        <v>52.595042999999997</v>
      </c>
      <c r="E87" s="40">
        <v>52.045333999999997</v>
      </c>
      <c r="F87" s="40">
        <v>34.715629999999997</v>
      </c>
      <c r="G87" s="40">
        <v>28.486740000000001</v>
      </c>
      <c r="H87" s="40">
        <v>35.714053999999997</v>
      </c>
      <c r="I87" s="40">
        <v>54.353879999999997</v>
      </c>
      <c r="J87" s="40">
        <v>48.931649999999998</v>
      </c>
      <c r="K87" s="47">
        <v>57.365833000000002</v>
      </c>
      <c r="L87" s="47">
        <v>71.638149999999996</v>
      </c>
      <c r="M87" s="47">
        <v>74.822620000000001</v>
      </c>
      <c r="N87" s="47">
        <v>56.042119999999997</v>
      </c>
    </row>
    <row r="88" spans="1:14" x14ac:dyDescent="0.35">
      <c r="A88" s="2">
        <v>44351</v>
      </c>
      <c r="B88" s="40">
        <v>16.183471999999998</v>
      </c>
      <c r="C88" s="40">
        <v>41.666804999999997</v>
      </c>
      <c r="D88" s="40">
        <v>48.584152000000003</v>
      </c>
      <c r="E88" s="40">
        <v>32.853009999999998</v>
      </c>
      <c r="F88" s="40">
        <v>25.124131999999999</v>
      </c>
      <c r="G88" s="40">
        <v>27.789795000000002</v>
      </c>
      <c r="H88" s="40">
        <v>28.433395000000001</v>
      </c>
      <c r="I88" s="40">
        <v>43.681441999999997</v>
      </c>
      <c r="J88" s="40">
        <v>37.916924000000002</v>
      </c>
      <c r="K88" s="47">
        <v>41.043877000000002</v>
      </c>
      <c r="L88" s="47">
        <v>54.43909</v>
      </c>
      <c r="M88" s="47">
        <v>54.751133000000003</v>
      </c>
      <c r="N88" s="47">
        <v>41.094337000000003</v>
      </c>
    </row>
    <row r="89" spans="1:14" x14ac:dyDescent="0.35">
      <c r="A89" s="2">
        <v>44379</v>
      </c>
      <c r="B89" s="40">
        <v>9.9355810000000009</v>
      </c>
      <c r="C89" s="40">
        <v>34.843563000000003</v>
      </c>
      <c r="D89" s="40">
        <v>47.161136999999997</v>
      </c>
      <c r="E89" s="40">
        <v>29.986142999999998</v>
      </c>
      <c r="F89" s="40">
        <v>24.481677999999999</v>
      </c>
      <c r="G89" s="40">
        <v>26.301552000000001</v>
      </c>
      <c r="H89" s="40">
        <v>30.004691999999999</v>
      </c>
      <c r="I89" s="40">
        <v>43.016753999999999</v>
      </c>
      <c r="J89" s="40">
        <v>40.995480000000001</v>
      </c>
      <c r="K89" s="47">
        <v>38.957630000000002</v>
      </c>
      <c r="L89" s="47">
        <v>47.333559999999999</v>
      </c>
      <c r="M89" s="47">
        <v>53.677844999999998</v>
      </c>
      <c r="N89" s="47">
        <v>35.063395999999997</v>
      </c>
    </row>
    <row r="90" spans="1:14" x14ac:dyDescent="0.35">
      <c r="A90" s="2">
        <v>44412</v>
      </c>
      <c r="B90" s="40">
        <v>7.1643233000000004</v>
      </c>
      <c r="C90" s="40">
        <v>31.591927999999999</v>
      </c>
      <c r="D90" s="40">
        <v>36.432194000000003</v>
      </c>
      <c r="E90" s="40">
        <v>23.50545</v>
      </c>
      <c r="F90" s="40">
        <v>21.874023000000001</v>
      </c>
      <c r="G90" s="40">
        <v>24.714672</v>
      </c>
      <c r="H90" s="40">
        <v>28.810977999999999</v>
      </c>
      <c r="I90" s="40">
        <v>36.631140000000002</v>
      </c>
      <c r="J90" s="40">
        <v>34.996426</v>
      </c>
      <c r="K90" s="47">
        <v>37.843643</v>
      </c>
      <c r="L90" s="47">
        <v>46.559215999999999</v>
      </c>
      <c r="M90" s="47">
        <v>44.960929999999998</v>
      </c>
      <c r="N90" s="47">
        <v>30.026589999999999</v>
      </c>
    </row>
    <row r="91" spans="1:14" x14ac:dyDescent="0.35">
      <c r="A91" s="2">
        <v>44442</v>
      </c>
      <c r="B91" s="40">
        <v>11.862826</v>
      </c>
      <c r="C91" s="40">
        <v>32.059714999999997</v>
      </c>
      <c r="D91" s="40">
        <v>36.525787000000001</v>
      </c>
      <c r="E91" s="40">
        <v>20.918475999999998</v>
      </c>
      <c r="F91" s="40">
        <v>25.793434000000001</v>
      </c>
      <c r="G91" s="40">
        <v>24.705482</v>
      </c>
      <c r="H91" s="40">
        <v>32.050249999999998</v>
      </c>
      <c r="I91" s="40">
        <v>33.514499999999998</v>
      </c>
      <c r="J91" s="40">
        <v>33.148266</v>
      </c>
      <c r="K91" s="47">
        <v>35.594296</v>
      </c>
      <c r="L91" s="47">
        <v>54.730392000000002</v>
      </c>
      <c r="M91" s="47">
        <v>43.636012999999998</v>
      </c>
      <c r="N91" s="47">
        <v>33.085884</v>
      </c>
    </row>
    <row r="92" spans="1:14" x14ac:dyDescent="0.35">
      <c r="A92" s="2">
        <v>44473</v>
      </c>
      <c r="B92" s="40">
        <v>9.7594019999999997</v>
      </c>
      <c r="C92" s="40">
        <v>29.041218000000001</v>
      </c>
      <c r="D92" s="40">
        <v>35.574078</v>
      </c>
      <c r="E92" s="40">
        <v>15.371942499999999</v>
      </c>
      <c r="F92" s="40">
        <v>16.954304</v>
      </c>
      <c r="G92" s="40">
        <v>15.384161000000001</v>
      </c>
      <c r="H92" s="40">
        <v>29.667376999999998</v>
      </c>
      <c r="I92" s="40">
        <v>29.235792</v>
      </c>
      <c r="J92" s="40">
        <v>30.218350999999998</v>
      </c>
      <c r="K92" s="47">
        <v>35.212837</v>
      </c>
      <c r="L92" s="47">
        <v>39.012970000000003</v>
      </c>
      <c r="M92" s="47">
        <v>30.800283</v>
      </c>
      <c r="N92" s="47">
        <v>32.250639999999997</v>
      </c>
    </row>
    <row r="93" spans="1:14" x14ac:dyDescent="0.35">
      <c r="A93" s="2">
        <v>44504</v>
      </c>
      <c r="B93" s="40">
        <v>5.4667830000000004</v>
      </c>
      <c r="C93" s="40">
        <v>30.69415</v>
      </c>
      <c r="D93" s="40">
        <v>45.878746</v>
      </c>
      <c r="E93" s="40">
        <v>27.506589999999999</v>
      </c>
      <c r="F93" s="40">
        <v>18.458344</v>
      </c>
      <c r="G93" s="40">
        <v>25.359857999999999</v>
      </c>
      <c r="H93" s="40">
        <v>34.468330000000002</v>
      </c>
      <c r="I93" s="40">
        <v>39.538787999999997</v>
      </c>
      <c r="J93" s="40">
        <v>37.839508000000002</v>
      </c>
      <c r="K93" s="47">
        <v>43.279311999999997</v>
      </c>
      <c r="L93" s="47">
        <v>49.615775999999997</v>
      </c>
      <c r="M93" s="47">
        <v>40.859256999999999</v>
      </c>
      <c r="N93" s="47">
        <v>41.572629999999997</v>
      </c>
    </row>
    <row r="94" spans="1:14" x14ac:dyDescent="0.35">
      <c r="A94" s="2">
        <v>44533</v>
      </c>
      <c r="B94" s="40">
        <v>-10.549808000000001</v>
      </c>
      <c r="C94" s="40">
        <v>6.3671350000000002</v>
      </c>
      <c r="D94" s="40">
        <v>22.632525999999999</v>
      </c>
      <c r="E94" s="40">
        <v>5.6021929999999998</v>
      </c>
      <c r="F94" s="40">
        <v>3.5892963</v>
      </c>
      <c r="G94" s="40">
        <v>17.557870000000001</v>
      </c>
      <c r="H94" s="40">
        <v>12.290692</v>
      </c>
      <c r="I94" s="40">
        <v>26.587343000000001</v>
      </c>
      <c r="J94" s="40">
        <v>25.406324000000001</v>
      </c>
      <c r="K94" s="47">
        <v>15.138161</v>
      </c>
      <c r="L94" s="47">
        <v>21.602844000000001</v>
      </c>
      <c r="M94" s="47">
        <v>15.613709999999999</v>
      </c>
      <c r="N94" s="47">
        <v>11.24661</v>
      </c>
    </row>
    <row r="95" spans="1:14" x14ac:dyDescent="0.35">
      <c r="A95" s="2">
        <v>44565</v>
      </c>
      <c r="B95" s="40">
        <v>-10.612231</v>
      </c>
      <c r="C95" s="40">
        <v>10.424398999999999</v>
      </c>
      <c r="D95" s="40">
        <v>25.799751000000001</v>
      </c>
      <c r="E95" s="40">
        <v>6.0876010000000003</v>
      </c>
      <c r="F95" s="40">
        <v>3.8297892</v>
      </c>
      <c r="G95" s="40">
        <v>19.002687000000002</v>
      </c>
      <c r="H95" s="40">
        <v>18.817627000000002</v>
      </c>
      <c r="I95" s="40">
        <v>28.796982</v>
      </c>
      <c r="J95" s="40">
        <v>31.233727999999999</v>
      </c>
      <c r="K95" s="47">
        <v>22.021294000000001</v>
      </c>
      <c r="L95" s="47">
        <v>20.868946000000001</v>
      </c>
      <c r="M95" s="47">
        <v>23.067225000000001</v>
      </c>
      <c r="N95" s="47">
        <v>15.947234999999999</v>
      </c>
    </row>
    <row r="96" spans="1:14" x14ac:dyDescent="0.35">
      <c r="A96" s="2">
        <v>44596</v>
      </c>
      <c r="B96" s="40">
        <v>-18.412852999999998</v>
      </c>
      <c r="C96" s="40">
        <v>-1.0750234000000001</v>
      </c>
      <c r="D96" s="40">
        <v>23.348939999999999</v>
      </c>
      <c r="E96" s="40">
        <v>1.0309815</v>
      </c>
      <c r="F96" s="40">
        <v>-4.5985699999999996</v>
      </c>
      <c r="G96" s="40">
        <v>11.445117</v>
      </c>
      <c r="H96" s="40">
        <v>20.306895999999998</v>
      </c>
      <c r="I96" s="40">
        <v>8.9318390000000001</v>
      </c>
      <c r="J96" s="40">
        <v>17.749988999999999</v>
      </c>
      <c r="K96" s="47">
        <v>19.554625999999999</v>
      </c>
      <c r="L96" s="47">
        <v>6.8714022999999997</v>
      </c>
      <c r="M96" s="47">
        <v>6.6045284000000004</v>
      </c>
      <c r="N96" s="47">
        <v>12.1616955</v>
      </c>
    </row>
    <row r="97" spans="1:14" x14ac:dyDescent="0.35">
      <c r="A97" s="2">
        <v>44624</v>
      </c>
      <c r="B97" s="40">
        <v>-7.8571140000000002</v>
      </c>
      <c r="C97" s="40">
        <v>4.1222333999999998</v>
      </c>
      <c r="D97" s="40">
        <v>20.377445000000002</v>
      </c>
      <c r="E97" s="40">
        <v>-17.342980000000001</v>
      </c>
      <c r="F97" s="40">
        <v>-7.6359269999999997</v>
      </c>
      <c r="G97" s="40">
        <v>8.7082750000000004</v>
      </c>
      <c r="H97" s="40">
        <v>6.2824606999999997</v>
      </c>
      <c r="I97" s="40">
        <v>11.452341000000001</v>
      </c>
      <c r="J97" s="40">
        <v>16.26923</v>
      </c>
      <c r="K97" s="47">
        <v>-2.6413262</v>
      </c>
      <c r="L97" s="47">
        <v>-9.0784660000000006</v>
      </c>
      <c r="M97" s="47">
        <v>-14.979535</v>
      </c>
      <c r="N97" s="47">
        <v>-8.7080300000000008</v>
      </c>
    </row>
    <row r="98" spans="1:14" x14ac:dyDescent="0.35">
      <c r="A98" s="2">
        <v>44655</v>
      </c>
      <c r="B98" s="40">
        <v>-8.8708104999999993</v>
      </c>
      <c r="C98" s="40">
        <v>12.407219</v>
      </c>
      <c r="D98" s="40">
        <v>19.512271999999999</v>
      </c>
      <c r="E98" s="40">
        <v>-13.585889999999999</v>
      </c>
      <c r="F98" s="40">
        <v>-7.8344703000000004</v>
      </c>
      <c r="G98" s="40">
        <v>12.810600000000001</v>
      </c>
      <c r="H98" s="40">
        <v>11.846565999999999</v>
      </c>
      <c r="I98" s="40">
        <v>14.330005999999999</v>
      </c>
      <c r="J98" s="40">
        <v>15.536749</v>
      </c>
      <c r="K98" s="47">
        <v>4.7364473</v>
      </c>
      <c r="L98" s="47">
        <v>-7.9639730000000002</v>
      </c>
      <c r="M98" s="47">
        <v>-6.9562016</v>
      </c>
      <c r="N98" s="47">
        <v>-3.8243114999999999</v>
      </c>
    </row>
    <row r="99" spans="1:14" x14ac:dyDescent="0.35">
      <c r="A99" s="2">
        <v>44685</v>
      </c>
      <c r="B99" s="40">
        <v>-20.595497000000002</v>
      </c>
      <c r="C99" s="40">
        <v>2.3065685999999999</v>
      </c>
      <c r="D99" s="40">
        <v>9.1590640000000008</v>
      </c>
      <c r="E99" s="40">
        <v>-19.527000000000001</v>
      </c>
      <c r="F99" s="40">
        <v>-12.020898000000001</v>
      </c>
      <c r="G99" s="40">
        <v>2.8615952</v>
      </c>
      <c r="H99" s="40">
        <v>5.7048319999999997</v>
      </c>
      <c r="I99" s="40">
        <v>0.31789539999999999</v>
      </c>
      <c r="J99" s="40">
        <v>4.6013830000000002</v>
      </c>
      <c r="K99" s="47">
        <v>-5.0496340000000002</v>
      </c>
      <c r="L99" s="47">
        <v>-15.642333000000001</v>
      </c>
      <c r="M99" s="47">
        <v>-16.397804000000001</v>
      </c>
      <c r="N99" s="47">
        <v>-7.9673885999999996</v>
      </c>
    </row>
    <row r="100" spans="1:14" x14ac:dyDescent="0.35">
      <c r="A100" s="2">
        <v>44715</v>
      </c>
      <c r="B100" s="40">
        <v>-18.559014999999999</v>
      </c>
      <c r="C100" s="40">
        <v>-2.5566279999999999</v>
      </c>
      <c r="D100" s="40">
        <v>2.0789979999999999</v>
      </c>
      <c r="E100" s="40">
        <v>-21.924717000000001</v>
      </c>
      <c r="F100" s="40">
        <v>-15.420109</v>
      </c>
      <c r="G100" s="40">
        <v>-6.4396259999999996</v>
      </c>
      <c r="H100" s="40">
        <v>1.3152957000000001</v>
      </c>
      <c r="I100" s="40">
        <v>-6.7646559999999996</v>
      </c>
      <c r="J100" s="40">
        <v>-0.66649320000000001</v>
      </c>
      <c r="K100" s="47">
        <v>-8.3344570000000004</v>
      </c>
      <c r="L100" s="47">
        <v>-20.368444</v>
      </c>
      <c r="M100" s="47">
        <v>-20.305489999999999</v>
      </c>
      <c r="N100" s="47">
        <v>-13.688433</v>
      </c>
    </row>
    <row r="101" spans="1:14" x14ac:dyDescent="0.35">
      <c r="A101" s="2">
        <v>44743</v>
      </c>
      <c r="B101" s="40">
        <v>-25.094341</v>
      </c>
      <c r="C101" s="40">
        <v>-12.843555</v>
      </c>
      <c r="D101" s="40">
        <v>-7.6863109999999999</v>
      </c>
      <c r="E101" s="40">
        <v>-30.947208</v>
      </c>
      <c r="F101" s="40">
        <v>-19.572883999999998</v>
      </c>
      <c r="G101" s="40">
        <v>-13.02101</v>
      </c>
      <c r="H101" s="40">
        <v>-4.9628734999999997</v>
      </c>
      <c r="I101" s="40">
        <v>-19.988828999999999</v>
      </c>
      <c r="J101" s="40">
        <v>-10.165781000000001</v>
      </c>
      <c r="K101" s="47">
        <v>-16.323460000000001</v>
      </c>
      <c r="L101" s="47">
        <v>-26.87679</v>
      </c>
      <c r="M101" s="47">
        <v>-30.431414</v>
      </c>
      <c r="N101" s="47">
        <v>-22.247553</v>
      </c>
    </row>
    <row r="102" spans="1:14" x14ac:dyDescent="0.35">
      <c r="A102" s="2">
        <v>44777</v>
      </c>
      <c r="B102" s="40">
        <v>-18.496973000000001</v>
      </c>
      <c r="C102" s="40">
        <v>-7.7774343000000004</v>
      </c>
      <c r="D102" s="40">
        <v>-4.1245339999999997</v>
      </c>
      <c r="E102" s="40">
        <v>-28.574562</v>
      </c>
      <c r="F102" s="40">
        <v>-15.718532</v>
      </c>
      <c r="G102" s="40">
        <v>-12.25952</v>
      </c>
      <c r="H102" s="40">
        <v>-2.8933703999999998</v>
      </c>
      <c r="I102" s="40">
        <v>-11.199396999999999</v>
      </c>
      <c r="J102" s="40">
        <v>-4.3070849999999998</v>
      </c>
      <c r="K102" s="47">
        <v>-12.638676</v>
      </c>
      <c r="L102" s="47">
        <v>-23.071580000000001</v>
      </c>
      <c r="M102" s="47">
        <v>-26.801126</v>
      </c>
      <c r="N102" s="47">
        <v>-20.681625</v>
      </c>
    </row>
    <row r="103" spans="1:14" x14ac:dyDescent="0.35">
      <c r="A103" s="2">
        <v>44806</v>
      </c>
      <c r="B103" s="40">
        <v>-25.261963000000002</v>
      </c>
      <c r="C103" s="40">
        <v>-11.771387000000001</v>
      </c>
      <c r="D103" s="40">
        <v>-9.6532049999999998</v>
      </c>
      <c r="E103" s="40">
        <v>-36.912260000000003</v>
      </c>
      <c r="F103" s="40">
        <v>-23.264378000000001</v>
      </c>
      <c r="G103" s="40">
        <v>-19.854109999999999</v>
      </c>
      <c r="H103" s="40">
        <v>-11.10031</v>
      </c>
      <c r="I103" s="40">
        <v>-21.974765999999999</v>
      </c>
      <c r="J103" s="40">
        <v>-12.215585000000001</v>
      </c>
      <c r="K103" s="47">
        <v>-22.381119999999999</v>
      </c>
      <c r="L103" s="47">
        <v>-37.342323</v>
      </c>
      <c r="M103" s="47">
        <v>-36.708280000000002</v>
      </c>
      <c r="N103" s="47">
        <v>-28.350645</v>
      </c>
    </row>
    <row r="104" spans="1:14" x14ac:dyDescent="0.35">
      <c r="A104" s="2">
        <v>44838</v>
      </c>
      <c r="B104" s="40">
        <v>-30.241371000000001</v>
      </c>
      <c r="C104" s="40">
        <v>-10.988735999999999</v>
      </c>
      <c r="D104" s="40">
        <v>-8.0023289999999996</v>
      </c>
      <c r="E104" s="40">
        <v>-32.289515999999999</v>
      </c>
      <c r="F104" s="40">
        <v>-22.767847</v>
      </c>
      <c r="G104" s="40">
        <v>-14.709365999999999</v>
      </c>
      <c r="H104" s="40">
        <v>-10.06493</v>
      </c>
      <c r="I104" s="40">
        <v>-19.494140000000002</v>
      </c>
      <c r="J104" s="40">
        <v>-10.483700000000001</v>
      </c>
      <c r="K104" s="47">
        <v>-18.197144000000002</v>
      </c>
      <c r="L104" s="47">
        <v>-30.761444000000001</v>
      </c>
      <c r="M104" s="47">
        <v>-30.501031999999999</v>
      </c>
      <c r="N104" s="47">
        <v>-23.583435000000001</v>
      </c>
    </row>
    <row r="105" spans="1:14" x14ac:dyDescent="0.35">
      <c r="A105" s="2">
        <v>44869</v>
      </c>
      <c r="B105" s="40">
        <v>-27.123563999999998</v>
      </c>
      <c r="C105" s="40">
        <v>-13.027495</v>
      </c>
      <c r="D105" s="40">
        <v>-13.730043</v>
      </c>
      <c r="E105" s="40">
        <v>-32.795994</v>
      </c>
      <c r="F105" s="40">
        <v>-25.928979999999999</v>
      </c>
      <c r="G105" s="40">
        <v>-21.577942</v>
      </c>
      <c r="H105" s="40">
        <v>-9.7136440000000004</v>
      </c>
      <c r="I105" s="40">
        <v>-33.122017</v>
      </c>
      <c r="J105" s="40">
        <v>-18.173079999999999</v>
      </c>
      <c r="K105" s="47">
        <v>-18.950064000000001</v>
      </c>
      <c r="L105" s="47">
        <v>-36.285890000000002</v>
      </c>
      <c r="M105" s="47">
        <v>-33.687995999999998</v>
      </c>
      <c r="N105" s="47">
        <v>-23.292439999999999</v>
      </c>
    </row>
    <row r="106" spans="1:14" x14ac:dyDescent="0.35">
      <c r="A106" s="2">
        <v>44897</v>
      </c>
      <c r="B106" s="40">
        <v>-13.168865</v>
      </c>
      <c r="C106" s="40">
        <v>2.5674104999999998</v>
      </c>
      <c r="D106" s="40">
        <v>-4.2606235000000003</v>
      </c>
      <c r="E106" s="40">
        <v>-16.462332</v>
      </c>
      <c r="F106" s="40">
        <v>-14.54823</v>
      </c>
      <c r="G106" s="40">
        <v>-10.534376</v>
      </c>
      <c r="H106" s="40">
        <v>2.7708411000000002</v>
      </c>
      <c r="I106" s="40">
        <v>-24.504536000000002</v>
      </c>
      <c r="J106" s="40">
        <v>-9.6891990000000003</v>
      </c>
      <c r="K106" s="47">
        <v>-5.1412106</v>
      </c>
      <c r="L106" s="47">
        <v>-18.317812</v>
      </c>
      <c r="M106" s="47">
        <v>-19.806374000000002</v>
      </c>
      <c r="N106" s="47">
        <v>-7.9415380000000004</v>
      </c>
    </row>
    <row r="107" spans="1:14" x14ac:dyDescent="0.35">
      <c r="A107" s="2">
        <v>44930</v>
      </c>
      <c r="B107" s="40">
        <v>-15.83479</v>
      </c>
      <c r="C107" s="40">
        <v>-6.0910820000000001</v>
      </c>
      <c r="D107" s="40">
        <v>-11.088495999999999</v>
      </c>
      <c r="E107" s="40">
        <v>-19.786912999999998</v>
      </c>
      <c r="F107" s="40">
        <v>-19.288176</v>
      </c>
      <c r="G107" s="40">
        <v>-15.86219</v>
      </c>
      <c r="H107" s="40">
        <v>-4.6946820000000002</v>
      </c>
      <c r="I107" s="40">
        <v>-32.481090000000002</v>
      </c>
      <c r="J107" s="40">
        <v>-18.332439999999998</v>
      </c>
      <c r="K107" s="47">
        <v>-10.12724</v>
      </c>
      <c r="L107" s="47">
        <v>-20.856767999999999</v>
      </c>
      <c r="M107" s="47">
        <v>-26.665741000000001</v>
      </c>
      <c r="N107" s="47">
        <v>-12.614316000000001</v>
      </c>
    </row>
    <row r="108" spans="1:14" x14ac:dyDescent="0.35">
      <c r="A108" s="2">
        <v>44960</v>
      </c>
      <c r="B108" s="40">
        <v>-2.5783718000000002</v>
      </c>
      <c r="C108" s="40">
        <v>12.050533</v>
      </c>
      <c r="D108" s="40">
        <v>-4.907775</v>
      </c>
      <c r="E108" s="40">
        <v>-8.6105350000000005</v>
      </c>
      <c r="F108" s="40">
        <v>-7.7867030000000002</v>
      </c>
      <c r="G108" s="40">
        <v>-6.1262664999999998</v>
      </c>
      <c r="H108" s="40">
        <v>-2.7380228</v>
      </c>
      <c r="I108" s="40">
        <v>-12.762183</v>
      </c>
      <c r="J108" s="40">
        <v>-6.1669169999999998</v>
      </c>
      <c r="K108" s="47">
        <v>0.69186689999999995</v>
      </c>
      <c r="L108" s="47">
        <v>-4.7567725000000003</v>
      </c>
      <c r="M108" s="47">
        <v>-12.105489</v>
      </c>
      <c r="N108" s="47">
        <v>-4.6174169999999997</v>
      </c>
    </row>
    <row r="109" spans="1:14" x14ac:dyDescent="0.35">
      <c r="A109" s="2">
        <v>44988</v>
      </c>
      <c r="B109" s="40">
        <v>-7.9734683000000004</v>
      </c>
      <c r="C109" s="40">
        <v>1.2712239999999999</v>
      </c>
      <c r="D109" s="40">
        <v>-7.3590993999999998</v>
      </c>
      <c r="E109" s="40">
        <v>5.3128359999999999</v>
      </c>
      <c r="F109" s="40">
        <v>-6.3082750000000001</v>
      </c>
      <c r="G109" s="40">
        <v>-4.2694806999999999</v>
      </c>
      <c r="H109" s="40">
        <v>3.1390547999999998</v>
      </c>
      <c r="I109" s="40">
        <v>-11.797606999999999</v>
      </c>
      <c r="J109" s="40">
        <v>-5.7249489999999996</v>
      </c>
      <c r="K109" s="47">
        <v>14.388883999999999</v>
      </c>
      <c r="L109" s="47">
        <v>4.335642</v>
      </c>
      <c r="M109" s="47">
        <v>4.7614336000000002</v>
      </c>
      <c r="N109" s="47">
        <v>13.257933</v>
      </c>
    </row>
    <row r="110" spans="1:14" x14ac:dyDescent="0.35">
      <c r="A110" s="2">
        <v>45020</v>
      </c>
      <c r="B110" s="40">
        <v>-7.849926</v>
      </c>
      <c r="C110" s="40">
        <v>-9.4385390000000005</v>
      </c>
      <c r="D110" s="40">
        <v>-12.632930999999999</v>
      </c>
      <c r="E110" s="40">
        <v>3.34301</v>
      </c>
      <c r="F110" s="40">
        <v>-4.4547615</v>
      </c>
      <c r="G110" s="40">
        <v>-6.7312183000000001</v>
      </c>
      <c r="H110" s="40">
        <v>-0.32954215999999997</v>
      </c>
      <c r="I110" s="40">
        <v>-12.94021</v>
      </c>
      <c r="J110" s="40">
        <v>-9.0093189999999996</v>
      </c>
      <c r="K110" s="47">
        <v>10.794162999999999</v>
      </c>
      <c r="L110" s="47">
        <v>0.23733377</v>
      </c>
      <c r="M110" s="47">
        <v>-7.1274996000000002</v>
      </c>
      <c r="N110" s="47">
        <v>7.5322149999999999</v>
      </c>
    </row>
    <row r="111" spans="1:14" x14ac:dyDescent="0.35">
      <c r="A111" s="2">
        <v>45050</v>
      </c>
      <c r="B111" s="40">
        <v>1.4854908</v>
      </c>
      <c r="C111" s="40">
        <v>-6.0793520000000001</v>
      </c>
      <c r="D111" s="40">
        <v>-7.9038085999999996</v>
      </c>
      <c r="E111" s="40">
        <v>12.235175999999999</v>
      </c>
      <c r="F111" s="40">
        <v>2.3880243000000001</v>
      </c>
      <c r="G111" s="40">
        <v>6.2956095000000003</v>
      </c>
      <c r="H111" s="40">
        <v>4.2043566999999999</v>
      </c>
      <c r="I111" s="40">
        <v>-3.3405364</v>
      </c>
      <c r="J111" s="40">
        <v>-3.965646</v>
      </c>
      <c r="K111" s="47">
        <v>18.854272999999999</v>
      </c>
      <c r="L111" s="47">
        <v>7.2545529999999996</v>
      </c>
      <c r="M111" s="47">
        <v>3.8233994999999998</v>
      </c>
      <c r="N111" s="47">
        <v>15.663062999999999</v>
      </c>
    </row>
    <row r="112" spans="1:14" x14ac:dyDescent="0.35">
      <c r="A112" s="2">
        <v>45079</v>
      </c>
      <c r="B112" s="40">
        <v>0.87914466999999996</v>
      </c>
      <c r="C112" s="40">
        <v>-5.7606754000000002</v>
      </c>
      <c r="D112" s="40">
        <v>-8.7550460000000001</v>
      </c>
      <c r="E112" s="40">
        <v>6.5530540000000004</v>
      </c>
      <c r="F112" s="40">
        <v>7.7734350000000001</v>
      </c>
      <c r="G112" s="40">
        <v>5.5982589999999997</v>
      </c>
      <c r="H112" s="40">
        <v>1.1889457999999999</v>
      </c>
      <c r="I112" s="40">
        <v>13.672637999999999</v>
      </c>
      <c r="J112" s="40">
        <v>4.2727349999999999</v>
      </c>
      <c r="K112" s="47">
        <v>12.324774</v>
      </c>
      <c r="L112" s="47">
        <v>9.6729520000000004</v>
      </c>
      <c r="M112" s="47">
        <v>-2.9057205000000002</v>
      </c>
      <c r="N112" s="47">
        <v>11.502159000000001</v>
      </c>
    </row>
    <row r="113" spans="1:14" x14ac:dyDescent="0.35">
      <c r="A113" s="2">
        <v>45110</v>
      </c>
      <c r="B113" s="40">
        <v>12.314892</v>
      </c>
      <c r="C113" s="40">
        <v>11.562956</v>
      </c>
      <c r="D113" s="40">
        <v>5.9775352000000002</v>
      </c>
      <c r="E113" s="40">
        <v>26.880013999999999</v>
      </c>
      <c r="F113" s="40">
        <v>18.128776999999999</v>
      </c>
      <c r="G113" s="40">
        <v>12.916969999999999</v>
      </c>
      <c r="H113" s="40">
        <v>11.498856999999999</v>
      </c>
      <c r="I113" s="40">
        <v>32.186042999999998</v>
      </c>
      <c r="J113" s="40">
        <v>18.325292999999999</v>
      </c>
      <c r="K113" s="47">
        <v>30.887889999999999</v>
      </c>
      <c r="L113" s="47">
        <v>27.024291999999999</v>
      </c>
      <c r="M113" s="47">
        <v>15.950537000000001</v>
      </c>
      <c r="N113" s="47">
        <v>37.198627000000002</v>
      </c>
    </row>
    <row r="114" spans="1:14" x14ac:dyDescent="0.35">
      <c r="A114" s="2">
        <v>45142</v>
      </c>
      <c r="B114" s="40">
        <v>-0.4055202</v>
      </c>
      <c r="C114" s="40">
        <v>3.4651755999999998</v>
      </c>
      <c r="D114" s="40">
        <v>2.1331072</v>
      </c>
      <c r="E114" s="40">
        <v>21.452105</v>
      </c>
      <c r="F114" s="40">
        <v>12.047482</v>
      </c>
      <c r="G114" s="40">
        <v>9.6457960000000007</v>
      </c>
      <c r="H114" s="40">
        <v>8.6396219999999992</v>
      </c>
      <c r="I114" s="40">
        <v>15.505242000000001</v>
      </c>
      <c r="J114" s="40">
        <v>9.6586110000000005</v>
      </c>
      <c r="K114" s="47">
        <v>21.762753</v>
      </c>
      <c r="L114" s="47">
        <v>15.261555</v>
      </c>
      <c r="M114" s="47">
        <v>3.5244346000000002</v>
      </c>
      <c r="N114" s="47">
        <v>35.331620000000001</v>
      </c>
    </row>
    <row r="115" spans="1:14" x14ac:dyDescent="0.35">
      <c r="A115" s="2">
        <v>45170</v>
      </c>
      <c r="B115" s="40">
        <v>-0.37047267</v>
      </c>
      <c r="C115" s="40">
        <v>6.2711595999999998</v>
      </c>
      <c r="D115" s="40">
        <v>7.3082805000000004</v>
      </c>
      <c r="E115" s="40">
        <v>31.744062</v>
      </c>
      <c r="F115" s="40">
        <v>18.256546</v>
      </c>
      <c r="G115" s="40">
        <v>17.080784000000001</v>
      </c>
      <c r="H115" s="40">
        <v>16.719936000000001</v>
      </c>
      <c r="I115" s="40">
        <v>27.016926000000002</v>
      </c>
      <c r="J115" s="40">
        <v>15.691757000000001</v>
      </c>
      <c r="K115" s="47">
        <v>31.388390000000001</v>
      </c>
      <c r="L115" s="47">
        <v>25.123346000000002</v>
      </c>
      <c r="M115" s="47">
        <v>13.631629999999999</v>
      </c>
      <c r="N115" s="47">
        <v>44.340862000000001</v>
      </c>
    </row>
    <row r="116" spans="1:14" x14ac:dyDescent="0.35">
      <c r="A116" s="2">
        <v>45203</v>
      </c>
      <c r="B116" s="40">
        <v>4.5149803000000004</v>
      </c>
      <c r="C116" s="40">
        <v>4.0863275999999997</v>
      </c>
      <c r="D116" s="40">
        <v>-8.9454649999999997E-2</v>
      </c>
      <c r="E116" s="40">
        <v>24.080300000000001</v>
      </c>
      <c r="F116" s="40">
        <v>14.244175</v>
      </c>
      <c r="G116" s="40">
        <v>11.90691</v>
      </c>
      <c r="H116" s="40">
        <v>14.486181</v>
      </c>
      <c r="I116" s="40">
        <v>28.380286999999999</v>
      </c>
      <c r="J116" s="40">
        <v>14.139533</v>
      </c>
      <c r="K116" s="47">
        <v>23.650539999999999</v>
      </c>
      <c r="L116" s="47">
        <v>15.157234000000001</v>
      </c>
      <c r="M116" s="47">
        <v>10.091257000000001</v>
      </c>
      <c r="N116" s="47">
        <v>32.213653999999998</v>
      </c>
    </row>
    <row r="117" spans="1:14" x14ac:dyDescent="0.35">
      <c r="A117" s="2">
        <v>45233</v>
      </c>
      <c r="B117" s="40">
        <v>5.0468206000000002</v>
      </c>
      <c r="C117" s="40">
        <v>11.39791</v>
      </c>
      <c r="D117" s="40">
        <v>7.1118116000000002</v>
      </c>
      <c r="E117" s="40">
        <v>27.078379000000002</v>
      </c>
      <c r="F117" s="40">
        <v>25.403749999999999</v>
      </c>
      <c r="G117" s="40">
        <v>16.117775000000002</v>
      </c>
      <c r="H117" s="40">
        <v>17.281092000000001</v>
      </c>
      <c r="I117" s="40">
        <v>42.121969999999997</v>
      </c>
      <c r="J117" s="40">
        <v>19.027149999999999</v>
      </c>
      <c r="K117" s="47">
        <v>25.699210999999998</v>
      </c>
      <c r="L117" s="47">
        <v>27.185403999999998</v>
      </c>
      <c r="M117" s="47">
        <v>15.557898</v>
      </c>
      <c r="N117" s="47">
        <v>37.170969999999997</v>
      </c>
    </row>
    <row r="118" spans="1:14" x14ac:dyDescent="0.35">
      <c r="A118" s="2">
        <v>45264</v>
      </c>
      <c r="B118" s="40">
        <v>-6.0692310000000003</v>
      </c>
      <c r="C118" s="40">
        <v>-0.99794864999999999</v>
      </c>
      <c r="D118" s="40">
        <v>2.8053522000000002</v>
      </c>
      <c r="E118" s="40">
        <v>14.360177999999999</v>
      </c>
      <c r="F118" s="40">
        <v>12.334704</v>
      </c>
      <c r="G118" s="40">
        <v>7.9225899999999996</v>
      </c>
      <c r="H118" s="40">
        <v>5.7707905999999998</v>
      </c>
      <c r="I118" s="40">
        <v>32.951714000000003</v>
      </c>
      <c r="J118" s="40">
        <v>14.018464</v>
      </c>
      <c r="K118" s="47">
        <v>13.051486000000001</v>
      </c>
      <c r="L118" s="47">
        <v>9.2354660000000006</v>
      </c>
      <c r="M118" s="47">
        <v>7.1415663</v>
      </c>
      <c r="N118" s="47">
        <v>22.851658</v>
      </c>
    </row>
    <row r="119" spans="1:14" x14ac:dyDescent="0.35">
      <c r="A119" s="2">
        <v>45295</v>
      </c>
      <c r="B119" s="40">
        <v>-0.21761059999999999</v>
      </c>
      <c r="C119" s="40">
        <v>9.8460789999999996</v>
      </c>
      <c r="D119" s="40">
        <v>11.697661999999999</v>
      </c>
      <c r="E119" s="40">
        <v>15.302239999999999</v>
      </c>
      <c r="F119" s="40">
        <v>18.907475000000002</v>
      </c>
      <c r="G119" s="40">
        <v>12.464738000000001</v>
      </c>
      <c r="H119" s="40">
        <v>10.053492</v>
      </c>
      <c r="I119" s="40">
        <v>50.150680000000001</v>
      </c>
      <c r="J119" s="40">
        <v>23.627721999999999</v>
      </c>
      <c r="K119" s="47">
        <v>14.494776999999999</v>
      </c>
      <c r="L119" s="47">
        <v>12.152613000000001</v>
      </c>
      <c r="M119" s="47">
        <v>16.962862000000001</v>
      </c>
      <c r="N119" s="47">
        <v>24.354696000000001</v>
      </c>
    </row>
    <row r="120" spans="1:14" x14ac:dyDescent="0.35">
      <c r="A120" s="2">
        <v>45324</v>
      </c>
      <c r="B120" s="40">
        <v>-10.102999000000001</v>
      </c>
      <c r="C120" s="40">
        <v>-1.5977859999999999</v>
      </c>
      <c r="D120" s="40">
        <v>4.2808413999999999</v>
      </c>
      <c r="E120" s="40">
        <v>4.0325284000000003</v>
      </c>
      <c r="F120" s="40">
        <v>15.654051000000001</v>
      </c>
      <c r="G120" s="40">
        <v>6.921208</v>
      </c>
      <c r="H120" s="40">
        <v>4.5794009999999998</v>
      </c>
      <c r="I120" s="40">
        <v>38.57497</v>
      </c>
      <c r="J120" s="40">
        <v>20.427607999999999</v>
      </c>
      <c r="K120" s="47">
        <v>6.2031390000000002</v>
      </c>
      <c r="L120" s="47">
        <v>7.2924020000000001</v>
      </c>
      <c r="M120" s="47">
        <v>4.6181559999999999</v>
      </c>
      <c r="N120" s="47">
        <v>13.907539</v>
      </c>
    </row>
    <row r="121" spans="1:14" x14ac:dyDescent="0.35">
      <c r="A121" s="2">
        <v>45355</v>
      </c>
      <c r="B121" s="40">
        <v>-6.5753279999999998</v>
      </c>
      <c r="C121" s="40">
        <v>6.3810469999999997</v>
      </c>
      <c r="D121" s="40">
        <v>8.7962150000000001</v>
      </c>
      <c r="E121" s="40">
        <v>13.011682499999999</v>
      </c>
      <c r="F121" s="40">
        <v>24.444220999999999</v>
      </c>
      <c r="G121" s="40">
        <v>8.5903759999999991</v>
      </c>
      <c r="H121" s="40">
        <v>4.6081542999999998</v>
      </c>
      <c r="I121" s="40">
        <v>49.185561999999997</v>
      </c>
      <c r="J121" s="40">
        <v>28.687740000000002</v>
      </c>
      <c r="K121" s="47">
        <v>11.341023</v>
      </c>
      <c r="L121" s="47">
        <v>18.124140000000001</v>
      </c>
      <c r="M121" s="47">
        <v>12.332654</v>
      </c>
      <c r="N121" s="47">
        <v>20.953156</v>
      </c>
    </row>
    <row r="122" spans="1:14" x14ac:dyDescent="0.35">
      <c r="A122" s="2">
        <v>45386</v>
      </c>
      <c r="B122">
        <v>-7.1061015000000003</v>
      </c>
      <c r="C122">
        <v>9.7391970000000008</v>
      </c>
      <c r="D122">
        <v>12.150717</v>
      </c>
      <c r="E122">
        <v>12.467098</v>
      </c>
      <c r="F122">
        <v>20.717312</v>
      </c>
      <c r="G122">
        <v>5.3003907000000003</v>
      </c>
      <c r="H122">
        <v>8.5643650000000004</v>
      </c>
      <c r="I122">
        <v>37.348460000000003</v>
      </c>
      <c r="J122">
        <v>27.375136999999999</v>
      </c>
      <c r="K122" s="47">
        <v>9.6539970000000004</v>
      </c>
      <c r="L122" s="47">
        <v>18.139469999999999</v>
      </c>
      <c r="M122" s="47">
        <v>13.975763000000001</v>
      </c>
      <c r="N122" s="47">
        <v>25.484252999999999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-30.241371000000001</v>
      </c>
      <c r="C126" s="40" cm="1">
        <f t="array" ref="C126">MIN(_xlfn._xlws.FILTER(C2:C122, ISNUMBER(C2:C122)))</f>
        <v>-31.930900000000001</v>
      </c>
      <c r="D126" s="40" cm="1">
        <f t="array" ref="D126">MIN(_xlfn._xlws.FILTER(D2:D122, ISNUMBER(D2:D122)))</f>
        <v>-27.210014000000001</v>
      </c>
      <c r="E126" s="40" cm="1">
        <f t="array" ref="E126">MIN(_xlfn._xlws.FILTER(E2:E122, ISNUMBER(E2:E122)))</f>
        <v>-36.912260000000003</v>
      </c>
      <c r="F126" s="40" cm="1">
        <f t="array" ref="F126">MIN(_xlfn._xlws.FILTER(F2:F122, ISNUMBER(F2:F122)))</f>
        <v>-25.928979999999999</v>
      </c>
      <c r="G126" s="40" cm="1">
        <f t="array" ref="G126">MIN(_xlfn._xlws.FILTER(G2:G122, ISNUMBER(G2:G122)))</f>
        <v>-21.577942</v>
      </c>
      <c r="H126" s="40" cm="1">
        <f t="array" ref="H126">MIN(_xlfn._xlws.FILTER(H2:H122, ISNUMBER(H2:H122)))</f>
        <v>-30.456178999999999</v>
      </c>
      <c r="I126" s="40" cm="1">
        <f t="array" ref="I126">MIN(_xlfn._xlws.FILTER(I2:I122, ISNUMBER(I2:I122)))</f>
        <v>-33.122017</v>
      </c>
      <c r="J126" s="40" cm="1">
        <f t="array" ref="J126">MIN(_xlfn._xlws.FILTER(J2:J122, ISNUMBER(J2:J122)))</f>
        <v>-18.332439999999998</v>
      </c>
      <c r="K126" s="40" cm="1">
        <f t="array" ref="K126">MIN(_xlfn._xlws.FILTER(K2:K122, ISNUMBER(K2:K122)))</f>
        <v>-25.598568</v>
      </c>
      <c r="L126" s="40" cm="1">
        <f t="array" ref="L126">MIN(_xlfn._xlws.FILTER(L2:L122, ISNUMBER(L2:L122)))</f>
        <v>-37.342323</v>
      </c>
      <c r="M126" s="40" cm="1">
        <f t="array" ref="M126">MIN(_xlfn._xlws.FILTER(M2:M122, ISNUMBER(M2:M122)))</f>
        <v>-36.708280000000002</v>
      </c>
      <c r="N126" s="40" cm="1">
        <f t="array" ref="N126">MIN(_xlfn._xlws.FILTER(N2:N122, ISNUMBER(N2:N122)))</f>
        <v>-28.350645</v>
      </c>
    </row>
    <row r="127" spans="1:14" x14ac:dyDescent="0.35">
      <c r="A127" s="2" t="s">
        <v>393</v>
      </c>
      <c r="B127" s="42" cm="1">
        <f t="array" ref="B127">MAX(_xlfn._xlws.FILTER(B1:B122, ISNUMBER(B1:B122)))</f>
        <v>54.736170000000001</v>
      </c>
      <c r="C127" s="42" cm="1">
        <f t="array" ref="C127">MAX(_xlfn._xlws.FILTER(C1:C122, ISNUMBER(C1:C122)))</f>
        <v>71.345519999999993</v>
      </c>
      <c r="D127" s="42" cm="1">
        <f t="array" ref="D127">MAX(_xlfn._xlws.FILTER(D1:D122, ISNUMBER(D1:D122)))</f>
        <v>70.401955000000001</v>
      </c>
      <c r="E127" s="42" cm="1">
        <f t="array" ref="E127">MAX(_xlfn._xlws.FILTER(E1:E122, ISNUMBER(E1:E122)))</f>
        <v>70.442819999999998</v>
      </c>
      <c r="F127" s="42" cm="1">
        <f t="array" ref="F127">MAX(_xlfn._xlws.FILTER(F1:F122, ISNUMBER(F1:F122)))</f>
        <v>48.740229999999997</v>
      </c>
      <c r="G127" s="42" cm="1">
        <f t="array" ref="G127">MAX(_xlfn._xlws.FILTER(G1:G122, ISNUMBER(G1:G122)))</f>
        <v>32.841230000000003</v>
      </c>
      <c r="H127" s="42" cm="1">
        <f t="array" ref="H127">MAX(_xlfn._xlws.FILTER(H1:H122, ISNUMBER(H1:H122)))</f>
        <v>43.063879999999997</v>
      </c>
      <c r="I127" s="42" cm="1">
        <f t="array" ref="I127">MAX(_xlfn._xlws.FILTER(I1:I122, ISNUMBER(I1:I122)))</f>
        <v>79.143035999999995</v>
      </c>
      <c r="J127" s="42" cm="1">
        <f t="array" ref="J127">MAX(_xlfn._xlws.FILTER(J1:J122, ISNUMBER(J1:J122)))</f>
        <v>65.376130000000003</v>
      </c>
      <c r="K127" s="42" cm="1">
        <f t="array" ref="K127">MAX(_xlfn._xlws.FILTER(K1:K122, ISNUMBER(K1:K122)))</f>
        <v>61.322879999999998</v>
      </c>
      <c r="L127" s="42" cm="1">
        <f t="array" ref="L127">MAX(_xlfn._xlws.FILTER(L1:L122, ISNUMBER(L1:L122)))</f>
        <v>92.318129999999996</v>
      </c>
      <c r="M127" s="42" cm="1">
        <f t="array" ref="M127">MAX(_xlfn._xlws.FILTER(M1:M122, ISNUMBER(M1:M122)))</f>
        <v>89.209710000000001</v>
      </c>
      <c r="N127" s="42" cm="1">
        <f t="array" ref="N127">MAX(_xlfn._xlws.FILTER(N1:N122, ISNUMBER(N1:N122)))</f>
        <v>63.152813000000002</v>
      </c>
    </row>
    <row r="128" spans="1:14" x14ac:dyDescent="0.35">
      <c r="A128" s="2" t="s">
        <v>394</v>
      </c>
      <c r="B128" s="40" cm="1">
        <f t="array" ref="B128">MEDIAN(_xlfn._xlws.FILTER(B1:B122, ISNUMBER(B1:B122)))</f>
        <v>8.6586239999999997</v>
      </c>
      <c r="C128" s="40" cm="1">
        <f t="array" ref="C128">MEDIAN(_xlfn._xlws.FILTER(C1:C122, ISNUMBER(C1:C122)))</f>
        <v>3.4651755999999998</v>
      </c>
      <c r="D128" s="40" cm="1">
        <f t="array" ref="D128">MEDIAN(_xlfn._xlws.FILTER(D1:D122, ISNUMBER(D1:D122)))</f>
        <v>4.7980070000000001</v>
      </c>
      <c r="E128" s="40" cm="1">
        <f t="array" ref="E128">MEDIAN(_xlfn._xlws.FILTER(E1:E122, ISNUMBER(E1:E122)))</f>
        <v>3.34301</v>
      </c>
      <c r="F128" s="40" cm="1">
        <f t="array" ref="F128">MEDIAN(_xlfn._xlws.FILTER(F1:F122, ISNUMBER(F1:F122)))</f>
        <v>7.0629597000000004</v>
      </c>
      <c r="G128" s="40" cm="1">
        <f t="array" ref="G128">MEDIAN(_xlfn._xlws.FILTER(G1:G122, ISNUMBER(G1:G122)))</f>
        <v>8.0073594999999997</v>
      </c>
      <c r="H128" s="40" cm="1">
        <f t="array" ref="H128">MEDIAN(_xlfn._xlws.FILTER(H1:H122, ISNUMBER(H1:H122)))</f>
        <v>1.3152957000000001</v>
      </c>
      <c r="I128" s="40" cm="1">
        <f t="array" ref="I128">MEDIAN(_xlfn._xlws.FILTER(I1:I122, ISNUMBER(I1:I122)))</f>
        <v>23.005915000000002</v>
      </c>
      <c r="J128" s="40" cm="1">
        <f t="array" ref="J128">MEDIAN(_xlfn._xlws.FILTER(J1:J122, ISNUMBER(J1:J122)))</f>
        <v>14.561844000000001</v>
      </c>
      <c r="K128" s="40" cm="1">
        <f t="array" ref="K128">MEDIAN(_xlfn._xlws.FILTER(K1:K122, ISNUMBER(K1:K122)))</f>
        <v>5.0736666000000001</v>
      </c>
      <c r="L128" s="40" cm="1">
        <f t="array" ref="L128">MEDIAN(_xlfn._xlws.FILTER(L1:L122, ISNUMBER(L1:L122)))</f>
        <v>7.836938</v>
      </c>
      <c r="M128" s="40" cm="1">
        <f t="array" ref="M128">MEDIAN(_xlfn._xlws.FILTER(M1:M122, ISNUMBER(M1:M122)))</f>
        <v>3.0256748</v>
      </c>
      <c r="N128" s="40" cm="1">
        <f t="array" ref="N128">MEDIAN(_xlfn._xlws.FILTER(N1:N122, ISNUMBER(N1:N122)))</f>
        <v>2.9463530000000002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17</v>
      </c>
      <c r="C130">
        <f>COUNTIF(C2:C122, "&lt;"&amp;Assumption!$F$50)</f>
        <v>19</v>
      </c>
      <c r="D130">
        <f>COUNTIF(D2:D122, "&lt;"&amp;Assumption!$F$50)</f>
        <v>17</v>
      </c>
      <c r="E130">
        <f>COUNTIF(E2:E122, "&lt;"&amp;Assumption!$F$50)</f>
        <v>28</v>
      </c>
      <c r="F130">
        <f>COUNTIF(F2:F122, "&lt;"&amp;Assumption!$F$50)</f>
        <v>14</v>
      </c>
      <c r="G130">
        <f>COUNTIF(G2:G122, "&lt;"&amp;Assumption!$F$50)</f>
        <v>10</v>
      </c>
      <c r="H130">
        <f>COUNTIF(H2:H122, "&lt;"&amp;Assumption!$F$50)</f>
        <v>20</v>
      </c>
      <c r="I130">
        <f>COUNTIF(I2:I122, "&lt;"&amp;Assumption!$F$50)</f>
        <v>10</v>
      </c>
      <c r="J130">
        <f>COUNTIF(J2:J122, "&lt;"&amp;Assumption!$F$50)</f>
        <v>6</v>
      </c>
      <c r="K130">
        <f>COUNTIF(K2:K122, "&lt;"&amp;Assumption!$F$50)</f>
        <v>11</v>
      </c>
      <c r="L130">
        <f>COUNTIF(L2:L122, "&lt;"&amp;Assumption!$F$50)</f>
        <v>12</v>
      </c>
      <c r="M130">
        <f>COUNTIF(M2:M122, "&lt;"&amp;Assumption!$F$50)</f>
        <v>22</v>
      </c>
      <c r="N130">
        <f>COUNTIF(N2:N122, "&lt;"&amp;Assumption!$F$50)</f>
        <v>32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0.14049586776859505</v>
      </c>
      <c r="C133" s="9">
        <f t="shared" si="2"/>
        <v>0.15702479338842976</v>
      </c>
      <c r="D133" s="9">
        <f t="shared" si="2"/>
        <v>0.14049586776859505</v>
      </c>
      <c r="E133" s="9">
        <f t="shared" si="2"/>
        <v>0.23140495867768596</v>
      </c>
      <c r="F133" s="9">
        <f t="shared" si="2"/>
        <v>0.11570247933884298</v>
      </c>
      <c r="G133" s="9">
        <f t="shared" si="2"/>
        <v>8.2644628099173556E-2</v>
      </c>
      <c r="H133" s="9">
        <f t="shared" si="2"/>
        <v>0.16528925619834711</v>
      </c>
      <c r="I133" s="9">
        <f t="shared" si="2"/>
        <v>8.2644628099173556E-2</v>
      </c>
      <c r="J133" s="9">
        <f t="shared" si="2"/>
        <v>4.9586776859504134E-2</v>
      </c>
      <c r="K133" s="9">
        <f t="shared" ref="K133:N133" si="3">K130/K131</f>
        <v>9.0909090909090912E-2</v>
      </c>
      <c r="L133" s="9">
        <f t="shared" si="3"/>
        <v>9.9173553719008267E-2</v>
      </c>
      <c r="M133" s="9">
        <f t="shared" si="3"/>
        <v>0.18181818181818182</v>
      </c>
      <c r="N133" s="9">
        <f t="shared" si="3"/>
        <v>0.26446280991735538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0.13900000000000001</v>
      </c>
      <c r="C136" s="40" cm="1">
        <f t="array" ref="C136">_xlfn.PERCENTRANK.EXC(_xlfn._xlws.FILTER(C2:C122, ISNUMBER(C2:C122)),C120)</f>
        <v>0.36</v>
      </c>
      <c r="D136" s="40" cm="1">
        <f t="array" ref="D136">_xlfn.PERCENTRANK.EXC(_xlfn._xlws.FILTER(D2:D122, ISNUMBER(D2:D122)),D120)</f>
        <v>0.48299999999999998</v>
      </c>
      <c r="E136" s="40" cm="1">
        <f t="array" ref="E136">_xlfn.PERCENTRANK.EXC(_xlfn._xlws.FILTER(E2:E122, ISNUMBER(E2:E122)),E120)</f>
        <v>0.51600000000000001</v>
      </c>
      <c r="F136" s="40" cm="1">
        <f t="array" ref="F136">_xlfn.PERCENTRANK.EXC(_xlfn._xlws.FILTER(F2:F122, ISNUMBER(F2:F122)),F120)</f>
        <v>0.73699999999999999</v>
      </c>
      <c r="G136" s="40" cm="1">
        <f t="array" ref="G136">_xlfn.PERCENTRANK.EXC(_xlfn._xlws.FILTER(G2:G122, ISNUMBER(G2:G122)),G120)</f>
        <v>0.46700000000000003</v>
      </c>
      <c r="H136" s="40" cm="1">
        <f t="array" ref="H136">_xlfn.PERCENTRANK.EXC(_xlfn._xlws.FILTER(H2:H122, ISNUMBER(H2:H122)),H120)</f>
        <v>0.56499999999999995</v>
      </c>
      <c r="I136" s="40" cm="1">
        <f t="array" ref="I136">_xlfn.PERCENTRANK.EXC(_xlfn._xlws.FILTER(I2:I122, ISNUMBER(I2:I122)),I120)</f>
        <v>0.85199999999999998</v>
      </c>
      <c r="J136" s="40" cm="1">
        <f t="array" ref="J136">_xlfn.PERCENTRANK.EXC(_xlfn._xlws.FILTER(J2:J122, ISNUMBER(J2:J122)),J120)</f>
        <v>0.77</v>
      </c>
      <c r="K136" s="40" cm="1">
        <f t="array" ref="K136">_xlfn.PERCENTRANK.EXC(_xlfn._xlws.FILTER(K2:K122, ISNUMBER(K2:K122)),K120)</f>
        <v>0.53200000000000003</v>
      </c>
      <c r="L136" s="40" cm="1">
        <f t="array" ref="L136">_xlfn.PERCENTRANK.EXC(_xlfn._xlws.FILTER(L2:L122, ISNUMBER(L2:L122)),L120)</f>
        <v>0.47499999999999998</v>
      </c>
      <c r="M136" s="40" cm="1">
        <f t="array" ref="M136">_xlfn.PERCENTRANK.EXC(_xlfn._xlws.FILTER(M2:M122, ISNUMBER(M2:M122)),M120)</f>
        <v>0.52400000000000002</v>
      </c>
      <c r="N136" s="40" cm="1">
        <f t="array" ref="N136">_xlfn.PERCENTRANK.EXC(_xlfn._xlws.FILTER(N2:N122, ISNUMBER(N2:N122)),N120)</f>
        <v>0.64700000000000002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0.19600000000000001</v>
      </c>
      <c r="C137" s="40" cm="1">
        <f t="array" ref="C137">_xlfn.PERCENTRANK.EXC(_xlfn._xlws.FILTER(C2:C122, ISNUMBER(C2:C122)),C121)</f>
        <v>0.57299999999999995</v>
      </c>
      <c r="D137" s="40" cm="1">
        <f t="array" ref="D137">_xlfn.PERCENTRANK.EXC(_xlfn._xlws.FILTER(D2:D122, ISNUMBER(D2:D122)),D121)</f>
        <v>0.60599999999999998</v>
      </c>
      <c r="E137" s="40" cm="1">
        <f t="array" ref="E137">_xlfn.PERCENTRANK.EXC(_xlfn._xlws.FILTER(E2:E122, ISNUMBER(E2:E122)),E121)</f>
        <v>0.66300000000000003</v>
      </c>
      <c r="F137" s="40" cm="1">
        <f t="array" ref="F137">_xlfn.PERCENTRANK.EXC(_xlfn._xlws.FILTER(F2:F122, ISNUMBER(F2:F122)),F121)</f>
        <v>0.92600000000000005</v>
      </c>
      <c r="G137" s="40" cm="1">
        <f t="array" ref="G137">_xlfn.PERCENTRANK.EXC(_xlfn._xlws.FILTER(G2:G122, ISNUMBER(G2:G122)),G121)</f>
        <v>0.51600000000000001</v>
      </c>
      <c r="H137" s="40" cm="1">
        <f t="array" ref="H137">_xlfn.PERCENTRANK.EXC(_xlfn._xlws.FILTER(H2:H122, ISNUMBER(H2:H122)),H121)</f>
        <v>0.57299999999999995</v>
      </c>
      <c r="I137" s="40" cm="1">
        <f t="array" ref="I137">_xlfn.PERCENTRANK.EXC(_xlfn._xlws.FILTER(I2:I122, ISNUMBER(I2:I122)),I121)</f>
        <v>0.94199999999999995</v>
      </c>
      <c r="J137" s="40" cm="1">
        <f t="array" ref="J137">_xlfn.PERCENTRANK.EXC(_xlfn._xlws.FILTER(J2:J122, ISNUMBER(J2:J122)),J121)</f>
        <v>0.90900000000000003</v>
      </c>
      <c r="K137" s="40" cm="1">
        <f t="array" ref="K137">_xlfn.PERCENTRANK.EXC(_xlfn._xlws.FILTER(K2:K122, ISNUMBER(K2:K122)),K121)</f>
        <v>0.60599999999999998</v>
      </c>
      <c r="L137" s="40" cm="1">
        <f t="array" ref="L137">_xlfn.PERCENTRANK.EXC(_xlfn._xlws.FILTER(L2:L122, ISNUMBER(L2:L122)),L121)</f>
        <v>0.68799999999999994</v>
      </c>
      <c r="M137" s="40" cm="1">
        <f t="array" ref="M137">_xlfn.PERCENTRANK.EXC(_xlfn._xlws.FILTER(M2:M122, ISNUMBER(M2:M122)),M121)</f>
        <v>0.63900000000000001</v>
      </c>
      <c r="N137" s="40" cm="1">
        <f t="array" ref="N137">_xlfn.PERCENTRANK.EXC(_xlfn._xlws.FILTER(N2:N122, ISNUMBER(N2:N122)),N121)</f>
        <v>0.70399999999999996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0.188</v>
      </c>
      <c r="C138" s="40" cm="1">
        <f t="array" ref="C138">_xlfn.PERCENTRANK.EXC(_xlfn._xlws.FILTER(C2:C122, ISNUMBER(C2:C122)),C122)</f>
        <v>0.64700000000000002</v>
      </c>
      <c r="D138" s="40" cm="1">
        <f t="array" ref="D138">_xlfn.PERCENTRANK.EXC(_xlfn._xlws.FILTER(D2:D122, ISNUMBER(D2:D122)),D122)</f>
        <v>0.70399999999999996</v>
      </c>
      <c r="E138" s="40" cm="1">
        <f t="array" ref="E138">_xlfn.PERCENTRANK.EXC(_xlfn._xlws.FILTER(E2:E122, ISNUMBER(E2:E122)),E122)</f>
        <v>0.64700000000000002</v>
      </c>
      <c r="F138" s="40" cm="1">
        <f t="array" ref="F138">_xlfn.PERCENTRANK.EXC(_xlfn._xlws.FILTER(F2:F122, ISNUMBER(F2:F122)),F122)</f>
        <v>0.89300000000000002</v>
      </c>
      <c r="G138" s="40" cm="1">
        <f t="array" ref="G138">_xlfn.PERCENTRANK.EXC(_xlfn._xlws.FILTER(G2:G122, ISNUMBER(G2:G122)),G122)</f>
        <v>0.42599999999999999</v>
      </c>
      <c r="H138" s="40" cm="1">
        <f t="array" ref="H138">_xlfn.PERCENTRANK.EXC(_xlfn._xlws.FILTER(H2:H122, ISNUMBER(H2:H122)),H122)</f>
        <v>0.67200000000000004</v>
      </c>
      <c r="I138" s="40" cm="1">
        <f t="array" ref="I138">_xlfn.PERCENTRANK.EXC(_xlfn._xlws.FILTER(I2:I122, ISNUMBER(I2:I122)),I122)</f>
        <v>0.84399999999999997</v>
      </c>
      <c r="J138" s="40" cm="1">
        <f t="array" ref="J138">_xlfn.PERCENTRANK.EXC(_xlfn._xlws.FILTER(J2:J122, ISNUMBER(J2:J122)),J122)</f>
        <v>0.90100000000000002</v>
      </c>
      <c r="K138" s="40" cm="1">
        <f t="array" ref="K138">_xlfn.PERCENTRANK.EXC(_xlfn._xlws.FILTER(K2:K122, ISNUMBER(K2:K122)),K122)</f>
        <v>0.58099999999999996</v>
      </c>
      <c r="L138" s="40" cm="1">
        <f t="array" ref="L138">_xlfn.PERCENTRANK.EXC(_xlfn._xlws.FILTER(L2:L122, ISNUMBER(L2:L122)),L122)</f>
        <v>0.69599999999999995</v>
      </c>
      <c r="M138" s="40" cm="1">
        <f t="array" ref="M138">_xlfn.PERCENTRANK.EXC(_xlfn._xlws.FILTER(M2:M122, ISNUMBER(M2:M122)),M122)</f>
        <v>0.68</v>
      </c>
      <c r="N138" s="40" cm="1">
        <f t="array" ref="N138">_xlfn.PERCENTRANK.EXC(_xlfn._xlws.FILTER(N2:N122, ISNUMBER(N2:N122)),N122)</f>
        <v>0.73699999999999999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0.17433333333333334</v>
      </c>
      <c r="C140" s="40">
        <f t="shared" si="4"/>
        <v>0.52666666666666673</v>
      </c>
      <c r="D140" s="40">
        <f t="shared" si="4"/>
        <v>0.59766666666666668</v>
      </c>
      <c r="E140" s="40">
        <f t="shared" si="4"/>
        <v>0.60866666666666669</v>
      </c>
      <c r="F140" s="40">
        <f t="shared" si="4"/>
        <v>0.85199999999999998</v>
      </c>
      <c r="G140" s="40">
        <f t="shared" si="4"/>
        <v>0.46966666666666668</v>
      </c>
      <c r="H140" s="40">
        <f t="shared" si="4"/>
        <v>0.60333333333333339</v>
      </c>
      <c r="I140" s="40">
        <f t="shared" si="4"/>
        <v>0.8793333333333333</v>
      </c>
      <c r="J140" s="40">
        <f t="shared" si="4"/>
        <v>0.86</v>
      </c>
      <c r="K140" s="40">
        <f t="shared" ref="K140:N140" si="5">AVERAGE(K136:K138)</f>
        <v>0.57299999999999995</v>
      </c>
      <c r="L140" s="40">
        <f t="shared" si="5"/>
        <v>0.61966666666666659</v>
      </c>
      <c r="M140" s="40">
        <f t="shared" si="5"/>
        <v>0.61433333333333329</v>
      </c>
      <c r="N140" s="40">
        <f t="shared" si="5"/>
        <v>0.69600000000000006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863</v>
      </c>
      <c r="L1" t="s">
        <v>865</v>
      </c>
      <c r="M1" t="s">
        <v>862</v>
      </c>
      <c r="N1" t="s">
        <v>864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2.24801606045295</v>
      </c>
      <c r="C17">
        <v>1.3179970851092</v>
      </c>
      <c r="D17">
        <v>2.0739392179922902</v>
      </c>
      <c r="E17">
        <v>2.0881582961298202</v>
      </c>
      <c r="F17">
        <v>4.0763823095442904</v>
      </c>
      <c r="G17">
        <v>2.2808425238276202</v>
      </c>
      <c r="H17">
        <v>2.5348579496144801</v>
      </c>
      <c r="I17">
        <v>9.3523184569568798</v>
      </c>
      <c r="J17">
        <v>17.7262479254623</v>
      </c>
      <c r="K17">
        <v>2.1970597171427402</v>
      </c>
      <c r="L17">
        <v>1.99085797419876</v>
      </c>
      <c r="M17">
        <v>2.0450009050115598</v>
      </c>
      <c r="N17">
        <v>2.59251661571796</v>
      </c>
    </row>
    <row r="18" spans="1:14" x14ac:dyDescent="0.35">
      <c r="A18" s="2">
        <v>44196</v>
      </c>
      <c r="B18">
        <v>1.9857927119812899</v>
      </c>
      <c r="C18">
        <v>1.26256164176903</v>
      </c>
      <c r="D18">
        <v>1.9578408739872699</v>
      </c>
      <c r="E18">
        <v>1.9799060817604801</v>
      </c>
      <c r="F18">
        <v>3.67789541888801</v>
      </c>
      <c r="G18">
        <v>2.36864078670768</v>
      </c>
      <c r="H18">
        <v>2.0346384136804501</v>
      </c>
      <c r="I18">
        <v>10.4260783076313</v>
      </c>
      <c r="J18">
        <v>16.657869019160099</v>
      </c>
      <c r="K18">
        <v>1.8511361201588501</v>
      </c>
      <c r="L18">
        <v>2.00892945351409</v>
      </c>
      <c r="M18">
        <v>2.2138152779134601</v>
      </c>
      <c r="N18">
        <v>1.9971174572949799</v>
      </c>
    </row>
    <row r="19" spans="1:14" x14ac:dyDescent="0.35">
      <c r="A19" s="2">
        <v>44561</v>
      </c>
      <c r="B19">
        <v>1.8218844673053201</v>
      </c>
      <c r="C19">
        <v>1.41909398824033</v>
      </c>
      <c r="D19">
        <v>2.6644833781776298</v>
      </c>
      <c r="E19">
        <v>2.4494951252375601</v>
      </c>
      <c r="F19">
        <v>4.6161385640635704</v>
      </c>
      <c r="G19">
        <v>2.66234515884581</v>
      </c>
      <c r="H19">
        <v>2.7142722466617202</v>
      </c>
      <c r="I19">
        <v>13.6402697494705</v>
      </c>
      <c r="J19">
        <v>22.2710180615552</v>
      </c>
      <c r="K19">
        <v>2.4608179863490802</v>
      </c>
      <c r="L19">
        <v>2.4360180766850199</v>
      </c>
      <c r="M19">
        <v>2.4898156522320498</v>
      </c>
      <c r="N19">
        <v>2.9640029759690898</v>
      </c>
    </row>
    <row r="20" spans="1:14" x14ac:dyDescent="0.35">
      <c r="A20" s="2">
        <v>44925</v>
      </c>
      <c r="B20">
        <v>2.1113846114658998</v>
      </c>
      <c r="C20">
        <v>1.5685033677051301</v>
      </c>
      <c r="D20">
        <v>2.7492045610204201</v>
      </c>
      <c r="E20">
        <v>2.3638879515072899</v>
      </c>
      <c r="F20">
        <v>4.4608954259927902</v>
      </c>
      <c r="G20">
        <v>2.5838872063229701</v>
      </c>
      <c r="H20">
        <v>3.1276012084365901</v>
      </c>
      <c r="I20">
        <v>12.7503134568906</v>
      </c>
      <c r="J20">
        <v>22.962547023494</v>
      </c>
      <c r="K20">
        <v>2.8026547594435298</v>
      </c>
      <c r="L20">
        <v>2.4294142549840898</v>
      </c>
      <c r="M20">
        <v>2.5641957434624398</v>
      </c>
      <c r="N20">
        <v>3.5473670886293198</v>
      </c>
    </row>
    <row r="21" spans="1:14" x14ac:dyDescent="0.35">
      <c r="A21" s="2">
        <v>45289</v>
      </c>
      <c r="B21">
        <v>2.1117879637624601</v>
      </c>
      <c r="C21">
        <v>1.4789271778744699</v>
      </c>
      <c r="D21">
        <v>2.6826335841504898</v>
      </c>
      <c r="E21">
        <v>2.65680492825543</v>
      </c>
      <c r="F21">
        <v>4.56547558451215</v>
      </c>
      <c r="G21">
        <v>2.86429657456778</v>
      </c>
      <c r="H21">
        <v>3.0052327857456702</v>
      </c>
      <c r="I21">
        <v>16.3242202004236</v>
      </c>
      <c r="J21">
        <v>24.315375028433699</v>
      </c>
      <c r="K21">
        <v>2.9207261342803501</v>
      </c>
      <c r="L21">
        <v>2.9556075040921299</v>
      </c>
      <c r="M21">
        <v>2.51009258700133</v>
      </c>
      <c r="N21">
        <v>3.81180346997282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-9.3586273078509752E-3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2.829167218053974E-2</v>
      </c>
      <c r="F25" s="48" cm="1">
        <f t="array" ref="F25">(F21/INDEX(F2:F21,MATCH(TRUE,INDEX(ISNUMBER(F2:F21),0),0)))^(1/F23)-1</f>
        <v>2.4097093275216253E-2</v>
      </c>
      <c r="G25" s="48" cm="1">
        <f t="array" ref="G25">(G21/INDEX(G2:G21,MATCH(TRUE,INDEX(ISNUMBER(G2:G21),0),0)))^(1/G23)-1</f>
        <v>4.6608631187242899E-2</v>
      </c>
      <c r="H25" s="48" cm="1">
        <f t="array" ref="H25">(H21/INDEX(H2:H21,MATCH(TRUE,INDEX(ISNUMBER(H2:H21),0),0)))^(1/H23)-1</f>
        <v>3.7532801015660588E-3</v>
      </c>
      <c r="I25" s="48" cm="1">
        <f t="array" ref="I25">(I21/INDEX(I2:I21,MATCH(TRUE,INDEX(ISNUMBER(I2:I21),0),0)))^(1/I23)-1</f>
        <v>0.1298893227578648</v>
      </c>
      <c r="J25" s="48" cm="1">
        <f t="array" ref="J25">(J21/INDEX(J2:J21,MATCH(TRUE,INDEX(ISNUMBER(J2:J21),0),0)))^(1/J23)-1</f>
        <v>5.9820135432536281E-2</v>
      </c>
      <c r="K25" s="48" cm="1">
        <f t="array" ref="K25">(K21/INDEX(K2:K21,MATCH(TRUE,INDEX(ISNUMBER(K2:K21),0),0)))^(1/K23)-1</f>
        <v>1.8533725345370788E-2</v>
      </c>
      <c r="L25" s="48" cm="1">
        <f t="array" ref="L25">(L21/INDEX(L2:L21,MATCH(TRUE,INDEX(ISNUMBER(L2:L21),0),0)))^(1/L23)-1</f>
        <v>3.4801405278536146E-2</v>
      </c>
      <c r="M25" s="48" cm="1">
        <f t="array" ref="M25">(M21/INDEX(M2:M21,MATCH(TRUE,INDEX(ISNUMBER(M2:M21),0),0)))^(1/M23)-1</f>
        <v>2.4305006380541672E-2</v>
      </c>
      <c r="N25" s="48" cm="1">
        <f t="array" ref="N25">(N21/INDEX(N2:N21,MATCH(TRUE,INDEX(ISNUMBER(N2:N21),0),0)))^(1/N23)-1</f>
        <v>9.2744046638129074E-3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8"/>
      <c r="B7" s="218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9" t="s">
        <v>558</v>
      </c>
      <c r="D8" s="220"/>
      <c r="E8" s="221"/>
      <c r="G8" s="80"/>
      <c r="H8" s="80"/>
      <c r="I8" s="80"/>
      <c r="J8" s="80"/>
      <c r="K8" s="80"/>
      <c r="L8" s="219" t="s">
        <v>559</v>
      </c>
      <c r="M8" s="220"/>
      <c r="N8" s="220"/>
      <c r="O8" s="220"/>
      <c r="P8" s="220"/>
      <c r="Q8" s="220"/>
      <c r="R8" s="220"/>
      <c r="S8" s="220"/>
      <c r="T8" s="220"/>
      <c r="U8" s="220"/>
      <c r="V8" s="221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1.6553551</v>
      </c>
      <c r="E3" cm="1">
        <f t="array" ref="E3">_xll.FDSB(B3,"FG_PRICE_CHANGE(0,-1AY)")</f>
        <v>4.4611809999999998</v>
      </c>
      <c r="F3" cm="1">
        <f t="array" ref="F3">_xll.FDSB(B3,"FG_PRICE_CHANGE(0,-1AM)")</f>
        <v>0.95182659999999997</v>
      </c>
      <c r="G3" cm="1">
        <f t="array" ref="G3">_xll.FDSB(B3,"FG_PRICE_CHANGE(0,-3AM)")</f>
        <v>3.1617283999999999</v>
      </c>
      <c r="H3" cm="1">
        <f t="array" ref="H3">_xll.FDSB(B3,"FG_PRICE_CHANGE(0,-6AM)")</f>
        <v>-2.5244176</v>
      </c>
      <c r="I3" cm="1">
        <f t="array" ref="I3">_xll.FDS(B3,"STD(FG_PRICE_CHANGE(0,-1AY,AM))")</f>
        <v>2.0474853855466901</v>
      </c>
      <c r="J3" cm="1">
        <f t="array" ref="J3">_xll.FDS(B3,"STD(FG_PRICE_CHANGE(0,-3AY,M))")*SQRT(12)</f>
        <v>12.104759385949304</v>
      </c>
      <c r="L3">
        <f>(1-(_xlfn.PERCENTRANK.EXC($F$3:$F$15,F3)))*100</f>
        <v>28.6</v>
      </c>
      <c r="M3">
        <f>(1-(_xlfn.PERCENTRANK.EXC($G$3:$G$15,G3)))*100</f>
        <v>35.799999999999997</v>
      </c>
      <c r="N3">
        <f>(1-(_xlfn.PERCENTRANK.EXC($H$3:$H$15,H3)))*100</f>
        <v>57.2</v>
      </c>
      <c r="O3">
        <f>SUMPRODUCT($L$1:$N$1,L3:N3)</f>
        <v>42.92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25.04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1.5110306</v>
      </c>
      <c r="E4" cm="1">
        <f t="array" ref="E4">_xll.FDSB(B4,"FG_PRICE_CHANGE(0,-1AY)")</f>
        <v>1.9870042999999999</v>
      </c>
      <c r="F4" cm="1">
        <f t="array" ref="F4">_xll.FDSB(B4,"FG_PRICE_CHANGE(0,-1AM)")</f>
        <v>-1.4959216</v>
      </c>
      <c r="G4" cm="1">
        <f t="array" ref="G4">_xll.FDSB(B4,"FG_PRICE_CHANGE(0,-3AM)")</f>
        <v>1.4052629999999999</v>
      </c>
      <c r="H4" cm="1">
        <f t="array" ref="H4">_xll.FDSB(B4,"FG_PRICE_CHANGE(0,-6AM)")</f>
        <v>-4.6615243</v>
      </c>
      <c r="I4" cm="1">
        <f t="array" ref="I4">_xll.FDS(B4,"STD(FG_PRICE_CHANGE(0,-1AY,AM))")</f>
        <v>1.8401838712695</v>
      </c>
      <c r="J4" cm="1">
        <f t="array" ref="J4">_xll.FDS(B4,"STD(FG_PRICE_CHANGE(0,-3AY,M))")*SQRT(12)</f>
        <v>10.643886249374736</v>
      </c>
      <c r="L4">
        <f t="shared" ref="L4:L15" si="1">(1-(_xlfn.PERCENTRANK.EXC($F$3:$F$15,F4)))*100</f>
        <v>92.9</v>
      </c>
      <c r="M4">
        <f t="shared" ref="M4:M15" si="2">(1-(_xlfn.PERCENTRANK.EXC($G$3:$G$15,G4)))*100</f>
        <v>42.900000000000006</v>
      </c>
      <c r="N4">
        <f t="shared" ref="N4:N15" si="3">(1-(_xlfn.PERCENTRANK.EXC($H$3:$H$15,H4)))*100</f>
        <v>85.8</v>
      </c>
      <c r="O4">
        <f t="shared" ref="O4:O11" si="4">SUMPRODUCT($L$1:$N$1,L4:N4)</f>
        <v>70.06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49.32</v>
      </c>
      <c r="U4" cm="1">
        <f t="array" ref="U4">_xlfn.PERCENTRANK.EXC(_xlfn._xlws.FILTER(S$3:S$15, ISNUMBER(S$3:S$15)),S4)*100</f>
        <v>42.8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1.3487499999999999</v>
      </c>
      <c r="E5" cm="1">
        <f t="array" ref="E5">_xll.FDSB(B5,"FG_PRICE_CHANGE(0,-1AY)")</f>
        <v>0.38703680000000001</v>
      </c>
      <c r="F5" cm="1">
        <f t="array" ref="F5">_xll.FDSB(B5,"FG_PRICE_CHANGE(0,-1AM)")</f>
        <v>-0.55300000000000005</v>
      </c>
      <c r="G5" cm="1">
        <f t="array" ref="G5">_xll.FDSB(B5,"FG_PRICE_CHANGE(0,-3AM)")</f>
        <v>0.99970099999999995</v>
      </c>
      <c r="H5" cm="1">
        <f t="array" ref="H5">_xll.FDSB(B5,"FG_PRICE_CHANGE(0,-6AM)")</f>
        <v>-2.0835577999999999</v>
      </c>
      <c r="I5" cm="1">
        <f t="array" ref="I5">_xll.FDS(B5,"STD(FG_PRICE_CHANGE(0,-1AY,AM))")</f>
        <v>1.2298221421778499</v>
      </c>
      <c r="J5" cm="1">
        <f t="array" ref="J5">_xll.FDS(B5,"STD(FG_PRICE_CHANGE(0,-3AY,M))")*SQRT(12)</f>
        <v>6.5081744955497411</v>
      </c>
      <c r="L5">
        <f t="shared" si="1"/>
        <v>85.8</v>
      </c>
      <c r="M5">
        <f t="shared" si="2"/>
        <v>50</v>
      </c>
      <c r="N5">
        <f t="shared" si="3"/>
        <v>50</v>
      </c>
      <c r="O5">
        <f t="shared" si="4"/>
        <v>57.16</v>
      </c>
      <c r="P5">
        <f t="shared" si="5"/>
        <v>71.5</v>
      </c>
      <c r="Q5">
        <f>VLOOKUP(A5,CAD!$A$3:$J$15, 10, FALSE)</f>
        <v>42.8</v>
      </c>
      <c r="S5">
        <f t="shared" si="0"/>
        <v>58.59</v>
      </c>
      <c r="U5" cm="1">
        <f t="array" ref="U5">_xlfn.PERCENTRANK.EXC(_xlfn._xlws.FILTER(S$3:S$15, ISNUMBER(S$3:S$15)),S5)*100</f>
        <v>57.099999999999994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0.92013250000000002</v>
      </c>
      <c r="E6" cm="1">
        <f t="array" ref="E6">_xll.FDSB(B6,"FG_PRICE_CHANGE(0,-1AY)")</f>
        <v>0.93393325999999999</v>
      </c>
      <c r="F6" cm="1">
        <f t="array" ref="F6">_xll.FDSB(B6,"FG_PRICE_CHANGE(0,-1AM)")</f>
        <v>-4.1401385999999998E-2</v>
      </c>
      <c r="G6" cm="1">
        <f t="array" ref="G6">_xll.FDSB(B6,"FG_PRICE_CHANGE(0,-3AM)")</f>
        <v>0.80511569999999999</v>
      </c>
      <c r="H6" cm="1">
        <f t="array" ref="H6">_xll.FDSB(B6,"FG_PRICE_CHANGE(0,-6AM)")</f>
        <v>-3.4550964999999998</v>
      </c>
      <c r="I6" cm="1">
        <f t="array" ref="I6">_xll.FDS(B6,"STD(FG_PRICE_CHANGE(0,-1AY,AM))")</f>
        <v>1.91073385670587</v>
      </c>
      <c r="J6" cm="1">
        <f t="array" ref="J6">_xll.FDS(B6,"STD(FG_PRICE_CHANGE(0,-3AY,M))")*SQRT(12)</f>
        <v>7.6997282271489738</v>
      </c>
      <c r="L6">
        <f t="shared" si="1"/>
        <v>78.600000000000009</v>
      </c>
      <c r="M6">
        <f t="shared" si="2"/>
        <v>64.3</v>
      </c>
      <c r="N6">
        <f t="shared" si="3"/>
        <v>71.500000000000014</v>
      </c>
      <c r="O6">
        <f t="shared" si="4"/>
        <v>70.040000000000006</v>
      </c>
      <c r="P6">
        <f t="shared" si="5"/>
        <v>57.2</v>
      </c>
      <c r="Q6">
        <f>VLOOKUP(A6,CAD!$A$3:$J$15, 10, FALSE)</f>
        <v>78.5</v>
      </c>
      <c r="S6">
        <f t="shared" si="0"/>
        <v>67.88000000000001</v>
      </c>
      <c r="U6" cm="1">
        <f t="array" ref="U6">_xlfn.PERCENTRANK.EXC(_xlfn._xlws.FILTER(S$3:S$15, ISNUMBER(S$3:S$15)),S6)*100</f>
        <v>85.7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151.66499999999999</v>
      </c>
      <c r="E7" cm="1">
        <f t="array" ref="E7">_xll.FDSB(B7,"FG_PRICE_CHANGE(0,-1AY)")</f>
        <v>15.058983</v>
      </c>
      <c r="F7" cm="1">
        <f t="array" ref="F7">_xll.FDSB(B7,"FG_PRICE_CHANGE(0,-1AM)")</f>
        <v>0.77743530000000005</v>
      </c>
      <c r="G7" cm="1">
        <f t="array" ref="G7">_xll.FDSB(B7,"FG_PRICE_CHANGE(0,-3AM)")</f>
        <v>4.8641323999999999</v>
      </c>
      <c r="H7" cm="1">
        <f t="array" ref="H7">_xll.FDSB(B7,"FG_PRICE_CHANGE(0,-6AM)")</f>
        <v>1.8193364000000001</v>
      </c>
      <c r="I7" cm="1">
        <f t="array" ref="I7">_xll.FDS(B7,"STD(FG_PRICE_CHANGE(0,-1AY,AM))")</f>
        <v>2.3329172412242301</v>
      </c>
      <c r="J7" cm="1">
        <f t="array" ref="J7">_xll.FDS(B7,"STD(FG_PRICE_CHANGE(0,-3AY,M))")*SQRT(12)</f>
        <v>10.459790823943123</v>
      </c>
      <c r="L7">
        <f t="shared" si="1"/>
        <v>35.799999999999997</v>
      </c>
      <c r="M7">
        <f t="shared" si="2"/>
        <v>21.499999999999996</v>
      </c>
      <c r="N7">
        <f t="shared" si="3"/>
        <v>7.1999999999999957</v>
      </c>
      <c r="O7">
        <f t="shared" si="4"/>
        <v>18.639999999999997</v>
      </c>
      <c r="P7">
        <f t="shared" si="5"/>
        <v>21.5</v>
      </c>
      <c r="Q7">
        <f>VLOOKUP(A7,CAD!$A$3:$J$15, 10, FALSE)</f>
        <v>64.2</v>
      </c>
      <c r="S7">
        <f t="shared" si="0"/>
        <v>28.61</v>
      </c>
      <c r="U7" cm="1">
        <f t="array" ref="U7">_xlfn.PERCENTRANK.EXC(_xlfn._xlws.FILTER(S$3:S$15, ISNUMBER(S$3:S$15)),S7)*100</f>
        <v>14.2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0.90469999999999995</v>
      </c>
      <c r="E8" cm="1">
        <f t="array" ref="E8">_xll.FDSB(B8,"FG_PRICE_CHANGE(0,-1AY)")</f>
        <v>-0.29206275999999998</v>
      </c>
      <c r="F8" cm="1">
        <f t="array" ref="F8">_xll.FDSB(B8,"FG_PRICE_CHANGE(0,-1AM)")</f>
        <v>2.2548675999999999</v>
      </c>
      <c r="G8" cm="1">
        <f t="array" ref="G8">_xll.FDSB(B8,"FG_PRICE_CHANGE(0,-3AM)")</f>
        <v>6.4666033000000001</v>
      </c>
      <c r="H8" cm="1">
        <f t="array" ref="H8">_xll.FDSB(B8,"FG_PRICE_CHANGE(0,-6AM)")</f>
        <v>-1.5828133</v>
      </c>
      <c r="I8" cm="1">
        <f t="array" ref="I8">_xll.FDS(B8,"STD(FG_PRICE_CHANGE(0,-1AY,AM))")</f>
        <v>2.5941420325673401</v>
      </c>
      <c r="J8" cm="1">
        <f t="array" ref="J8">_xll.FDS(B8,"STD(FG_PRICE_CHANGE(0,-3AY,M))")*SQRT(12)</f>
        <v>8.6260856080919428</v>
      </c>
      <c r="L8">
        <f t="shared" si="1"/>
        <v>14.3</v>
      </c>
      <c r="M8">
        <f t="shared" si="2"/>
        <v>14.3</v>
      </c>
      <c r="N8">
        <f t="shared" si="3"/>
        <v>42.900000000000006</v>
      </c>
      <c r="O8">
        <f t="shared" si="4"/>
        <v>25.740000000000006</v>
      </c>
      <c r="P8">
        <f t="shared" si="5"/>
        <v>42.900000000000006</v>
      </c>
      <c r="Q8">
        <f>VLOOKUP(A8,CAD!$A$3:$J$15, 10, FALSE)</f>
        <v>92.800000000000011</v>
      </c>
      <c r="S8">
        <f t="shared" si="0"/>
        <v>44.300000000000004</v>
      </c>
      <c r="U8" cm="1">
        <f t="array" ref="U8">_xlfn.PERCENTRANK.EXC(_xlfn._xlws.FILTER(S$3:S$15, ISNUMBER(S$3:S$15)),S8)*100</f>
        <v>28.499999999999996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0.78935944999999996</v>
      </c>
      <c r="E9" cm="1">
        <f t="array" ref="E9">_xll.FDSB(B9,"FG_PRICE_CHANGE(0,-1AY)")</f>
        <v>-1.2037694000000001</v>
      </c>
      <c r="F9" cm="1">
        <f t="array" ref="F9">_xll.FDSB(B9,"FG_PRICE_CHANGE(0,-1AM)")</f>
        <v>0.23680925</v>
      </c>
      <c r="G9" cm="1">
        <f t="array" ref="G9">_xll.FDSB(B9,"FG_PRICE_CHANGE(0,-3AM)")</f>
        <v>0.24075508000000001</v>
      </c>
      <c r="H9" cm="1">
        <f t="array" ref="H9">_xll.FDSB(B9,"FG_PRICE_CHANGE(0,-6AM)")</f>
        <v>-4.3651580000000001</v>
      </c>
      <c r="I9" cm="1">
        <f t="array" ref="I9">_xll.FDS(B9,"STD(FG_PRICE_CHANGE(0,-1AY,AM))")</f>
        <v>1.99438808226442</v>
      </c>
      <c r="J9" cm="1">
        <f t="array" ref="J9">_xll.FDS(B9,"STD(FG_PRICE_CHANGE(0,-3AY,M))")*SQRT(12)</f>
        <v>8.3351246076855396</v>
      </c>
      <c r="L9">
        <f t="shared" si="1"/>
        <v>42.900000000000006</v>
      </c>
      <c r="M9">
        <f t="shared" si="2"/>
        <v>71.500000000000014</v>
      </c>
      <c r="N9">
        <f t="shared" si="3"/>
        <v>78.600000000000009</v>
      </c>
      <c r="O9">
        <f>SUMPRODUCT($L$1:$N$1,L9:N9)</f>
        <v>68.62</v>
      </c>
      <c r="P9">
        <f t="shared" si="5"/>
        <v>50</v>
      </c>
      <c r="Q9">
        <f>VLOOKUP(A9,CAD!$A$3:$J$15, 10, FALSE)</f>
        <v>14.2</v>
      </c>
      <c r="S9">
        <f t="shared" si="0"/>
        <v>52.150000000000006</v>
      </c>
      <c r="U9" cm="1">
        <f t="array" ref="U9">_xlfn.PERCENTRANK.EXC(_xlfn._xlws.FILTER(S$3:S$15, ISNUMBER(S$3:S$15)),S9)*100</f>
        <v>50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64.3</v>
      </c>
      <c r="M10">
        <f t="shared" si="2"/>
        <v>92.9</v>
      </c>
      <c r="N10">
        <f t="shared" si="3"/>
        <v>28.6</v>
      </c>
      <c r="O10">
        <f t="shared" si="4"/>
        <v>61.460000000000008</v>
      </c>
      <c r="P10">
        <f t="shared" si="5"/>
        <v>92.9</v>
      </c>
      <c r="Q10">
        <f>VLOOKUP(A10,CAD!$A$3:$J$15, 10, FALSE)</f>
        <v>21.4</v>
      </c>
      <c r="S10">
        <f t="shared" si="0"/>
        <v>62.88000000000001</v>
      </c>
      <c r="U10" cm="1">
        <f t="array" ref="U10">_xlfn.PERCENTRANK.EXC(_xlfn._xlws.FILTER(S$3:S$15, ISNUMBER(S$3:S$15)),S10)*100</f>
        <v>64.2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64.3</v>
      </c>
      <c r="M11">
        <f t="shared" si="2"/>
        <v>92.9</v>
      </c>
      <c r="N11">
        <f t="shared" si="3"/>
        <v>28.6</v>
      </c>
      <c r="O11">
        <f t="shared" si="4"/>
        <v>61.460000000000008</v>
      </c>
      <c r="P11">
        <f t="shared" si="5"/>
        <v>92.9</v>
      </c>
      <c r="Q11">
        <f>VLOOKUP(A11,CAD!$A$3:$J$15, 10, FALSE)</f>
        <v>21.4</v>
      </c>
      <c r="S11">
        <f t="shared" si="0"/>
        <v>62.88000000000001</v>
      </c>
      <c r="U11" cm="1">
        <f t="array" ref="U11">_xlfn.PERCENTRANK.EXC(_xlfn._xlws.FILTER(S$3:S$15, ISNUMBER(S$3:S$15)),S11)*100</f>
        <v>64.2</v>
      </c>
    </row>
    <row r="12" spans="1:21" x14ac:dyDescent="0.35">
      <c r="A12" t="s">
        <v>863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0.90469999999999995</v>
      </c>
      <c r="E12" cm="1">
        <f t="array" ref="E12">_xll.FDSB(B12,"FG_PRICE_CHANGE(0,-1AY)")</f>
        <v>-0.29206275999999998</v>
      </c>
      <c r="F12" cm="1">
        <f t="array" ref="F12">_xll.FDSB(B12,"FG_PRICE_CHANGE(0,-1AM)")</f>
        <v>2.2548675999999999</v>
      </c>
      <c r="G12" cm="1">
        <f t="array" ref="G12">_xll.FDSB(B12,"FG_PRICE_CHANGE(0,-3AM)")</f>
        <v>6.4666033000000001</v>
      </c>
      <c r="H12" cm="1">
        <f t="array" ref="H12">_xll.FDSB(B12,"FG_PRICE_CHANGE(0,-6AM)")</f>
        <v>-1.5828133</v>
      </c>
      <c r="I12" cm="1">
        <f t="array" ref="I12">_xll.FDS(B12,"STD(FG_PRICE_CHANGE(0,-1AY,AM))")</f>
        <v>2.5941420325673401</v>
      </c>
      <c r="J12" cm="1">
        <f t="array" ref="J12">_xll.FDS(B12,"STD(FG_PRICE_CHANGE(0,-3AY,M))")*SQRT(12)</f>
        <v>8.6260856080919428</v>
      </c>
      <c r="L12">
        <f t="shared" si="1"/>
        <v>14.3</v>
      </c>
      <c r="M12">
        <f t="shared" si="2"/>
        <v>14.3</v>
      </c>
      <c r="N12">
        <f t="shared" si="3"/>
        <v>42.900000000000006</v>
      </c>
      <c r="O12">
        <f t="shared" ref="O12:O15" si="6">SUMPRODUCT($L$1:$N$1,L12:N12)</f>
        <v>25.740000000000006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32.880000000000003</v>
      </c>
      <c r="U12" cm="1">
        <f t="array" ref="U12">_xlfn.PERCENTRANK.EXC(_xlfn._xlws.FILTER(S$3:S$15, ISNUMBER(S$3:S$15)),S12)*100</f>
        <v>21.4</v>
      </c>
    </row>
    <row r="13" spans="1:21" s="182" customFormat="1" x14ac:dyDescent="0.35">
      <c r="A13" s="182" t="s">
        <v>865</v>
      </c>
      <c r="B13" s="182" t="s">
        <v>878</v>
      </c>
      <c r="C13" s="182" t="str" cm="1">
        <f t="array" ref="C13">_xll.FDSB(B13,"FG_COMPANY_NAME")</f>
        <v>Netherlands Antilles Guilder per U.S. Dollar</v>
      </c>
      <c r="D13" s="182" cm="1">
        <f t="array" ref="D13">_xll.FDSB(B13,"FG_PRICE(0)")</f>
        <v>1.79</v>
      </c>
      <c r="E13" s="182" cm="1">
        <f t="array" ref="E13">_xll.FDSB(B13,"FG_PRICE_CHANGE(0,-1AY)")</f>
        <v>0</v>
      </c>
      <c r="F13" s="182" cm="1">
        <f t="array" ref="F13">_xll.FDSB(B13,"FG_PRICE_CHANGE(0,-1AM)")</f>
        <v>0</v>
      </c>
      <c r="G13" s="182" cm="1">
        <f t="array" ref="G13">_xll.FDSB(B13,"FG_PRICE_CHANGE(0,-3AM)")</f>
        <v>0</v>
      </c>
      <c r="H13" s="182" cm="1">
        <f t="array" ref="H13">_xll.FDSB(B13,"FG_PRICE_CHANGE(0,-6AM)")</f>
        <v>0</v>
      </c>
      <c r="I13" s="182" cm="1">
        <f t="array" ref="I13">_xll.FDS(B13,"STD(FG_PRICE_CHANGE(0,-1AY,AM))")</f>
        <v>0</v>
      </c>
      <c r="J13" s="182" cm="1">
        <f t="array" ref="J13">_xll.FDS(B13,"STD(FG_PRICE_CHANGE(0,-3AY,M))")*SQRT(12)</f>
        <v>0.1434289334437559</v>
      </c>
      <c r="L13" s="182">
        <f t="shared" si="1"/>
        <v>64.3</v>
      </c>
      <c r="M13" s="182">
        <f t="shared" si="2"/>
        <v>92.9</v>
      </c>
      <c r="N13" s="182">
        <f t="shared" si="3"/>
        <v>28.6</v>
      </c>
      <c r="O13" s="182">
        <f t="shared" si="6"/>
        <v>61.460000000000008</v>
      </c>
      <c r="P13" s="182">
        <f t="shared" si="5"/>
        <v>78.599999999999994</v>
      </c>
      <c r="Q13" s="182">
        <f>VLOOKUP(A13,CAD!$A$3:$J$15, 10, FALSE)</f>
        <v>85.7</v>
      </c>
      <c r="S13" s="182">
        <f t="shared" si="7"/>
        <v>71.45</v>
      </c>
      <c r="U13" s="182" cm="1">
        <f t="array" ref="U13">_xlfn.PERCENTRANK.EXC(_xlfn._xlws.FILTER(S$3:S$15, ISNUMBER(S$3:S$15)),S13)*100</f>
        <v>92.800000000000011</v>
      </c>
    </row>
    <row r="14" spans="1:21" x14ac:dyDescent="0.35">
      <c r="A14" t="s">
        <v>862</v>
      </c>
      <c r="B14" t="s">
        <v>879</v>
      </c>
      <c r="C14" t="str" cm="1">
        <f t="array" ref="C14">_xll.FDSB(B14,"FG_COMPANY_NAME")</f>
        <v>Swedish Krona per U.S. Dollar</v>
      </c>
      <c r="D14" cm="1">
        <f t="array" ref="D14">_xll.FDSB(B14,"FG_PRICE(0)")</f>
        <v>10.570449999999999</v>
      </c>
      <c r="E14" cm="1">
        <f t="array" ref="E14">_xll.FDSB(B14,"FG_PRICE_CHANGE(0,-1AY)")</f>
        <v>2.9776454000000001</v>
      </c>
      <c r="F14" cm="1">
        <f t="array" ref="F14">_xll.FDSB(B14,"FG_PRICE_CHANGE(0,-1AM)")</f>
        <v>2.1067619999999998</v>
      </c>
      <c r="G14" cm="1">
        <f t="array" ref="G14">_xll.FDSB(B14,"FG_PRICE_CHANGE(0,-3AM)")</f>
        <v>3.5288453</v>
      </c>
      <c r="H14" cm="1">
        <f t="array" ref="H14">_xll.FDSB(B14,"FG_PRICE_CHANGE(0,-6AM)")</f>
        <v>-4.8427343</v>
      </c>
      <c r="I14" cm="1">
        <f t="array" ref="I14">_xll.FDS(B14,"STD(FG_PRICE_CHANGE(0,-1AY,AM))")</f>
        <v>2.7718820055411602</v>
      </c>
      <c r="J14" cm="1">
        <f t="array" ref="J14">_xll.FDS(B14,"STD(FG_PRICE_CHANGE(0,-3AY,M))")*SQRT(12)</f>
        <v>10.261364318906555</v>
      </c>
      <c r="L14">
        <f t="shared" si="1"/>
        <v>21.499999999999996</v>
      </c>
      <c r="M14">
        <f t="shared" si="2"/>
        <v>28.6</v>
      </c>
      <c r="N14">
        <f t="shared" si="3"/>
        <v>92.9</v>
      </c>
      <c r="O14">
        <f t="shared" si="6"/>
        <v>52.900000000000006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49.31</v>
      </c>
      <c r="U14" cm="1">
        <f t="array" ref="U14">_xlfn.PERCENTRANK.EXC(_xlfn._xlws.FILTER(S$3:S$15, ISNUMBER(S$3:S$15)),S14)*100</f>
        <v>35.699999999999996</v>
      </c>
    </row>
    <row r="15" spans="1:21" x14ac:dyDescent="0.35">
      <c r="A15" t="s">
        <v>864</v>
      </c>
      <c r="B15" t="s">
        <v>880</v>
      </c>
      <c r="C15" t="str" cm="1">
        <f t="array" ref="C15">_xll.FDSB(B15,"FG_COMPANY_NAME")</f>
        <v>Italian Lira per U.S. Dollar</v>
      </c>
      <c r="D15" cm="1">
        <f t="array" ref="D15">_xll.FDSB(B15,"FG_PRICE(0)")</f>
        <v>1781.625</v>
      </c>
      <c r="E15" cm="1">
        <f t="array" ref="E15">_xll.FDSB(B15,"FG_PRICE_CHANGE(0,-1AY)")</f>
        <v>0.93393325999999999</v>
      </c>
      <c r="F15" cm="1">
        <f t="array" ref="F15">_xll.FDSB(B15,"FG_PRICE_CHANGE(0,-1AM)")</f>
        <v>-4.1401385999999998E-2</v>
      </c>
      <c r="G15" cm="1">
        <f t="array" ref="G15">_xll.FDSB(B15,"FG_PRICE_CHANGE(0,-3AM)")</f>
        <v>0.80511569999999999</v>
      </c>
      <c r="H15" cm="1">
        <f t="array" ref="H15">_xll.FDSB(B15,"FG_PRICE_CHANGE(0,-6AM)")</f>
        <v>-3.4550904999999998</v>
      </c>
      <c r="I15" cm="1">
        <f t="array" ref="I15">_xll.FDS(B15,"STD(FG_PRICE_CHANGE(0,-1AY,AM))")</f>
        <v>1.9107333154341299</v>
      </c>
      <c r="J15" cm="1">
        <f t="array" ref="J15">_xll.FDS(B15,"STD(FG_PRICE_CHANGE(0,-3AY,M))")*SQRT(12)</f>
        <v>7.6997258816148104</v>
      </c>
      <c r="L15">
        <f t="shared" si="1"/>
        <v>78.600000000000009</v>
      </c>
      <c r="M15">
        <f t="shared" si="2"/>
        <v>64.3</v>
      </c>
      <c r="N15">
        <f t="shared" si="3"/>
        <v>64.3</v>
      </c>
      <c r="O15">
        <f t="shared" si="6"/>
        <v>67.16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64.290000000000006</v>
      </c>
      <c r="U15" cm="1">
        <f t="array" ref="U15">_xlfn.PERCENTRANK.EXC(_xlfn._xlws.FILTER(S$3:S$15, ISNUMBER(S$3:S$15)),S15)*100</f>
        <v>78.5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-6.25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1.2187158046039499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-0.61472799523697397</v>
      </c>
      <c r="H5" cm="1">
        <f t="array" ref="H5">IFERROR(_xll.FDS($F5,"EE_ACTUAL_ANNUAL(MED,+1)"),0)</f>
        <v>-0.6</v>
      </c>
      <c r="J5" cm="1">
        <f t="array" ref="J5">_xlfn.PERCENTRANK.EXC(_xlfn._xlws.FILTER(H$3:H$15, ISNUMBER(H$3:H$15)),H5)*100</f>
        <v>42.8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6.0126039845649899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3.55112124522863</v>
      </c>
      <c r="H7" cm="1">
        <f t="array" ref="H7">IFERROR(_xll.FDS($F7,"EE_ACTUAL_ANNUAL(MED,+1)"),0)</f>
        <v>3.5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7.6415194131226398</v>
      </c>
      <c r="H8" cm="1">
        <f t="array" ref="H8">IFERROR(_xll.FDS($F8,"EE_ACTUAL_ANNUAL(MED,+1)"),0)</f>
        <v>9.1999999999999993</v>
      </c>
      <c r="J8" cm="1">
        <f t="array" ref="J8">_xlfn.PERCENTRANK.EXC(_xlfn._xlws.FILTER(H$3:H$15, ISNUMBER(H$3:H$15)),H8)*100</f>
        <v>92.800000000000011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-3.05</v>
      </c>
      <c r="J9" cm="1">
        <f t="array" ref="J9">_xlfn.PERCENTRANK.EXC(_xlfn._xlws.FILTER(H$3:H$15, ISNUMBER(H$3:H$15)),H9)*100</f>
        <v>14.2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-2.9956167375174898</v>
      </c>
      <c r="H10" cm="1">
        <f t="array" ref="H10">IFERROR(_xll.FDS($F10,"EE_ACTUAL_ANNUAL(MED,+1)"),0)</f>
        <v>-3</v>
      </c>
      <c r="J10" cm="1">
        <f t="array" ref="J10">_xlfn.PERCENTRANK.EXC(_xlfn._xlws.FILTER(H$3:H$15, ISNUMBER(H$3:H$15)),H10)*100</f>
        <v>21.4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-2.9956167375174898</v>
      </c>
      <c r="H11" cm="1">
        <f t="array" ref="H11">IFERROR(_xll.FDS($F11,"EE_ACTUAL_ANNUAL(MED,+1)"),0)</f>
        <v>-3</v>
      </c>
      <c r="J11" cm="1">
        <f t="array" ref="J11">_xlfn.PERCENTRANK.EXC(_xlfn._xlws.FILTER(H$3:H$15, ISNUMBER(H$3:H$15)),H11)*100</f>
        <v>21.4</v>
      </c>
    </row>
    <row r="12" spans="1:10" x14ac:dyDescent="0.35">
      <c r="A12" t="s">
        <v>863</v>
      </c>
      <c r="B12" t="s">
        <v>470</v>
      </c>
      <c r="C12" t="s">
        <v>621</v>
      </c>
      <c r="D12" t="s">
        <v>106</v>
      </c>
      <c r="E12" t="s">
        <v>867</v>
      </c>
      <c r="F12" t="str">
        <f t="shared" si="0"/>
        <v>CAGDPY@FR</v>
      </c>
      <c r="G12" cm="1">
        <f t="array" ref="G12">IFERROR(_xll.FDS($F12,"EE_ACTUAL_ANNUAL(MED,0)"),0)</f>
        <v>-1.20455654888099</v>
      </c>
      <c r="H12" cm="1">
        <f t="array" ref="H12">IFERROR(_xll.FDS($F12,"EE_ACTUAL_ANNUAL(MED,+1)"),0)</f>
        <v>-1.7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865</v>
      </c>
      <c r="B13" t="s">
        <v>878</v>
      </c>
      <c r="C13" t="s">
        <v>673</v>
      </c>
      <c r="D13" t="s">
        <v>873</v>
      </c>
      <c r="E13" t="s">
        <v>868</v>
      </c>
      <c r="F13" t="str">
        <f t="shared" si="0"/>
        <v>CAGDPY@NL</v>
      </c>
      <c r="G13" cm="1">
        <f t="array" ref="G13">IFERROR(_xll.FDS($F13,"EE_ACTUAL_ANNUAL(MED,0)"),0)</f>
        <v>10.089201955042499</v>
      </c>
      <c r="H13" cm="1">
        <f t="array" ref="H13">IFERROR(_xll.FDS($F13,"EE_ACTUAL_ANNUAL(MED,+1)"),0)</f>
        <v>8.4</v>
      </c>
      <c r="J13" cm="1">
        <f t="array" ref="J13">_xlfn.PERCENTRANK.EXC(_xlfn._xlws.FILTER(H$3:H$15, ISNUMBER(H$3:H$15)),H13)*100</f>
        <v>85.7</v>
      </c>
    </row>
    <row r="14" spans="1:10" x14ac:dyDescent="0.35">
      <c r="A14" t="s">
        <v>862</v>
      </c>
      <c r="B14" t="s">
        <v>879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6.7690540119922504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864</v>
      </c>
      <c r="B15" t="s">
        <v>880</v>
      </c>
      <c r="C15" t="s">
        <v>641</v>
      </c>
      <c r="D15" t="s">
        <v>874</v>
      </c>
      <c r="E15" t="s">
        <v>866</v>
      </c>
      <c r="F15" t="str">
        <f t="shared" si="0"/>
        <v>CAGDPY@IT</v>
      </c>
      <c r="G15" cm="1">
        <f t="array" ref="G15">IFERROR(_xll.FDS($F15,"EE_ACTUAL_ANNUAL(MED,0)"),0)</f>
        <v>0.50816790549232005</v>
      </c>
      <c r="H15" cm="1">
        <f t="array" ref="H15">IFERROR(_xll.FDS($F15,"EE_ACTUAL_ANNUAL(MED,+1)"),0)</f>
        <v>0.95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>
        <v>2.7255995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>
        <v>3.5394266000000001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863</v>
      </c>
      <c r="L1" t="s">
        <v>865</v>
      </c>
      <c r="M1" t="s">
        <v>862</v>
      </c>
      <c r="N1" t="s">
        <v>864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9.0025390461799208</v>
      </c>
      <c r="C17">
        <v>11.727245321809701</v>
      </c>
      <c r="D17">
        <v>11.978678386383701</v>
      </c>
      <c r="E17">
        <v>10.4475672102116</v>
      </c>
      <c r="F17">
        <v>8.3559627900124696</v>
      </c>
      <c r="G17">
        <v>14.538819869127099</v>
      </c>
      <c r="H17">
        <v>12.871054501249599</v>
      </c>
      <c r="I17">
        <v>25.011729152832</v>
      </c>
      <c r="J17">
        <v>18.292743376025602</v>
      </c>
      <c r="K17">
        <v>10.914009651363701</v>
      </c>
      <c r="L17">
        <v>13.091763606585999</v>
      </c>
      <c r="M17">
        <v>13.411796827237</v>
      </c>
      <c r="N17">
        <v>10.235305358457801</v>
      </c>
    </row>
    <row r="18" spans="1:17" ht="25.5" customHeight="1" x14ac:dyDescent="0.35">
      <c r="A18" s="2">
        <v>44196</v>
      </c>
      <c r="B18">
        <v>7.5315686254388101</v>
      </c>
      <c r="C18">
        <v>11.050859206460901</v>
      </c>
      <c r="D18">
        <v>11.192208682288101</v>
      </c>
      <c r="E18">
        <v>9.7140774239928902</v>
      </c>
      <c r="F18">
        <v>7.4385992905195399</v>
      </c>
      <c r="G18">
        <v>14.6677795152565</v>
      </c>
      <c r="H18">
        <v>11.205060980823401</v>
      </c>
      <c r="I18">
        <v>24.534442850508999</v>
      </c>
      <c r="J18">
        <v>17.2288271221272</v>
      </c>
      <c r="K18">
        <v>8.9424210123572205</v>
      </c>
      <c r="L18">
        <v>9.7785656554204401</v>
      </c>
      <c r="M18">
        <v>11.907032686615199</v>
      </c>
      <c r="N18">
        <v>8.27578853786002</v>
      </c>
    </row>
    <row r="19" spans="1:17" ht="25.5" customHeight="1" x14ac:dyDescent="0.35">
      <c r="A19" s="2">
        <v>44561</v>
      </c>
      <c r="B19">
        <v>6.4433474318628798</v>
      </c>
      <c r="C19">
        <v>12.8471719199911</v>
      </c>
      <c r="D19">
        <v>14.1061782856045</v>
      </c>
      <c r="E19">
        <v>12.1999545354885</v>
      </c>
      <c r="F19">
        <v>9.2207656787536507</v>
      </c>
      <c r="G19">
        <v>16.3837417700753</v>
      </c>
      <c r="H19">
        <v>13.922769947021701</v>
      </c>
      <c r="I19">
        <v>26.637202164256799</v>
      </c>
      <c r="J19">
        <v>20.684931103217298</v>
      </c>
      <c r="K19">
        <v>12.253958119340901</v>
      </c>
      <c r="L19">
        <v>10.899145950205799</v>
      </c>
      <c r="M19">
        <v>15.3602779627681</v>
      </c>
      <c r="N19">
        <v>11.7277999998841</v>
      </c>
    </row>
    <row r="20" spans="1:17" ht="25.5" customHeight="1" x14ac:dyDescent="0.35">
      <c r="A20" s="2">
        <v>44925</v>
      </c>
      <c r="B20">
        <v>7.7680327921584302</v>
      </c>
      <c r="C20">
        <v>14.6580605840091</v>
      </c>
      <c r="D20">
        <v>14.0029403106189</v>
      </c>
      <c r="E20">
        <v>11.818809345525199</v>
      </c>
      <c r="F20">
        <v>9.2254455763568295</v>
      </c>
      <c r="G20">
        <v>16.690651733527702</v>
      </c>
      <c r="H20">
        <v>15.858744412332101</v>
      </c>
      <c r="I20">
        <v>24.048321572288899</v>
      </c>
      <c r="J20">
        <v>20.596691501781301</v>
      </c>
      <c r="K20">
        <v>13.1475852543623</v>
      </c>
      <c r="L20">
        <v>12.015889172957699</v>
      </c>
      <c r="M20">
        <v>14.691294548684301</v>
      </c>
      <c r="N20">
        <v>13.320278986082799</v>
      </c>
    </row>
    <row r="21" spans="1:17" ht="25.5" customHeight="1" x14ac:dyDescent="0.35">
      <c r="A21" s="2">
        <v>45289</v>
      </c>
      <c r="B21">
        <v>6.5793423286927304</v>
      </c>
      <c r="C21">
        <v>13.226137995013501</v>
      </c>
      <c r="D21">
        <v>13.1440312273413</v>
      </c>
      <c r="E21">
        <v>11.940856275670001</v>
      </c>
      <c r="F21">
        <v>9.2990104677630008</v>
      </c>
      <c r="G21">
        <v>19.2996868123636</v>
      </c>
      <c r="H21">
        <v>14.732463877154</v>
      </c>
      <c r="I21">
        <v>25.301111433536601</v>
      </c>
      <c r="J21">
        <v>20.335735203929701</v>
      </c>
      <c r="K21">
        <v>13.221059503291199</v>
      </c>
      <c r="L21">
        <v>12.7459856653599</v>
      </c>
      <c r="M21">
        <v>15.368050598212299</v>
      </c>
      <c r="N21">
        <v>13.3572177464321</v>
      </c>
    </row>
    <row r="23" spans="1:17" x14ac:dyDescent="0.35">
      <c r="A23" t="s">
        <v>91</v>
      </c>
      <c r="B23" s="8">
        <f t="shared" ref="B23:N23" si="0">MIN(_xlfn.ANCHORARRAY(B2))</f>
        <v>6.4433474318628798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9.7140774239928902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8.9424210123572205</v>
      </c>
      <c r="L23" s="8">
        <f t="shared" si="0"/>
        <v>9.7785656554204401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11.984660608723701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13.049660814670499</v>
      </c>
      <c r="M24" s="8">
        <f t="shared" si="1"/>
        <v>14.4428230567203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6.5793423286927304</v>
      </c>
      <c r="C25" s="8">
        <f t="shared" si="2"/>
        <v>13.226137995013501</v>
      </c>
      <c r="D25" s="8">
        <f t="shared" si="2"/>
        <v>13.1440312273413</v>
      </c>
      <c r="E25" s="8">
        <f t="shared" si="2"/>
        <v>11.940856275670001</v>
      </c>
      <c r="F25" s="8">
        <f t="shared" si="2"/>
        <v>9.2990104677630008</v>
      </c>
      <c r="G25" s="8">
        <f t="shared" si="2"/>
        <v>19.2996868123636</v>
      </c>
      <c r="H25" s="8">
        <f t="shared" si="2"/>
        <v>14.732463877154</v>
      </c>
      <c r="I25" s="8">
        <f t="shared" si="2"/>
        <v>25.301111433536601</v>
      </c>
      <c r="J25" s="8">
        <f t="shared" si="2"/>
        <v>20.335735203929701</v>
      </c>
      <c r="K25" s="8">
        <f t="shared" si="2"/>
        <v>13.221059503291199</v>
      </c>
      <c r="L25" s="8">
        <f t="shared" si="2"/>
        <v>12.7459856653599</v>
      </c>
      <c r="M25" s="8">
        <f t="shared" si="2"/>
        <v>15.368050598212299</v>
      </c>
      <c r="N25" s="8">
        <f t="shared" si="2"/>
        <v>13.3572177464321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S20"/>
  <sheetViews>
    <sheetView zoomScale="88" zoomScaleNormal="10" workbookViewId="0">
      <selection activeCell="J26" sqref="J26"/>
    </sheetView>
  </sheetViews>
  <sheetFormatPr defaultRowHeight="14.5" x14ac:dyDescent="0.35"/>
  <cols>
    <col min="1" max="1" width="5" bestFit="1" customWidth="1"/>
    <col min="2" max="2" width="8.81640625" customWidth="1"/>
    <col min="3" max="3" width="22.08984375" bestFit="1" customWidth="1"/>
    <col min="4" max="4" width="19.453125" customWidth="1"/>
    <col min="5" max="5" width="34.453125" customWidth="1"/>
    <col min="6" max="6" width="19.453125" customWidth="1"/>
    <col min="7" max="7" width="17" bestFit="1" customWidth="1"/>
    <col min="8" max="8" width="11.36328125" customWidth="1"/>
    <col min="9" max="9" width="9.36328125" customWidth="1"/>
    <col min="10" max="10" width="11" bestFit="1" customWidth="1"/>
    <col min="11" max="12" width="11" customWidth="1"/>
    <col min="15" max="15" width="11.453125" customWidth="1"/>
    <col min="16" max="16" width="10.453125" bestFit="1" customWidth="1"/>
    <col min="17" max="17" width="13.453125" customWidth="1"/>
    <col min="27" max="27" width="13" customWidth="1"/>
  </cols>
  <sheetData>
    <row r="1" spans="1:19" x14ac:dyDescent="0.35">
      <c r="F1" s="62" t="s">
        <v>769</v>
      </c>
      <c r="G1" s="185">
        <f ca="1">EDATE(TODAY(), -1)</f>
        <v>45356</v>
      </c>
      <c r="H1" s="202">
        <f ca="1">EDATE(TODAY(), -2)</f>
        <v>45327</v>
      </c>
      <c r="I1" s="204"/>
    </row>
    <row r="2" spans="1:19" ht="15" thickBot="1" x14ac:dyDescent="0.4">
      <c r="F2" s="12" t="s">
        <v>770</v>
      </c>
      <c r="G2" s="186">
        <f ca="1">EDATE(TODAY(), -4)</f>
        <v>45265</v>
      </c>
      <c r="H2" s="203">
        <f ca="1">EDATE(TODAY(), -5)</f>
        <v>45235</v>
      </c>
      <c r="I2" s="204"/>
    </row>
    <row r="3" spans="1:19" ht="50.25" customHeight="1" x14ac:dyDescent="0.35">
      <c r="C3" t="s">
        <v>762</v>
      </c>
      <c r="D3" t="s">
        <v>561</v>
      </c>
      <c r="E3" t="s">
        <v>518</v>
      </c>
      <c r="H3" t="str" cm="1">
        <f t="array" aca="1" ref="H3" ca="1">_xll.FDSRC("-","DUMMY","ECON_DATE("&amp;$H$1&amp;",,, 'MM/YYYY')")</f>
        <v>02/2024</v>
      </c>
      <c r="I3" t="str" cm="1">
        <f t="array" aca="1" ref="I3" ca="1">_xll.FDSRC("-","DUMMY","ECON_DATE("&amp;$G$1&amp;",,, 'MM/YYYY')")</f>
        <v>03/2024</v>
      </c>
      <c r="J3" s="114" t="s">
        <v>763</v>
      </c>
      <c r="K3" t="str" cm="1">
        <f t="array" aca="1" ref="K3" ca="1">_xll.FDSRC("-","DUMMY","ECON_DATE("&amp;$H$1&amp;",,, 'MM/YYYY')")</f>
        <v>02/2024</v>
      </c>
      <c r="L3" t="str" cm="1">
        <f t="array" aca="1" ref="L3" ca="1">_xll.FDSRC("-","DUMMY","ECON_DATE("&amp;$H$2&amp;",,, 'MM/YYYY')")</f>
        <v>11/2023</v>
      </c>
      <c r="M3" t="str" cm="1">
        <f t="array" aca="1" ref="M3" ca="1">_xll.FDSRC("-","DUMMY","ECON_DATE("&amp;$G$1&amp;",,, 'MM/YYYY')")</f>
        <v>03/2024</v>
      </c>
      <c r="N3" t="str" cm="1">
        <f t="array" aca="1" ref="N3" ca="1">_xll.FDSRC("-","DUMMY","ECON_DATE("&amp;$G$2&amp;",,, 'MM/YYYY')")</f>
        <v>12/2023</v>
      </c>
      <c r="O3" s="114" t="s">
        <v>766</v>
      </c>
      <c r="P3" s="114" t="s">
        <v>772</v>
      </c>
      <c r="Q3" s="116" t="s">
        <v>773</v>
      </c>
      <c r="R3" s="116" t="s">
        <v>550</v>
      </c>
      <c r="S3" s="116" t="s">
        <v>737</v>
      </c>
    </row>
    <row r="4" spans="1:19" x14ac:dyDescent="0.35">
      <c r="A4" t="s">
        <v>431</v>
      </c>
      <c r="B4" t="s">
        <v>197</v>
      </c>
      <c r="C4" s="111" t="s">
        <v>753</v>
      </c>
      <c r="D4" s="112" t="s">
        <v>674</v>
      </c>
      <c r="E4" s="113" t="str" cm="1">
        <f t="array" ref="E4">_xll.FDS(F4,"FG_COMPANY_NAME")</f>
        <v>iShares MSCI New Zealand ETF</v>
      </c>
      <c r="F4" s="113" t="s">
        <v>431</v>
      </c>
      <c r="G4" t="s">
        <v>748</v>
      </c>
      <c r="H4" cm="1">
        <f t="array" aca="1" ref="H4" ca="1">_xll.FDSRC(,"DUMMY","ECON_EXPR_DATA('FDS_ECON["&amp;C4&amp;"]',"&amp;$H$3&amp;",,M)")</f>
        <v>49.270940000000003</v>
      </c>
      <c r="I4" cm="1">
        <f t="array" aca="1" ref="I4" ca="1">_xll.FDSRC(,"DUMMY","ECON_EXPR_DATA('FDS_ECON["&amp;C4&amp;"]',"&amp;$I$3&amp;",,M)")</f>
        <v>0</v>
      </c>
      <c r="J4">
        <f ca="1">IF(IF(I4=0,H4,I4)=0,$J$19,IF(I4=0,H4,I4))</f>
        <v>49.270940000000003</v>
      </c>
      <c r="K4" cm="1">
        <f t="array" aca="1" ref="K4" ca="1">_xll.FDSRC("-","DUMMY","ECON_EXPR_DATA('FDS_ECON["&amp;C4&amp;"]',"&amp;$K$3&amp;",,Q)")</f>
        <v>44.351115999999998</v>
      </c>
      <c r="L4" cm="1">
        <f t="array" aca="1" ref="L4" ca="1">_xll.FDSRC("-","DUMMY","ECON_EXPR_DATA('FDS_ECON["&amp;C4&amp;"]',"&amp;$L$3&amp;",,Q)")</f>
        <v>45.880732999999999</v>
      </c>
      <c r="M4" t="str" cm="1">
        <f t="array" aca="1" ref="M4" ca="1">_xll.FDSRC("-","DUMMY","ECON_EXPR_DATA('FDS_ECON["&amp;C4&amp;"]',"&amp;$M$3&amp;",,Q)")</f>
        <v>-</v>
      </c>
      <c r="N4" cm="1">
        <f t="array" aca="1" ref="N4" ca="1">_xll.FDSRC("-","DUMMY","ECON_EXPR_DATA('FDS_ECON["&amp;C4&amp;"]',"&amp;$N$3&amp;",,Q)")</f>
        <v>44.351115999999998</v>
      </c>
      <c r="O4">
        <f ca="1">IFERROR(IFERROR(M4-N4,K4-L4),$O$19)</f>
        <v>-1.5296170000000018</v>
      </c>
      <c r="P4" cm="1">
        <f t="array" aca="1" ref="P4" ca="1">_xlfn.PERCENTRANK.EXC(_xlfn._xlws.FILTER(J$4:J$16, ISNUMBER(J$4:J$16)),J4)*100</f>
        <v>42.8</v>
      </c>
      <c r="Q4" cm="1">
        <f t="array" aca="1" ref="Q4" ca="1">_xlfn.PERCENTRANK.EXC(_xlfn._xlws.FILTER(O$4:O$16, ISNUMBER(O$4:O$16)),O4)*100</f>
        <v>7.1</v>
      </c>
      <c r="R4">
        <f ca="1">P4*Assumption!$E$27 + Q4*Assumption!$F$27</f>
        <v>28.519999999999996</v>
      </c>
      <c r="S4" cm="1">
        <f t="array" aca="1" ref="S4" ca="1">_xlfn.PERCENTRANK.EXC(_xlfn._xlws.FILTER(R$4:R$16, ISNUMBER(R$4:R$16)),R4)*100</f>
        <v>28.499999999999996</v>
      </c>
    </row>
    <row r="5" spans="1:19" x14ac:dyDescent="0.35">
      <c r="A5" t="s">
        <v>44</v>
      </c>
      <c r="B5" t="s">
        <v>113</v>
      </c>
      <c r="C5" s="111" t="s">
        <v>751</v>
      </c>
      <c r="D5" s="112" t="s">
        <v>576</v>
      </c>
      <c r="E5" s="113" t="str" cm="1">
        <f t="array" ref="E5">_xll.FDS(F5,"FG_COMPANY_NAME")</f>
        <v>iShares MSCI Australia ETF</v>
      </c>
      <c r="F5" s="113" t="s">
        <v>44</v>
      </c>
      <c r="G5" t="s">
        <v>748</v>
      </c>
      <c r="H5" cm="1">
        <f t="array" aca="1" ref="H5" ca="1">_xll.FDSRC(,"DUMMY","ECON_EXPR_DATA('FDS_ECON["&amp;C5&amp;"]',"&amp;$H$3&amp;",,M)")</f>
        <v>47.823067000000002</v>
      </c>
      <c r="I5" cm="1">
        <f t="array" aca="1" ref="I5" ca="1">_xll.FDSRC(,"DUMMY","ECON_EXPR_DATA('FDS_ECON["&amp;C5&amp;"]',"&amp;$I$3&amp;",,M)")</f>
        <v>47.254350000000002</v>
      </c>
      <c r="J5">
        <f t="shared" ref="J5:J16" ca="1" si="0">IF(IF(I5=0,H5,I5)=0,$J$19,IF(I5=0,H5,I5))</f>
        <v>47.254350000000002</v>
      </c>
      <c r="K5" cm="1">
        <f t="array" aca="1" ref="K5" ca="1">_xll.FDSRC("-","DUMMY","ECON_EXPR_DATA('FDS_ECON["&amp;C5&amp;"]',"&amp;$K$3&amp;",,Q)")</f>
        <v>47.862293000000001</v>
      </c>
      <c r="L5" cm="1">
        <f t="array" aca="1" ref="L5" ca="1">_xll.FDSRC("-","DUMMY","ECON_EXPR_DATA('FDS_ECON["&amp;C5&amp;"]',"&amp;$L$3&amp;",,Q)")</f>
        <v>49.327064999999997</v>
      </c>
      <c r="M5" cm="1">
        <f t="array" aca="1" ref="M5" ca="1">_xll.FDSRC("-","DUMMY","ECON_EXPR_DATA('FDS_ECON["&amp;C5&amp;"]',"&amp;$M$3&amp;",,Q)")</f>
        <v>48.395470000000003</v>
      </c>
      <c r="N5" cm="1">
        <f t="array" aca="1" ref="N5" ca="1">_xll.FDSRC("-","DUMMY","ECON_EXPR_DATA('FDS_ECON["&amp;C5&amp;"]',"&amp;$N$3&amp;",,Q)")</f>
        <v>47.862293000000001</v>
      </c>
      <c r="O5">
        <f t="shared" ref="O5:O16" ca="1" si="1">IFERROR(IFERROR(M5-N5,K5-L5),$O$19)</f>
        <v>0.53317700000000201</v>
      </c>
      <c r="P5" cm="1">
        <f t="array" aca="1" ref="P5" ca="1">_xlfn.PERCENTRANK.EXC(_xlfn._xlws.FILTER(J$4:J$16, ISNUMBER(J$4:J$16)),J5)*100</f>
        <v>28.499999999999996</v>
      </c>
      <c r="Q5" cm="1">
        <f t="array" aca="1" ref="Q5" ca="1">_xlfn.PERCENTRANK.EXC(_xlfn._xlws.FILTER(O$4:O$16, ISNUMBER(O$4:O$16)),O5)*100</f>
        <v>21.4</v>
      </c>
      <c r="R5">
        <f ca="1">P5*Assumption!$E$27 + Q5*Assumption!$F$27</f>
        <v>25.659999999999997</v>
      </c>
      <c r="S5" cm="1">
        <f t="array" aca="1" ref="S5" ca="1">_xlfn.PERCENTRANK.EXC(_xlfn._xlws.FILTER(R$4:R$16, ISNUMBER(R$4:R$16)),R5)*100</f>
        <v>14.2</v>
      </c>
    </row>
    <row r="6" spans="1:19" x14ac:dyDescent="0.35">
      <c r="A6" t="s">
        <v>49</v>
      </c>
      <c r="B6" t="s">
        <v>116</v>
      </c>
      <c r="C6" s="111" t="s">
        <v>750</v>
      </c>
      <c r="D6" s="112" t="s">
        <v>598</v>
      </c>
      <c r="E6" s="113" t="str" cm="1">
        <f t="array" ref="E6">_xll.FDS(F6,"FG_COMPANY_NAME")</f>
        <v>iShares MSCI Canada ETF</v>
      </c>
      <c r="F6" s="113" t="s">
        <v>49</v>
      </c>
      <c r="G6" t="s">
        <v>748</v>
      </c>
      <c r="H6" cm="1">
        <f t="array" aca="1" ref="H6" ca="1">_xll.FDSRC(,"DUMMY","ECON_EXPR_DATA('FDS_ECON["&amp;C6&amp;"]',"&amp;$H$3&amp;",,M)")</f>
        <v>49.740319999999997</v>
      </c>
      <c r="I6" cm="1">
        <f t="array" aca="1" ref="I6" ca="1">_xll.FDSRC(,"DUMMY","ECON_EXPR_DATA('FDS_ECON["&amp;C6&amp;"]',"&amp;$I$3&amp;",,M)")</f>
        <v>49.829639999999998</v>
      </c>
      <c r="J6">
        <f t="shared" ca="1" si="0"/>
        <v>49.829639999999998</v>
      </c>
      <c r="K6" cm="1">
        <f t="array" aca="1" ref="K6" ca="1">_xll.FDSRC("-","DUMMY","ECON_EXPR_DATA('FDS_ECON["&amp;C6&amp;"]',"&amp;$K$3&amp;",,Q)")</f>
        <v>47.255585000000004</v>
      </c>
      <c r="L6" cm="1">
        <f t="array" aca="1" ref="L6" ca="1">_xll.FDSRC("-","DUMMY","ECON_EXPR_DATA('FDS_ECON["&amp;C6&amp;"]',"&amp;$L$3&amp;",,Q)")</f>
        <v>48.335906999999999</v>
      </c>
      <c r="M6" cm="1">
        <f t="array" aca="1" ref="M6" ca="1">_xll.FDSRC("-","DUMMY","ECON_EXPR_DATA('FDS_ECON["&amp;C6&amp;"]',"&amp;$M$3&amp;",,Q)")</f>
        <v>49.300910000000002</v>
      </c>
      <c r="N6" cm="1">
        <f t="array" aca="1" ref="N6" ca="1">_xll.FDSRC("-","DUMMY","ECON_EXPR_DATA('FDS_ECON["&amp;C6&amp;"]',"&amp;$N$3&amp;",,Q)")</f>
        <v>47.255585000000004</v>
      </c>
      <c r="O6">
        <f t="shared" ca="1" si="1"/>
        <v>2.0453249999999983</v>
      </c>
      <c r="P6" cm="1">
        <f t="array" aca="1" ref="P6" ca="1">_xlfn.PERCENTRANK.EXC(_xlfn._xlws.FILTER(J$4:J$16, ISNUMBER(J$4:J$16)),J6)*100</f>
        <v>64.2</v>
      </c>
      <c r="Q6" cm="1">
        <f t="array" aca="1" ref="Q6" ca="1">_xlfn.PERCENTRANK.EXC(_xlfn._xlws.FILTER(O$4:O$16, ISNUMBER(O$4:O$16)),O6)*100</f>
        <v>42.8</v>
      </c>
      <c r="R6">
        <f ca="1">P6*Assumption!$E$27 + Q6*Assumption!$F$27</f>
        <v>55.64</v>
      </c>
      <c r="S6" cm="1">
        <f t="array" aca="1" ref="S6" ca="1">_xlfn.PERCENTRANK.EXC(_xlfn._xlws.FILTER(R$4:R$16, ISNUMBER(R$4:R$16)),R6)*100</f>
        <v>57.099999999999994</v>
      </c>
    </row>
    <row r="7" spans="1:19" x14ac:dyDescent="0.35">
      <c r="A7" t="s">
        <v>11</v>
      </c>
      <c r="B7" t="s">
        <v>102</v>
      </c>
      <c r="C7" s="111" t="s">
        <v>754</v>
      </c>
      <c r="D7" s="112" t="s">
        <v>625</v>
      </c>
      <c r="E7" s="113" t="str" cm="1">
        <f t="array" ref="E7">_xll.FDS(F7,"FG_COMPANY_NAME")</f>
        <v>iShares MSCI Germany ETF</v>
      </c>
      <c r="F7" s="113" t="s">
        <v>11</v>
      </c>
      <c r="G7" t="s">
        <v>748</v>
      </c>
      <c r="H7" cm="1">
        <f t="array" aca="1" ref="H7" ca="1">_xll.FDSRC(,"DUMMY","ECON_EXPR_DATA('FDS_ECON["&amp;C7&amp;"]',"&amp;$H$3&amp;",,M)")</f>
        <v>42.526249999999997</v>
      </c>
      <c r="I7" cm="1">
        <f t="array" aca="1" ref="I7" ca="1">_xll.FDSRC(,"DUMMY","ECON_EXPR_DATA('FDS_ECON["&amp;C7&amp;"]',"&amp;$I$3&amp;",,M)")</f>
        <v>41.885402999999997</v>
      </c>
      <c r="J7">
        <f t="shared" ca="1" si="0"/>
        <v>41.885402999999997</v>
      </c>
      <c r="K7" cm="1">
        <f t="array" aca="1" ref="K7" ca="1">_xll.FDSRC("-","DUMMY","ECON_EXPR_DATA('FDS_ECON["&amp;C7&amp;"]',"&amp;$K$3&amp;",,Q)")</f>
        <v>42.238945000000001</v>
      </c>
      <c r="L7" cm="1">
        <f t="array" aca="1" ref="L7" ca="1">_xll.FDSRC("-","DUMMY","ECON_EXPR_DATA('FDS_ECON["&amp;C7&amp;"]',"&amp;$L$3&amp;",,Q)")</f>
        <v>39.155673999999998</v>
      </c>
      <c r="M7" cm="1">
        <f t="array" aca="1" ref="M7" ca="1">_xll.FDSRC("-","DUMMY","ECON_EXPR_DATA('FDS_ECON["&amp;C7&amp;"]',"&amp;$M$3&amp;",,Q)")</f>
        <v>43.319096000000002</v>
      </c>
      <c r="N7" cm="1">
        <f t="array" aca="1" ref="N7" ca="1">_xll.FDSRC("-","DUMMY","ECON_EXPR_DATA('FDS_ECON["&amp;C7&amp;"]',"&amp;$N$3&amp;",,Q)")</f>
        <v>42.238945000000001</v>
      </c>
      <c r="O7">
        <f t="shared" ca="1" si="1"/>
        <v>1.0801510000000007</v>
      </c>
      <c r="P7" cm="1">
        <f t="array" aca="1" ref="P7" ca="1">_xlfn.PERCENTRANK.EXC(_xlfn._xlws.FILTER(J$4:J$16, ISNUMBER(J$4:J$16)),J7)*100</f>
        <v>7.1</v>
      </c>
      <c r="Q7" cm="1">
        <f t="array" aca="1" ref="Q7" ca="1">_xlfn.PERCENTRANK.EXC(_xlfn._xlws.FILTER(O$4:O$16, ISNUMBER(O$4:O$16)),O7)*100</f>
        <v>28.499999999999996</v>
      </c>
      <c r="R7">
        <f ca="1">P7*Assumption!$E$27 + Q7*Assumption!$F$27</f>
        <v>15.659999999999998</v>
      </c>
      <c r="S7" cm="1">
        <f t="array" aca="1" ref="S7" ca="1">_xlfn.PERCENTRANK.EXC(_xlfn._xlws.FILTER(R$4:R$16, ISNUMBER(R$4:R$16)),R7)*100</f>
        <v>7.1</v>
      </c>
    </row>
    <row r="8" spans="1:19" x14ac:dyDescent="0.35">
      <c r="A8" t="s">
        <v>46</v>
      </c>
      <c r="B8" t="s">
        <v>114</v>
      </c>
      <c r="C8" s="111" t="s">
        <v>752</v>
      </c>
      <c r="D8" s="112" t="s">
        <v>643</v>
      </c>
      <c r="E8" s="113" t="str" cm="1">
        <f t="array" ref="E8">_xll.FDS(F8,"FG_COMPANY_NAME")</f>
        <v>iShares MSCI Japan ETF</v>
      </c>
      <c r="F8" s="113" t="s">
        <v>46</v>
      </c>
      <c r="G8" t="s">
        <v>748</v>
      </c>
      <c r="H8" cm="1">
        <f t="array" aca="1" ref="H8" ca="1">_xll.FDSRC(,"DUMMY","ECON_EXPR_DATA('FDS_ECON["&amp;C8&amp;"]',"&amp;$H$3&amp;",,M)")</f>
        <v>47.182769999999998</v>
      </c>
      <c r="I8" cm="1">
        <f t="array" aca="1" ref="I8" ca="1">_xll.FDSRC(,"DUMMY","ECON_EXPR_DATA('FDS_ECON["&amp;C8&amp;"]',"&amp;$I$3&amp;",,M)")</f>
        <v>48.224021999999998</v>
      </c>
      <c r="J8">
        <f t="shared" ca="1" si="0"/>
        <v>48.224021999999998</v>
      </c>
      <c r="K8" cm="1">
        <f t="array" aca="1" ref="K8" ca="1">_xll.FDSRC("-","DUMMY","ECON_EXPR_DATA('FDS_ECON["&amp;C8&amp;"]',"&amp;$K$3&amp;",,Q)")</f>
        <v>48.318770000000001</v>
      </c>
      <c r="L8" cm="1">
        <f t="array" aca="1" ref="L8" ca="1">_xll.FDSRC("-","DUMMY","ECON_EXPR_DATA('FDS_ECON["&amp;C8&amp;"]',"&amp;$L$3&amp;",,Q)")</f>
        <v>49.252665999999998</v>
      </c>
      <c r="M8" cm="1">
        <f t="array" aca="1" ref="M8" ca="1">_xll.FDSRC("-","DUMMY","ECON_EXPR_DATA('FDS_ECON["&amp;C8&amp;"]',"&amp;$M$3&amp;",,Q)")</f>
        <v>47.808857000000003</v>
      </c>
      <c r="N8" cm="1">
        <f t="array" aca="1" ref="N8" ca="1">_xll.FDSRC("-","DUMMY","ECON_EXPR_DATA('FDS_ECON["&amp;C8&amp;"]',"&amp;$N$3&amp;",,Q)")</f>
        <v>48.318770000000001</v>
      </c>
      <c r="O8">
        <f t="shared" ca="1" si="1"/>
        <v>-0.5099129999999974</v>
      </c>
      <c r="P8" cm="1">
        <f t="array" aca="1" ref="P8" ca="1">_xlfn.PERCENTRANK.EXC(_xlfn._xlws.FILTER(J$4:J$16, ISNUMBER(J$4:J$16)),J8)*100</f>
        <v>35.699999999999996</v>
      </c>
      <c r="Q8" cm="1">
        <f t="array" aca="1" ref="Q8" ca="1">_xlfn.PERCENTRANK.EXC(_xlfn._xlws.FILTER(O$4:O$16, ISNUMBER(O$4:O$16)),O8)*100</f>
        <v>14.2</v>
      </c>
      <c r="R8">
        <f ca="1">P8*Assumption!$E$27 + Q8*Assumption!$F$27</f>
        <v>27.099999999999998</v>
      </c>
      <c r="S8" cm="1">
        <f t="array" aca="1" ref="S8" ca="1">_xlfn.PERCENTRANK.EXC(_xlfn._xlws.FILTER(R$4:R$16, ISNUMBER(R$4:R$16)),R8)*100</f>
        <v>21.4</v>
      </c>
    </row>
    <row r="9" spans="1:19" x14ac:dyDescent="0.35">
      <c r="A9" t="s">
        <v>42</v>
      </c>
      <c r="B9" t="s">
        <v>110</v>
      </c>
      <c r="C9" s="111" t="s">
        <v>756</v>
      </c>
      <c r="D9" s="112" t="s">
        <v>706</v>
      </c>
      <c r="E9" s="113" t="str" cm="1">
        <f t="array" ref="E9">_xll.FDS(F9,"FG_COMPANY_NAME")</f>
        <v>iShares MSCI Switzerland ETF</v>
      </c>
      <c r="F9" s="113" t="s">
        <v>42</v>
      </c>
      <c r="G9" t="s">
        <v>748</v>
      </c>
      <c r="H9" cm="1">
        <f t="array" aca="1" ref="H9" ca="1">_xll.FDSRC(,"DUMMY","ECON_EXPR_DATA('FDS_ECON["&amp;C9&amp;"]',"&amp;$H$3&amp;",,M)")</f>
        <v>43.954456</v>
      </c>
      <c r="I9" cm="1">
        <f t="array" aca="1" ref="I9" ca="1">_xll.FDSRC(,"DUMMY","ECON_EXPR_DATA('FDS_ECON["&amp;C9&amp;"]',"&amp;$I$3&amp;",,M)")</f>
        <v>45.169020000000003</v>
      </c>
      <c r="J9">
        <f t="shared" ca="1" si="0"/>
        <v>45.169020000000003</v>
      </c>
      <c r="K9" cm="1">
        <f t="array" aca="1" ref="K9" ca="1">_xll.FDSRC("-","DUMMY","ECON_EXPR_DATA('FDS_ECON["&amp;C9&amp;"]',"&amp;$K$3&amp;",,Q)")</f>
        <v>41.921543</v>
      </c>
      <c r="L9" cm="1">
        <f t="array" aca="1" ref="L9" ca="1">_xll.FDSRC("-","DUMMY","ECON_EXPR_DATA('FDS_ECON["&amp;C9&amp;"]',"&amp;$L$3&amp;",,Q)")</f>
        <v>41.102364000000001</v>
      </c>
      <c r="M9" cm="1">
        <f t="array" aca="1" ref="M9" ca="1">_xll.FDSRC("-","DUMMY","ECON_EXPR_DATA('FDS_ECON["&amp;C9&amp;"]',"&amp;$M$3&amp;",,Q)")</f>
        <v>44.08605</v>
      </c>
      <c r="N9" cm="1">
        <f t="array" aca="1" ref="N9" ca="1">_xll.FDSRC("-","DUMMY","ECON_EXPR_DATA('FDS_ECON["&amp;C9&amp;"]',"&amp;$N$3&amp;",,Q)")</f>
        <v>41.921543</v>
      </c>
      <c r="O9">
        <f t="shared" ca="1" si="1"/>
        <v>2.1645070000000004</v>
      </c>
      <c r="P9" cm="1">
        <f t="array" aca="1" ref="P9" ca="1">_xlfn.PERCENTRANK.EXC(_xlfn._xlws.FILTER(J$4:J$16, ISNUMBER(J$4:J$16)),J9)*100</f>
        <v>14.2</v>
      </c>
      <c r="Q9" cm="1">
        <f t="array" aca="1" ref="Q9" ca="1">_xlfn.PERCENTRANK.EXC(_xlfn._xlws.FILTER(O$4:O$16, ISNUMBER(O$4:O$16)),O9)*100</f>
        <v>50</v>
      </c>
      <c r="R9">
        <f ca="1">P9*Assumption!$E$27 + Q9*Assumption!$F$27</f>
        <v>28.52</v>
      </c>
      <c r="S9" cm="1">
        <f t="array" aca="1" ref="S9" ca="1">_xlfn.PERCENTRANK.EXC(_xlfn._xlws.FILTER(R$4:R$16, ISNUMBER(R$4:R$16)),R9)*100</f>
        <v>35.699999999999996</v>
      </c>
    </row>
    <row r="10" spans="1:19" x14ac:dyDescent="0.35">
      <c r="A10" t="s">
        <v>48</v>
      </c>
      <c r="B10" t="s">
        <v>115</v>
      </c>
      <c r="C10" s="111" t="s">
        <v>755</v>
      </c>
      <c r="D10" s="112" t="s">
        <v>447</v>
      </c>
      <c r="E10" s="113" t="str" cm="1">
        <f t="array" ref="E10">_xll.FDS(F10,"FG_COMPANY_NAME")</f>
        <v>iShares MSCI United Kingdom ETF</v>
      </c>
      <c r="F10" s="113" t="s">
        <v>48</v>
      </c>
      <c r="G10" t="s">
        <v>748</v>
      </c>
      <c r="H10" cm="1">
        <f t="array" aca="1" ref="H10" ca="1">_xll.FDSRC(,"DUMMY","ECON_EXPR_DATA('FDS_ECON["&amp;C10&amp;"]',"&amp;$H$3&amp;",,M)")</f>
        <v>47.508816000000003</v>
      </c>
      <c r="I10" cm="1">
        <f t="array" aca="1" ref="I10" ca="1">_xll.FDSRC(,"DUMMY","ECON_EXPR_DATA('FDS_ECON["&amp;C10&amp;"]',"&amp;$I$3&amp;",,M)")</f>
        <v>50.269835999999998</v>
      </c>
      <c r="J10">
        <f t="shared" ca="1" si="0"/>
        <v>50.269835999999998</v>
      </c>
      <c r="K10" cm="1">
        <f t="array" aca="1" ref="K10" ca="1">_xll.FDSRC("-","DUMMY","ECON_EXPR_DATA('FDS_ECON["&amp;C10&amp;"]',"&amp;$K$3&amp;",,Q)")</f>
        <v>46.058700000000002</v>
      </c>
      <c r="L10" cm="1">
        <f t="array" aca="1" ref="L10" ca="1">_xll.FDSRC("-","DUMMY","ECON_EXPR_DATA('FDS_ECON["&amp;C10&amp;"]',"&amp;$L$3&amp;",,Q)")</f>
        <v>44.209952999999999</v>
      </c>
      <c r="M10" cm="1">
        <f t="array" aca="1" ref="M10" ca="1">_xll.FDSRC("-","DUMMY","ECON_EXPR_DATA('FDS_ECON["&amp;C10&amp;"]',"&amp;$M$3&amp;",,Q)")</f>
        <v>48.247959999999999</v>
      </c>
      <c r="N10" cm="1">
        <f t="array" aca="1" ref="N10" ca="1">_xll.FDSRC("-","DUMMY","ECON_EXPR_DATA('FDS_ECON["&amp;C10&amp;"]',"&amp;$N$3&amp;",,Q)")</f>
        <v>46.058700000000002</v>
      </c>
      <c r="O10">
        <f t="shared" ca="1" si="1"/>
        <v>2.1892599999999973</v>
      </c>
      <c r="P10" cm="1">
        <f t="array" aca="1" ref="P10" ca="1">_xlfn.PERCENTRANK.EXC(_xlfn._xlws.FILTER(J$4:J$16, ISNUMBER(J$4:J$16)),J10)*100</f>
        <v>71.399999999999991</v>
      </c>
      <c r="Q10" cm="1">
        <f t="array" aca="1" ref="Q10" ca="1">_xlfn.PERCENTRANK.EXC(_xlfn._xlws.FILTER(O$4:O$16, ISNUMBER(O$4:O$16)),O10)*100</f>
        <v>57.099999999999994</v>
      </c>
      <c r="R10">
        <f ca="1">P10*Assumption!$E$27 + Q10*Assumption!$F$27</f>
        <v>65.679999999999993</v>
      </c>
      <c r="S10" cm="1">
        <f t="array" aca="1" ref="S10" ca="1">_xlfn.PERCENTRANK.EXC(_xlfn._xlws.FILTER(R$4:R$16, ISNUMBER(R$4:R$16)),R10)*100</f>
        <v>64.2</v>
      </c>
    </row>
    <row r="11" spans="1:19" x14ac:dyDescent="0.35">
      <c r="A11" t="s">
        <v>51</v>
      </c>
      <c r="B11" t="s">
        <v>119</v>
      </c>
      <c r="C11" s="111" t="s">
        <v>749</v>
      </c>
      <c r="D11" s="112" t="s">
        <v>761</v>
      </c>
      <c r="E11" s="113" t="str" cm="1">
        <f t="array" ref="E11">_xll.FDS(F11,"FG_COMPANY_NAME")</f>
        <v>Invesco QQQ Trust Series I</v>
      </c>
      <c r="F11" s="113" t="s">
        <v>51</v>
      </c>
      <c r="G11" t="s">
        <v>748</v>
      </c>
      <c r="H11" cm="1">
        <f t="array" aca="1" ref="H11" ca="1">_xll.FDSRC(,"DUMMY","ECON_EXPR_DATA('FDS_ECON["&amp;C11&amp;"]',"&amp;$H$3&amp;",,M)")</f>
        <v>52.195070000000001</v>
      </c>
      <c r="I11" cm="1">
        <f t="array" aca="1" ref="I11" ca="1">_xll.FDSRC(,"DUMMY","ECON_EXPR_DATA('FDS_ECON["&amp;C11&amp;"]',"&amp;$I$3&amp;",,M)")</f>
        <v>51.857661999999998</v>
      </c>
      <c r="J11">
        <f t="shared" ca="1" si="0"/>
        <v>51.857661999999998</v>
      </c>
      <c r="K11" cm="1">
        <f t="array" aca="1" ref="K11" ca="1">_xll.FDSRC("-","DUMMY","ECON_EXPR_DATA('FDS_ECON["&amp;C11&amp;"]',"&amp;$K$3&amp;",,Q)")</f>
        <v>49.098827</v>
      </c>
      <c r="L11" cm="1">
        <f t="array" aca="1" ref="L11" ca="1">_xll.FDSRC("-","DUMMY","ECON_EXPR_DATA('FDS_ECON["&amp;C11&amp;"]',"&amp;$L$3&amp;",,Q)")</f>
        <v>48.914909999999999</v>
      </c>
      <c r="M11" cm="1">
        <f t="array" aca="1" ref="M11" ca="1">_xll.FDSRC("-","DUMMY","ECON_EXPR_DATA('FDS_ECON["&amp;C11&amp;"]',"&amp;$M$3&amp;",,Q)")</f>
        <v>51.582687</v>
      </c>
      <c r="N11" cm="1">
        <f t="array" aca="1" ref="N11" ca="1">_xll.FDSRC("-","DUMMY","ECON_EXPR_DATA('FDS_ECON["&amp;C11&amp;"]',"&amp;$N$3&amp;",,Q)")</f>
        <v>49.098827</v>
      </c>
      <c r="O11">
        <f t="shared" ca="1" si="1"/>
        <v>2.48386</v>
      </c>
      <c r="P11" cm="1">
        <f t="array" aca="1" ref="P11" ca="1">_xlfn.PERCENTRANK.EXC(_xlfn._xlws.FILTER(J$4:J$16, ISNUMBER(J$4:J$16)),J11)*100</f>
        <v>85.7</v>
      </c>
      <c r="Q11" cm="1">
        <f t="array" aca="1" ref="Q11" ca="1">_xlfn.PERCENTRANK.EXC(_xlfn._xlws.FILTER(O$4:O$16, ISNUMBER(O$4:O$16)),O11)*100</f>
        <v>64.2</v>
      </c>
      <c r="R11">
        <f ca="1">P11*Assumption!$E$27 + Q11*Assumption!$F$27</f>
        <v>77.100000000000009</v>
      </c>
      <c r="S11" cm="1">
        <f t="array" aca="1" ref="S11" ca="1">_xlfn.PERCENTRANK.EXC(_xlfn._xlws.FILTER(R$4:R$16, ISNUMBER(R$4:R$16)),R11)*100</f>
        <v>78.5</v>
      </c>
    </row>
    <row r="12" spans="1:19" x14ac:dyDescent="0.35">
      <c r="A12" t="s">
        <v>1</v>
      </c>
      <c r="B12" t="s">
        <v>119</v>
      </c>
      <c r="C12" s="111" t="s">
        <v>749</v>
      </c>
      <c r="D12" s="112" t="s">
        <v>761</v>
      </c>
      <c r="E12" s="113" t="str" cm="1">
        <f t="array" ref="E12">_xll.FDS(F12,"FG_COMPANY_NAME")</f>
        <v>SPDR S&amp;P 500 ETF Trust</v>
      </c>
      <c r="F12" s="113" t="s">
        <v>1</v>
      </c>
      <c r="G12" t="s">
        <v>748</v>
      </c>
      <c r="H12" cm="1">
        <f t="array" aca="1" ref="H12" ca="1">_xll.FDSRC(,"DUMMY","ECON_EXPR_DATA('FDS_ECON["&amp;C12&amp;"]',"&amp;$H$3&amp;",,M)")</f>
        <v>52.195070000000001</v>
      </c>
      <c r="I12" cm="1">
        <f t="array" aca="1" ref="I12" ca="1">_xll.FDSRC(,"DUMMY","ECON_EXPR_DATA('FDS_ECON["&amp;C12&amp;"]',"&amp;$I$3&amp;",,M)")</f>
        <v>51.857661999999998</v>
      </c>
      <c r="J12">
        <f t="shared" ca="1" si="0"/>
        <v>51.857661999999998</v>
      </c>
      <c r="K12" cm="1">
        <f t="array" aca="1" ref="K12" ca="1">_xll.FDSRC("-","DUMMY","ECON_EXPR_DATA('FDS_ECON["&amp;C12&amp;"]',"&amp;$K$3&amp;",,Q)")</f>
        <v>49.098827</v>
      </c>
      <c r="L12" cm="1">
        <f t="array" aca="1" ref="L12" ca="1">_xll.FDSRC("-","DUMMY","ECON_EXPR_DATA('FDS_ECON["&amp;C12&amp;"]',"&amp;$L$3&amp;",,Q)")</f>
        <v>48.914909999999999</v>
      </c>
      <c r="M12" cm="1">
        <f t="array" aca="1" ref="M12" ca="1">_xll.FDSRC("-","DUMMY","ECON_EXPR_DATA('FDS_ECON["&amp;C12&amp;"]',"&amp;$M$3&amp;",,Q)")</f>
        <v>51.582687</v>
      </c>
      <c r="N12" cm="1">
        <f t="array" aca="1" ref="N12" ca="1">_xll.FDSRC("-","DUMMY","ECON_EXPR_DATA('FDS_ECON["&amp;C12&amp;"]',"&amp;$N$3&amp;",,Q)")</f>
        <v>49.098827</v>
      </c>
      <c r="O12">
        <f t="shared" ca="1" si="1"/>
        <v>2.48386</v>
      </c>
      <c r="P12" cm="1">
        <f t="array" aca="1" ref="P12" ca="1">_xlfn.PERCENTRANK.EXC(_xlfn._xlws.FILTER(J$4:J$16, ISNUMBER(J$4:J$16)),J12)*100</f>
        <v>85.7</v>
      </c>
      <c r="Q12" cm="1">
        <f t="array" aca="1" ref="Q12" ca="1">_xlfn.PERCENTRANK.EXC(_xlfn._xlws.FILTER(O$4:O$16, ISNUMBER(O$4:O$16)),O12)*100</f>
        <v>64.2</v>
      </c>
      <c r="R12">
        <f ca="1">P12*Assumption!$E$27 + Q12*Assumption!$F$27</f>
        <v>77.100000000000009</v>
      </c>
      <c r="S12" cm="1">
        <f t="array" aca="1" ref="S12" ca="1">_xlfn.PERCENTRANK.EXC(_xlfn._xlws.FILTER(R$4:R$16, ISNUMBER(R$4:R$16)),R12)*100</f>
        <v>78.5</v>
      </c>
    </row>
    <row r="13" spans="1:19" x14ac:dyDescent="0.35">
      <c r="A13" t="s">
        <v>863</v>
      </c>
      <c r="B13" t="s">
        <v>106</v>
      </c>
      <c r="C13" s="111" t="s">
        <v>881</v>
      </c>
      <c r="D13" t="s">
        <v>621</v>
      </c>
      <c r="E13" s="113" t="str" cm="1">
        <f t="array" ref="E13">_xll.FDS(F13,"FG_COMPANY_NAME")</f>
        <v>iShares MSCI France ETF</v>
      </c>
      <c r="F13" t="s">
        <v>863</v>
      </c>
      <c r="G13" t="s">
        <v>748</v>
      </c>
      <c r="H13" cm="1">
        <f t="array" aca="1" ref="H13" ca="1">_xll.FDSRC(,"DUMMY","ECON_EXPR_DATA('FDS_ECON["&amp;C13&amp;"]',"&amp;$H$3&amp;",,M)")</f>
        <v>47.113422</v>
      </c>
      <c r="I13" cm="1">
        <f t="array" aca="1" ref="I13" ca="1">_xll.FDSRC(,"DUMMY","ECON_EXPR_DATA('FDS_ECON["&amp;C13&amp;"]',"&amp;$I$3&amp;",,M)")</f>
        <v>46.246628000000001</v>
      </c>
      <c r="J13">
        <f t="shared" ca="1" si="0"/>
        <v>46.246628000000001</v>
      </c>
      <c r="K13" cm="1">
        <f t="array" aca="1" ref="K13" ca="1">_xll.FDSRC("-","DUMMY","ECON_EXPR_DATA('FDS_ECON["&amp;C13&amp;"]',"&amp;$K$3&amp;",,Q)")</f>
        <v>42.573967000000003</v>
      </c>
      <c r="L13" cm="1">
        <f t="array" aca="1" ref="L13" ca="1">_xll.FDSRC("-","DUMMY","ECON_EXPR_DATA('FDS_ECON["&amp;C13&amp;"]',"&amp;$L$3&amp;",,Q)")</f>
        <v>45.097969999999997</v>
      </c>
      <c r="M13" cm="1">
        <f t="array" aca="1" ref="M13" ca="1">_xll.FDSRC("-","DUMMY","ECON_EXPR_DATA('FDS_ECON["&amp;C13&amp;"]',"&amp;$M$3&amp;",,Q)")</f>
        <v>45.498753000000001</v>
      </c>
      <c r="N13" cm="1">
        <f t="array" aca="1" ref="N13" ca="1">_xll.FDSRC("-","DUMMY","ECON_EXPR_DATA('FDS_ECON["&amp;C13&amp;"]',"&amp;$N$3&amp;",,Q)")</f>
        <v>42.573967000000003</v>
      </c>
      <c r="O13">
        <f t="shared" ca="1" si="1"/>
        <v>2.9247859999999974</v>
      </c>
      <c r="P13" cm="1">
        <f t="array" aca="1" ref="P13" ca="1">_xlfn.PERCENTRANK.EXC(_xlfn._xlws.FILTER(J$4:J$16, ISNUMBER(J$4:J$16)),J13)*100</f>
        <v>21.4</v>
      </c>
      <c r="Q13" cm="1">
        <f t="array" aca="1" ref="Q13" ca="1">_xlfn.PERCENTRANK.EXC(_xlfn._xlws.FILTER(O$4:O$16, ISNUMBER(O$4:O$16)),O13)*100</f>
        <v>78.5</v>
      </c>
      <c r="R13">
        <f ca="1">P13*Assumption!$E$27 + Q13*Assumption!$F$27</f>
        <v>44.24</v>
      </c>
      <c r="S13" cm="1">
        <f t="array" aca="1" ref="S13" ca="1">_xlfn.PERCENTRANK.EXC(_xlfn._xlws.FILTER(R$4:R$16, ISNUMBER(R$4:R$16)),R13)*100</f>
        <v>42.8</v>
      </c>
    </row>
    <row r="14" spans="1:19" x14ac:dyDescent="0.35">
      <c r="A14" t="s">
        <v>865</v>
      </c>
      <c r="B14" t="s">
        <v>873</v>
      </c>
      <c r="C14" s="111" t="s">
        <v>882</v>
      </c>
      <c r="D14" t="s">
        <v>673</v>
      </c>
      <c r="E14" s="113" t="str" cm="1">
        <f t="array" ref="E14">_xll.FDS(F14,"FG_COMPANY_NAME")</f>
        <v>iShares MSCI Netherlands ETF</v>
      </c>
      <c r="F14" t="s">
        <v>865</v>
      </c>
      <c r="G14" t="s">
        <v>748</v>
      </c>
      <c r="H14" cm="1">
        <f t="array" aca="1" ref="H14" ca="1">_xll.FDSRC(,"DUMMY","ECON_EXPR_DATA('FDS_ECON["&amp;C14&amp;"]',"&amp;$H$3&amp;",,M)")</f>
        <v>49.333509999999997</v>
      </c>
      <c r="I14" cm="1">
        <f t="array" aca="1" ref="I14" ca="1">_xll.FDSRC(,"DUMMY","ECON_EXPR_DATA('FDS_ECON["&amp;C14&amp;"]',"&amp;$I$3&amp;",,M)")</f>
        <v>49.698321999999997</v>
      </c>
      <c r="J14">
        <f t="shared" ca="1" si="0"/>
        <v>49.698321999999997</v>
      </c>
      <c r="K14" cm="1">
        <f t="array" aca="1" ref="K14" ca="1">_xll.FDSRC("-","DUMMY","ECON_EXPR_DATA('FDS_ECON["&amp;C14&amp;"]',"&amp;$K$3&amp;",,Q)")</f>
        <v>44.495136000000002</v>
      </c>
      <c r="L14" cm="1">
        <f t="array" aca="1" ref="L14" ca="1">_xll.FDSRC("-","DUMMY","ECON_EXPR_DATA('FDS_ECON["&amp;C14&amp;"]',"&amp;$L$3&amp;",,Q)")</f>
        <v>44.945712999999998</v>
      </c>
      <c r="M14" cm="1">
        <f t="array" aca="1" ref="M14" ca="1">_xll.FDSRC("-","DUMMY","ECON_EXPR_DATA('FDS_ECON["&amp;C14&amp;"]',"&amp;$M$3&amp;",,Q)")</f>
        <v>49.325873999999999</v>
      </c>
      <c r="N14" cm="1">
        <f t="array" aca="1" ref="N14" ca="1">_xll.FDSRC("-","DUMMY","ECON_EXPR_DATA('FDS_ECON["&amp;C14&amp;"]',"&amp;$N$3&amp;",,Q)")</f>
        <v>44.495136000000002</v>
      </c>
      <c r="O14">
        <f t="shared" ca="1" si="1"/>
        <v>4.8307379999999966</v>
      </c>
      <c r="P14" cm="1">
        <f t="array" aca="1" ref="P14" ca="1">_xlfn.PERCENTRANK.EXC(_xlfn._xlws.FILTER(J$4:J$16, ISNUMBER(J$4:J$16)),J14)*100</f>
        <v>57.099999999999994</v>
      </c>
      <c r="Q14" cm="1">
        <f t="array" aca="1" ref="Q14" ca="1">_xlfn.PERCENTRANK.EXC(_xlfn._xlws.FILTER(O$4:O$16, ISNUMBER(O$4:O$16)),O14)*100</f>
        <v>92.800000000000011</v>
      </c>
      <c r="R14">
        <f ca="1">P14*Assumption!$E$27 + Q14*Assumption!$F$27</f>
        <v>71.38</v>
      </c>
      <c r="S14" cm="1">
        <f t="array" aca="1" ref="S14" ca="1">_xlfn.PERCENTRANK.EXC(_xlfn._xlws.FILTER(R$4:R$16, ISNUMBER(R$4:R$16)),R14)*100</f>
        <v>71.399999999999991</v>
      </c>
    </row>
    <row r="15" spans="1:19" x14ac:dyDescent="0.35">
      <c r="A15" t="s">
        <v>862</v>
      </c>
      <c r="B15" t="s">
        <v>272</v>
      </c>
      <c r="C15" s="111" t="s">
        <v>913</v>
      </c>
      <c r="D15" t="s">
        <v>705</v>
      </c>
      <c r="E15" s="113" t="str" cm="1">
        <f t="array" ref="E15">_xll.FDS(F15,"FG_COMPANY_NAME")</f>
        <v>iShares MSCI Sweden ETF</v>
      </c>
      <c r="F15" t="s">
        <v>862</v>
      </c>
      <c r="G15" t="s">
        <v>748</v>
      </c>
      <c r="H15" cm="1">
        <f t="array" aca="1" ref="H15" ca="1">_xll.FDSRC(,"DUMMY","ECON_EXPR_DATA('FDS_ECON["&amp;C15&amp;"]',"&amp;$H$3&amp;",,M)")</f>
        <v>0</v>
      </c>
      <c r="I15" cm="1">
        <f t="array" aca="1" ref="I15" ca="1">_xll.FDSRC(,"DUMMY","ECON_EXPR_DATA('FDS_ECON["&amp;C15&amp;"]',"&amp;$I$3&amp;",,M)")</f>
        <v>0</v>
      </c>
      <c r="J15">
        <f t="shared" ca="1" si="0"/>
        <v>49.286430000000003</v>
      </c>
      <c r="K15" t="str" cm="1">
        <f t="array" aca="1" ref="K15" ca="1">_xll.FDSRC("-","DUMMY","ECON_EXPR_DATA('FDS_ECON["&amp;C15&amp;"]',"&amp;$K$3&amp;",,Q)")</f>
        <v>-</v>
      </c>
      <c r="L15" t="str" cm="1">
        <f t="array" aca="1" ref="L15" ca="1">_xll.FDSRC("-","DUMMY","ECON_EXPR_DATA('FDS_ECON["&amp;C15&amp;"]',"&amp;$L$3&amp;",,Q)")</f>
        <v>-</v>
      </c>
      <c r="M15" t="str" cm="1">
        <f t="array" aca="1" ref="M15" ca="1">_xll.FDSRC("-","DUMMY","ECON_EXPR_DATA('FDS_ECON["&amp;C15&amp;"]',"&amp;$M$3&amp;",,Q)")</f>
        <v>-</v>
      </c>
      <c r="N15" t="str" cm="1">
        <f t="array" aca="1" ref="N15" ca="1">_xll.FDSRC("-","DUMMY","ECON_EXPR_DATA('FDS_ECON["&amp;C15&amp;"]',"&amp;$N$3&amp;",,Q)")</f>
        <v>-</v>
      </c>
      <c r="O15">
        <f t="shared" ca="1" si="1"/>
        <v>1.757355000000004</v>
      </c>
      <c r="P15" cm="1">
        <f t="array" aca="1" ref="P15" ca="1">_xlfn.PERCENTRANK.EXC(_xlfn._xlws.FILTER(J$4:J$16, ISNUMBER(J$4:J$16)),J15)*100</f>
        <v>50</v>
      </c>
      <c r="Q15" cm="1">
        <f t="array" aca="1" ref="Q15" ca="1">_xlfn.PERCENTRANK.EXC(_xlfn._xlws.FILTER(O$4:O$16, ISNUMBER(O$4:O$16)),O15)*100</f>
        <v>35.699999999999996</v>
      </c>
      <c r="R15">
        <f ca="1">P15*Assumption!$E$27 + Q15*Assumption!$F$27</f>
        <v>44.28</v>
      </c>
      <c r="S15" cm="1">
        <f t="array" aca="1" ref="S15" ca="1">_xlfn.PERCENTRANK.EXC(_xlfn._xlws.FILTER(R$4:R$16, ISNUMBER(R$4:R$16)),R15)*100</f>
        <v>50</v>
      </c>
    </row>
    <row r="16" spans="1:19" x14ac:dyDescent="0.35">
      <c r="A16" t="s">
        <v>864</v>
      </c>
      <c r="B16" t="s">
        <v>874</v>
      </c>
      <c r="C16" s="111" t="s">
        <v>883</v>
      </c>
      <c r="D16" t="s">
        <v>641</v>
      </c>
      <c r="E16" s="113" t="str" cm="1">
        <f t="array" ref="E16">_xll.FDS(F16,"FG_COMPANY_NAME")</f>
        <v>iShares MSCI Italy ETF</v>
      </c>
      <c r="F16" t="s">
        <v>864</v>
      </c>
      <c r="G16" t="s">
        <v>748</v>
      </c>
      <c r="H16" cm="1">
        <f t="array" aca="1" ref="H16" ca="1">_xll.FDSRC(,"DUMMY","ECON_EXPR_DATA('FDS_ECON["&amp;C16&amp;"]',"&amp;$H$3&amp;",,M)")</f>
        <v>48.697094</v>
      </c>
      <c r="I16" cm="1">
        <f t="array" aca="1" ref="I16" ca="1">_xll.FDSRC(,"DUMMY","ECON_EXPR_DATA('FDS_ECON["&amp;C16&amp;"]',"&amp;$I$3&amp;",,M)")</f>
        <v>50.388508000000002</v>
      </c>
      <c r="J16">
        <f t="shared" ca="1" si="0"/>
        <v>50.388508000000002</v>
      </c>
      <c r="K16" cm="1">
        <f t="array" aca="1" ref="K16" ca="1">_xll.FDSRC("-","DUMMY","ECON_EXPR_DATA('FDS_ECON["&amp;C16&amp;"]',"&amp;$K$3&amp;",,Q)")</f>
        <v>44.859454999999997</v>
      </c>
      <c r="L16" cm="1">
        <f t="array" aca="1" ref="L16" ca="1">_xll.FDSRC("-","DUMMY","ECON_EXPR_DATA('FDS_ECON["&amp;C16&amp;"]',"&amp;$L$3&amp;",,Q)")</f>
        <v>45.562866</v>
      </c>
      <c r="M16" cm="1">
        <f t="array" aca="1" ref="M16" ca="1">_xll.FDSRC("-","DUMMY","ECON_EXPR_DATA('FDS_ECON["&amp;C16&amp;"]',"&amp;$M$3&amp;",,Q)")</f>
        <v>49.208153000000003</v>
      </c>
      <c r="N16" cm="1">
        <f t="array" aca="1" ref="N16" ca="1">_xll.FDSRC("-","DUMMY","ECON_EXPR_DATA('FDS_ECON["&amp;C16&amp;"]',"&amp;$N$3&amp;",,Q)")</f>
        <v>44.859454999999997</v>
      </c>
      <c r="O16">
        <f t="shared" ca="1" si="1"/>
        <v>4.3486980000000059</v>
      </c>
      <c r="P16" cm="1">
        <f t="array" aca="1" ref="P16" ca="1">_xlfn.PERCENTRANK.EXC(_xlfn._xlws.FILTER(J$4:J$16, ISNUMBER(J$4:J$16)),J16)*100</f>
        <v>78.5</v>
      </c>
      <c r="Q16" cm="1">
        <f t="array" aca="1" ref="Q16" ca="1">_xlfn.PERCENTRANK.EXC(_xlfn._xlws.FILTER(O$4:O$16, ISNUMBER(O$4:O$16)),O16)*100</f>
        <v>85.7</v>
      </c>
      <c r="R16">
        <f ca="1">P16*Assumption!$E$27 + Q16*Assumption!$F$27</f>
        <v>81.38</v>
      </c>
      <c r="S16" cm="1">
        <f t="array" aca="1" ref="S16" ca="1">_xlfn.PERCENTRANK.EXC(_xlfn._xlws.FILTER(R$4:R$16, ISNUMBER(R$4:R$16)),R16)*100</f>
        <v>92.800000000000011</v>
      </c>
    </row>
    <row r="18" spans="6:15" x14ac:dyDescent="0.35">
      <c r="H18" s="113" t="str" cm="1">
        <f t="array" aca="1" ref="H18" ca="1">_xll.FDSRC("-","DUMMY","ECON_DATE("&amp;$H$1&amp;",,, 'MM/YYYY')")</f>
        <v>02/2024</v>
      </c>
      <c r="I18" s="113" t="str" cm="1">
        <f t="array" aca="1" ref="I18" ca="1">_xll.FDSRC("-","DUMMY","ECON_DATE("&amp;$G$1&amp;",,, 'MM/YYYY')")</f>
        <v>03/2024</v>
      </c>
      <c r="J18" t="s">
        <v>763</v>
      </c>
      <c r="K18" s="113" t="str" cm="1">
        <f t="array" aca="1" ref="K18" ca="1">_xll.FDSRC("-","DUMMY","ECON_DATE("&amp;$H$1&amp;",,, 'MM/YYYY')")</f>
        <v>02/2024</v>
      </c>
      <c r="L18" s="113" t="str" cm="1">
        <f t="array" aca="1" ref="L18" ca="1">_xll.FDSRC("-","DUMMY","ECON_DATE("&amp;$H$2&amp;",,, 'MM/YYYY')")</f>
        <v>11/2023</v>
      </c>
      <c r="M18" s="113" t="str" cm="1">
        <f t="array" aca="1" ref="M18" ca="1">_xll.FDSRC("-","DUMMY","ECON_DATE("&amp;$G$1&amp;",,, 'MM/YYYY')")</f>
        <v>03/2024</v>
      </c>
      <c r="N18" s="113" t="str" cm="1">
        <f t="array" aca="1" ref="N18" ca="1">_xll.FDSRC("-","DUMMY","ECON_DATE("&amp;$G$2&amp;",,, 'MM/YYYY')")</f>
        <v>12/2023</v>
      </c>
      <c r="O18" t="s">
        <v>771</v>
      </c>
    </row>
    <row r="19" spans="6:15" x14ac:dyDescent="0.35">
      <c r="F19" s="111" t="s">
        <v>757</v>
      </c>
      <c r="G19" s="111" t="s">
        <v>758</v>
      </c>
      <c r="H19" cm="1">
        <f t="array" aca="1" ref="H19" ca="1">_xll.FDSRC(,"DUMMY","ECON_EXPR_DATA('FDS_ECON["&amp;F19&amp;"]',"&amp;$H$18&amp;",,M)")</f>
        <v>49.254123999999997</v>
      </c>
      <c r="I19" cm="1">
        <f t="array" aca="1" ref="I19" ca="1">_xll.FDSRC(,"DUMMY","ECON_EXPR_DATA('FDS_ECON["&amp;F19&amp;"]',"&amp;$I$18&amp;",,M)")</f>
        <v>49.286430000000003</v>
      </c>
      <c r="J19">
        <f ca="1">IF(I19=0,H19,I19)</f>
        <v>49.286430000000003</v>
      </c>
      <c r="K19" cm="1">
        <f t="array" aca="1" ref="K19" ca="1">_xll.FDSRC("-","DUMMY","ECON_EXPR_DATA('FDS_ECON["&amp;F19&amp;"]',"&amp;$K$18&amp;",,Q)")</f>
        <v>47.377974999999999</v>
      </c>
      <c r="L19" cm="1">
        <f t="array" aca="1" ref="L19" ca="1">_xll.FDSRC("-","DUMMY","ECON_EXPR_DATA('FDS_ECON["&amp;F19&amp;"]',"&amp;$L$18&amp;",,Q)")</f>
        <v>47.086350000000003</v>
      </c>
      <c r="M19" cm="1">
        <f t="array" aca="1" ref="M19" ca="1">_xll.FDSRC("-","DUMMY","ECON_EXPR_DATA('FDS_ECON["&amp;F19&amp;"]',"&amp;$M$18&amp;",,Q)")</f>
        <v>49.135330000000003</v>
      </c>
      <c r="N19" cm="1">
        <f t="array" aca="1" ref="N19" ca="1">_xll.FDSRC("-","DUMMY","ECON_EXPR_DATA('FDS_ECON["&amp;F19&amp;"]',"&amp;$N$18&amp;",,Q)")</f>
        <v>47.377974999999999</v>
      </c>
      <c r="O19">
        <f ca="1">IFERROR(M19-N19,K19-L19)</f>
        <v>1.757355000000004</v>
      </c>
    </row>
    <row r="20" spans="6:15" x14ac:dyDescent="0.35">
      <c r="F20" s="111" t="s">
        <v>759</v>
      </c>
      <c r="G20" s="111" t="s">
        <v>760</v>
      </c>
      <c r="H20" cm="1">
        <f t="array" aca="1" ref="H20" ca="1">_xll.FDSRC(,"DUMMY","ECON_EXPR_DATA('FDS_ECON["&amp;F20&amp;"]',"&amp;$H$18&amp;",,M)")</f>
        <v>51.457740000000001</v>
      </c>
      <c r="I20" cm="1">
        <f t="array" aca="1" ref="I20" ca="1">_xll.FDSRC(,"DUMMY","ECON_EXPR_DATA('FDS_ECON["&amp;F20&amp;"]',"&amp;$I$18&amp;",,M)")</f>
        <v>51.963380000000001</v>
      </c>
      <c r="J20">
        <f ca="1">IF(I20=0,H20,I20)</f>
        <v>51.963380000000001</v>
      </c>
      <c r="K20" cm="1">
        <f t="array" aca="1" ref="K20" ca="1">_xll.FDSRC("-","DUMMY","ECON_EXPR_DATA('FDS_ECON["&amp;F20&amp;"]',"&amp;$K$18&amp;",,Q)")</f>
        <v>50.624122999999997</v>
      </c>
      <c r="L20" cm="1">
        <f t="array" aca="1" ref="L20" ca="1">_xll.FDSRC("-","DUMMY","ECON_EXPR_DATA('FDS_ECON["&amp;F20&amp;"]',"&amp;$L$18&amp;",,Q)")</f>
        <v>50.79569</v>
      </c>
      <c r="M20" cm="1">
        <f t="array" aca="1" ref="M20" ca="1">_xll.FDSRC("-","DUMMY","ECON_EXPR_DATA('FDS_ECON["&amp;F20&amp;"]',"&amp;$M$18&amp;",,Q)")</f>
        <v>51.510579999999997</v>
      </c>
      <c r="N20" cm="1">
        <f t="array" aca="1" ref="N20" ca="1">_xll.FDSRC("-","DUMMY","ECON_EXPR_DATA('FDS_ECON["&amp;F20&amp;"]',"&amp;$N$18&amp;",,Q)")</f>
        <v>50.624122999999997</v>
      </c>
      <c r="O20">
        <f ca="1">IFERROR(M20-N20,K20-L20)</f>
        <v>0.88645700000000005</v>
      </c>
    </row>
  </sheetData>
  <hyperlinks>
    <hyperlink ref="C15" r:id="rId1" xr:uid="{6CF9612F-17AD-419D-83C4-A7C9A39DF55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818</v>
      </c>
      <c r="D1" t="s">
        <v>844</v>
      </c>
      <c r="E1" t="s">
        <v>561</v>
      </c>
      <c r="F1" t="s">
        <v>845</v>
      </c>
      <c r="G1" t="s">
        <v>846</v>
      </c>
    </row>
    <row r="2" spans="1:7" x14ac:dyDescent="0.35">
      <c r="A2" t="s">
        <v>198</v>
      </c>
      <c r="B2" t="s">
        <v>446</v>
      </c>
      <c r="C2" t="s">
        <v>431</v>
      </c>
      <c r="D2" s="142" cm="1">
        <f t="array" ref="D2">_xll.FDS(C2,"FREF_MARKET_VALUE_COMPANY(0,,,USD,,0,,""LEGACY"")")</f>
        <v>88.320179999999993</v>
      </c>
      <c r="E2" t="s">
        <v>674</v>
      </c>
      <c r="F2" t="str">
        <f t="shared" ref="F2:F14" si="0">_xlfn.CONCAT("FC0000",RIGHT(A2,2))</f>
        <v>FC0000NZ</v>
      </c>
      <c r="G2" s="141" cm="1">
        <f t="array" ref="G2">_xll.FDSZ(F2,"FMA_MCAP(0,,,USD,""PORTAGG"")")</f>
        <v>92688.42</v>
      </c>
    </row>
    <row r="3" spans="1:7" x14ac:dyDescent="0.35">
      <c r="A3" t="s">
        <v>174</v>
      </c>
      <c r="B3" t="s">
        <v>45</v>
      </c>
      <c r="C3" t="s">
        <v>44</v>
      </c>
      <c r="D3" s="142" cm="1">
        <f t="array" ref="D3">_xll.FDS(C3,"FREF_MARKET_VALUE_COMPANY(0,,,USD,,0,,""LEGACY"")")</f>
        <v>1851.7940000000001</v>
      </c>
      <c r="E3" t="s">
        <v>576</v>
      </c>
      <c r="F3" t="str">
        <f t="shared" si="0"/>
        <v>FC0000AU</v>
      </c>
      <c r="G3" s="141" cm="1">
        <f t="array" ref="G3">_xll.FDSZ(F3,"FMA_MCAP(0,,,USD,""PORTAGG"")")</f>
        <v>1697173.9</v>
      </c>
    </row>
    <row r="4" spans="1:7" x14ac:dyDescent="0.35">
      <c r="A4" t="s">
        <v>157</v>
      </c>
      <c r="B4" t="s">
        <v>50</v>
      </c>
      <c r="C4" t="s">
        <v>49</v>
      </c>
      <c r="D4" s="142" cm="1">
        <f t="array" ref="D4">_xll.FDS(C4,"FREF_MARKET_VALUE_COMPANY(0,,,USD,,0,,""LEGACY"")")</f>
        <v>2829.4319999999998</v>
      </c>
      <c r="E4" t="s">
        <v>598</v>
      </c>
      <c r="F4" t="str">
        <f t="shared" si="0"/>
        <v>FC0000CA</v>
      </c>
      <c r="G4" s="141" cm="1">
        <f t="array" ref="G4">_xll.FDSZ(F4,"FMA_MCAP(0,,,USD,""PORTAGG"")")</f>
        <v>2745289</v>
      </c>
    </row>
    <row r="5" spans="1:7" s="1" customFormat="1" x14ac:dyDescent="0.35">
      <c r="A5" s="144" t="s">
        <v>555</v>
      </c>
      <c r="B5" s="144" t="s">
        <v>39</v>
      </c>
      <c r="C5" s="144" t="s">
        <v>11</v>
      </c>
      <c r="D5" s="142" cm="1">
        <f t="array" ref="D5">_xll.FDS(C5,"FREF_MARKET_VALUE_COMPANY(0,,,USD,,0,,""LEGACY"")")</f>
        <v>997.56600000000003</v>
      </c>
      <c r="E5" s="144" t="s">
        <v>625</v>
      </c>
      <c r="F5" s="144" t="str">
        <f t="shared" si="0"/>
        <v>FC0000DE</v>
      </c>
      <c r="G5" s="145" cm="1">
        <f t="array" ref="G5">_xll.FDSZ(F5,"FMA_MCAP(0,,,USD,""PORTAGG"")")</f>
        <v>2351418.2999999998</v>
      </c>
    </row>
    <row r="6" spans="1:7" x14ac:dyDescent="0.35">
      <c r="A6" t="s">
        <v>164</v>
      </c>
      <c r="B6" t="s">
        <v>47</v>
      </c>
      <c r="C6" t="s">
        <v>46</v>
      </c>
      <c r="D6" s="142" cm="1">
        <f t="array" ref="D6">_xll.FDS(C6,"FREF_MARKET_VALUE_COMPANY(0,,,USD,,0,,""LEGACY"")")</f>
        <v>17044.765500000001</v>
      </c>
      <c r="E6" t="s">
        <v>643</v>
      </c>
      <c r="F6" t="str">
        <f t="shared" si="0"/>
        <v>FC0000JP</v>
      </c>
      <c r="G6" s="141" cm="1">
        <f t="array" ref="G6">_xll.FDSZ(F6,"FMA_MCAP(0,,,USD,""PORTAGG"")")</f>
        <v>6647382</v>
      </c>
    </row>
    <row r="7" spans="1:7" x14ac:dyDescent="0.35">
      <c r="A7" t="s">
        <v>276</v>
      </c>
      <c r="B7" t="s">
        <v>43</v>
      </c>
      <c r="C7" t="s">
        <v>42</v>
      </c>
      <c r="D7" s="142" cm="1">
        <f t="array" ref="D7">_xll.FDS(C7,"FREF_MARKET_VALUE_COMPANY(0,,,USD,,0,,""LEGACY"")")</f>
        <v>1083.8687500000001</v>
      </c>
      <c r="E7" t="s">
        <v>706</v>
      </c>
      <c r="F7" t="str">
        <f t="shared" si="0"/>
        <v>FC0000CH</v>
      </c>
      <c r="G7" s="141" cm="1">
        <f t="array" ref="G7">_xll.FDSZ(F7,"FMA_MCAP(0,,,USD,""PORTAGG"")")</f>
        <v>2110690</v>
      </c>
    </row>
    <row r="8" spans="1:7" x14ac:dyDescent="0.35">
      <c r="A8" t="s">
        <v>167</v>
      </c>
      <c r="B8" t="s">
        <v>447</v>
      </c>
      <c r="C8" t="s">
        <v>48</v>
      </c>
      <c r="D8" s="142" cm="1">
        <f t="array" ref="D8">_xll.FDS(C8,"FREF_MARKET_VALUE_COMPANY(0,,,USD,,0,,""LEGACY"")")</f>
        <v>2582.877</v>
      </c>
      <c r="E8" t="s">
        <v>719</v>
      </c>
      <c r="F8" t="str">
        <f t="shared" si="0"/>
        <v>FC0000GB</v>
      </c>
      <c r="G8" s="141" cm="1">
        <f t="array" ref="G8">_xll.FDSZ(F8,"FMA_MCAP(0,,,USD,""PORTAGG"")")</f>
        <v>3158312.5</v>
      </c>
    </row>
    <row r="9" spans="1:7" x14ac:dyDescent="0.35">
      <c r="A9" t="s">
        <v>170</v>
      </c>
      <c r="B9" t="s">
        <v>448</v>
      </c>
      <c r="C9" t="s">
        <v>51</v>
      </c>
      <c r="D9" s="142" cm="1">
        <f t="array" ref="D9">_xll.FDS(C9,"FREF_MARKET_VALUE_COMPANY(0,,,USD,,0,,""LEGACY"")")</f>
        <v>254434.46299999999</v>
      </c>
      <c r="E9" t="s">
        <v>720</v>
      </c>
      <c r="F9" t="str">
        <f t="shared" si="0"/>
        <v>FC0000US</v>
      </c>
      <c r="G9" s="141" cm="1">
        <f t="array" ref="G9">_xll.FDSZ(F9,"FMA_MCAP(0,,,USD,""PORTAGG"")")</f>
        <v>53909212</v>
      </c>
    </row>
    <row r="10" spans="1:7" x14ac:dyDescent="0.35">
      <c r="A10" t="s">
        <v>170</v>
      </c>
      <c r="B10" t="s">
        <v>1</v>
      </c>
      <c r="C10" t="s">
        <v>1</v>
      </c>
      <c r="D10" s="142" cm="1">
        <f t="array" ref="D10">_xll.FDS(C10,"FREF_MARKET_VALUE_COMPANY(0,,,USD,,0,,""LEGACY"")")</f>
        <v>524374.00954700005</v>
      </c>
      <c r="E10" t="s">
        <v>720</v>
      </c>
      <c r="F10" t="str">
        <f t="shared" si="0"/>
        <v>FC0000US</v>
      </c>
      <c r="G10" s="141" cm="1">
        <f t="array" ref="G10">_xll.FDSZ(F10,"FMA_MCAP(0,,,USD,""PORTAGG"")")</f>
        <v>53909212</v>
      </c>
    </row>
    <row r="11" spans="1:7" x14ac:dyDescent="0.35">
      <c r="A11" t="s">
        <v>867</v>
      </c>
      <c r="B11" t="s">
        <v>872</v>
      </c>
      <c r="C11" t="s">
        <v>863</v>
      </c>
      <c r="D11" s="142" cm="1">
        <f t="array" ref="D11">_xll.FDS(C11,"FREF_MARKET_VALUE_COMPANY(0,,,USD,,0,,""LEGACY"")")</f>
        <v>668.46400000000006</v>
      </c>
      <c r="E11" t="s">
        <v>621</v>
      </c>
      <c r="F11" t="str">
        <f t="shared" si="0"/>
        <v>FC0000FR</v>
      </c>
      <c r="G11" s="141" cm="1">
        <f t="array" ref="G11">_xll.FDSZ(F11,"FMA_MCAP(0,,,USD,""PORTAGG"")")</f>
        <v>3436206.5</v>
      </c>
    </row>
    <row r="12" spans="1:7" x14ac:dyDescent="0.35">
      <c r="A12" t="s">
        <v>868</v>
      </c>
      <c r="B12" t="s">
        <v>870</v>
      </c>
      <c r="C12" t="s">
        <v>865</v>
      </c>
      <c r="D12" s="142" cm="1">
        <f t="array" ref="D12">_xll.FDS(C12,"FREF_MARKET_VALUE_COMPANY(0,,,USD,,0,,""LEGACY"")")</f>
        <v>277.98</v>
      </c>
      <c r="E12" t="s">
        <v>673</v>
      </c>
      <c r="F12" t="str">
        <f t="shared" si="0"/>
        <v>FC0000NL</v>
      </c>
      <c r="G12" s="141" cm="1">
        <f t="array" ref="G12">_xll.FDSZ(F12,"FMA_MCAP(0,,,USD,""PORTAGG"")")</f>
        <v>1152263.1000000001</v>
      </c>
    </row>
    <row r="13" spans="1:7" x14ac:dyDescent="0.35">
      <c r="A13" t="s">
        <v>273</v>
      </c>
      <c r="B13" t="s">
        <v>871</v>
      </c>
      <c r="C13" t="s">
        <v>862</v>
      </c>
      <c r="D13" s="142" cm="1">
        <f t="array" ref="D13">_xll.FDS(C13,"FREF_MARKET_VALUE_COMPANY(0,,,USD,,0,,""LEGACY"")")</f>
        <v>280.73099999999999</v>
      </c>
      <c r="E13" t="s">
        <v>705</v>
      </c>
      <c r="F13" t="str">
        <f t="shared" si="0"/>
        <v>FC0000SE</v>
      </c>
      <c r="G13" s="141" cm="1">
        <f t="array" ref="G13">_xll.FDSZ(F13,"FMA_MCAP(0,,,USD,""PORTAGG"")")</f>
        <v>1048298.5</v>
      </c>
    </row>
    <row r="14" spans="1:7" x14ac:dyDescent="0.35">
      <c r="A14" t="s">
        <v>866</v>
      </c>
      <c r="B14" t="s">
        <v>869</v>
      </c>
      <c r="C14" t="s">
        <v>864</v>
      </c>
      <c r="D14" s="142" cm="1">
        <f t="array" ref="D14">_xll.FDS(C14,"FREF_MARKET_VALUE_COMPANY(0,,,USD,,0,,""LEGACY"")")</f>
        <v>419.7045</v>
      </c>
      <c r="E14" t="s">
        <v>641</v>
      </c>
      <c r="F14" t="str">
        <f t="shared" si="0"/>
        <v>FC0000IT</v>
      </c>
      <c r="G14" s="141" cm="1">
        <f t="array" ref="G14">_xll.FDSZ(F14,"FMA_MCAP(0,,,USD,""PORTAGG"")")</f>
        <v>894254.8</v>
      </c>
    </row>
    <row r="15" spans="1:7" x14ac:dyDescent="0.35">
      <c r="D15" s="142"/>
      <c r="G15" s="141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850</v>
      </c>
      <c r="D17" s="148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8" cm="1">
        <f t="array" ref="G17">_xll.FDS(F17,"FG_MCAP_IDX(0,,,USD)")</f>
        <v>303383.90000000002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2316842"><![CDATA[{"FC0000ZA^FG_MCAP_IDX(0,,,USD)":303383.9,"EWI^FREF_MARKET_VALUE_COMPANY(0,,,USD,,0,,\"LEGACY\")":419.7045,"FC0000IT^FMA_MCAP(0,,,USD,\"PORTAGG\")":894254.8,"EWD^FREF_MARKET_VALUE_COMPANY(0,,,USD,,0,,\"LEGACY\")":280.731,"FC0000SE^FMA_MCAP(0,,,USD,\"PORTAGG\")":1048298.5,"EWN^FREF_MARKET_VALUE_COMPANY(0,,,USD,,0,,\"LEGACY\")":277.98,"FC0000NL^FMA_MCAP(0,,,USD,\"PORTAGG\")":1152263.1,"FC0000FR^FMA_MCAP(0,,,USD,\"PORTAGG\")":3436206.5,"SPY^FREF_MARKET_VALUE_COMPANY(0,,,USD,,0,,\"LEGACY\")":524374.009547,"FC0000US^FMA_MCAP(0,,,USD,\"PORTAGG\")":53909212.0,"QQQ^FREF_MARKET_VALUE_COMPANY(0,,,USD,,0,,\"LEGACY\")":254434.463,"EWU^FREF_MARKET_VALUE_COMPANY(0,,,USD,,0,,\"LEGACY\")":2582.877,"NQG00809^FMA_MCAP(0,,,USD,\"PORTAGG\")":null,"EWQ^FREF_MARKET_VALUE_COMPANY(0,,,USD,,0,,\"LEGACY\")":668.464,"FC0000GB^FMA_MCAP(0,,,USD,\"PORTAGG\")":3158312.5,"EWL^FREF_MARKET_VALUE_COMPANY(0,,,USD,,0,,\"LEGACY\")":1083.86875,"FC0000CH^FMA_MCAP(0,,,USD,\"PORTAGG\")":2110690.0,"EWJ^FREF_MARKET_VALUE_COMPANY(0,,,USD,,0,,\"LEGACY\")":17044.7655,"FC0000JP^FMA_MCAP(0,,,USD,\"PORTAGG\")":6647382.0,"EWG^FREF_MARKET_VALUE_COMPANY(0,,,USD,,0,,\"LEGACY\")":997.566,"FC0000DE^FMA_MCAP(0,,,USD,\"PORTAGG\")":2351418.3,"EWC^FREF_MARKET_VALUE_COMPANY(0,,,USD,,0,,\"LEGACY\")":2829.432,"FC0000CA^FMA_MCAP(0,,,USD,\"PORTAGG\")":2745289.0,"EWA^FREF_MARKET_VALUE_COMPANY(0,,,USD,,0,,\"LEGACY\")":1851.794,"FC0000AU^FMA_MCAP(0,,,USD,\"PORTAGG\")":1697173.9,"ENZL^FREF_MARKET_VALUE_COMPANY(0,,,USD,,0,,\"LEGACY\")":88.32018,"FC0000NZ^FMA_MCAP(0,,,USD,\"PORTAGG\")":92688.42,"NQG00809^FG_COMPANY_NAME":"Nasdaq South Africa","CC_ZA^FG_COMPANY_NAME":"South Africa","CAGDPY@US^EE_ACTUAL_ANNUAL(MED,+1)":-3.0,"CAGDPY@NZ^EE_ACTUAL_ANNUAL(MED,+1)":-6.25,"USDITL^FG_PRICE_CHANGE(0,-1AY)":0.93393326,"USDANG^FG_PRICE_CHANGE(0,-1AY)":0.0,"USDUSD^FG_PRICE_CHANGE(0,-1AY)":0.0,"USDGBP^FG_PRICE_CHANGE(0,-1AY)":-1.2037694,"USDJPY^FG_PRICE_CHANGE(0,-1AY)":15.058983,"USDCAD^FG_PRICE_CHANGE(0,-1AY)":0.3870368,"USDNZD^FG_PRICE_CHANGE(0,-1AY)":4.461181,"EWA^JULIAN(FMA_EPS(NTMA,-20AY,0,CY,,\"PORTAGG\",\"MEANR\").DATES)":[38352,38716,39080,39447,39813,40178,40543,40907,41274,41639,42004,42369,42734,43098,43465,43830,44196,44561,44925,45289],"EWD^FG_TOTAL_RETURNC(-10AY,0,AM)":[-0.027632713,1.6026616,0.7614851,-1.7177105,-3.9830506,-0.5001545,-4.790062,1.3354063,1.7468572,-4.5451283,3.0832887,5.7971,-1.6321838,1.2148142,1.0831356,-4.99568,-0.12622476,-6.5402803,-0.5409062,3.5350084,0.16415119,-6.2426624,-4.3736877,4.2078257,3.3707857,-0.7472873,2.053392,-4.233551,1.0921001,4.213178,0.6565213,-7.6553345,2.0074368,6.0311913,6.2908173,-0.64683557,1.204431,8.427143,2.8181553,0.2646923,1.3537407,1.074338,4.050565,-1.8498123,-4.022503,3.0730963,1.8093109,-6.234127,-1.8953085,0.85862875,-0.030398369,-2.4067163,4.0769696,-0.28204322,0.7228136,-6.583458,-3.2398164,-1.5981436,5.4405093,0.3994584,4.409814,1.6830802,-7.05809,8.819378,-8.381134,-0.5913019,0.17493963,12.713945,-0.8676827,4.1971087,0.0911355,-3.7632823,-24.8502,11.665976,21.04472,-1.7410755,10.206032,2.2720814,-0.59055686,0.93352795,11.715245,1.8605232,3.9206028,1.9102216,6.0215592,1.7237544,7.147515,-2.4225712,3.9549232,-0.4295349,-7.867712,8.69565,-8.882057,9.111727,-9.980851,-18.723398,16.02676,-8.59865,1.1245251,-14.77083,10.412574,-13.4638195,0.65113306,3.7112594,12.5738735,-2.3319483,8.198202,0.055515766,-0.69348216,2.1787763,-3.6085367,-0.14179945,-1.4200509,-4.494375,-3.016591,2.8926969,10.429251,6.6209435,-1.3680518,5.414772,0.75911283],"EWQ^FMA_DIV_YLD(NTMA,-10AY,0,AM,\"PORTAGG\",\"MEANR\")":[3.44523871759868,3.4638687105566,3.40314677817427,3.39466547962953,3.62938922033426,3.46051569248756,3.66366166176064,3.78295064988747,3.60053125737797,3.64916230848045,3.29870696276236,3.20322667199082,3.16908348705545,3.23008449182558,3.30427343335816,3.42910900812975,3.28066172513954,3.72022612204557,3.75713712725147,3.40571434891679,3.53260877580856,3.695135933997,3.91501369983541,3.73328352804335,3.80209442053117,3.80500408259515,3.74099399348952,3.87498928857858,3.80651779413734,3.65727704865518,3.69666651328337,3.84206700365282,3.69359323027504,3.4457616683946,3.48467204640201,3.43312872630518,3.36541305820753,3.20302724166321,3.22577455836148,3.35209483649732,3.34982234157062,3.40480123197067,3.2826454472718,3.22881272844645,3.27094020708733,3.26492160740921,3.28798644955116,3.4729556178549,3.48883838829736,3.30371098310647,3.35234841432552,3.4665935651196,3.39473735393995,3.4962465948667,3.49159248697106,3.70183322733909,3.77375068983075,4.0029931113699,3.79359593674381,3.61018153264353,3.53257535132803,3.48983441390456,3.68941293508324,3.48307835259069,3.65992110966625,3.57157631343115,3.6019278658264,3.40103173809881,3.43638194586445,3.32107569158241,3.36530096202138,3.60785633554719,4.48843951621097,3.66501471514003,3.09838449423207,3.08260103593159,3.17507082393533,3.15097130844665,3.27596497829395,3.2244523965181,2.85955696011446,2.92036512592814,2.94182165844156,2.82146261537722,2.74008581413874,2.72473170548528,2.67103769954866,2.69312704513675,2.69385335906085,2.75626790692651,2.88467128593931,2.74709248570166,2.87630629249385,2.68754976008992,2.89182130643,3.4006010860626,3.06607656380585,3.22448161137737,3.20792621430169,3.53730111911812,3.25712985559851,3.49737002534738,3.59280587025269,3.42276453766615,3.26032581086652,3.24680528095213,3.05813258530929,3.13616809728225,3.16752059112588,3.1979636577311,3.26041297028459,3.24099782952408,3.30760324696775,3.32461220107856,3.49152384700578,3.4541575001755,3.32674504056966,3.268216738011,3.20794258474006,3.12810804060986,3.07243354250263],"QQQ^FMA_PE(NTMA,-10AY,0,AM,\"PORTAGG\",\"MEANR\")":[16.876151636883,16.6762648670382,17.183610319885,17.7656502883482,17.2573475159038,17.7737630113152,17.3233638844064,17.7175569758787,18.1410390740665,17.4085719896589,17.2297081172198,18.086785969898,17.5930702998624,18.015092180585,17.9005573941926,17.6216170239777,18.5221636330891,16.8907951485815,17.1770994663732,18.8384360337357,18.8344373393543,18.0523968620675,16.8456697793383,17.3457942482943,17.9809991003185,17.3258997769089,17.9437090657512,17.7093238287946,18.6756362685822,18.5893421645408,18.5760402500502,17.6296222986152,17.7586649712242,18.3092568721436,19.3094351018213,20.1405453119786,20.1382279659144,20.5772292550812,21.2027524572007,19.8547435220406,20.6417750448389,20.6993067237689,20.396638311608,20.9012350377746,20.5367225394248,21.3495471488768,20.8845307369388,20.6426104833192,19.6810844452275,19.7470859391111,20.5432776215878,19.9944536382941,20.5652717594885,21.0069498863393,20.4826805342542,18.8850673113004,18.379241900894,17.6695794783275,19.197365666601,19.7954741924912,20.7621331575988,21.4494060379668,19.4400249564428,21.2817650292575,20.6348273258007,20.497400113556,20.411648772202,21.4283553041877,21.6870648416359,22.8635334414515,23.6253257870767,22.588088914905,20.1149122658874,25.0830874315563,27.4394430557438,28.8230082344702,29.3028979283188,30.1632566756378,28.7721260874328,29.0528728199217,30.139721885605,29.6007895308391,29.9640015785162,26.8152063811817,28.4157878524009,27.1017183650153,27.025989998426,28.6177148872982,28.1215922684984,28.7401387137877,26.4484614429869,29.6635875816994,28.1983207404912,29.0442260635482,25.8669137255324,24.0416846836349,26.1164305367799,23.5828132353289,21.6483583250418,20.0874049897724,23.620647305356,21.4813741815194,20.5998240557849,20.2643594163648,22.2772241849681,20.8280878673638,24.3287716323719,23.5610648811803,24.8680643059799,24.0753016320153,26.1282397868873,26.8033139769528,24.9016127454521,24.6501124044541,23.2248771481049,23.3833942875669,24.0269989205126,24.2247135307773,25.9842350195182,26.4201253452611,25.5641652190276],"EWL^FMA_PE(LTMA,-10AY,0,AM,\"PORTAGG\",\"MEANR\")":[17.1060562051019,17.1250613126208,17.2102811360228,17.2597702996767,16.9866198354842,17.5034729356427,17.0624895336422,17.1543581667354,17.6184008630134,17.1892387956023,17.0688150334987,17.9632836391579,18.028330397076,18.0932183027372,18.1015018506456,17.8155523923486,18.2680934792093,17.1691832618721,17.0105680671862,17.7759852895907,17.4902701636845,17.0028712522052,16.7287673022491,16.6344526418168,16.6263275456812,16.7108407562324,17.112112660667,17.2037167975357,17.5735509118325,17.9974801924623,18.1305386362343,17.2419120869675,17.3308447360363,18.4458412392836,18.6143092662367,19.6758440484471,19.4543456328416,19.5332165126259,19.6261880786779,19.4095821352218,19.46967483232,19.1444664384264,19.6280305073099,20.4025119141339,20.4227491025228,20.9618732232536,21.507578164467,21.1100631842414,20.5396245067421,20.2444108893736,19.6679368537386,19.2423074570726,19.2603756519011,18.7058393027404,18.4170696242638,17.9929825099386,17.7453518396777,16.4991314313888,17.5755340496179,18.3394318160253,18.2977965166738,18.2748242009205,18.1028308456078,18.4826916295533,18.2494739557424,18.3374444233711,18.1417193729842,18.8865083487033,18.8692926969172,19.7449365424873,19.9412311884975,18.1288503168864,17.7952159029229,18.4515902889478,19.3086971237001,19.7118619811028,20.1643391341336,20.4419869655866,20.8093810795093,20.795930523638,20.9651291227985,22.1028224233987,21.3736762243852,20.4688832394904,20.4554903396587,20.3823073559885,20.7389530193878,20.859253667377,21.020109685097,21.1174303938879,20.0143035944468,20.9752353615898,20.4227766572214,21.6751039689911,19.7278824743864,18.3281041309794,18.6536954456422,18.3624085092782,18.1448349367019,17.5724768220331,18.3547041239477,17.9012740995087,17.3430499620543,18.6915925547177,19.9699113012793,20.8824849260327,20.8183851502505,20.6873810531803,20.3792618153608,20.2669230560668,19.6827548274603,19.2139210653518,19.0267071074674,18.8886452923249,18.0744090296767,17.7779865908288,18.0338110737048,18.4701277401502,18.5948668218516,19.1770518894709,19.0803321246017],"WL-FDS^FG_PRICE(0)/MAX(FG_PRICE(0,-1AY))":0.852370971967514,"NI-FDS^FG_PRICE(0)/MAX(FG_PRICE(0,-1AY))":0.674628034455756,"CPALM-FDS^FG_PRICE(0)/MAX(FG_PRICE(0,-1AY))":0.999563223411225,"BRENT-FDS^FG_PRICE(0)/MAX(FG_PRICE(0,-1AY))":0.870614479821537,"TIOS-FDS^FG_PRICE(0)/MAX(FG_PRICE(0,-1AY))":0.692910654827969,"FC0000US^FG_PRICE(0)":387.33038,"FC0000GB^FG_PRICE(0)":123.53009,"FC0000CA^FG_PRICE(0)":293.12994,"EWD^FG_PRICE_MAVG(0,,,,60)":38.81283,"QQQ^FG_PRICE_MAVG(0,,,,60)":431.977,"EWG^FG_PRICE_MAVG(0,,,,60)":30.141167,"DUMMY^ECON_EXPR_DATA('FDS_ECON[NTCPMIMFGSA@CA]',03/2024,,M)":49.82964,"DUMMY^ECON_EXPR_DATA('FDS_ECON[NTCPMIMFGSA@AU]',03/2024,,M)":47.25435,"FXI^FG_TOTAL_RETURNC(0,-6AM)":-2.213776,"EWJ^P_PRICE(0)/P_PRICE_LOW_PR(0,,,USD,,,\"PRICE\",\"INTRA\",\"52W\")-1":0.21800697,"URTH^FMA_PCT_ABOVE_MAVG(200,0,,,,\"PORTAGG\")":73.0191256830601,"VGK^PERCENT_CHANGE(FMA_EPS(+1,0,,,,\"PORTAGG\",\"MEAN\"),FMA_EPS(+1,-3AM,,,,\"PORTAGG\",\"MEAN\"))":-3.93031389759597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8.94242101235722,12.2539581193409,13.1475852543623,13.221059503291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CPALM-FDS^FG_PRICE_CHANGE(0,-1AY)":7.89721829325789,"EWD^FG_PRICE_MAVG(0,,,,30)":40.204334,"QQQ^FG_PRICE_MAVG(0,,,,30)":440.63535,"EWG^FG_PRICE_MAVG(0,,,,30)":31.088,"DUMMY^ECON_EXPR_DATA('FDS_ECON[NTCPMIMFGSA@DE]',03/2024,,M)":41.885403,"FXI^FG_TOTAL_RETURNC(0,-3AM)":4.1095853,"EWJ^P_PRICE(0)/P_PRICE_HIGH_PR(0,,,USD,,,\"PRICE\",\"INTRA\",\"52W\")":0.96676606,"VWO^FG_TOTAL_RETURNC(0,-12AM)":7.172644,"VGK^PERCENT_CHANGE(FMA_EPS(+1,0,,,,\"PORTAGG\",\"MEAN\"),FMA_EPS(+1,-1AM,,,,\"PORTAGG\",\"MEAN\"))":0.0,"EWD^FG_TOTAL_RETURNC(0,-1AM)":0.75911283,"QQQ^P_PRICE(0)/P_PRICE_LOW_PR(0,,,USD,,,\"PRICE\",\"INTRA\",\"52W\")-1":0.40482104,"EWJ^PERCENT_CHANGE(FMA_EPS(+1,0,,,,\"PORTAGG\",\"MEAN\"),FMA_EPS(+1,-3AM,,,,\"PORTAGG\",\"MEAN\"))":-0.831345080175099,"ENZL^P_PRICE(0)/P_PRICE_HIGH_PR(0,,,USD,,,\"PRICE\",\"INTRA\",\"52W\")":0.8828928,"URTH^SIZE(FG_CONSTITUENTS)":1469,"CAGDPY@US^EE_ACTUAL_ANNUAL(MED,0)":-2.99561673751749,"CAGDPY@NZ^EE_ACTUAL_ANNUAL(MED,0)":-6.9,"USDITL^FG_PRICE(0)":1781.625,"USDANG^FG_PRICE(0)":1.79,"USDUSD^FG_PRICE(0)":1.0,"USDGBP^FG_PRICE(0)":0.78935945,"USDJPY^FG_PRICE(0)":151.665,"USDCAD^FG_PRICE(0)":1.34875,"USDNZD^FG_PRICE(0)":1.6553551,"EWI^P_PRICE_RETURNS_PR('52W',2,-10AY,0,AM)":[55.81771,41.68253,34.76175,53.476418,26.17147,26.818525,5.481267,-6.1238647,0.1275301,-9.217387,-6.697893,-10.019177,-12.893075,-12.277985,-9.284555,-13.228625,-4.391372,-10.47247,-0.4489839,4.185164,2.4690032,1.395297,-14.200526,-16.57129,-19.696499,-18.966389,-22.936417,-26.031101,-27.525585,-19.122028,-23.70242,-23.391169,-19.61515,-5.4777265,8.532524,5.9138775,11.443257,16.126871,22.102844,33.198082,44.502686,37.509872,45.804977,46.491074,43.20407,30.90427,41.68725,34.418823,29.672956,26.959455,9.460079,6.759715,-1.3479054,-6.5837326,-8.246696,-15.278572,-15.735883,-17.777222,-18.024467,-10.422718,-9.192699,-13.267631,-7.769382,2.306068,-2.3326337,4.764104,3.3450484,20.05875,20.518387,27.929592,17.27525,6.275916,-27.81877,-23.867815,-4.415083,-9.31806,-3.1424582,-5.4678917,-6.538457,-15.317756,2.946353,2.5026321,3.6468983,10.134411,63.152813,56.04212,41.094337,35.063396,30.02659,33.085884,32.25064,41.57263,11.24661,15.947235,12.1616955,-8.70803,-3.8243115,-7.9673886,-13.688433,-22.247553,-20.681625,-28.350645,-23.583435,-23.29244,-7.941538,-12.614316,-4.617417,13.257933,7.532215,15.663063,11.502159,37.198627,35.33162,44.340862,32.213654,37.17097,22.851658,24.354696,13.907539,20.953156,25.484253],"EWN^FG_TOTAL_RETURNC(-10AY,0,AM)":[1.3639927,-1.7301083,1.3302088,1.8771529,-7.873404,3.5609484,-4.7330084,0.0849247,5.2609205,-3.7427902,0.9243727,6.3280582,1.4487028,1.42802,1.255703,-2.2060692,3.4603477,-10.747844,-0.04210472,5.560231,-2.0351171,-3.8932085,-0.7675946,1.6330004,3.551793,-0.69416165,3.7006617,-7.0414543,3.1155348,6.420481,-0.94637275,-4.697454,-3.216374,6.3158274,3.3305883,3.5415888,2.9976845,7.873142,3.3206582,-2.1290183,7.20222,-0.90438724,2.4445891,0.63632727,-0.91685057,3.7106276,2.0730257,-4.1830897,0.79089403,0.31386614,-0.40675402,-3.035146,4.21468,-2.7804077,-3.8349032,-3.345722,-1.7482519,-5.311304,7.9682827,3.8824797,3.0976415,3.200519,-4.5253158,6.4683676,-2.8070211,1.6409636,0.16144514,4.287553,0.71098804,4.2016625,-0.50281286,-4.5481563,-22.734356,12.132204,17.361618,2.2644043,4.971385,0.08610487,1.4625788,1.4414907,12.705493,4.1217566,3.9542675,-1.5811145,10.291028,-0.12665987,5.6013465,-2.4406314,4.4196725,6.151104,-9.260291,9.178638,-9.2345295,4.4487476,-8.084429,-16.269493,11.642944,-8.458864,-1.3924003,-9.641087,10.103619,-13.411766,0.12077093,0.46743155,18.267155,-0.42783022,9.823025,-2.428776,1.5557766,-2.0504355,2.694893,2.7551532,-0.09222031,-5.123472,-8.708345,5.2491426,7.0886016,2.2312522,6.7567587,5.7180285,1.5689611],"SPY^FMA_DIV_YLD(NTMA,-10AY,0,AM,\"PORTAGG\",\"MEANR\")":[2.17111710463843,2.15691568432852,2.12122842767783,2.07287838127132,2.14124597507789,2.09213857096733,2.13837907315852,2.1157293271773,2.07346328990957,2.10229323424265,2.15496677264422,2.13522159200013,2.18037388974949,2.1441308405287,2.17384316086199,2.19149921343609,2.2034946792876,2.41531906080632,2.38199274009803,2.22650609517358,2.2641211874548,2.35278634248131,2.45182025901469,2.47519773454617,2.29179874134034,2.29270141173246,2.27208474723715,2.27675912156177,2.22069278453994,2.21341278146833,2.24008268571098,2.32384116037786,2.22327630646496,2.15928731863829,2.15382596381122,2.08878190762007,2.12061673233943,2.10670285008389,2.07494532252397,2.10129944099141,2.08220043472711,2.09267262525336,2.04738760963883,2.02482466402925,1.97766788669361,1.92854772449522,1.92807790157411,2.00588531378872,2.05719532124281,2.06639210659848,2.01453535126737,2.05879959204646,1.98851052453935,1.95979248615028,1.96901131289838,2.10136678168294,2.13463124877442,2.29908188709377,2.14757291179803,2.10346520893783,2.06007761212581,2.02383841914468,2.13909420065111,2.01162769265154,2.06527222288341,2.07376501398621,2.07326521084105,2.00438008006279,1.99520521291437,1.93158711879461,1.91156997266389,2.02642969420478,2.5172870158118,2.1420957446547,1.93859200614727,1.91400207879411,1.79958980968267,1.74162276488047,1.7814193154933,1.74105011905222,1.62198324650601,1.6011557422573,1.54775222547872,1.5988423930417,1.50635268806466,1.46685066090706,1.45308057260711,1.42582413384686,1.4285840787504,1.39698851916261,1.47912607331039,1.37361284435333,1.41987623212625,1.34867906739177,1.45560127112607,1.52731176315102,1.43895897013191,1.5382845418101,1.6176386173021,1.75478221231441,1.62454990973672,1.74058806235861,1.80854832659045,1.83310410661943,1.69903313735057,1.80488291166598,1.69134121654891,1.73619171284966,1.72017953460072,1.73814246983753,1.65590550653637,1.59489562719588,1.5988511427456,1.59229479435385,1.70015508701414,1.66734526753801,1.59432874967421,1.56963221089683,1.50087491263132,1.46237681530292,1.4406171092898],"EWU^FMA_PE(NTMA,-10AY,0,AM,\"PORTAGG\",\"MEANR\")":[13.2462677818169,13.6001519615146,13.6100937018736,13.8295425863518,13.4148105526652,13.6038106516154,12.8099544815321,12.9963935824226,13.6789152635189,13.7274018826704,15.3846640106728,15.6543691368025,15.4774161276279,15.9728384666756,15.7411798929428,15.1399987260779,15.3639445839631,13.8779037354283,14.4814131553931,15.5046791699104,15.088114860838,14.8304301394075,15.262644725388,16.0190635420138,16.0702575697847,15.7056058055815,15.774831287018,16.1076551566143,16.0987715731599,16.2733929134538,15.9883278598237,14.3522619546099,14.1545278968975,14.4727634305462,14.3236830243526,14.4688844653649,14.3794981910232,14.3534165237601,14.8416697673004,14.5138786965978,14.8909741982064,14.6286836464253,14.6082211437204,14.5461107053146,14.1862749629472,14.7463424033308,14.145621020314,12.8099255289285,13.192603523636,13.7275503828248,13.6961076997536,13.1907166661787,13.1626874798717,12.5945186291056,12.6032580337546,11.8665666456458,11.7678812089743,11.5835868385297,12.2645564537277,12.4337731467761,12.7530921919556,12.648113795473,12.2178714222664,12.8024057061399,12.3144106681021,12.2317498539917,12.0724415820169,12.8145261214582,12.7884759306998,13.5189396280604,13.3256748785742,12.3464519785443,11.7545987704441,14.5577964264644,16.5052472874318,16.0111734699685,15.4915860201669,14.8264427530483,14.3894354453942,13.6807907956907,15.2025518390619,14.5169040764201,13.8398320638319,14.10661778962,13.431647037593,13.1300775520798,13.1803681263489,12.6943475296701,12.3712007275688,12.2419563162777,11.7776619527926,12.1260170097143,11.7320197099531,12.4070713543889,12.2266360997776,11.1822219456422,11.1939891562853,10.5465951320364,10.4172119471055,9.53875295596883,9.80405474421118,9.22014653941107,8.92090452824406,9.21074653826894,9.93161236465625,9.99167607243254,10.4981612295588,10.5444445177739,10.4446007269048,10.4975569561247,10.3040301855153,10.3552482902038,10.5697624650676,10.371577213373,10.1128989178502,10.2453737443902,10.5474926622283,11.0234643386872,11.0578106182054,11.1949218402546,11.4833042301006],"EWJ^FMA_PE(LTMA,-10AY,0,AM,\"PORTAGG\",\"MEANR\")":[15.5796693322523,15.2812199500938,15.3222103260505,15.3810728766151,15.170494544131,15.1377345144367,15.069695567942,15.7358656321379,16.1705128083748,15.885694894027,15.6108181727555,16.8997025629588,16.846137982127,16.874282906575,17.1444175773998,16.8303581367694,16.8289068810816,15.2574437940338,15.0560339317944,15.7240535231229,16.0308345788856,15.3296470119823,14.2759044732099,13.9379006042755,13.7142439212548,13.6427150737928,14.0461427162594,13.7030448296098,13.8376662261681,14.381164911327,14.2740130702519,14.347881767995,15.8579848447712,16.7273383672959,16.1498012859615,15.9673059796334,15.6747169931823,15.6297819494284,15.7743482115011,15.5137692104781,15.4156211265165,14.9719992262634,15.0895942063543,15.6429949377032,16.0097052154613,16.7749196023938,16.4463583995679,14.4091154825721,14.2276811637025,14.2649089849868,14.1618130030585,13.8338121460953,13.8175423610797,13.5376714590235,13.8677022586385,12.9119129900646,12.7275447401481,11.2917931477768,12.3089033612762,12.7194867487574,12.7457423709064,12.7922780881325,12.5674538822132,12.9714092832761,12.8584558783755,12.8611004554771,13.334998314833,14.0758519660482,14.8787135273739,15.3089015872559,15.0493895702937,13.9535475000269,13.5911684044537,14.2459510339768,16.0435328047227,16.8997734699806,17.9045269867659,19.1827586797866,19.8984990063462,20.6308276353861,22.4630208623842,23.4383639347662,23.4346969256177,21.5984982856813,21.3136891015486,20.6594662471133,20.270344746878,19.7943402043485,18.9888230955464,18.6774611591423,17.7287900586563,17.7591613782988,16.526388078343,16.3946335963266,15.2522253001004,14.6403459346956,14.6116922892142,14.3348252152062,14.2543530392571,13.7562360305815,13.8873629906813,13.6686075203091,13.2875520244616,13.1728811637685,13.3674582848007,12.592199380125,13.3921597320537,13.6918331763602,13.6890037217165,13.8191392390895,14.1522157957013,14.7085011966456,14.5572498702946,14.8615476670313,14.2975917211613,14.8536723522491,15.1144091124133,15.3153563680123,16.3773172648196,17.075817977688,16.9212740311965],"WL-FDS^FG_PRICE_CHANGE(0,-1AY)":2.18278894472363,"NI-FDS^FG_PRICE_CHANGE(0,-1AY)":-24.7926669576604,"BRENT-FDS^FG_PRICE_CHANGE(0,-1AY)":-0.486787204450623,"TIOS-FDS^FG_PRICE_CHANGE(0,-1AY)":-16.9244843646041,"EWQ^FG_TOTAL_RETURNC(0,-6AM)":17.753935,"EWU^FMA_PCT_ABOVE_MAVG(200,0,,,,\"PORTAGG\")":61.9047619047619,"EWC^FG_TOTAL_RETURNC(0,-3AM)":4.939282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7433760256,17.2288271221272,20.6849311032173,20.5966915017813,20.3357352039297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9499,9.791837,10.764477,11.358896]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011114335366],"TRYMY10Y-FDS^FG_YIELD(-10AY,0,Y,,\"YTM\")":[4.131911,4.345605,4.195897,3.902544,4.235642,3.300551,2.804181,3.573893,4.131847,3.727505],"TRYAU10Y-FDS^FG_YIELD(-10AY,0,Y,,\"YTM\")":[2.81,2.88,2.76,2.63,2.315,1.375,0.972,1.671,4.051,3.955],"EWC^FG_PRICE_MAVG(0,,,,200)":35.18635,"FXI^PERCENT_CHANGE(FMA_EPS(+1,0,,,,\"PORTAGG\",\"MEAN\"),FMA_EPS(+1,-3AM,,,,\"PORTAGG\",\"MEAN\"))":-1.55285202624683,"VWO^P_PRICE(0)/P_PRICE_HIGH_PR(0,,,USD,,,\"PRICE\",\"INTRA\",\"52W\")":0.974246,"EWI^FG_TOTAL_RETURNC(0,-12AM)":25.484253,"EWD^PERCENT_CHANGE(FMA_EPS(+1,0,,,,\"PORTAGG\",\"MEAN\"),FMA_EPS(+1,-1AM,,,,\"PORTAGG\",\"MEAN\"))":0.426859724778843,"EWQ^FG_TOTAL_RETURNC(0,-1AM)":0.96606016,"QQQ^FG_TOTAL_RETURNC(0,-6AM)":21.474695,"EWL^P_PRICE(0)/P_PRICE_LOW_PR(0,,,USD,,,\"PRICE\",\"INTRA\",\"52W\")-1":0.12803853,"EWJ^FMA_PCT_ABOVE_MAVG(200,0,,,,\"PORTAGG\")":68.0365296803653,"EWC^PERCENT_CHANGE(FMA_EPS(+1,0,,,,\"PORTAGG\",\"MEAN\"),FMA_EPS(+1,-3AM,,,,\"PORTAGG\",\"MEAN\"))":-4.28552253547922,"ENZL^FG_TOTAL_RETURNC(0,-3AM)":-4.6074095,"URTH^FMA_COS_UP(\"EPS\",\"1M\",+1,0,,,\"PORTAGG\",\"MEANR\")":557.0,"EWJ^FG_ROE(0)":9.82362806730387,"TRYAU10Y-FDS^FG_YIELD_NAME":"Australia Benchmark Bond - 10 Year","REFEUREFI-FDS^FG_YIELD(NOW,,,0)":4.5,"REFFFUND-FDS^PROPER_NAME(0,,,\"SECURITY\",\"NAME\")":"US Federal Funds Target Rate","REFAUCASH-FDS^(SUBARRAY(NOT_NA(NO_REPEAT_F(FG_YIELD(NOW,-10AY,D))),0,1)-SUBARRAY(NOT_NA(NO_REPEAT_F(FG_YIELD(NOW,-10AY,D))),1,1))*100":25.0,"TRYUS10Y-FDS^PCTCHG(FG_YIELD(0,,,,\"YTM\"),FG_YIELD(-3AM,,,,\"YTM\"))":7.772854,"TRYUS10Y-FDS^FG_YIELD(0,,,,\"YTM\")":4.3024,"TRYCH10Y-FDS^FG_YIELD(0,,,,\"YTM\")":0.722,"CC_US^IMF_IFS_RCPI_Q(0)":null,"VGK^FMA_EVAL_EBIT(LTMA,NOW,NOW,M,\"PORTAGG\",\"MEANR\")":13.2087861697401,"EWD^FG_FCF_YIELD_NTM(0)":5.16205004856903,"EWQ^FMA_PE(NTMA,0,,,\"PORTAGG\",\"MEANR\")":14.6382836571051,"QQQ^JULIAN(FMA_DIV_YLD(NTMA,NOW,NOW,M,\"PORTAGG\",\"MEANR\").DATES)":45379,"USDSEK^STD(FG_PRICE_CHANGE(0,-3AY,M))":2.96220072588676,"USDCHF^STD(FG_PRICE_CHANGE(0,-3AY,M))":2.49013642394232,"USDUSD^STD(FG_PRICE_CHANGE(0,-3AY,M))":0.0,"USDEUR^STD(FG_PRICE_CHANGE(0,-3AY,M))":2.22272008231571,"USDAUD^STD(FG_PRICE_CHANGE(0,-3AY,M))":3.07262529565013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346997282],"EWN^P_PRICE_RETURNS_PR('52W',2,-10AY,0,AM)":[27.92437,22.22736,20.678986,26.24979,4.994118,10.203528,0.2631545,-3.7041426,2.476406,-4.6979666,1.342392,1.7083287,0.709188,5.064702,4.9874544,1.3664007,13.177835,-2.459693,2.34313,7.941985,0.4601121,0.30311346,-1.3784349,-5.7332096,-3.7789881,-5.7922306,-4.4510484,-9.170872,-8.593673,7.4507833,8.003056,-2.4919987,-3.5498977,6.565237,11.445177,13.771713,12.445175,22.146046,22.377777,28.12965,33.207703,25.774944,28.285385,34.78948,38.68369,35.28533,34.76502,25.550604,21.0191,12.538612,8.478653,7.474327,4.682076,2.5012612,-3.7817001,-7.9382124,-8.364355,-16.335875,-11.503821,-4.0544987,-1.8586397,1.6332984,-3.2098114,6.2765837,-0.85271,3.623569,7.9298854,16.453648,19.36847,34.875416,21.054459,11.23023,-16.571337,-9.424866,11.338878,7.836938,15.501261,13.734388,17.484247,12.067628,25.414694,25.318527,30.932283,35.00221,92.31813,71.63815,54.43909,47.33356,46.559216,54.730392,39.01297,49.615776,21.602844,20.868946,6.8714023,-9.078466,-7.963973,-15.642333,-20.368444,-26.87679,-23.07158,-37.342323,-30.761444,-36.28589,-18.317812,-20.856768,-4.7567725,4.335642,0.23733377,7.254553,9.672952,27.024292,15.261555,25.123346,15.157234,27.185404,9.235466,12.152613,7.292402,18.12414,18.13947],"SPY^FG_TOTAL_RETURNC(-10AY,0,AM)":[-0.18899441,0.8905649,2.7278543,3.0837417,-2.1745682,3.259635,-1.3837814,2.3152828,3.2774687,-0.53023696,-0.6668925,3.023672,-1.3708234,2.366364,-0.5635083,-0.8595884,0.99850893,-8.018917,1.7867327,7.8769207,-0.35178065,-3.5221934,-4.6857176,4.6085477,3.4322262,-0.6012142,2.5706053,0.35048723,3.0911088,0.9058237,-1.1912405,-2.8554082,5.336845,3.7500143,1.2181163,3.9591908,-0.80263615,1.392901,2.2658706,-0.31903386,2.1468997,0.17379522,2.6526093,2.0895958,2.201593,3.3494234,1.4137983,-2.3125887,-1.6596377,0.933373,3.3380985,-1.0121644,4.688084,2.1896958,0.32471418,-6.0634317,-0.60319304,-6.051755,7.753873,2.7356982,3.2350898,2.3852706,-4.5913696,7.0313454,-2.0682693,0.48527718,0.56978464,4.4232965,1.3306379,4.0224195,2.062595,-4.923117,-20.183247,14.255214,9.800041,0.7233262,5.7105303,3.7902236,-2.1536767,2.9055834,7.6584935,0.14014244,4.718125,-2.4573386,6.696129,3.7467837,1.6794205,2.9716492,1.2127638,3.211987,-5.088091,8.92824,-2.889204,5.696547,-6.0412464,-3.6839783,6.0239553,-6.072676,-4.316407,-6.736702,8.637608,-5.294931,-3.2390893,-0.42860508,8.120096,-5.250871,7.4499726,-1.978904,1.4988899,-0.86622834,5.6253552,4.09528,0.6804943,0.98028183,-5.5439234,2.3618937,5.061078,2.7344108,5.7931066,3.6310315,0.46360493],"EWU^FMA_DIV_YLD(NTMA,-10AY,0,AM,\"PORTAGG\",\"MEANR\")":[3.90077181712625,3.819658860763,3.85749807500437,3.80061627739297,3.94260197358662,3.86572502422569,4.13435088218619,4.15355496762398,4.05245671817782,4.17006326625388,3.99893939948763,3.90998484833266,4.0204209325582,3.92039493495095,3.98969611277483,4.14420467296905,4.10175004844712,4.57520747761562,4.42968318466133,4.18908634474801,4.28635507854789,4.41464729620799,4.52779959067797,4.3451297176959,4.36717341094044,4.38409084760517,4.29394929485512,4.18327853364226,4.13391166742302,4.0356491162387,4.09277718252304,4.47265640204697,4.43792867253151,4.25376568923103,4.29250413560299,4.28452968118164,4.34618311197861,4.3640763639265,4.22036612470311,4.32356898553152,4.22797446184224,4.31442701168876,4.27151857857211,4.28615202258082,4.38672582669859,4.1881788415494,4.2797272394745,4.72587456316156,4.57461271827341,4.35461890472312,4.30985817033822,4.43552806190112,4.42349679681116,4.59321053842405,4.57233674344269,4.85250651158737,4.96104958244948,5.25680202750783,5.03469624008848,4.96630991752441,4.82567439292089,4.85246839573992,4.91482807960819,4.69962676327541,4.95575843656519,4.99293477458189,5.05931907495121,4.77249295103489,4.8193758926881,4.55360358543114,4.6823403143571,5.14502978546598,6.38007018563759,4.836052495283,3.95289395542081,4.08392480355766,4.00030602573784,4.18449642725712,4.23416743952931,4.37432164492106,3.84858808246676,3.9001017601378,4.06154833504394,3.96711984776389,4.04903206083814,3.98548356842935,3.88651397325149,3.99409262579473,4.1323998057081,4.16450288818054,4.21209675981142,4.05006875327363,4.10772782546683,3.83605265456243,3.83763462893458,4.18269312612693,3.97153726089232,4.10815404555977,4.06982315491196,4.32321531067159,4.18959639611317,4.43846751558151,4.52851526739591,4.44385866981687,4.21216748233736,4.22842057180156,4.09465231371574,4.12584156741686,4.20269967839824,4.24838601694528,4.35294126696343,4.38194774822776,4.38918371438911,4.47664163756968,4.60896874557973,4.56447506482337,4.42385986318664,4.26872076462501,4.29976879811539,4.17597441280298,4.04071763503896],"EWJ^FMA_PE(NTMA,-10AY,0,AM,\"PORTAGG\",\"MEANR\")":[13.4367439253404,13.0292388408046,13.5868482418009,13.9379781926158,13.7377112703887,13.7710622815259,13.605547455641,14.3855299747179,14.7442469456248,14.2217382053288,14.062991963231,15.0420221781974,15.3071373737643,15.6441413428259,16.2402418749483,15.5409536493671,15.5040789231642,13.3308657736671,13.2918978074689,14.2206006581181,14.4319964693314,13.7050380709808,12.7054724080409,13.0918787470464,12.4045816644422,12.4604476329538,13.4176105000418,12.6818555773172,12.993005689561,13.636063568928,13.4009374801389,13.3340396907029,14.6070228151189,14.9695015700192,14.2633100796732,14.3112752079332,13.6830274618086,14.0220437262967,14.6177589268447,14.2554982317049,14.2334736352065,13.7297054110204,14.0654554311952,14.8043693202298,14.6507717948096,15.0970522527145,14.824058295345,12.8016957965391,12.6896517314878,13.1840853880057,13.1353984427347,12.6573301662808,12.8227895061279,12.5541050676413,13.1390534663798,12.1167172200331,12.1558547598052,10.9548340208761,12.0496570667173,12.6676689359415,12.6899110220815,12.7487263459885,12.1055153803318,12.9190445717103,12.6129594482821,12.5626709521586,13.072755148729,13.8292926560958,14.3877069954385,14.5187266588659,14.1902505149806,12.9102023212646,11.7227832136561,13.7849355948217,17.1345993636563,17.4757353748611,17.706669585966,18.2180369490629,17.9011670025509,17.5344683537983,18.5712869593981,18.2421161528842,18.4614298865841,17.5712769243905,17.5855020105587,16.6393558439167,16.6345873269128,16.3206789894019,15.6295781871689,15.7491388400399,15.048137422762,15.5349845293086,14.5062800847961,14.7601059702731,13.7802966706666,12.7648424830763,13.3114409707935,12.8339234571208,12.928823403024,12.1577787537832,12.690893482835,12.623158184344,12.3501907117232,12.4068215564574,12.7461016732997,12.0482118989045,12.8646772291563,13.3078474964351,13.2997440838649,13.6392228390898,14.3054667377154,15.0824192673864,14.4414202811803,14.6635332505262,13.7191731377186,14.1559618982721,14.13494073729,14.0399517289689,14.9414828414995,15.7977310181971,15.514730653461],"EWC^FMA_PE(LTMA,-10AY,0,AM,\"PORTAGG\",\"MEANR\")":[16.4277853956283,16.374325786381,16.1929648993416,16.3289123304105,16.2632147956074,16.4672018357723,15.8239037173897,15.4701758949802,15.5503000572496,15.7070156564,16.1719455372154,17.0129997181938,17.095456503967,17.3722715313449,17.2369093217697,17.0842855539427,17.0369251442477,16.3289756829073,16.3797557994676,16.7688649740271,16.5771509376271,15.6579007267959,15.5497195772734,15.806776648673,15.9762520210847,16.301516958882,16.7490838649762,16.7934665316453,17.2097209866306,17.6838143347528,17.7498036694306,17.9708370643136,18.7977509765365,19.6417470328651,19.6526094006356,19.4084327608691,19.1001421299763,18.6826313037059,18.42952715946,18.0241574110775,18.0045353284545,17.5274265070569,17.6902426586131,17.4996441700455,17.2185018914301,17.4394824755236,16.3939027219064,15.8114070627831,15.6198928641047,15.5888812557178,15.5250481268711,15.464265835349,15.4898696571682,15.153028687669,15.0016635363752,14.2201797377882,13.9417337044614,13.2373247902731,14.6195787736894,14.7263630274139,14.7452976828294,14.6032994608244,14.4105210837952,14.5470594711168,14.3726991654181,14.4474859429443,14.5155283080125,14.907855307535,14.9815503581764,15.2569832294954,15.5367709968033,14.4683396357362,14.1660934537007,15.6866160105218,17.1128878068767,17.4247691451461,18.1964896724324,18.1013456003587,18.4059117213452,18.4312175495254,20.0369285715154,20.5969012920507,20.8641443092447,19.9152642303619,19.6112449968824,19.1746888291518,18.7762277565505,18.4301547295925,17.7212986576671,17.2307850610811,16.3230143910268,16.6710607552959,15.4860500993552,15.4072578603303,15.4053006106557,15.241983480752,15.0457098602895,14.6099308225907,14.2639868085087,13.4335584086702,13.2266529697451,12.7701419947638,12.5512527258382,12.4251735409757,12.8844391541457,12.1523460871622,12.9204737630084,12.6284457678431,12.6861018874315,12.7339087787611,12.8953621101637,13.051981126626,13.4146178950906,13.659225175889,13.0133375855118,13.4837938998873,13.9992623852342,14.5459823743817,14.6713799631493,14.8818201403529,14.9556919515037],"WL-FDS^FG_PRICE_CHANGE(0,-3AM)":7.1816834129468,"NI-FDS^FG_PRICE_CHANGE(0,-3AM)":7.51950078003121,"CPALM-FDS^FG_PRICE_CHANGE(0,-3AM)":24.2399565689468,"BRENT-FDS^FG_PRICE_CHANGE(0,-3AM)":0.0,"TIOS-FDS^FG_PRICE_CHANGE(0,-3AM)":-30.1224204267226,"FC0000CH^FG_PRICE(0)":321.37314,"FC0000AU^FG_PRICE(0)":362.3364,"EWN^FG_PRICE_MAVG(0,,,,200)":43.055553,"EWU^FG_PRICE_MAVG(0,,,,200)":32.34135,"DUMMY^ECON_EXPR_DATA('FDS_ECON[NTCPMIMFGSA@JP]',03/2024,,M)":48.224022,"EWJ^FG_TOTAL_RETURNC(0,-3AM)":10.482073,"EWQ^SIZE(FG_CONSTITUENTS)":63,"EWJ^FMA_COS_DOWN(\"EPS\",\"1M\",+1,0,,,\"PORTAGG\",\"MEANR\")":90.0,"QQQ^FMA_RBICS_REV_CURRENT(30, LOC, \"PORTAGG\")":0.861039068445162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12496,11.2050609808234,13.9227699470217,15.8587444123321,14.732463877154],"TRYMX10Y-FDS^FG_YIELD(-10AY,0,Y,,\"YTM\")":[5.8237,6.2537,7.5651,7.6401,8.7069,6.8373,5.552,7.558,9.0223,8.95],"TRYPE10Y-FDS^FG_YIELD(-10AY,0,Y,,\"YTM\")":[5.681629,7.426917,6.415413,5.167133,5.645114,4.243226,3.535983,5.889906,7.923381,6.6087],"EWJ^FG_TOTAL_RETURNC(0,-1AM)":-0.35755038,"VWO^FG_TOTAL_RETURNC(0,-6AM)":11.775875,"EWI^P_PRICE(0)/P_PRICE_LOW_PR(0,,,USD,,,\"PRICE\",\"INTRA\",\"52W\")-1":0.27727044,"QQQ^FG_TOTAL_RETURNC(0,-3AM)":10.0006695,"EWG^FG_TOTAL_RETURNC(0,-12AM)":12.467098,"EWC^PERCENT_CHANGE(FMA_EPS(+1,0,,,,\"PORTAGG\",\"MEAN\"),FMA_EPS(+1,-1AM,,,,\"PORTAGG\",\"MEAN\"))":0.356671025132107,"VWO^SIZE(FG_CONSTITUENTS)":4715,"EWJ^FMA_COS_UP(\"EPS\",\"1M\",+1,0,,,\"PORTAGG\",\"MEANR\")":108.0,"EWU^FMA_RBICS_REV_CURRENT(30, LOC, \"PORTAGG\")":17.7139371648032,"TRYNZ10Y-FDS^FG_YIELD_NAME":"New Zealand Benchmark Bond - 10 Year","REFEUREFI-FDS^PROPER_NAME(0,,,\"SECURITY\",\"NAME\")":"Eurozone Main Refinancing Operations Minimum Bid Rate","REFGBBANK-FDS^(SUBARRAY(NOT_NA(NO_REPEAT_F(FG_YIELD(NOW,-10AY,D))),0,1)-SUBARRAY(NOT_NA(NO_REPEAT_F(FG_YIELD(NOW,-10AY,D))),1,1))*100":25.0,"REFAUCASH-FDS^FG_YIELD(NOW,,,0)":4.35,"CAGDPY@GB^EE_ACTUAL_ANNUAL(MED,+1)":-3.05,"CC_GB^FG_COMPANY_NAME":"United Kingdom","USDSEK^STD(FG_PRICE_CHANGE(0,-1AY,AM))":2.77188200554116,"USDCHF^STD(FG_PRICE_CHANGE(0,-1AY,AM))":2.59414203256734,"USDUSD^STD(FG_PRICE_CHANGE(0,-1AY,AM))":0.0,"USDEUR^STD(FG_PRICE_CHANGE(0,-1AY,AM))":1.91073385670587,"USDAUD^STD(FG_PRICE_CHANGE(0,-1AY,AM))":1.8401838712695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0501156,2.21381527791346,2.48981565223205,2.56419574346244,2.51009258700133],"EWQ^P_PRICE_RETURNS_PR('52W',2,-10AY,0,AM)":[29.35574,25.71131,23.059332,29.733551,8.09238,12.995148,-2.1363854,-7.5140533,-1.3891876,-9.054065,-2.0400107,-6.861758,-7.0757685,-5.97564,-6.750351,-9.478974,0.60340166,-10.727442,-2.8776407,5.702877,-1.147747,-0.8524418,-7.479465,-7.8093886,-7.8528643,-9.324545,-8.10424,-9.083867,-9.89393,1.7862082,1.479578,-6.288785,-3.5247684,7.3120832,12.883604,12.234127,13.636648,22.73959,24.418545,28.231466,30.461407,26.241386,30.726696,34.48168,36.40249,31.297577,32.40565,27.122175,21.08115,15.145254,9.784842,8.5611105,7.935357,5.320132,1.8030286,-6.3210306,-9.397066,-14.582729,-11.076069,-3.522426,-1.4576316,-3.7103534,-5.666566,4.6059012,-4.175252,0.16294718,-1.1698604,13.034964,16.91345,29.214525,16.298723,5.2382827,-25.598568,-20.536226,-2.4041057,-8.499283,-0.9989321,-0.85739493,-2.1952093,-9.24778,8.159744,4.347503,5.0736666,13.9962435,61.32288,57.365833,41.043877,38.95763,37.843643,35.594296,35.212837,43.279312,15.138161,22.021294,19.554626,-2.6413262,4.7364473,-5.049634,-8.334457,-16.32346,-12.638676,-22.38112,-18.197144,-18.950064,-5.1412106,-10.12724,0.6918669,14.388884,10.794163,18.854273,12.324774,30.88789,21.762753,31.38839,23.65054,25.699211,13.051486,14.494777,6.203139,11.341023,9.653997],"QQQ^FG_TOTAL_RETURNC(-10AY,0,AM)":[-4.669118,1.2967467,4.606235,4.848087,-0.39707422,4.2698264,-0.9925604,3.2494664,3.9561987,-1.9439161,-0.06800294,5.4243207,-2.8489947,3.9098144,0.3021121,-1.2416303,3.186667,-8.286196,2.0621657,10.58551,0.10433197,-4.601961,-7.1689487,3.9547443,4.3488383,-4.4478774,4.7691464,-1.5346825,7.0225716,1.2535691,1.3205051,-3.987497,1.8037796,4.1890144,4.567766,4.2488933,1.3477683,3.4186125,4.68477,-4.8075795,5.477631,1.635921,0.2400279,4.9578905,-0.36536455,5.1947355,2.6823044,0.83835125,-3.6060214,3.2114625,5.7196617,-1.7979622,5.4332495,3.2041311,-1.6911209,-7.1279764,-2.1608233,-5.4502068,8.513093,2.8844476,5.517578,4.028082,-8.476793,9.692311,-2.136439,0.52307844,0.4570365,5.979562,1.1644125,6.033075,6.20507,-4.066473,-15.791339,17.369259,9.204531,7.4856997,7.2128177,4.882014,-3.1285226,4.5933485,6.4863443,1.4244795,6.766677,-7.915449,6.8635464,1.7161131,1.6538382,6.988442,2.4258256,3.8738012,-7.482481,12.931765,-3.7893593,3.615427,-9.700608,-5.784762,9.622741,-10.750061,-7.099515,-7.687998,14.9824505,-9.010476,-4.2474985,-6.1850967,10.529697,-8.94354,15.217888,-2.1229327,6.634569,-0.9088874,12.17066,4.5534015,0.47260523,1.4917731,-4.587036,2.2126436,5.061054,2.8357506,8.25932,3.498745,-1.8263459],"EWL^FMA_DIV_YLD(NTMA,-10AY,0,AM,\"PORTAGG\",\"MEANR\")":[3.19572123841158,3.19941486500802,3.2162066224983,3.27782530149552,3.43736141420564,3.26249795499245,3.39975935487568,3.36082915990139,3.23825157535935,3.31217177074199,3.2918169317798,3.17900037170843,3.13109479757595,3.09711685790773,3.12051496896827,3.23806260266242,3.09443255101963,3.39346671177993,3.43939997398871,3.2441379162591,3.28451161991089,3.34225149233076,3.51354674088293,3.48595322964661,3.57207045754521,3.58214448087616,3.47111952779416,3.5203014955333,3.51180091645715,3.42822070948567,3.46932621259989,3.71827232610039,3.71630699819162,3.51228643851784,3.44727006785641,3.34966278776583,3.42314894457319,3.32117754356481,3.26916377488315,3.26305177639174,3.23855101744722,3.31966903233124,3.2319141752183,3.22632650051147,3.23359095534239,3.17900439832344,3.23399277619482,3.52843856823392,3.57282311344333,3.471129052571,3.54595543988521,3.55226520638505,3.37459045442245,3.42509276169003,3.44208170336103,3.50453699075546,3.50676905467239,3.636441554693,3.46538605148667,3.34341838671519,3.29634248551682,3.26136714678486,3.3148319930864,3.17912848944572,3.25367930914858,3.21701929673944,3.27933245349102,3.12204452727722,3.13528360812671,3.02261710479138,2.99210895299057,3.15032148875814,3.53400523961669,3.38059005306926,3.08730933611866,3.04301857241544,2.96687242714275,2.9828708778369,2.95441049049601,2.94633738698622,2.92200975373758,2.8078468389217,2.81970230852534,2.88971322424031,2.7935006971028,2.79526396273171,2.67233855706077,2.63100633268272,2.57991988242635,2.57558710680237,2.77835028702106,2.57713944366403,2.67077607471837,2.52804890555209,2.77485801484989,2.96721915724644,2.74864770252585,2.91146949328081,2.97445030051647,3.19652283435489,3.05614856348982,3.19651035851543,3.32284461872628,3.28862045797891,3.0846754008924,3.11096047047173,3.02742752639341,3.13399285623849,3.17045871792557,3.06588191082432,3.12627979885354,3.18555114093357,3.2027226644569,3.245367403327,3.4195311978305,3.46260057708268,3.35586133021201,3.27047896671231,3.31210706583619,3.30306969601326,3.30621814081868],"EWG^FMA_PE(NTMA,-10AY,0,AM,\"PORTAGG\",\"MEANR\")":[13.2413961484875,13.0187563084919,13.3042799490309,13.3314700479341,12.2512251442898,12.8815938738595,12.1334345673536,12.101190478682,12.9784780253541,12.7825272234926,14.2377605787583,14.810235578269,15.401928977175,14.7151395759407,13.9827588432228,13.5190984789168,13.9089478768916,12.1909707472067,11.7567898125376,13.4401656904912,13.4161150303784,12.7697353207234,11.8890557245468,12.5663689423759,12.5463292772496,12.401739073545,12.5002303711458,12.0769572673331,12.590894229682,13.0598123735016,13.0103594007285,12.4291032450206,12.6282640722403,13.7314763481099,13.6655992190853,13.9620892654792,14.0249595864931,14.045779537743,13.929161446858,13.4368981466052,13.2515016007289,13.0136614052677,13.7876379682505,14.2955132092919,13.9253981602684,13.9911735223173,13.4818469676368,12.601035925087,12.6242031190502,13.3662469696264,13.209537663508,12.7784281918763,13.0651007580992,12.6765171973692,12.6362335473084,11.8116826163144,11.6322565141869,11.1728077094826,11.7270152049537,12.232740516931,12.6070055297435,13.0365111748838,12.3318167274905,12.9923530179425,12.5713738736076,12.6986006824782,12.6712000276239,13.8267810209526,13.9969288593227,14.1093670463904,14.1141569148674,12.919097108791,11.8796957350468,14.6090337711871,17.9922801294651,18.1529602694738,17.7619537747632,17.4459240305987,16.7635121324661,15.3608367393602,16.020263008207,16.0453152241385,15.8699070910335,15.5363241990428,16.2350761603233,14.7992419570136,15.0243898816647,14.7441992827428,14.3549178194486,14.1712702010605,13.3514167342625,13.9447910877576,12.8624432491174,13.6012592582598,12.6296505986975,10.6510278899585,11.7069187401926,10.955653702074,11.0353529815604,9.7040564377485,10.408843997469,9.72516268418167,9.403421722456,10.0330089952636,10.8692756991826,10.9618174906824,11.7707473031541,11.6753014994328,11.3763071093856,11.121368268906,10.8628061218602,10.7944403863895,10.6652363383554,10.6456785236529,10.1314261612947,10.1543236777341,11.0567183399397,11.0551779350876,11.5307400805793,11.9878623933976,12.3145854105433],"EWA^FMA_PE(LTMA,-10AY,0,AM,\"PORTAGG\",\"MEANR\")":[15.294188005753,15.2316930508121,15.1288926344598,15.2291980254451,15.3878410811146,15.4910241359794,14.7038804114428,15.2981878829492,14.6237053007784,14.8442549418679,15.7133709573477,16.2069644305237,16.2644675273386,16.3503942993752,15.9186154793625,16.0606296735918,16.2098313362095,15.0967343099177,15.12316260996,15.6471240042565,15.5206311202538,15.9365299791085,15.2788830878205,15.0670649567759,15.0971914368699,15.5431425345065,15.7232898649166,15.7835404267062,16.3289112045486,16.3823856602455,16.8355205006416,16.4497033585976,17.0762607591871,17.9408769730061,17.4936874239121,17.502128523886,17.3523722157325,17.2187550700021,16.9218107992119,16.7188263193845,16.7726012076477,16.621429923767,16.2813124381971,16.7574925946574,16.6197478273123,16.8120552642681,16.9208824259969,16.5093584074697,16.263254373172,16.3189205214321,16.1729502161788,16.2822757692091,16.2757098476572,16.2725413133912,15.9215921867009,15.3092180816754,14.9693648605516,14.6043015986726,15.3136873266965,15.9249658654693,15.884850484402,15.8676886818646,15.8757552666789,16.321577945621,16.4440725633018,16.3845871089203,16.5624234257992,17.3242851775187,17.2674378259464,17.8281025477692,18.2955494232032,16.905160296356,16.3629183863297,17.1507159323664,18.5355421378509,18.6698985511773,19.1666102091716,19.4760473060604,19.0311669054241,20.036351622814,22.732353364669,23.2673194440571,22.8185401629995,21.777351709278,21.3012038672565,20.9978108534606,20.7909363987482,19.8750088460077,19.3326600132356,19.1294168598438,18.4512431976666,22.5574507257018,17.5754168615788,18.093680554187,16.0393361768342,15.704104198327,15.7811301819717,15.342430660064,15.0184661914859,13.9861244999995,14.4611487327522,14.130471376196,13.5754002565179,13.5207993888735,14.4123445577826,13.9057949481175,14.9855807887684,14.2712508232755,14.2847651333206,14.2765913754311,14.3006014082232,14.6558819543819,14.978178529504,15.1076587386803,14.4201193452215,14.8805678458168,15.3458330154233,16.2812780263075,16.6427168933941,16.6168441148669,16.6331112803949],"WL-FDS^FG_PRICE_CHANGE(0,-1AM)":9.73018549747049,"NI-FDS^FG_PRICE_CHANGE(0,-1AM)":-1.96301564722617,"CPALM-FDS^FG_PRICE_CHANGE(0,-1AM)":13.9407518048295,"BRENT-FDS^FG_PRICE_CHANGE(0,-1AM)":0.0,"TIOS-FDS^FG_PRICE_CHANGE(0,-1AM)":-14.5801265606294,"EWN^FG_PRICE_MAVG(0,,,,60)":47.049416,"EWU^FG_PRICE_MAVG(0,,,,60)":32.916668,"EWC^FG_PRICE_MAVG(0,,,,60)":36.918,"DUMMY^ECON_EXPR_DATA('FDS_ECON[NTCPMIMFGSA@CH]',03/2024,,M)":45.16902,"FXI^PERCENT_CHANGE(FMA_EPS(+1,0,,,,\"PORTAGG\",\"MEAN\"),FMA_EPS(+1,-1AM,,,,\"PORTAGG\",\"MEAN\"))":0.790049801819623,"EWD^FMA_PCT_ABOVE_MAVG(200,0,,,,\"PORTAGG\")":93.0232558139535,"EWQ^PERCENT_CHANGE(FMA_EPS(+1,0,,,,\"PORTAGG\",\"MEAN\"),FMA_EPS(+1,-3AM,,,,\"PORTAGG\",\"MEAN\"))":-4.45378124587764,"EWL^P_PRICE(0)/P_PRICE_HIGH_PR(0,,,USD,,,\"PRICE\",\"INTRA\",\"52W\")":0.9578011,"ENZL^FG_TOTAL_RETURNC(0,-1AM)":0.4711628,"EWQ^FMA_COS_DOWN(\"EPS\",\"1M\",+1,0,,,\"PORTAGG\",\"MEANR\")":30.0,"EWG^FG_ROE(0)":12.500677691387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2565,16.3837417700753,16.6906517335277,19.2996868123636],"TRYIN10Y-FDS^FG_YIELD(-10AY,0,Y,,\"YTM\")":[7.86,7.89,6.63,7.35,7.35,6.55,5.9,6.45,7.33,7.19],"TRYGR10Y-FDS^FG_YIELD(-10AY,0,Y,,\"YTM\")":[9.61,8.24,7.15,4.14,4.37,1.45,0.618,1.315,4.585,3.099],"NI-FDS^FG_PRICE_MAVG(0,,,,30)":17302.834,"CPALM-FDS^FG_PRICE_MAVG(0,,,,30)":4222.9,"BRENT-FDS^FG_PRICE_MAVG(0,,,,30)":85.86,"EWN^FG_PRICE_MAVG(0,,,,30)":48.696,"EWU^FG_PRICE_MAVG(0,,,,30)":33.459,"EWC^FG_PRICE_MAVG(0,,,,30)":37.593,"DUMMY^ECON_EXPR_DATA('FDS_ECON[NTCPMIMFGSA@GB]',03/2024,,M)":50.269836,"FXI^FMA_PCT_ABOVE_MAVG(200,0,,,,\"PORTAGG\")":50.9803921568627,"VWO^FG_TOTAL_RETURNC(0,-3AM)":3.954649,"EWI^P_PRICE(0)/P_PRICE_HIGH_PR(0,,,USD,,,\"PRICE\",\"INTRA\",\"52W\")":0.9762909,"EWG^SIZE(FG_CONSTITUENTS)":57,"CAGDPY@GB^EE_ACTUAL_ANNUAL(MED,0)":-3.3,"CC_CH^FG_COMPANY_NAME":"Switzerland","USDSEK^FG_PRICE_CHANGE(0,-6AM)":-4.8427343,"USDCHF^FG_PRICE_CHANGE(0,-6AM)":-1.5828133,"USDUSD^FG_PRICE_CHANGE(0,-6AM)":0.0,"USDEUR^FG_PRICE_CHANGE(0,-6AM)":-3.4550965,"USDAUD^FG_PRICE_CHANGE(0,-6AM)":-4.6615243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7419876,2.00892945351409,2.43601807668502,2.42941425498409,2.95560750409213],"SPY^P_PRICE_RETURNS_PR('52W',2,-10AY,0,AM)":[22.005713,20.094883,20.497072,25.307869,15.648901,23.165108,19.51909,15.917134,17.784632,14.498711,18.621492,14.263177,11.4277,14.561844,10.891318,7.173836,10.108625,-1.918006,2.3498535,6.7382574,2.9873967,-0.11036396,-4.1517076,-2.6772082,2.0622253,-0.8965492,1.3632178,3.380084,5.618739,14.194632,12.476826,1.2868762,7.6292157,15.13958,22.463142,21.910799,16.537262,18.875206,18.167995,17.731262,16.652966,16.328764,20.311785,26.296795,22.672832,22.199177,23.279358,15.121424,14.0550375,13.538122,14.728535,13.93075,16.97786,19.114887,16.413652,7.474339,4.177046,-5.299425,0.62094927,5.8208466,11.087906,14.144754,4.0391207,12.493086,5.683923,3.4778237,3.730595,15.31068,17.554129,34.519398,23.284912,14.094173,-11.553431,-1.5606523,13.287914,7.4635267,15.079379,18.864323,18.170643,13.964617,21.081425,16.562485,19.5953,22.69696,65.37613,48.93165,37.916924,40.99548,34.996426,33.148266,30.218351,37.839508,25.406324,31.233728,17.749989,16.26923,15.536749,4.601383,-0.6664932,-10.165781,-4.307085,-12.215585,-10.4837,-18.17308,-9.689199,-18.33244,-6.166917,-5.724949,-9.009319,-3.965646,4.272735,18.325293,9.658611,15.691757,14.139533,19.02715,14.018464,23.627722,20.427608,28.68774,27.375137],"EWU^FG_TOTAL_RETURNC(-10AY,0,AM)":[-2.8328657,4.9562693,0.18517971,3.2214642,-4.321277,0.14727116,-7.3529425,-0.63491464,1.4376879,-4.396248,3.471434,2.0562887,-3.3934295,5.762899,-1.2454569,-1.6553998,0.70729256,-11.669368,3.302741,4.4997096,-3.6260605,-4.779011,-4.471034,2.6367784,0.064229965,1.4120698,2.974689,-3.200543,1.301229,4.0462494,-1.9753098,-7.2418156,3.0210495,3.9235473,1.2536168,1.6825318,1.1551738,2.7160406,4.567313,-2.075845,3.1503081,-1.1343777,2.6184201,-0.08601546,-0.08608103,6.015444,0.110411644,-5.238491,1.9202828,2.9688835,0.49903393,-2.6203156,0.02900362,-3.3343017,1.2297511,-4.4148207,-3.7507713,-1.4011145,5.774367,2.7137876,3.594482,0.44482946,-5.1372824,4.641199,-6.314826,0.39075613,-0.7784605,7.289958,-0.5484462,5.4916263,-2.7777731,-7.811552,-25.651175,9.578716,10.360182,-2.6907444,1.4154553,-1.3202608,-1.6055048,-0.7769942,16.87548,0.5697131,-0.06738901,4.113281,2.558291,3.1259894,4.4396877,-1.500231,0.4842639,0.8132577,-3.047508,2.896762,-3.4141958,7.532108,1.1851907,-8.023429,7.9274178,-2.536875,-0.4842639,-7.4246764,3.077948,-7.7896776,-1.8303454,3.298676,10.725439,-0.98543763,3.5347104,1.5518308,-0.091695786,1.8966079,-2.0414293,0.6303668,0.434649,-0.896436,-3.742987,1.523006,4.085541,3.023696,-1.1571288,1.1090636,3.6867738],"EWJ^FMA_DIV_YLD(NTMA,-10AY,0,AM,\"PORTAGG\",\"MEANR\")":[2.07970729032275,2.15781029827312,2.10484082061671,2.04869438770492,2.06843942639792,2.057172969887,2.09508174668382,1.96728082235104,1.91677458682577,1.98232280512474,2.00289422428968,1.89459024986066,1.87306489716522,1.86418460797726,1.84707965442335,1.90159297065694,1.90297415196875,2.20556783206123,2.21331368535566,2.07951746947237,2.0516927131749,2.1509945239934,2.34772702152295,2.33487126205417,2.48265173385914,2.46637665648089,2.36457455130072,2.5223679725129,2.45553763808727,2.34100500255819,2.37951887948945,2.39090100670584,2.16760263994861,2.07756850463772,2.1650400585983,2.13338853949562,2.23494128939627,2.18964645830292,2.13768306048346,2.16770465963382,2.16454066370686,2.20887719488853,2.15428033916332,2.03622719983469,2.0835876942962,2.00737359003685,2.03511276396523,2.26918251959667,2.28997008252972,2.21512025713478,2.24059387981884,2.35153795733357,2.29282134765729,2.33894835363632,2.24149155717657,2.44503711950436,2.48288692648824,2.79422796757495,2.61340798807015,2.53641864317608,2.560432967589,2.56792598874021,2.77816457767708,2.64058839884688,2.71605049371135,2.75643940831184,2.65087043855944,2.51645460788355,2.46255621044463,2.44710569333055,2.50239553733653,2.77954229671523,3.14215701772517,2.86509620055017,2.47321116482126,2.53322659298642,2.50800136559643,2.38062232249122,2.41898956254655,2.39042503171411,2.16331508446821,2.15155383530646,2.09717202267466,2.11475470167887,2.06397659865889,2.16458542114932,2.14244312632461,2.18215093561684,2.25394525415152,2.19252582486498,2.27127917805579,2.19798047659221,2.33627415286411,2.27370885590355,2.43842933459739,2.62267968426572,2.50264468872394,2.58721581890146,2.58205846830787,2.74049663731132,2.6238090754129,2.64148448167227,2.70498633035428,2.69459021586192,2.64007891387061,2.79411800577158,2.63319226216041,2.57739610211537,2.59979988170156,2.53593258721927,2.42131985321573,2.30002877905465,2.38120651110484,2.33552600475449,2.49993686306321,2.40763485256971,2.41367937354847,2.42179125989346,2.27800233495271,2.15680677230321,2.19846964061965],"EWC^FMA_PE(NTMA,-10AY,0,AM,\"PORTAGG\",\"MEANR\")":[14.9846123671528,15.0417313150279,14.7787197898888,15.1112937218677,14.9547521407861,15.1977636872839,14.3135030463203,14.1297543353851,14.6430750037249,15.6006677092602,16.8850031164959,17.2751521607715,17.0975978273143,17.3665064837995,16.5459355844555,15.9393195822104,15.6649943094328,14.501702845761,14.4606031738619,14.882950130352,14.5116256698864,14.0062456600066,14.5140403358736,15.3121315579067,15.7518323302095,16.2645752310764,16.7267394913414,16.292351603394,16.3018438352894,16.4424361334629,15.8886293433516,15.4998692488029,15.8701628570013,15.9547997177573,16.0332923907167,16.0771331126213,15.9550378675498,15.4897636098004,15.5123585292512,15.2185526976216,15.7243994529745,15.3768543989389,15.8511428543261,15.921295855547,15.8382446814193,16.0791846298192,14.9050084693492,14.2838736765197,13.9735501295852,14.1585075546921,14.2003078226727,14.1973164222681,14.1594270157489,13.6919237725263,13.5010383248819,12.6295019222956,12.6354155946312,12.3790409167286,13.7308784390358,14.1545357718798,14.2317421817862,13.8350180935099,13.4487434329986,13.7908806569724,13.5458192811406,13.6654973070392,13.7403541728782,14.1302292858358,14.2308828658196,14.3988359334841,14.6033053504242,14.4021458250937,12.9230124190845,16.5662214265009,18.2367431192798,17.7111157880514,17.7556204851878,16.7949894250864,16.2219449389062,15.4977333972154,16.2812045631427,15.8363864674998,15.9589835060613,15.1903969819962,15.5223416392423,15.4359678041476,15.5890171863838,15.5841026701326,15.1172621070101,15.0059607722278,14.3422087655881,14.925291514468,14.0775350596005,14.4135665598288,14.1827105139414,13.9791952098913,13.6700244452683,12.7675803875727,12.4319886314992,11.2255879530961,11.4747062697648,11.2982604285122,11.3148012604548,11.5186146675421,12.4490725801399,12.0384878604288,13.068455910617,12.9699924818043,12.8872859420278,12.8000802079373,12.9373386500213,13.00512848392,13.2089591843777,13.3546044338065,12.2388363679452,12.6053141083727,13.0872355892043,13.5840027109724,13.8596413263647,14.2977556484507,14.5638721906357],"ENZL^FMA_PE(LTMA,-10AY,0,AM,\"PORTAGG\",\"MEANR\")":[17.9531960853795,18.1081302909899,17.9438382345737,18.0160973330219,17.8773236106286,17.9058782108598,17.8726778206679,18.5091483805311,18.9501389366444,19.2341389813833,20.0151700555164,20.5075127779875,20.2701126972107,20.0596567372419,20.0272275996383,19.8755888358466,19.8764203176493,18.960416878999,18.6100967787143,19.6937155792538,19.5659708040725,19.8420519527744,19.0315333903199,19.3301639469493,19.3533326936641,19.4656168983397,19.8165848770946,19.7077987621199,20.4763043308048,20.963367602413,20.962838625226,19.476175382873,20.0199524674571,20.2433333891742,20.5408386654425,19.8138835774319,19.8144190932246,19.9320225867068,20.0034945545716,20.0780043061073,20.4993157209764,20.6091379600415,20.6527194006466,21.2244259438749,21.6356077480455,22.4773959158251,22.4628391333142,22.5797765761439,22.4108138365989,22.4001870149689,22.4383592604618,22.978318263358,22.8067158433713,23.7001632473935,23.5291948131134,22.824232228699,23.0470691600501,22.7918941770155,23.2090272685318,24.1863572809716,24.1646217208373,24.2551959490963,24.0636959402759,24.7675353086079,25.4133938809774,28.4360098008426,28.5852947939103,28.9571935287515,30.9714244151956,32.5584257849414,32.0491944755988,31.0596535078938,30.5614358771723,31.5146193120544,32.2912400312223,32.7941032495871,33.856501072336,33.6155313160948,33.9048421317524,35.3351897482912,35.8465711454346,37.9117228053639,36.2857717686287,34.3552215814569,34.4315172423136,34.7472819288108,35.2765411488593,36.2607484145197,36.9817872681177,38.5089330294875,39.0221460529621,39.0529494937836,37.4689719401494,39.2891003766683,37.1341575039067,35.3003251036691,34.7230853442136,34.7306834235373,33.6611706652823,32.7524135919501,33.5587105317005,34.2485099116412,31.7614840984059,31.2477196844993,29.9190971857232,29.331978114436,30.2026506139973,29.465369860344,28.8494495190344,28.4076497723421,26.8541677006896,26.0367987704941,25.1828996616476,24.8084721153986,23.6018170007279,22.8075807220663,23.3527433969086,23.9087455006195,23.41164752586,23.7033802750753,24.0442579300582],"WL-FDS^FG_PRICE_MAVG(0,,,,30)":625.65,"TIOS-FDS^FG_PRICE_MAVG(0,,,,30)":113.77433,"EWN^FG_TOTAL_RETURNC(0,-12AM)":18.13947,"EWQ^PERCENT_CHANGE(FMA_EPS(+1,0,,,,\"PORTAGG\",\"MEAN\"),FMA_EPS(+1,-1AM,,,,\"PORTAGG\",\"MEAN\"))":-0.591213233656384,"QQQ^FG_TOTAL_RETURNC(0,-1AM)":-1.8263459,"EWL^FG_TOTAL_RETURNC(0,-6AM)":9.076095,"EWG^P_PRICE(0)/P_PRICE_LOW_PR(0,,,USD,,,\"PRICE\",\"INTRA\",\"52W\")-1":0.2697835,"EWC^FMA_PCT_ABOVE_MAVG(200,0,,,,\"PORTAGG\")":69.3181818181818,"ENZL^PERCENT_CHANGE(FMA_EPS(+1,0,,,,\"PORTAGG\",\"MEAN\"),FMA_EPS(+1,-3AM,,,,\"PORTAGG\",\"MEAN\"))":-15.5920994913438,"VWO^FMA_COS_DOWN(\"EPS\",\"1M\",+1,0,,,\"PORTAGG\",\"MEANR\")":1127.0,"EWQ^FMA_COS_UP(\"EPS\",\"1M\",+1,0,,,\"PORTAGG\",\"MEANR\")":21.0,"EWL^FMA_RBICS_REV_CURRENT(30, LOC, \"PORTAGG\")":18.5381872854438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001247,7.43859929051954,9.22076567875365,9.22544557635683,9.299010467763],"TRYQA10Y-FDS^FG_YIELD(-10AY,0,Y,,\"YTM\")":[null,2.7255995,3.5394266,null,null,null,null,null,null,null],"TRYCH10Y-FDS^FG_YIELD(-10AY,0,Y,,\"YTM\")":[0.314,null,-0.12,-0.09,-0.176,-0.434,-0.49,-0.111,1.617,0.703],"USDEUR^FG_PRICE_CHANGE(0,-3AM)":0.8051157,"USDAUD^FG_PRICE_CHANGE(0,-3AM)":1.405263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1.85113612015885,2.46081798634908,2.80265475944353,2.92072613428035],"QQQ^P_PRICE_RETURNS_PR('52W',2,-10AY,0,AM)":[28.220104,24.689663,27.359951,34.90254,25.744843,31.558311,26.545883,24.025011,25.07081,19.760979,23.005915,20.75466,18.8362,26.234686,21.040642,14.72975,18.112564,3.8896203,8.152592,14.704251,10.45413,7.46001,-0.1758635,-1.5673637,5.7254076,-2.7783275,0.7788539,1.2783289,5.0141096,13.995767,15.094852,-0.07240772,2.236712,10.98876,25.008858,25.422405,21.769142,31.794012,31.068588,27.310658,25.472868,26.356638,24.603558,35.735,33.310448,34.59725,32.550003,28.080952,21.597313,21.353745,22.553432,26.428091,26.604044,28.324831,25.852608,12.431717,9.353948,-1.7118514,3.8694143,5.9770107,16.007637,19.144058,1.2242913,13.068199,5.271876,2.2239327,4.4576406,19.200314,23.251545,44.13445,35.280823,26.141203,0.62907934,13.577593,35.51959,33.792843,45.479656,51.78802,50.15584,44.45579,52.055157,45.44624,46.215355,40.348995,79.143036,54.35388,43.681442,43.016754,36.63114,33.5145,29.235792,39.538788,26.587343,28.796982,8.931839,11.452341,14.330006,0.3178954,-6.764656,-19.988829,-11.199397,-21.974766,-19.49414,-33.122017,-24.504536,-32.48109,-12.762183,-11.797607,-12.94021,-3.3405364,13.672638,32.186043,15.505242,27.016926,28.380287,42.12197,32.951714,50.15068,38.57497,49.185562,37.34846],"EWL^FG_TOTAL_RETURNC(-10AY,0,AM)":[0.47086477,2.460456,0.34304857,0.87007284,-5.5764256,2.815175,-5.803567,1.1690378,3.2479763,-4.6279488,2.917862,1.8798113,2.2686005,3.4605145,0.97198486,-3.8731813,2.4427056,-8.6546955,-0.12891293,2.742827,-0.91080666,-2.7258277,-5.930269,1.3162374,1.2991428,1.5187383,2.8257966,-1.0553479,0.5031824,2.20294,-0.65317154,-5.8842897,-1.1177063,5.5409074,3.1480193,2.1753192,1.7477036,6.652093,3.6017537,-0.8931458,1.3690591,-1.5517294,2.743733,-1.6193151,0.8374214,3.4364343,1.1904716,-5.991787,-1.4551818,0.62019825,-1.027292,-0.6539345,5.9057593,-0.28893948,-0.92726946,-2.8663337,-0.5721152,-2.967894,4.026222,4.260421,2.5323749,1.8523693,0.854218,5.5404663,-1.5852034,1.2617469,-1.8292725,4.8609376,0.07725954,4.709208,1.4254212,-2.253455,-13.881999,4.9222827,8.010971,1.9616127,4.3544292,0.82484484,-0.19249916,0.40984154,3.8415313,4.4938684,-1.129067,-3.649801,4.4620037,2.4694085,7.4250937,0.77415705,3.0433059,0.5748272,-7.4300346,9.090912,-3.1615973,6.3683987,-7.4081063,-6.0159564,8.4041,-6.5675855,-3.3748925,-5.6098995,4.329002,-7.768565,-1.8745303,0.30566454,10.208225,0.27649403,3.5386086,-2.0195305,3.0804038,6.4820886,-2.6207209,-0.50671697,1.3066292,-1.2682736,-6.4445853,0.51198006,6.066227,4.4968247,-1.1280477,-0.9296477,-0.042653084],"EWG^FMA_DIV_YLD(NTMA,-10AY,0,AM,\"PORTAGG\",\"MEANR\")":[2.92704865530614,3.00546613367846,2.97118918547174,2.97712171938965,3.27952498707205,3.09161741946692,3.29188127460621,3.32106449414923,3.1695357827974,3.20673972066176,2.89514083294979,2.78309024822116,2.68976864034982,2.83130527553843,2.96323636338921,3.05685616476568,2.97523856995384,3.40086124311739,3.51099814566017,2.99982875895864,3.02327542846115,3.16279181876451,3.48413439562242,3.35807651938531,3.33842611335442,3.37974929324668,3.32649893888525,3.45090564501753,3.29355906323087,3.15759180837066,3.13680796954181,3.27905138003926,3.22706974405052,2.95424520894838,2.96780169636894,2.91453132973445,2.918040731529,2.87283087342161,2.89345814013456,3.00041456595016,3.04664267387214,3.12476873166622,2.95776587647489,2.85286242267193,2.91142005379629,2.89864373468423,3.03486414155075,3.26415442174342,3.29106051751067,3.11958434234051,3.1477797933358,3.26814988784593,3.20173208428678,3.30082908432317,3.32760286714725,3.58808191674732,3.66129656338555,3.8803184061531,3.7173364700761,3.57796067458287,3.48588336684598,3.37985280098915,3.58751305212908,3.42631044972663,3.53950872042247,3.49094372410817,3.49708801396196,3.19771155499223,3.11783540977524,3.09872815389408,3.10255154453835,3.3785534524756,4.00760950726393,3.47439046850271,2.85983097116864,2.86559149083768,2.87070045880864,2.85909494160686,2.8779421610387,2.99761251650515,2.77886204184179,2.71128493244629,2.7203220188489,2.81054474086113,2.68998077275861,2.83500708303479,2.77784188246147,2.80248347192271,2.82459967358833,2.84331045133629,3.02504301060152,2.90475684317671,3.15433445094716,2.99933909828433,3.24223569384731,3.86072841516427,3.51401099695744,3.76579621029511,3.7266379651704,4.21192722787975,3.95548918892744,4.1385548345337,4.28060593442704,4.06174750648161,3.70988506937136,3.67638846109114,3.42585563222999,3.48250213639352,3.53662897503116,3.57287175517332,3.618187211125,3.64056174298984,3.70320206673814,3.7175364546224,3.93383801162297,3.93031420690237,3.60905912284384,3.59534421066489,3.53328075397238,3.43139306326823,3.27063157795324],"EWA^FMA_PE(NTMA,-10AY,0,AM,\"PORTAGG\",\"MEANR\")":[14.2984806195286,14.2721515065256,14.1775471088901,14.470144161433,14.7716754991309,14.8904681920022,13.9080576011534,14.5471572676946,14.1094730853552,14.6262194220997,15.758257082409,16.220909830015,16.2523775221701,16.301695757441,15.1638263068372,15.4841375406311,15.7204422358023,13.999494154228,14.2968851204463,15.093278417169,15.064781264346,15.6384303118155,15.3262496654408,15.8199453818539,15.415935362746,16.3553319729932,16.2996290566753,15.999973819414,16.4900617545458,16.2099438092433,16.3576474953088,15.3783155559203,15.6786481105494,15.9978846569998,15.6042763822164,15.7107518687991,15.7971870856378,15.7802607224412,15.39965433794,15.3175279280684,15.6506028945661,15.6384385009527,15.3362843367515,15.946902792774,15.845029356876,16.0193841662017,15.9032455761203,15.3294363410676,14.759298666304,15.310383772271,15.13810878929,15.5010352829042,15.4881824673553,15.5536558232622,15.1138064381411,14.3912145806402,14.1673441049957,13.9949240615902,14.6789558767283,15.4624279720486,15.3844252171123,15.4009511831517,15.4168961445301,16.2872000468238,16.3162212856101,16.1249512629421,16.2497435015316,16.9883030102618,16.8461142675154,17.23769927886,17.7394966894497,16.2783170651856,14.2933351383017,16.773175602281,19.6117734526855,19.2256058688285,19.1987639029907,18.9553895113679,17.8949313774311,18.2357631380362,19.8955331411634,19.1880470887245,18.8496678026363,18.2222691783455,17.6611665393569,18.0117541561927,18.4410063144999,17.3066818034817,17.0996909872917,17.387460383849,17.0244825157634,17.9601600627582,16.9172725511445,17.7139952423083,15.8324556469375,15.6991855448931,16.0905199310405,14.7806516550441,14.2559874186128,12.4724347323239,13.7848691906161,13.5788553456945,13.0926361235895,13.4695934600517,14.5963023095546,14.0266685111293,15.0568337909699,14.5201460991821,14.4792312011978,14.3780592297632,14.3998475346568,15.0142265583721,15.4026298204681,15.5104648620548,14.4006146318785,14.8757381207264,15.3985332724964,16.1764570939353,16.5898470502772,16.6011487989477,16.6093290040088],"ENZL^JULIAN(FMA_DIV_YLD(LTMA,-10AY,0,AM,\"PORTAGG\",\"MEANR\").DATES)":[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4,44533,44565,44596,44624,44655,44685,44715,44743,44777,44806,44838,44869,44897,44930,44960,44988,45020,45050,45079,45110,45142,45170,45203,45233,45264,45295,45324,45355,45385],"WL-FDS^FG_PRICE(0)":650.7,"NI-FDS^FG_PRICE(0)":17230.0,"CPALM-FDS^FG_PRICE(0)":4577.0,"BRENT-FDS^FG_PRICE(0)":85.86,"TIOS-FDS^FG_PRICE(0)":99.89,"EWN^FG_PRICE(0)":49.2,"EWU^FG_PRICE(0)":34.03,"EWC^FG_PRICE(0)":38.03,"CAGDPY@CH^EE_ACTUAL_ANNUAL(MED,+1)":9.2,"CC_JP^FG_COMPANY_NAME":"Japan","USDSEK^FG_PRICE_CHANGE(0,-3AM)":3.5288453,"USDCHF^FG_PRICE_CHANGE(0,-3AM)":6.4666033,"USDUSD^FG_PRICE_CHANGE(0,-3AM)":0.0,"DUMMY^ECON_EXPR_DATA('FDS_ECON[NTCPMIMFGMESA@US]',03/2024,,M)":51.857662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07742399289,12.1999545354885,11.8188093455252,11.94085627567],"TRYUS10Y-FDS^FG_YIELD(-10AY,0,Y,,\"YTM\")":[2.1881,2.2961,2.4752,2.4325,2.6836,1.9185,0.9174,1.5119,3.8776,3.8791],"TRYEU10Y-FDS^FG_YIELD(-10AY,0,Y,,\"YTM\")":[0.5475,0.636,0.2082,0.4294,0.239,-0.189,-0.575,-0.181,2.533,2.004],"EWG^FG_TOTAL_RETURNC(0,-6AM)":22.116161,"ENZL^FMA_PCT_ABOVE_MAVG(200,0,,,,\"PORTAGG\")":50.0,"VGK^SIZE(FG_CONSTITUENTS)":1296,"SPY^FMA_COS_DOWN(\"EPS\",\"1M\",+1,0,,,\"PORTAGG\",\"MEANR\")":156.0,"EWG^FMA_COS_UP(\"EPS\",\"1M\",+1,0,,,\"PORTAGG\",\"MEANR\")":26.0,"EWG^FMA_RBICS_REV_CURRENT(30, LOC, \"PORTAGG\")":22.6656567309621,"ENZL^FG_ROE(0)":5.5980628279606,"REFSEREPO-FDS^PROPER_NAME(0,,,\"SECURITY\",\"NAME\")":"Sweden Repo Rate","REFCHMPR-FDS^(SUBARRAY(NOT_NA(NO_REPEAT_F(FG_YIELD(NOW,-10AY,D))),0,1)-SUBARRAY(NOT_NA(NO_REPEAT_F(FG_YIELD(NOW,-10AY,D))),1,1))*100":-25.0,"REFNZOCR-FDS^FG_YIELD(NOW,,,0)":5.5,"TRYCH10Y-FDS^PCTCHG(FG_YIELD(0,,,,\"YTM\"),FG_YIELD(-3AM,,,,\"YTM\"))":-11.627903,"TRYSE10Y-FDS^FG_YIELD(0,,,,\"YTM\")":2.456,"TRYDE10Y-FDS^FG_YIELD(0,,,,\"YTM\")":2.355,"TRYZA10Y-FDS^JULIAN(FG_YIELD(-10AY,0,CY,,\"YTM\").DATES)":[42004,42369,42734,43098,43465,43830,44196,44561,44925,45289],"CAGDPY@CH^EE_ACTUAL_ANNUAL(MED,0)":7.64151941312264,"CC_DE^FG_COMPANY_NAME":"Germany","USDSEK^FG_PRICE_CHANGE(0,-1AM)":2.106762,"USDCHF^FG_PRICE_CHANGE(0,-1AM)":2.2548676,"USDUSD^FG_PRICE_CHANGE(0,-1AM)":0.0,"USDEUR^FG_PRICE_CHANGE(0,-1AM)":-0.041401386,"USDAUD^FG_PRICE_CHANGE(0,-1AM)":-1.4959216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62479254623,16.6578690191601,22.2710180615552,22.962547023494,24.3153750284337],"EWU^P_PRICE_RETURNS_PR('52W',2,-10AY,0,AM)":[16.230942,17.843163,17.62389,26.970911,13.572359,13.650095,2.785194,-2.4166286,0.66155195,-7.331353,0.5165577,-4.7300816,-5.8742704,-4.5517445,-5.914736,-9.894401,-5.6487503,-16.781504,-7.308316,-2.4153829,-7.2867928,-7.657981,-14.74616,-14.261234,-11.192542,-14.845878,-12.084693,-12.171942,-12.086546,1.2027383,-1.7360866,-12.776971,-7.2517514,1.7604113,8.14364,7.546413,8.020676,9.40963,12.274897,12.39264,14.444172,11.007082,13.841963,21.388126,18.925894,21.31977,20.064354,11.925364,12.631106,12.908363,8.51556,7.9122066,4.6163917,2.3182392,0.93364716,-3.4116209,-6.9810333,-13.488388,-8.593809,-0.92310905,0.70438385,-1.5184402,-7.273543,-0.35901666,-6.133932,-3.082043,-5.0047216,6.627834,10.175467,21.152996,8.346785,-2.755791,-30.456179,-23.862278,-11.423862,-17.175371,-10.833561,-12.353259,-11.932241,-19.61891,-5.536139,-9.943533,-7.432914,4.5408964,43.06388,35.714054,28.433395,30.004692,28.810978,32.05025,29.667377,34.46833,12.290692,18.817627,20.306896,6.2824607,11.846566,5.704832,1.3152957,-4.9628735,-2.8933704,-11.10031,-10.06493,-9.713644,2.7708411,-4.694682,-2.7380228,3.1390548,-0.32954216,4.2043567,1.1889458,11.498857,8.639622,16.719936,14.486181,17.281092,5.7707906,10.053492,4.579401,4.6081543,8.564365],"EWJ^FG_TOTAL_RETURNC(-10AY,0,AM)":[-2.4075627,-1.32159,5.1785707,4.1032553,-1.3957322,-0.9991646,-3.2800674,2.782607,-0.6768167,-3.5241663,3.4635782,5.2360535,3.50734,3.073287,-0.3058076,-0.57451725,-0.31007528,-10.653186,1.3925195,5.9227467,0.6482959,-3.2459676,-6.6219625,3.4111261,-3.3854187,2.6055694,2.7145267,-1.3546884,5.0522685,3.3167481,-0.240767,-0.40225387,0.20194054,2.457416,1.5920401,0.6268382,0.40880442,1.7448545,4.6112895,-2.1239758,3.2777667,-1.178813,2.8629065,5.602145,-0.30410886,5.5491567,0.72733164,-3.770858,0.50024986,0.76322556,-0.36225915,-5.1962137,2.8988123,-1.8268704,2.886951,-6.9979725,-1.8175185,-2.1159828,3.2590032,0.31377077,1.8031359,1.1386156,-4.1458187,4.764414,-2.92691,0.35146475,4.552996,5.183351,0.9218931,-0.5098045,-0.21959543,-8.430677,-13.902754,8.653641,11.166012,-1.1336684,1.6131997,3.5497665,1.2747645,2.041161,10.118341,1.4556527,2.9209018,-1.6009271,2.2629738,-2.5744855,3.251195,-1.6413033,-0.5153954,6.29071,-5.3195953,3.3534288,-4.141164,2.1551132,-5.4336667,-4.7337294,2.0431519,-6.9998384,-1.8084764,-6.0357866,4.9010396,-5.8939877,-2.0049632,-0.8768499,9.94693,-2.9494584,7.200885,-1.1712015,2.718711,-0.33932328,5.549872,0.8521676,-0.4992783,0.42085648,-6.366861,6.730938,0.40322542,2.7290463,5.470979,5.1270366,-0.35755038],"EWC^FMA_DIV_YLD(NTMA,-10AY,0,AM,\"PORTAGG\",\"MEANR\")":[2.91187195860029,2.84969097558561,2.86445334380831,2.79690860600783,2.80379457323574,2.75454630731311,2.91369474506466,3.01487515536736,2.98312231478788,2.90627132915346,2.89425708206254,2.88178560931378,2.88985059263069,2.8164815887255,2.90063917353018,3.0015151753047,3.0603238578867,3.25660419980678,3.30547131549187,3.23383901622166,3.31273288692691,3.38218731965775,3.37988259420051,3.25532814973938,3.19604179371096,3.12594526672503,3.01468549032031,3.0768974137006,2.99334947318124,2.93570045645377,2.97091316617307,2.99276323441794,2.88509080898664,2.80820130989549,2.82487684845552,2.87954070619418,2.89887891681171,2.9703478790569,2.97949800928306,3.05134311316204,3.01971169312734,3.0708359150307,2.96492311897016,2.91559582201892,2.9338021613707,2.87712653979317,3.03444594585367,3.16644044857663,3.23373281075465,3.13343568726582,3.09685861351478,3.07534124195832,3.07070010637545,3.14507608834581,3.18381771176668,3.38607122550708,3.40802649006384,3.57435364282132,3.32334815361779,3.26902675216791,3.23387336333925,3.22124880660834,3.35404683975822,3.28350093395983,3.38638358154247,3.38686604617641,3.38862059274526,3.31757103798366,3.28261076181261,3.26432854776536,3.24030054220613,3.42851730554025,4.4274093326505,3.87249961516204,3.54384417918066,3.52630010189897,3.38246596040062,3.41112968466877,3.4366620525085,3.46780821838772,3.12503235027304,3.11733851643624,3.01969577632129,2.96072006742611,2.80258135035122,2.74529530465899,2.5945381468635,2.70419184812494,2.70078695448748,2.71305785779172,2.83710253849952,2.71956790210307,2.87145110775974,2.78584889082917,2.80362679520632,2.84557885474321,2.81027315276681,3.003028967106,3.10242999425018,3.42241268976922,3.34858581792338,3.47749931269678,3.46134453087201,3.46403487133021,3.28170113423955,3.43467322805486,3.25367565156304,3.28699952186339,3.30508678976919,3.30145862183927,3.31108210263712,3.24699322791431,3.44564650882637,3.44666746952653,3.74058874162209,3.61424336331157,3.44704684590704,3.36761991574715,3.32577774137929,3.22692190062646,3.10659251536143],"ENZL^FMA_PE(NTMA,-10AY,0,AM,\"PORTAGG\",\"MEANR\")":[17.2777830175213,17.7327766438296,17.1443728874014,17.32041006322,16.9940217661714,17.265195330418,17.0817297077626,17.7371668759014,18.0608533316646,18.3613013678912,19.1543353677596,19.2249890279109,18.4899205739579,18.2319462564558,18.3636593132085,18.2289772582524,18.4293396237735,17.2015824314033,16.9700635398646,18.2816422301113,18.1877637495649,18.2707979599419,17.3112897676038,18.0124966648951,18.5112430016437,18.8313003545641,19.4929709603077,19.059687665176,20.08127870695,20.6958794495932,20.2497674276414,18.2150531619003,18.7150183102484,18.7432023333229,19.0975197273083,19.0176230962398,19.1385579728599,19.4408903270487,19.4809545927608,19.4565018600269,19.8184185668558,19.9205763536595,19.812097428364,20.2607857672626,20.3656939917651,21.0151764254555,20.9643662464545,20.254594308011,20.1266114384915,20.3470634754239,20.5236612546943,21.3783934241575,20.9208465976924,21.9367620950543,21.379556949515,20.3149253120883,20.2875400226918,19.9014809258006,20.4225650865482,21.756838462993,22.3734527225135,22.8719638393942,22.4257707859316,23.8934135917171,24.7165971853104,26.160894814946,25.3080438911241,24.846641064738,25.5619582782366,25.8844732111342,25.7694083921871,26.0530051530264,25.4242885862164,29.0263208453065,30.5003832926089,31.1321284630737,32.1107099001027,32.2203180153268,31.9432971831393,32.8851247840324,32.5014169779241,34.2307668021939,32.8783417864856,31.7258643716274,32.1557073601623,32.8124671004042,33.1680746952551,34.284693598756,34.2964603696086,35.0387174218563,34.6050264808366,33.4515095338902,31.1389995890559,32.2591624974692,30.2627647323654,29.4440585686124,28.7143150367713,28.9773357697853,26.88580283941,25.321511584538,26.7479836531182,27.0721715607429,24.0765126476224,23.5008263556533,23.4579902896617,23.2912040875383,24.4064677045089,23.5586680983444,23.3525259913988,23.5702395478718,21.1480622104525,21.0272195398292,20.9329621247701,20.8741750086002,19.9729753984858,20.0526093606653,21.5964084836762,22.8155746618082,22.4393108104604,24.5791019506207,25.0643293624228],"DDR3512M-FDS^MAX(FG_PRICE(0,-5AY))":3.3053632,"PASP-FDS^MAX(FG_PRICE(0,-5AY))":3158.12,"PLATI-FDS^MAX(FG_PRICE(0,-5AY))":1272.59,"W-FDS^MAX(FG_PRICE(0,-5AY))":14.2525,"COPP-FDS^MAX(FG_PRICE(0,-5AY))":4.929,"FC0000JP^FG_PRICE(0)":178.14485,"FC0000NZ^FG_PRICE(0)":391.72736,"EWQ^FG_PRICE_MAVG(0,,,,200)":37.961075,"EWL^FG_PRICE_MAVG(0,,,,200)":45.9433,"EWA^FG_PRICE_MAVG(0,,,,200)":22.7745,"DUMMY^ECON_EXPR_DATA('FDS_ECON[NTCPMIMFGSA@FR]',03/2024,,M)":46.246628,"SPY^P_PRICE(0)/P_PRICE_LOW_PR(0,,,USD,,,\"PRICE\",\"INTRA\",\"52W\")-1":0.27079308,"VWO^PERCENT_CHANGE(FMA_EPS(+1,0,,,,\"PORTAGG\",\"MEAN\"),FMA_EPS(+1,-3AM,,,,\"PORTAGG\",\"MEAN\"))":-3.81954528834501,"EWI^FG_TOTAL_RETURNC(0,-3AM)":10.461998,"EWN^P_PRICE(0)/P_PRICE_HIGH_PR(0,,,USD,,,\"PRICE\",\"INTRA\",\"52W\")":0.97813123,"SPY^FG_TOTAL_RETURNC(0,-12AM)":27.375137,"QQQ^PERCENT_CHANGE(FMA_EPS(+1,0,,,,\"PORTAGG\",\"MEAN\"),FMA_EPS(+1,-1AM,,,,\"PORTAGG\",\"MEAN\"))":0.0509142450721721,"EWL^FG_TOTAL_RETURNC(0,-1AM)":-0.042653084,"EWA^P_PRICE(0)/P_PRICE_LOW_PR(0,,,USD,,,\"PRICE\",\"INTRA\",\"52W\")-1":0.1940372,"CAGDPY@SE^EE_ACTUAL_ANNUAL(MED,+1)":5.4,"CAGDPY@DE^EE_ACTUAL_ANNUAL(MED,+1)":6.5,"CC_NZ^FG_COMPANY_NAME":"New Zealand","USDSEK^FG_COMPANY_NAME":"Swedish Krona per U.S. Dollar","CAGDPY@FR^EE_ACTUAL_ANNUAL(MED,+1)":-1.7,"CAGDPY@AU^EE_ACTUAL_ANNUAL(MED,+1)":0.5,"USDITL^FG_PRICE_CHANGE(0,-3AM)":0.8051157,"USDANG^FG_PRICE_CHANGE(0,-3AM)":0.0,"USDGBP^FG_PRICE_CHANGE(0,-3AM)":0.24075508,"USDJPY^FG_PRICE_CHANGE(0,-3AM)":4.8641324,"USDCAD^FG_PRICE_CHANGE(0,-3AM)":0.999701,"USDNZD^FG_PRICE_CHANGE(0,-3AM)":3.1617284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4,44533,44565,44596,44624,44655,44685,44715,44743,44777,44806,44838,44869,44897,44930,44960,44988,45020,45050,45079,45110,45142,45170,45203,45233,45264,45295,45324,45355,45386],"EWD^FMA_DIV_YLD(NTMA,-10AY,0,AM,\"PORTAGG\",\"MEANR\")":[3.99126325412964,4.11187226650118,4.06745041293963,4.05135199817431,4.28411717912099,4.18828352234158,4.30738999542707,4.21474888694285,4.11893210669832,4.09745096649795,3.83369990842633,3.67019450583995,3.65937690689615,3.79221376969597,3.84371011100898,4.02620848817658,3.97652155166922,4.40894771797914,4.57136566651824,4.12405639252162,4.21571381315639,4.46743525945826,4.51321686424956,4.27244227416144,4.4026623563381,4.50663765653268,4.44920851553594,4.45984828805178,4.36841610803346,4.18540209469836,4.14187166390452,4.24570555871851,4.03949567137985,3.86540113570329,3.67984413142987,3.63830664450521,3.67771797992242,3.512705744293,3.36604315801769,3.56050769275156,3.68728274697132,3.74100517530846,3.52634257028056,3.51379707662705,3.66500534795097,3.70306250932207,3.81273090284385,3.98582247509225,4.16379633671818,4.03374338245727,4.08937100983267,4.17906637120055,4.09562349798691,4.04511214681699,4.05402475913192,4.30719388408219,4.45884851263367,4.64469829440776,4.31295938189837,4.12962975639641,4.07415953652532,4.02507737635489,4.37295300028524,4.09586166696807,4.15208590476921,4.16161607006522,4.04084790133735,3.65991525174396,3.7283381223504,3.59549069827784,3.54475411852234,3.75168603859699,3.99197053126076,3.43330174659054,2.93989721630046,3.00450381832383,3.02706293659028,3.0461361915457,3.03266951949525,3.17647111945367,3.01397459515867,3.08317272541196,2.96552060750515,2.91072312756623,2.75477930334971,2.87953307694289,2.67614977423537,2.69562977519897,2.70739027954473,2.72957626015385,2.93701221097438,2.98785653055212,3.02557242962377,2.7981371187987,2.94404820193675,3.37343342803976,3.08014196320588,3.38130135221629,3.23859296048194,3.63852903608446,3.45892741789907,3.71263331049508,3.62641553834522,3.71907740293099,3.55931357257278,3.64722752407647,3.42777179963472,3.49742819124023,3.64154664014077,3.71116048140106,3.71238319112071,3.72826452489779,3.8619696146599,3.95449652567087,4.10299250333332,3.85626151812081,3.1380418253057,2.98197889413409,3.31409547386913,3.28182580947026,3.22144820849954],"EWQ^FMA_PE(NTMA,-10AY,0,AM,\"PORTAGG\",\"MEANR\")":[14.0521966377966,14.0176256018427,14.2166335785692,14.1361001037127,13.2935719873864,13.952491944265,13.2381987885324,12.901313762166,13.7884594638176,13.7289565546907,15.6072248759,16.248165188513,16.6037523299544,16.3992254777522,16.024036046838,15.3237084896228,15.8528684045159,13.9508657899878,13.8827690699177,15.2915302025362,14.7690731045913,14.1752873396429,13.7223838276463,14.5520858214009,14.2264950589951,14.1861658824392,14.3182960735214,13.6982287872212,13.7897973489736,14.265122056874,13.9989862682257,13.5104488661513,13.7541373927975,14.646981526403,14.3369487502949,14.5341399191049,14.8322729851316,15.4661036765156,15.2634708736995,14.759932603358,14.7740514540149,14.5510852693452,15.1875610945984,15.4478297837694,15.0703722671518,15.0568383033677,14.883011983911,14.1847968466843,14.1087826330934,14.8102091998853,14.4786724922305,13.9214169739867,14.072271243197,13.6047046408345,13.6150947599762,12.8366828005511,12.5664136855346,11.906856111504,12.8703089852673,13.5787893918899,13.8759338479745,14.0397728643122,13.3049018503161,14.0809810226379,13.6054903864722,13.8964850770857,13.77232801751,14.6385133237635,14.4872020603202,15.0300559696275,14.8131268241372,13.8748468856443,12.5360041044414,15.8836698494214,18.9891314999436,19.2809752557241,19.6356045977595,19.1740616356064,18.0821121715273,17.5416791955386,19.0429811293797,18.0701185246774,17.8270398129381,18.0290262833798,18.3004914041401,17.8015614003293,17.8812166732371,17.4625566338393,16.8221721826426,16.2904181610036,15.4223544483447,15.8610419145309,15.1398329374667,16.1030520790099,14.8152666761617,12.5924774156985,13.5609960712083,12.545134622841,12.4292431743521,11.1853188289709,11.8109593984701,11.1241657096226,10.7614842038368,11.4255476671195,12.1846772308317,12.341981719946,13.4166095173354,13.3424034678087,13.3762972054909,13.3878340064485,13.1336131538586,13.2760080130871,13.045112210231,12.9497600687677,12.2142776291676,12.4413113283708,12.9740181619545,13.2628992281579,13.6461392312577,14.3544608486852,14.6382836571051],"QQQ^FMA_PE(LTMA,-10AY,0,AM,\"PORTAGG\",\"MEANR\")":[18.9604589630434,18.7783283384728,18.9017969696518,19.2148765330994,18.9741970650072,19.4119457064866,19.2525087136177,19.7535616683577,20.4343391103326,20.0691968928018,19.7408344854617,20.7570925544997,20.457636356412,20.3785244931196,20.1955568892353,19.9452813801037,20.3655289650461,19.1647038302447,19.2635539720155,20.5611373358865,20.6064489807126,19.9050710063603,18.2619361991922,18.2516666867713,18.4245100522264,18.2737461252963,18.6126621595739,18.6440457276687,19.412035999545,19.6058006620666,19.9465008074335,19.2478778038632,19.6266462216378,20.5913106388023,21.2572761468263,21.7219698335703,21.6535291099736,21.7836219593518,22.1022740381737,21.5399218389232,22.0850486522561,22.3062549192523,22.363092743029,22.9227416283693,22.8368980831031,24.1540038512161,24.1449957666679,24.0788483340659,23.5554020395594,23.265680097237,23.3427693991118,22.9029684507188,23.1215312910434,23.3721615278027,22.9338697397862,21.1234186000788,20.2852841007646,19.0476001414982,20.5389593871857,20.913814128787,21.1567250705163,21.5142552176524,20.8381362011605,21.8952327009466,21.7403634515916,21.9106671441629,22.129203862312,23.2772751727262,23.9209657662154,25.6234835956995,26.4210891810339,23.9970502388216,23.3643675426848,25.0848085988077,26.6459995769387,27.9753211761512,29.0872429404241,30.6448883050624,30.5399241983619,31.5089148655437,33.909425848717,34.6453741154332,35.1318545992393,32.684540374848,32.6716433388025,31.8645531272531,31.4616990484072,32.0171609181533,31.4594183915121,31.8010792817601,29.8608099612789,32.1992350775981,30.8335051969529,31.7861775357966,27.8003756988071,26.5577278574984,26.9680728952301,26.1860660337644,25.236945724813,24.1734814448847,26.0514745076895,24.488897986318,23.5367120069021,22.3801722673231,24.0273413937452,22.6503939800935,26.2413558925897,25.3131845910093,25.6457333081359,25.5090296590998,26.5756661092589,27.3340854363934,26.556177508138,26.7891023421605,26.0432723216829,26.3733159741313,27.4929408737629,28.1941219795856,30.0123963602426,30.3211288264606,29.85209870325],"DDR3512M-FDS^FG_PRICE(0)":0.9590378,"PASP-FDS^FG_PRICE(0)":1030.0,"PLATI-FDS^FG_PRICE(0)":940.0,"W-FDS^FG_PRICE(0)":5.5625,"COPP-FDS^FG_PRICE(0)":4.2465,"FC0000GR^FG_PRICE(0)":9.432228,"EWI^FG_PRICE(0)":37.06,"SPY^FG_PRICE(0)":513.07,"EWJ^FG_PRICE(0)":69.67,"ENZL^FG_PRICE(0)":45.2924,"DUMMY^ECON_EXPR_DATA('FDS_ECON[PMIDMMANHE]',12/2023,,Q)":47.377975,"FXI^P_PRICE(0)/P_PRICE_LOW_PR(0,,,USD,,,\"PRICE\",\"INTRA\",\"52W\")-1":0.16586769,"SPY^FMA_PCT_ABOVE_MAVG(200,0,,,,\"PORTAGG\")":78.2435129740519,"URTH^PERCENT_CHANGE(FMA_EPS(+1,0,,,,\"PORTAGG\",\"MEAN\"),FMA_EPS(+1,-3AM,,,,\"PORTAGG\",\"MEAN\"))":-1.16826436500507,"VGK^FG_TOTAL_RETURNC(0,-3AM)":5.4651737,"USDITL^STD(FG_PRICE_CHANGE(0,-3AY,M))":2.22271940521832,"USDNZD^STD(FG_PRICE_CHANGE(0,-3AY,M))":3.49434304497674,"EWG^P_PRICE_RETURNS_PR('52W',2,-10AY,0,AM)":[29.102266,26.32345,24.071371,32.593227,9.600949,14.710522,-1.3759732,-6.58406,-2.2691429,-9.494901,-0.678277,-4.1408834,-1.9275844,-2.7819932,-6.2819777,-9.212196,0.88648796,-10.846418,-6.742507,1.6219258,-3.8689137,-4.678959,-14.831072,-15.070605,-14.801168,-12.754554,-10.647946,-12.140441,-9.13471,4.3566823,8.280766,-3.9027572,-5.549103,6.8748593,17.315186,17.252659,15.898585,21.236504,24.889278,28.070091,25.200676,19.625902,26.04233,34.221397,36.279,30.26706,25.431501,17.11582,13.197268,10.335505,3.1723619,1.4526725,1.9751787,-0.52205324,-6.8420053,-14.858067,-17.762262,-22.36032,-18.879044,-11.880427,-10.170096,-9.247065,-11.415821,-2.6142836,-10.987127,-8.774209,-7.82271,7.5116158,12.518156,21.277916,11.474824,1.8022776,-24.767273,-18.659157,3.631854,-1.0038435,10.491812,13.644671,13.1447315,-3.0934036,8.499122,12.264717,14.164829,21.217144,70.44282,52.045334,32.85301,29.986143,23.50545,20.918476,15.3719425,27.50659,5.602193,6.087601,1.0309815,-17.34298,-13.58589,-19.527,-21.924717,-30.947208,-28.574562,-36.91226,-32.289516,-32.795994,-16.462332,-19.786913,-8.610535,5.312836,3.34301,12.235176,6.553054,26.880014,21.452105,31.744062,24.0803,27.078379,14.360178,15.30224,4.0325284,13.0116825,12.467098],"ENZL^FMA_DIV_YLD(NTMA,-10AY,0,AM,\"PORTAGG\",\"MEANR\")":[4.08956779228058,4.02334072565347,4.22459215842641,4.421391511775,4.52226183423207,4.55382978474397,4.6018441958213,4.47990058818705,4.50759642453152,4.43586796347832,4.29396463405057,4.27869395824602,4.4138014957123,4.47980108278334,4.42013617145957,4.61186719416915,4.53940046707195,5.22260074814821,5.29837676602734,4.84257685862867,4.78887374216258,4.73019526883236,4.88158054383727,4.73556904345562,4.55408948144109,4.57543464845833,4.32438540893238,4.39813902459698,4.17563823313295,4.19990245517957,4.31175282565325,4.75554800541407,4.57716127993359,4.58549512298602,4.48771596543018,4.53853881969885,4.54873372882403,4.49209203792424,4.41186765273181,4.40722247995424,4.36176346834037,4.38776912924581,4.41232287093179,4.40757024033168,4.34107064650019,4.18763419493342,4.19229139119894,4.28903646170116,4.27968682036714,4.2158892253854,4.17116088116122,4.0145683088214,4.14032000134658,3.91706862281149,4.03406067041509,4.2119740238095,4.11557429556026,4.19553378891551,4.10946320305568,3.88870717429911,3.74390326733271,3.69585971302899,3.78151995234376,3.55098170069715,3.40664928809239,3.3041253025852,3.34766372956525,3.36990445776179,3.26626182715798,3.1561350172961,3.15622527611433,3.12781087423419,3.19252120161163,2.70658803564104,2.54012925470259,2.471428962794,2.36539162375371,2.39305419610162,2.45194195042328,2.40976755305971,2.41401243720251,2.41413886685847,2.50407364765072,2.61719421892369,2.59658834852817,2.55863974543965,2.6873857162312,2.62741353935943,2.61640257026835,2.56673108457664,2.60829846330772,2.68488414758767,2.79989558787856,2.77221804995814,2.9508850358634,3.00709853716239,3.08426673508552,3.09803528603333,3.20359566457096,3.4094977645468,3.18936434001033,3.197503068986,3.41395046271797,3.40484138922669,3.3885573622714,3.43536594976744,3.27893814915574,3.39166294302606,3.39496645294891,3.40701420995227,3.4176437566001,3.41446789241457,3.44632996458741,3.30749301857006,3.44789914814076,3.47318267410976,3.13538169034232,2.98910365953439,2.98201763322357,2.77763087663516,2.76541941820657],"DDR3512M-FDS^FG_PRICE(0)/MAX(FG_PRICE(0,-1AY))":0.848931322569592,"NI-FDS^FG_PRICE_CHANGE(0,-6AM)":-7.36559139784946,"BRENT-FDS^MAX(FG_PRICE(0,-5AY))":140.85,"EWJ^FG_TOTAL_RETURNC(0,-6AM)":21.625053,"QQQ^P_PRICE(0)/P_PRICE_HIGH_PR(0,,,USD,,,\"PRICE\",\"INTRA\",\"52W\")":0.9688432,"QQQ^FMA_COS_DOWN(\"EPS\",\"1M\",+1,0,,,\"PORTAGG\",\"MEANR\")":27.0,"TRYCH10Y-FDS^FG_YIELD_NAME":"Treasury - Switzerland Benchmark Bond 10Y","REFEUREFI-FDS^(SUBARRAY(NOT_NA(NO_REPEAT_F(FG_YIELD(NOW,-10AY,D))),0,1)-SUBARRAY(NOT_NA(NO_REPEAT_F(FG_YIELD(NOW,-10AY,D))),1,1))*100":25.0,"TRYNL10Y-FDS^FG_YIELD(0,,,,\"YTM\")":2.653,"TRYNZ10Y-FDS^FG_YIELD(0,,,,\"YTM\")":4.6541,"VWO^FG_PE(0)":13.8764634594074,"SPY^FMA_PE(LTM,0,,,\"PORTAGG\",\"MEANR\")":25.7985879385621,"EWC^FG_FCF_YIELD_NTM(0)":5.03372753558792,"VGK^FG_TOTAL_RETURNC(0,-1AM)":1.948595,"GLD^P_PRICE(0)/P_PRICE_HIGH_PR(0,,,USD,,,\"PRICE\",\"INTRA\",\"52W\")":0.9909581,"EWI^FG_ROE(0)":13.3049481481239,"TRYUS10Y-FDS^PCTCHG(FG_YIELD(0,,,,\"YTM\"),FG_YIELD(-1AM,,,,\"YTM\"))":2.0493367,"EWN^FMA_EVAL_EBIT(LTMA,NOW,NOW,M,\"PORTAGG\",\"MEANR\")":22.3146023889316,"EWL^FMA_PE(NTMA,0,,,\"PORTAGG\",\"MEANR\")":17.4129977844879,"EWC^FMA_DIV_YLD(NTMA,NOW,NOW,M,\"PORTAGG\",\"MEANR\")":3.10692325273597,"DUMMY^ECON_EXPR_DATA('FDS_ECON[NTCPMIMFGSA@SE]',03/2024,,M)":null,"TLT^FG_TOTAL_RETURNC(0,-6AM)":9.529102,"URTH^FMA_COS_DOWN(\"EPS\",\"1M\",+1,0,,,\"PORTAGG\",\"MEANR\")":536.0,"EWL^JULIAN(FMA_DIV_YLD(NTMA,NOW,NOW,M,\"PORTAGG\",\"MEANR\").DATES)":45379,"EWI^FG_PRICE_MAVG(0,,,,30)":36.83,"TRYCA10Y-FDS^PCTCHG(FG_YIELD(0,,,,\"YTM\"),FG_YIELD(-1AM,,,,\"YTM\"))":3.1616488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7990608176048,2.44949512523756,2.36388795150729,2.65680492825543],"EWD^P_PRICE(0)/P_PRICE_HIGH_PR(0,,,USD,,,\"PRICE\",\"INTRA\",\"52W\")":0.9581328,"EWD^FMA_COS_DOWN(\"EPS\",\"1M\",+1,0,,,\"PORTAGG\",\"MEANR\")":13.0,"EWG^FG_FCF_YIELD_NTM(0)":6.04076073007603,"USDJPY^STD(FG_PRICE_CHANGE(0,-1AY,AM))":2.33291724122423,"SPY^FG_PRICE_MAVG(0,,,,60)":501.52335,"ENZL^FG_PRICE_MAVG(0,,,,200)":46.058037,"EWJ^PERCENT_CHANGE(FMA_EPS(+1,0,,,,\"PORTAGG\",\"MEAN\"),FMA_EPS(+1,-1AM,,,,\"PORTAGG\",\"MEAN\"))":1.88359578975572,"EWN^PERCENT_CHANGE(FMA_EPS(+1,0,,,,\"PORTAGG\",\"MEAN\"),FMA_EPS(+1,-3AM,,,,\"PORTAGG\",\"MEAN\"))":0.82963347019367,"QQQ^PERCENT_CHANGE(FMA_EPS(+1,0,,,,\"PORTAGG\",\"MEAN\"),FMA_EPS(+1,-3AM,,,,\"PORTAGG\",\"MEAN\"))":0.266608218884664,"EWA^FG_TOTAL_RETURNC(0,-6AM)":19.298279,"ENZL^FMA_COS_UP(\"EPS\",\"1M\",+1,0,,,\"PORTAGG\",\"MEANR\")":4.0,"GLD^FG_TOTAL_RETURNC(0,-6AM)":25.056171,"TLT^FG_TOTAL_RETURNC(0,-3AM)":-3.7461877,"EWQ^FG_FCF_YIELD_NTM(0)":5.53763730830221,"USDCAD^FG_PRICE_CHANGE(0,-6AM)":-2.0835578,"DUMMY^ECON_EXPR_DATA('FDS_ECON[NTCPMIMFGSA@NL]',03/2024,,M)":49.698322,"CAGDPY@SE^EE_ACTUAL_ANNUAL(MED,0)":6.76905401199225,"USDITL^STD(FG_PRICE_CHANGE(0,-1AY,AM))":1.91073331543413,"USDNZD^STD(FG_PRICE_CHANGE(0,-1AY,AM))":2.04748538554669,"EWC^P_PRICE_RETURNS_PR('52W',2,-10AY,0,AM)":[10.432541,12.745869,13.546478,27.272224,18.551327,20.838022,9.735859,1.00981,5.2304745,1.180768,1.0248303,-2.5491416,-5.4311695,-2.2017598,-8.2230625,-15.785461,-19.010645,-27.210014,-21.478992,-15.639472,-19.893826,-24.562103,-20.604647,-17.161304,-13.794129999999999,-15.865517,-8.655209,-4.4914007,1.0770559,12.184143,10.388589,6.210375,15.108955,28.46458,32.828667,22.034157,17.342054,8.753693,8.957493,10.485638,12.5300045,12.299013,17.492437,18.242287,13.401354,15.443826,8.843601,5.1779985,4.205477,12.007177,9.249437,7.7688813,7.4887037,2.8838158,0.6470442,-5.7732344,-7.595891,-16.434938,-3.7465394,3.1156063,4.798007,3.4659624,1.0996699,4.6184063,-1.407367,2.5257468,1.1324883,12.190378,14.200628,26.936483,12.819481,4.807341,-23.353922,-13.670069,-3.2618105,-7.2576103,1.2970209,1.9932866,0.38648844,-3.561014,8.997655,6.0762763,8.098173,17.752039,70.401955,52.595043,48.584152,47.161137,36.432194,36.525787,35.574078,45.878746,22.632526,25.799751,23.34894,20.377445,19.512272,9.159064,2.078998,-7.686311,-4.124534,-9.653205,-8.002329,-13.730043,-4.2606235,-11.088496,-4.907775,-7.3590994,-12.632931,-7.9038086,-8.755046,5.9775352,2.1331072,7.3082805,-0.08945465,7.1118116,2.8053522,11.697662,4.2808414,8.796215,12.150717],"ENZL^JULIAN(FMA_DIV_YLD(NTMA,-10AY,0,AM,\"PORTAGG\",\"MEANR\").DATES)":[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4,44533,44565,44596,44624,44655,44685,44715,44743,44777,44806,44838,44869,44897,44930,44960,44988,45020,45050,45079,45110,45142,45170,45203,45233,45264,45295,45324,45355,45385],"DDR3512M-FDS^FG_PRICE_CHANGE(0,-1AY)":-15.1068677430408,"PLATI-FDS^FG_PRICE(0)/MAX(FG_PRICE(0,-1AY))":0.828193832599119,"BRENT-FDS^FG_PRICE_CHANGE(0,-6AM)":-8.21039127645927,"QQQ^FMA_COS_UP(\"EPS\",\"1M\",+1,0,,,\"PORTAGG\",\"MEANR\")":39.0,"TRYJP10Y-FDS^FG_YIELD_NAME":"Japan Benchmark Bond - 10 Year","TRYNL10Y-FDS^FG_YIELD_NAME":"Netherlands Benchmark Bond - 10 Year","VWO^JULIAN(FMA_DIV_YLD(NTMA,NOW,NOW,M,\"PORTAGG\",\"MEANR\").DATES)":45351,"SPY^JULIAN(FMA_DIV_YLD(NTMA,NOW,NOW,M,\"PORTAGG\",\"MEANR\").DATES)":45379,"EWC^FMA_PE(NTMA,0,,,\"PORTAGG\",\"MEANR\")":14.5638721906357,"TLT^P_PRICE(0)/P_PRICE_HIGH_PR(0,,,USD,,,\"PRICE\",\"INTRA\",\"52W\")":0.8512905,"EWN^PERCENT_CHANGE(FMA_EPS(+1,0,,,,\"PORTAGG\",\"MEAN\"),FMA_EPS(+1,-1AM,,,,\"PORTAGG\",\"MEAN\"))":-0.0870743861834556,"QQQ^FMA_PCT_ABOVE_MAVG(200,0,,,,\"PORTAGG\")":66.6666666666667,"EWA^FG_TOTAL_RETURNC(0,-3AM)":2.5608778,"TRYDE10Y-FDS^FG_YIELD_NAME":"Germany Benchmark Bond - 10 Year","VGK^FMA_EVAL_EBITDA(NTMA,0,,,\"PORTAGG\",\"MEANR\")":8.81663370451126,"EWC^FMA_PE(LTM,0,,,\"PORTAGG\",\"MEANR\")":16.9481291423337,"GLD^FG_TOTAL_RETURNC(0,-3AM)":11.726177,"TRYFR10Y-FDS^FG_YIELD(0,,,,\"YTM\")":2.857,"VGK^FG_FCF_YIELD_NTM(0)":5.44587448216539,"TRYPH10Y-FDS^FG_YIELD(-10AY,0,Y,,\"YTM\")":[3.8633,4.1,4.6281,5.6986,7.1730304,4.847582,3.4208684,4.796723,6.9293385,6.0028777],"USDJPY^FG_PRICE_CHANGE(0,-6AM)":1.8193364,"SPY^FG_PRICE_MAVG(0,,,,30)":514.3597,"ENZL^FG_PRICE_MAVG(0,,,,60)":45.92729,"DUMMY^ECON_EXPR_DATA('FDS_ECON[NTCPMIMFGSA@IT]',03/2024,,M)":50.388508,"URTH^FG_TOTAL_RETURNC(0,-12AM)":23.022402,"EWD^FG_ROE(0)":16.089092752547,"TRYGB10Y-FDS^PCTCHG(FG_YIELD(0,,,,\"YTM\"),FG_YIELD(-3AM,,,,\"YTM\"))":8.11758,"EWN^FMA_EVAL_EBITDA(NTMA,0,,,\"PORTAGG\",\"MEANR\")":12.694801166012,"EWL^FMA_PE(LTM,0,,,\"PORTAGG\",\"MEANR\")":15.123385118176,"VGK^FMA_PCT_ABOVE_MAVG(200,0,,,,\"PORTAGG\")":58.4313725490196,"EWU^SIZE(FG_CONSTITUENTS)":85,"TRYGB10Y-FDS^PCTCHG(FG_YIELD(0,,,,\"YTM\"),FG_YIELD(-1AM,,,,\"YTM\"))":-5.3364887,"CC_IT^IMF_IFS_RCPI_Q(0)":null,"QQQ^FMA_EVAL_EBIT(LTMA,NOW,NOW,M,\"PORTAGG\",\"MEANR\")":24.8021456849371,"EWC^JULIAN(FMA_DIV_YLD(NTMA,NOW,NOW,M,\"PORTAGG\",\"MEANR\").DATES)":45379,"EWI^FMA_DIV_YLD(NTMA,NOW,NOW,M,\"PORTAGG\",\"MEANR\")":5.07522241707554,"CAGDPY@NL^EE_ACTUAL_ANNUAL(MED,+1)":8.4,"USDITL^FG_PRICE_CHANGE(0,-6AM)":-3.4550905,"USDNZD^FG_PRICE_CHANGE(0,-6AM)":-2.5244176,"EWA^P_PRICE_RETURNS_PR('52W',2,-10AY,0,AM)":[1.6517997,-0.17859936,11.803877,24.479712,18.001223,15.764093,-1.6106427,-2.4518847,-1.9176424,-4.2111754,2.504325,-1.6208589,-7.1191072,-6.6057324,-13.72115,-14.640504,-15.93287,-31.9309,-19.851887,-19.89538,-12.89196,-10.913807,-18.246496,-14.942569,-13.134087,-12.211114,-7.23322,-4.1840973,2.1245122,16.572071,18.702257,9.245718,11.01048,16.10179,29.576897,22.263348,23.461746,17.359234,17.368757,15.886378,14.530647,17.78332,12.707853,19.525564,15.125334,18.325603,14.181746,8.483934,2.6655793,8.189785,10.211266,8.581138,5.347359,1.8112302,1.0028839,-5.0801573,-5.243933,-11.772644,-6.6702127,-0.72155,3.9209604,1.8324375,2.092445,7.58754,3.8296342,3.9319515,7.159722,15.1681185,15.81223,23.516106,13.974047,1.3978362,-29.292292,-21.043856,-6.5898476,-8.731431,-5.2544775,-3.7026525,-4.2097807,-6.342536,8.43389,9.303045,10.684454,23.186886,71.34552,61.05533,41.666805,34.843563,31.591928,32.059715,29.041218,30.69415,6.367135,10.424399,-1.0750234,4.1222334,12.407219,2.3065686,-2.556628,-12.843555,-7.7774343,-11.771387,-10.988736,-13.027495,2.5674105,-6.091082,12.050533,1.271224,-9.438539,-6.079352,-5.7606754,11.562956,3.4651756,6.2711596,4.0863276,11.39791,-0.99794865,9.846079,-1.597786,6.381047,9.739197],"EWI^FMA_PE(NTMA,-10AY,0,AM,\"PORTAGG\",\"MEANR\")":[14.2212595021542,14.0708482211635,14.1716625503396,14.7785325321067,13.6396566259806,14.3796105072559,13.2073275393212,12.301998011983,12.8090566763635,12.3465411669524,14.2793109121398,15.2610265141404,15.9388310177707,15.8914442549752,15.5045082139394,14.8304003267738,15.3796391842502,14.0801466921182,13.9538705482463,14.7557754064176,14.5402042731772,13.9620651057295,12.4521091193606,13.2250057853165,12.7500448691093,12.9121217132276,12.7778702479836,11.8557083830139,12.0914013738476,12.5206266110849,11.6898816711743,11.4746380817115,12.014925970761,13.7198633185164,12.9864369833174,13.3715242527145,13.5088662528605,13.7067949014255,13.3007485007019,13.2911156316648,13.5749941714021,13.3394042700422,13.5974383722529,13.7293486959989,13.4160196237327,13.2546031444468,13.0654642426309,12.3046923683967,12.4075853450745,13.2173491316891,11.7130393439483,11.4468033693622,11.3942858634379,10.6164346981033,10.5721799142306,9.94002956158159,9.60087780931526,9.42590620139115,9.90666269821955,10.4786916959104,10.923163395018,10.8935892251122,9.95473517348031,10.8047167214337,10.3747233306414,10.6711153335973,10.4737335321711,11.3452837013623,11.15020385013,11.4631351033453,11.4889814663776,10.5287998030365,9.5976681545152,12.9695299896013,17.6544194630382,17.9760991754632,16.491571431043,15.5007221673687,14.5590336185972,14.0379655693388,15.1804070132994,14.7743712672419,14.0779901231629,13.5098077828441,14.0471705125076,13.3022681019328,13.7319688728286,13.4337090345574,12.1118347771608,11.9288059196513,11.511751906207,11.7955687332937,10.6649134370866,11.3657601300363,10.5799456219617,8.93157367124482,9.75084099637307,9.17668325792174,8.76345679183419,7.70345533018875,7.7403876802686,7.64077774858365,7.5368975923427,8.07487083045603,7.88857804052585,7.9419834681083,8.41203256935796,8.7761051157398,8.49656591540779,8.33684161500357,8.54537760711136,8.84448989022233,8.38897770850312,8.48261079696335,8.00782357711585,8.16804802574917,8.6681648777691,8.94995350182723,9.00388375619441,9.31661856958183,9.74082517073586],"DDR3512M-FDS^FG_PRICE_CHANGE(0,-6AM)":-3.96211269416613,"PLATI-FDS^FG_PRICE_CHANGE(0,-1AY)":-7.66208251473477,"COPP-FDS^FG_PRICE(0)/MAX(FG_PRICE(0,-1AY))":1.0,"ENZL^FG_PRICE_MAVG(0,,,,30)":45.468914,"URTH^P_PRICE(0)/P_PRICE_LOW_PR(0,,,USD,,,\"PRICE\",\"INTRA\",\"52W\")-1":0.24062777,"EWI^FG_TOTAL_RETURNC(0,-6AM)":27.341557,"EWN^FMA_PCT_ABOVE_MAVG(200,0,,,,\"PORTAGG\")":62.962962962963,"EWU^FG_TOTAL_RETURNC(0,-12AM)":8.564365,"EWA^FG_TOTAL_RETURNC(0,-1AM)":1.7069101,"VWO^FMA_COS_UP(\"EPS\",\"1M\",+1,0,,,\"PORTAGG\",\"MEANR\")":724.0,"EWN^FG_ROE(0)":9.60341928129243,"TRYCA10Y-FDS^FG_YIELD_NAME":"Canada Benchmark Bond - 10 Year","VGK^FMA_DIV_YLD(NTMA,NOW,NOW,M,\"PORTAGG\",\"MEANR\")":3.58691570365969,"EWN^FG_FCF_YIELD_NTM(0)":3.86369549252587,"EWA^FMA_EVAL_EBIT(LTMA,NOW,NOW,M,\"PORTAGG\",\"MEANR\")":12.4430506058536,"TLT^FG_TOTAL_RETURNC(0,-1AM)":-1.1660457,"GLD^FG_TOTAL_RETURNC(0,-1AM)":7.9128623,"EWA^FG_ROE(0)":12.8660004597465,"TRYIT10Y-FDS^PCTCHG(FG_YIELD(0,,,,\"YTM\"),FG_YIELD(-3AM,,,,\"YTM\"))":-2.8083956,"USDGBP^STD(FG_PRICE_CHANGE(0,-1AY,AM))":1.99438808226442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954429,3.67789541888801,4.61613856406357,4.46089542599279,4.56547558451215],"CPALM-FDS^FG_PRICE_CHANGE(0,-6AM)":25.5348326933626,"TRYGB10Y-FDS^FG_YIELD_NAME":"United Kingdom Benchmark Bond - 10 Year","EWD^FMA_PE(LTMA,-10AY,0,AM,\"PORTAGG\",\"MEANR\")":[15.3798180919709,15.4457277166589,15.739347939926,15.9551548654774,15.8355760500575,15.9221746553735,15.7984597954535,16.5002996588234,17.230893150017,17.5611304283267,18.7306595236697,20.2058847364245,19.9577239367745,19.2326555199115,19.150692837615,18.5594823200711,18.4234555013061,17.1706881063775,16.4681325303132,17.4446667488981,16.8085658844358,15.450058104013,14.8076271088276,15.6493999203538,15.5552695103873,15.5074650500016,15.4832213384227,15.4538294040505,15.7000002003564,16.2003736307799,16.606433066163,16.5204798150493,17.3004395096195,18.3459614003345,17.317713288186,17.4512606454946,17.5472795163147,17.6820533787236,18.1528829143027,17.6072549666568,17.0737358104253,16.9755886646677,17.8543199534358,18.5544382013791,18.1084189134506,18.1977190468129,18.7371641814784,16.8815747774007,16.7003927546224,16.7673617804807,16.6057942513812,16.3719159528033,16.5915548331113,16.748752323118,16.8242164943209,15.4743853477997,14.7477333239919,14.0807560582387,16.2360867570493,18.1413254465354,17.8975620199403,17.8458656942351,17.0206295644761,17.2219803572401,16.602151412974,15.9032969831556,16.0615937473674,17.0926881905473,15.8071957858691,16.3304978701501,14.2536553446641,12.9753017465392,13.0287293315988,14.758706366445,16.4453890852946,17.5640069723943,17.1731466304469,17.2284508791936,18.0136853420958,15.6753382238687,17.1069520176661,18.1121546218433,18.0343889978083,17.6859858665392,18.1673704623605,17.4105700913147,17.8751875310426,18.0061697759588,17.6230205409879,17.5730624658363,16.811243580916,16.6826493212292,16.1153719487788,17.1512450897425,12.2284218628565,11.5152950085135,12.1681805238753,12.1913369461408,13.8630577199966,13.3069347106137,14.6692892492176,14.4771349899775,14.9465290510846,13.5804089871011,14.5317646598554,15.9798805202751,27.3012639592114,25.5878672523704,24.2816104656906,23.1207611768837,22.008261131145,20.7749189327177,19.2345647996501,17.9375657942862,16.3321204170141,15.9296627065828,17.4884177535718,17.4733838526807,15.2414895529794,15.9438690911167,16.0445922192266],"SPY^FG_TOTAL_RETURNC(0,-6AM)":21.689188,"TRYJP10Y-FDS^FG_YIELD(0,,,,\"YTM\")":0.7705,"CAGDPY@NL^EE_ACTUAL_ANNUAL(MED,0)":10.0892019550425,"USDJPY^FG_PRICE_CHANGE(0,-1AM)":0.7774353,"ENZL^P_PRICE_RETURNS_PR('52W',2,-10AY,0,AM)":[17.150486,16.83098,22.31548,30.837477,19.778835,19.730007,3.2989383,4.091513,12.038898,12.037039,9.210003,5.862677,0.28384924,-3.0759811,-2.936387,-12.836796,-9.511447,-18.822788,-12.216579,-4.7795057,-3.8832843,-1.8617272,-4.463917,-2.192074,5.016458,7.2190166,16.923582,28.644062,37.555813,54.73617,47.15737,21.719158,21.443928,14.096558,27.463282,17.188692,9.827339,7.509804,12.160254,11.530256,8.658624,3.5515904,7.081735,11.770832,12.457013,23.917734,17.842329,19.512165,21.34074,18.918526,12.546301,9.683716,3.1799197,8.676159,4.2794466,4.338491,9.537161,-0.55550337,2.2238493,6.2977552,8.569729,11.211443,7.591808,14.625942,17.511045,14.007938,15.398109,18.587149,21.198225,30.63575,20.254648,14.272904,-12.056404,-3.0038893,11.837411,10.6545925,12.263048,14.080179,16.166342,18.331087,20.438362,20.568966,22.484947,15.000868,42.820213,36.067116,16.183472,9.935581,7.1643233,11.862826,9.759402,5.466783,-10.549808,-10.612231,-18.412853,-7.857114,-8.8708105,-20.595497,-18.559015,-25.094341,-18.496973,-25.261963,-30.241371,-27.123564,-13.168865,-15.83479,-2.5783718,-7.9734683,-7.849926,1.4854908,0.87914467,12.314892,-0.4055202,-0.37047267,4.5149803,5.0468206,-6.069231,-0.2176106,-10.102999,-6.575328,-7.1061015],"EWD^FMA_PE(NTMA,-10AY,0,AM,\"PORTAGG\",\"MEANR\")":[15.9093508116535,15.6444081505704,15.853796393959,15.8493885641385,15.163305978966,14.7973149005033,14.3306098956464,15.1379904937799,15.56812668895,15.580527381065,16.2558739834123,17.0672706736385,17.0216798453716,15.8770949216739,16.2381145879512,15.5856786497829,15.8974078514511,14.5337713870876,14.1462302046591,15.7638695124564,15.301358425341,14.4413252976912,14.62021722787,15.5575452499885,15.0125542245811,14.8024286787735,14.7761017947686,14.6967790020612,14.9968884719293,15.6461650170137,15.9178033902776,15.466357740438,15.958798335709,16.5733138338338,16.5227064130977,16.488603046213,16.9128482510411,17.1818242004973,18.0717772891166,16.6697160211889,16.1106291583542,15.965060274012,16.9648734783742,17.3618010522557,16.6024346262441,16.3783030690931,16.4732815841935,15.7541759072653,15.35327676715,15.820382466456,15.5265204930381,15.1698699116889,15.564368026137,15.7660969941905,15.7656655373605,14.6065068232269,14.0917756118493,13.6203556981464,14.2367223706847,14.9217633132031,15.1447966534783,15.6580016634076,14.2765890235674,15.2217776892763,14.5782762926816,13.9464444869873,14.5253212411624,16.0299800937763,15.5720624395908,16.235378578864,16.469778927253,15.3606499794055,14.2429722245466,17.3068552138749,19.6086735305681,19.6962540659764,18.4478824296414,17.9733323421819,18.1470522982212,16.3306391505959,17.3762930348252,18.1626013908034,19.0206051108383,19.2398142909215,20.27506424948,17.7102748503045,18.6787387457973,18.6967714074991,18.6593898065095,18.6210488187677,17.6172395938232,18.5761582939348,18.3813314276853,18.8499718747031,16.3173333593777,14.0150025829956,15.3836944817878,14.1800480710316,16.2081109790291,14.1175287451597,15.1150235832609,13.9407915066379,13.6457375071227,12.6298503995159,13.2020134169641,13.0640349409698,14.5470690149429,14.2596382623585,13.7710976725235,13.5747628533147,13.6792109597076,13.5505958218221,13.1148555256884,12.9963127778167,12.6074397672099,12.8675068537968,14.67838682751,15.3592789493714,15.6426811464277,16.2959084605393,16.3743618059798],"DDR3512M-FDS^FG_PRICE_CHANGE(0,-3AM)":-1.8451865865834,"PLATI-FDS^FG_PRICE_CHANGE(0,-6AM)":6.93970420932879,"COPP-FDS^FG_PRICE_CHANGE(0,-1AY)":6.60223421614159,"QQQ^FG_PRICE_MAVG(0,,,,200)":392.362,"EWU^FMA_COS_DOWN(\"EPS\",\"1M\",+1,0,,,\"PORTAGG\",\"MEANR\")":38.0,"TRYCH10Y-FDS^PCTCHG(FG_YIELD(0,,,,\"YTM\"),FG_YIELD(-1AM,,,,\"YTM\"))":-8.02548,"TRYFR10Y-FDS^FG_YIELD_NAME":"France Benchmark Bond - 10 Year","CC_SE^IMF_IFS_RCPI_Q(0)":null,"VGK^FG_PE_NTM(0,,,90,0)":13.197261195963,"QQQ^FMA_EVAL_EBITDA(NTMA,0,,,\"PORTAGG\",\"MEANR\")":15.9910991679896,"EWJ^FMA_EVAL_EBIT(LTMA,NOW,NOW,M,\"PORTAGG\",\"MEANR\")":18.1571800711343,"DUMMY^ECON_EXPR_DATA('FDS_ECON[NTCPMIMFGSA@EME]',12/2023,,Q)":50.624123,"USO^P_PRICE(0)/P_PRICE_HIGH_PR(0,,,USD,,,\"PRICE\",\"INTRA\",\"52W\")":0.98775357,"EWU^FMA_EVAL_EBITDA(NTMA,0,,,\"PORTAGG\",\"MEANR\")":7.47183886571848,"EWG^FMA_EVAL_EBIT(LTMA,NOW,NOW,M,\"PORTAGG\",\"MEANR\")":13.3191447868824,"URTH^PERCENT_CHANGE(FMA_EPS(+1,0,,,,\"PORTAGG\",\"MEAN\"),FMA_EPS(+1,-1AM,,,,\"PORTAGG\",\"MEAN\"))":0.074723921059138,"USDANG^STD(FG_PRICE_CHANGE(0,-1AY,AM))":0.0,"EWQ^FMA_EVAL_EBITDA(NTMA,0,,,\"PORTAGG\",\"MEANR\")":9.36142366916741,"DBA^FG_TOTAL_RETURNC(0,-3AM)":19.691122,"VWO^FG_TOTAL_RETURNC(0,-1AM)":1.5189886,"FXI^SIZE(FG_CONSTITUENTS)":51,"TRYCN10Y-FDS^FG_YIELD(-10AY,0,Y,,\"YTM\")":[3.653331,2.901145,3.070911,3.93859,3.259862,3.197311,3.1948,2.7893,2.855,2.574],"USDITL^FG_PRICE_CHANGE(0,-1AM)":-0.041401386,"USDNZD^FG_PRICE_CHANGE(0,-1AM)":0.9518266,"URTH^P_PRICE(0)/P_PRICE_HIGH_PR(0,,,USD,,,\"PRICE\",\"INTRA\",\"52W\")":0.980095,"EWI^FG_TOTAL_RETURNC(0,-1AM)":3.1737328,"EWQ^FG_TOTAL_RETURNC(0,-12AM)":9.653997,"EWU^P_PRICE(0)/P_PRICE_LOW_PR(0,,,USD,,,\"PRICE\",\"INTRA\",\"52W\")-1":0.12906432,"EWA^PERCENT_CHANGE(FMA_EPS(+1,0,,,,\"PORTAGG\",\"MEAN\"),FMA_EPS(+1,-3AM,,,,\"PORTAGG\",\"MEAN\"))":-0.0480701966627781,"VGK^FMA_COS_DOWN(\"EPS\",\"1M\",+1,0,,,\"PORTAGG\",\"MEANR\")":558.0,"EWQ^FG_ROE(0)":12.8395372170296,"REFCATARG-FDS^(SUBARRAY(NOT_NA(NO_REPEAT_F(FG_YIELD(NOW,-10AY,D))),0,1)-SUBARRAY(NOT_NA(NO_REPEAT_F(FG_YIELD(NOW,-10AY,D))),1,1))*100":25.0,"CC_NL^IMF_IFS_RCPI_Q(0)":null,"EWN^FMA_DIV_YLD(NTMA,NOW,NOW,M,\"PORTAGG\",\"MEANR\")":2.51696007967442,"EWJ^FMA_EVAL_EBITDA(NTMA,0,,,\"PORTAGG\",\"MEANR\")":10.7105239775199,"EWA^FMA_EVAL_EBITDA(NTMA,0,,,\"PORTAGG\",\"MEANR\")":8.62903880582066,"USO^FG_TOTAL_RETURNC(0,-6AM)":8.837152,"SPY^P_PRICE(0)/P_PRICE_HIGH_PR(0,,,USD,,,\"PRICE\",\"INTRA\",\"52W\")":0.9780027,"EWJ^FMA_PE(NTMA,0,,,\"PORTAGG\",\"MEANR\")":15.514730653461,"DBA^FG_TOTAL_RETURNC(0,-6AM)":21.637737,"EWJ^FG_PRICE_MAVG(0,,,,200)":63.5592,"ENZL^FG_TOTAL_RETURNC(0,-6AM)":5.3427696,"EWU^FG_FCF_YIELD_NTM(0)":6.13025339918515,"CAGDPY@DE^EE_ACTUAL_ANNUAL(MED,0)":6.01260398456499,"EWU^PERCENT_CHANGE(FMA_EPS(+1,0,,,,\"PORTAGG\",\"MEAN\"),FMA_EPS(+1,-3AM,,,,\"PORTAGG\",\"MEAN\"))":-2.50734165921287,"ENZL^PERCENT_CHANGE(FMA_EPS(+1,0,,,,\"PORTAGG\",\"MEAN\"),FMA_EPS(+1,-1AM,,,,\"PORTAGG\",\"MEAN\"))":-2.19165331063824,"EWG^FMA_EVAL_EBITDA(NTMA,0,,,\"PORTAGG\",\"MEANR\")":8.52317624461542,"ENZL^FG_TOTAL_RETURNC(-10AY,0,AM)":[3.2574058,3.7950635,-4.798901,4.2865157,-5.1565886,0.47169924,-5.3867044,4.0480494,1.6014099,0.65152645,-0.47944188,4.2089224,-2.0681202,0.19875765,-4.6617928,-6.8306627,-1.030916,-9.866905,3.5955071,11.465764,2.557683,2.768457,-3.1182766,6.6870093,5.1495433,2.3002744,4.3278575,1.8619895,6.1290264,3.278327,-3.279382,-7.8026533,0.49505234,-1.6901791,7.7511787,-3.5509825,0.66509247,0.14157295,6.4443946,3.570068,3.3964753,-2.5689662,1.0373831,-2.6310146,-0.065904856,8.328772,1.3650417,-0.67332983,1.7460942,-1.8574536,0.7405877,0.9357929,-2.3863375,2.2549987,-3.0502856,-2.0408154,4.340279,-1.6525507,4.1980624,3.285122,3.9207816,0.09624958,-2.1153808,7.5347543,0.40801764,-1.1267126,-1.8681109,0.66628456,6.6376686,3.9060473,-2.143979,-1.8525124,-19.453716,9.618986,12.86186,4.9372435,3.2849908,0.47369003,-1.7285764,4.269111,8.536696,4.018724,-0.58892965,-7.8495207,0.2089262,4.2502046,-3.6307693,-0.705868,0.68137646,4.3667316,-3.103286,0.1912117,-7.6812983,3.6479712,-9.264255,4.0729046,-0.89349747,-9.162641,-2.8948903,-8.27806,11.025942,-4.8131647,-9.0676365,4.6691775,11.947989,-1.2857795,5.788827,-4.1425824,1.045227,0.03978014,-2.8633952,1.476562,-1.5484989,-5.8360934,-3.5384655,0.95694065,4.3105364,4.8638344,-2.5063157,-2.6139557,0.4711628],"CC_AU^IMF_IFS_RCPI_Q(0)":null,"EWN^FMA_PE(NTMA,-10AY,0,AM,\"PORTAGG\",\"MEANR\")":[14.418707515667,14.0451316802475,14.3800567280407,14.7610889154335,13.7294911063854,14.7653683477746,14.3962121736047,14.4135973072754,15.0439316831914,14.7415881880381,15.7019018979136,17.0136250070939,17.2941740768059,16.9538857876576,16.7297485233588,16.3203363371118,16.9682422223256,14.6664536541852,14.3419530965628,16.078528391647,15.7565480733989,15.0388291543828,14.6044140747346,15.1896219004673,15.1561427806192,14.603579269761,15.0861469584859,14.211112750831,14.5524481630844,15.3407069268504,15.0830307082648,14.2561430437559,14.2262921960439,15.1317023246567,15.1490347352061,15.8009171850079,16.0042483804641,16.6083855987058,16.396469374385,15.7501055642313,16.0716205213413,15.6909424418986,16.1080941462545,16.421423660795,15.8832519495267,16.1081624498857,16.011029812542,15.1871700478783,15.2429707910015,15.6208701701628,15.8205115180746,15.4454391834472,15.9445439213679,15.497601097526,14.7537683106234,14.2175372558626,14.1374857249048,13.120370306583,14.2087512348359,15.0009042817828,15.5192273397544,15.7858604141071,14.9799713441675,15.7382749530245,15.3613052878032,15.6661311663915,15.9062927151525,16.4612623214344,16.53655627522,17.1873998153889,17.3116125540237,16.2725019714599,14.0657699374322,16.7837318948459,19.3582961816099,19.8346728837101,19.8699556901521,19.1851884180544,19.4526676632613,19.5392742750028,20.5535144995925,20.7947347911555,21.7830216283646,20.9576466091829,22.7386617085589,21.2908190435194,21.3284086523289,21.3058755207648,21.7471664019874,21.9478951637422,19.8970361525138,21.6208439913169,19.773992773068,20.6173908746817,18.2609067744502,16.2720875388512,18.5916895804458,16.8180125893736,17.2274205339076,15.8399376892068,18.1562179065952,15.9523177472139,15.2188563796483,14.9663822434631,16.4611003122291,16.1219242527655,17.3668687115047,16.7098726092205,16.4467508226458,15.5564599446876,15.7493170433063,15.9315641469897,15.672465387952,14.7321958642112,13.4061208050897,13.892861480338,14.596409800095,14.7398749071124,15.7826981798186,16.066389275882,16.2980432109986],"DDR3512M-FDS^FG_PRICE_CHANGE(0,-1AM)":-1.04229007222739,"PLATI-FDS^FG_PRICE_CHANGE(0,-3AM)":-3.58974358974359,"COPP-FDS^FG_PRICE_CHANGE(0,-6AM)":18.4849330357143,"QQQ^FG_PRICE(0)":435.34,"EWU^FMA_COS_UP(\"EPS\",\"1M\",+1,0,,,\"PORTAGG\",\"MEANR\")":38.0,"REFCATARG-FDS^FG_YIELD(NOW,,,0)":5.0,"TRYJP10Y-FDS^PCTCHG(FG_YIELD(0,,,,\"YTM\"),FG_YIELD(-3AM,,,,\"YTM\"))":25.182783,"VGK^FG_PE(0)":12.7837027837717,"QQQ^FG_FCF_YIELD_NTM(0)":3.73245206594583,"EWJ^FG_FCF_YIELD_NTM(0)":4.10364234560562,"VGK^JULIAN(FMA_DIV_YLD(NTMA,NOW,NOW,M,\"PORTAGG\",\"MEANR\").DATES)":45351,"EWJ^FG_PRICE_MAVG(0,,,,60)":68.29933,"TRYIT10Y-FDS^FG_YIELD_NAME":"Italy Benchmark Bond - 10 Year","CAGDPY@FR^EE_ACTUAL_ANNUAL(MED,0)":-1.20455654888099,"USDEUR^FG_PRICE_CHANGE(0,-1AY)":0.93393326,"USDNZD^FG_COMPANY_NAME":"New Zealand Dollar per U.S. Dollar","EWI^FG_TOTAL_RETURNC(-10AY,0,AM)":[7.3538184,0.84222555,-1.6703725,1.9749284,-7.4887395,-0.24346113,-7.8706446,-5.0993385,1.3258934,-5.477089,2.6412249,4.5032144,3.2831788,2.1854281,1.6850233,-2.8431296,2.3364544,-6.5883875,2.4441361,-0.6816685,-0.34316778,-6.467533,-13.146234,1.6156435,-0.5857706,3.1144738,-1.6326487,-7.64913,-0.4621029,6.499529,-5.405402,-0.27650595,2.2643209,12.460661,-1.4598548,0.94650984,3.9951086,7.4480534,3.4294128,0.74261427,7.985747,0.46219826,1.1830449,1.3965487,-1.2171686,2.8014183,5.2965403,-5.0903616,2.5388837,5.199635,-10.826719,-1.7426908,-0.37969947,-4.712409,-0.6181836,-5.7446003,-2.4068356,0.3109932,4.9799204,3.7107944,3.9468765,-0.14194846,-4.584217,8.991135,-5.127299,2.4599314,-1.9643485999999999,9.499073,-2.0332098,2.716422,-0.23736954,-6.016314,-29.150087,4.951501,19.795715,0.8410573,3.9056182,0.0,-4.189515,0.36779642,19.096088,2.2737026,0.8763075,-0.13364553,6.457007,-1.037085,8.320105,-3.4692883,0.030744076,1.7516851,-4.2283354,7.4424505,-7.279128,7.588315,-2.417183,-18.715595,12.151993,-5.3002357,0.4250884,-11.981976,1.9826531,-7.614422,1.6221046,7.8516006,11.839998,1.6126037,7.359767,2.5291204,-0.5517721,1.8603086,-1.3777614,6.3148737,0.5948663,-0.9025872,-7.44347,6.345439,5.392468,2.8558016,0.23845434,6.8093896,3.1737328],"FXI^FG_TOTAL_RETURNC(0,-12AM)":-14.229697,"URTH^FG_TOTAL_RETURNC(0,-6AM)":20.95312,"EWI^PERCENT_CHANGE(FMA_EPS(+1,0,,,,\"PORTAGG\",\"MEAN\"),FMA_EPS(+1,-3AM,,,,\"PORTAGG\",\"MEAN\"))":1.83311398993487,"EWQ^P_PRICE(0)/P_PRICE_LOW_PR(0,,,USD,,,\"PRICE\",\"INTRA\",\"52W\")-1":0.21093285,"EWU^P_PRICE(0)/P_PRICE_HIGH_PR(0,,,USD,,,\"PRICE\",\"INTRA\",\"52W\")":0.98564255,"EWG^P_PRICE(0)/P_PRICE_HIGH_PR(0,,,USD,,,\"PRICE\",\"INTRA\",\"52W\")":0.98123246,"EWA^PERCENT_CHANGE(FMA_EPS(+1,0,,,,\"PORTAGG\",\"MEAN\"),FMA_EPS(+1,-1AM,,,,\"PORTAGG\",\"MEAN\"))":1.96229351400412,"VGK^FMA_COS_UP(\"EPS\",\"1M\",+1,0,,,\"PORTAGG\",\"MEANR\")":421.0,"SPY^FG_ROE(0)":18.0463937280968,"CC_FR^IMF_IFS_RCPI_Q(0)":null,"EWN^FMA_PE(NTMA,0,,,\"PORTAGG\",\"MEANR\")":16.2980432109986,"EWJ^FMA_DIV_YLD(NTMA,NOW,NOW,M,\"PORTAGG\",\"MEANR\")":2.15743515502352,"EWA^FG_FCF_YIELD_NTM(0)":4.86275677756686,"USO^FG_TOTAL_RETURNC(0,-3AM)":21.755207,"REFCATARG-FDS^PROPER_NAME(0,,,\"SECURITY\",\"NAME\")":"Canada Target Rate","TRYJP10Y-FDS^PCTCHG(FG_YIELD(0,,,,\"YTM\"),FG_YIELD(-1AM,,,,\"YTM\"))":8.292342,"TRYUS10Y-FDS^FG_YIELD_NAME":"US Benchmark Bond - 10 Year","QQQ^FMA_DIV_YLD(NTMA,NOW,NOW,M,\"PORTAGG\",\"MEANR\")":0.883015287844022,"EWI^FG_PRICE_MAVG(0,,,,60)":35.277,"TRYCA10Y-FDS^PCTCHG(FG_YIELD(0,,,,\"YTM\"),FG_YIELD(-3AM,,,,\"YTM\"))":10.227695,"EWI^FG_FCF_YIELD_NTM(0)":6.27000483068772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USDCAD^STD(FG_PRICE_CHANGE(0,-1AY,AM))":1.22982214217785,"EWA^FG_TOTAL_RETURNC(-10AY,0,AM)":[3.0652761,1.4677525,-0.07613301,2.6272655,-0.037682056,2.7139068,-11.853212,4.371357,-6.1029077,-3.0665815,2.8506756,3.7395477,-2.5445282,1.8711925,-7.6890173,1.380682,-1.4025211,-16.83262,4.0478826,4.0547967,2.1063685,-0.86529255,-5.614978,7.9320073,-0.4724443,2.953589,0.6147504,0.90146065,5.731821,-1.5488863,2.1632314,-4.234844,3.9698482,3.4679055,3.5491586,1.8063903,2.2747993,-2.135229,-1.272732,1.5399814,4.4949055,1.1973381,-2.1910608,2.3745537,-0.65645576,6.3441157,-0.16977787,-3.316331,-3.07827,3.1306624,0.5719304,0.03812313,1.2929082,-2.1126747,-2.9676259,-3.2437503,-1.3888836,-0.9830177,5.603671,2.8461218,1.4540315,0.92464685,0.9619832,5.42264,-2.5032938,-1.7567635,0.045847893,3.9871693,-0.83737373,1.9992352,0.888896,-8.502203,-28.59894,11.665535,19.444454,1.7390013,2.471006,-0.14763474,-2.16856,3.4256935,14.807594,2.8168201,2.1639585,1.8329978,0.5199909,3.700757,5.0652385,-3.1611502,0.0,1.4914036,-5.6141734,4.750502,-7.3551836,7.652104,-8.4752445,7.183039,8.518362,-5.6175528,-1.5372515,-12.84486,6.8753004,-3.4161508,-4.2719364,2.3512483,10.829819,-2.8345406,8.780491,-4.2804775,-1.4054537,-2.1166325,0.22064447,1.710701,-0.8822262,-0.9790778,-6.067419,4.3540716,3.3929348,7.8083158,-0.92359185,1.7796636,1.7069101],"REFFFUND-FDS^(SUBARRAY(NOT_NA(NO_REPEAT_F(FG_YIELD(NOW,-10AY,D))),0,1)-SUBARRAY(NOT_NA(NO_REPEAT_F(FG_YIELD(NOW,-10AY,D))),1,1))*100":25.0,"TRYIT10Y-FDS^PCTCHG(FG_YIELD(0,,,,\"YTM\"),FG_YIELD(-1AM,,,,\"YTM\"))":-3.5928147,"W-FDS^FG_PRICE(0)/MAX(FG_PRICE(0,-1AY))":0.731667214731996,"TRYCA10Y-FDS^FG_YIELD(-10AY,0,Y,,\"YTM\")":[1.79,1.39,1.72,2.04,1.96,1.7,0.67,1.42,3.3,3.0987],"USDSEK^FG_PRICE_CHANGE(0,-1AY)":2.9776454,"DDR3512M-FDS^FG_PRICE_MAVG(0,,,,30)":0.9644781,"PLATI-FDS^FG_PRICE_CHANGE(0,-1AM)":5.1454138702461,"COPP-FDS^FG_PRICE_CHANGE(0,-3AM)":10.8457321848082,"EWL^FG_PRICE_MAVG(0,,,,60)":47.3185,"EWL^SIZE(FG_CONSTITUENTS)":46,"EWI^FMA_PE(LTMA,-10AY,0,AM,\"PORTAGG\",\"MEANR\")":[17.4136802869271,17.1929215138145,17.167262290833,17.6402971957018,17.0263482508288,18.1398171913731,17.2120704446378,16.7255895343347,18.6482594777937,18.3466638170294,24.2183373091815,44.8432743982694,42.2802481730877,39.3568245312479,36.3499319294915,33.483948253963,30.9211640184065,27.2539900020776,24.8459512457413,23.0628788383285,20.6936266018261,17.6395720178285,14.4505925252191,15.4230131530954,15.1690932607388,15.0923711033051,14.9456084735528,14.4259968433632,14.5008630084656,15.1038076396175,14.5934601676255,14.3428184222674,14.4867861339462,28.0415530750573,20.4174498420508,85.3564615635191,77.870542433568,70.9460323769124,64.0285620945993,56.8092072651158,49.538256012373,42.9328744031754,35.5006667970594,28.8236970843374,21.7201860754476,15.4249303358665,15.4206696166956,14.1696212278114,14.0440537018873,14.2418853683048,13.5744665710781,13.3079904494722,13.1387089321782,12.4545973487094,12.2482589104941,11.5501657389104,11.1176283029121,10.7065671091417,11.0560606052493,11.2886251924667,11.351685085385,11.34433898976,10.9137950638932,11.2832911384678,11.0615612962911,11.2117209537195,11.0771423928189,11.9543291147804,11.7878181703357,12.1860381147651,12.2272469555023,11.3447655393459,11.0870115154984,12.5056925735503,15.4744214974493,17.0037692368536,17.2864082655253,17.7000312946623,18.115127925755,19.3439730311474,22.3904884468905,23.3391437226529,21.1660835060948,20.2001063640676,19.7895671723476,18.9801405331032,18.585789715606,17.9766484038761,16.3805223733927,15.5697007485226,14.5149528671049,14.1118136499835,12.2946929957655,12.4145580059855,11.7158048150002,10.4791778418614,10.5554692981079,10.2924894859238,9.96986201910191,9.32052182494765,8.95826626404019,8.51641207644438,8.23697527373468,8.25302799110711,7.88335706991699,7.71634292428465,8.18862995108811,8.32077859114348,8.31104891949933,8.2853168655711,8.41175433140411,8.63358897342958,8.30455360663595,8.38806422040202,8.07695085520218,8.20324246667842,8.64204564075223,8.89382637498702,9.08446825995504,9.35679874968615,9.47450214537586],"TIOS-FDS^MAX(FG_PRICE(0,-5AY))":219.77,"EWD^SIZE(FG_CONSTITUENTS)":44,"EWU^FMA_DIV_YLD(NTMA,NOW,NOW,M,\"PORTAGG\",\"MEANR\")":4.02579456389544,"VWO^P_PRICE(0)/P_PRICE_LOW_PR(0,,,USD,,,\"PRICE\",\"INTRA\",\"52W\")-1":0.12107861,"USDANG^FG_PRICE_CHANGE(0,-6AM)":0.0,"TIOS-FDS^FG_PRICE_CHANGE(0,-6AM)":-15.3689739896636,"EWU^PERCENT_CHANGE(FMA_EPS(+1,0,,,,\"PORTAGG\",\"MEAN\"),FMA_EPS(+1,-1AM,,,,\"PORTAGG\",\"MEAN\"))":0.309978804183697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77464321],"USDEUR^FG_PRICE(0)":0.9201325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2202004236],"EWQ^FG_TOTAL_RETURNC(-10AY,0,AM)":[1.6591787,1.8361092,0.16694069,-0.11857748,-6.9846687,1.8315077,-7.5899243,-2.3355424,3.7863731,-5.0007286,3.8336039,2.7494192,1.5290499,2.9367447,-0.658375,-3.437686,3.7999153,-9.637653,1.2401819,5.553293,-2.9400408,-4.716933,-3.1066298,2.3830175,1.4811754,1.2927532,2.3466468,-5.5503902,2.359116,4.438746,-1.3485909,-2.526921,-0.59499145,6.5380216,1.5706778,1.5860438,3.3177137,9.406877,3.2458544,-2.1837354,4.1391373,-0.4676044,3.7248373,1.42349,-0.31898022,2.5507927,1.9405246,-3.6843657,0.12750626,4.043305,-1.5605927,-3.2740653,2.985561,-2.3574352,0.26100874,-6.3130436,-3.9597154,-3.318715,6.1255097,4.4971704,2.2704124,1.7892599,-3.6783814,7.2589397,-5.779785,2.193284,-1.0731041,7.1525455,-0.6643474,4.0427566,-1.9018352,-5.4409027,-27.744705,8.787191,18.300379,-0.34888387,2.8735638,2.339387,-4.1282835,1.2099624,18.389584,0.37561655,-1.2191474,2.5888085,3.8438916,4.4927955,6.0302854,-1.822859,2.04885,0.46331882,-4.2018948,7.247925,-5.7107153,7.3325515,-3.2160044,-16.457355,11.713112,-5.270529,1.6572833,-9.757966,6.5426826,-9.756863,-0.13816953,6.2608123,10.937511,1.1557937,8.151388,0.43069124,2.5194287,1.6209126,-2.752763,3.8854837,-0.8851886,-1.6811132,-6.9195805,2.324915,5.329585,2.4472237,0.99424124,4.5854926,0.96606016],"SPY^FMA_PE(NTMA,-10AY,0,AM,\"PORTAGG\",\"MEANR\")":[15.0036798254437,14.9807407222394,15.2064681803441,15.5382568404618,14.9505229649943,15.2883371364133,14.9925693310257,15.4304658501201,15.9120558211944,15.96244162404,16.419523643282,16.8445898768855,16.4721081381795,16.7400919944104,16.4352487804838,16.2167847939528,16.3437954395583,14.9541919634132,15.211116793077,16.4782347854965,16.3317084868427,15.7336892964021,15.5099438140132,15.5167363536305,16.5004635460184,16.5226770167304,16.5924966240686,16.5274762929012,16.8656648362178,16.8353987793995,16.4998967636805,15.9314009319239,16.6187304749981,17.0303746810917,17.2007565377716,17.7918478206949,17.4639972744766,17.4587066309205,17.6699845483287,17.4455862424405,17.6558176903749,17.5139583604644,17.8379081913369,17.9873893505642,18.1571857761639,18.3154461217802,17.4567931643708,16.7186294157627,16.3280272953488,16.1223922939324,16.4087371116787,16.0711269701908,16.5791208014203,16.7607783211991,16.671085837805,15.5692950591314,15.3892957579238,14.6350443624539,15.8762635240394,16.252931096535,16.666795849669,16.9075550983813,15.9698054644912,17.0327146443678,16.6709137094355,16.6108563879746,16.6653498832325,17.3870584792154,17.5343593589442,18.1724915476857,18.4834496156811,17.5874518717321,15.4180480970188,19.999822307605,22.0669850815238,21.8574690588211,22.0884749415615,22.3261297564245,21.4003531923702,21.2031608925507,22.1794538856595,22.0492725045469,22.022198041053,21.0903797761979,22.0589709510955,21.4638449954084,21.3090132011364,21.597814954101,20.9404897488347,21.258220302118,20.0572081581019,21.4073820940544,20.5408751254626,21.4082658500728,19.8436416213826,18.865333277317,19.6380280569451,18.2256782201333,17.2386117637114,15.988573265514,17.5024227661006,16.5188618625139,16.0133603658122,16.3241398996726,17.6013199948381,16.7289155368749,18.26518449747,17.8078986273988,18.0363742458752,17.6902479454212,18.4680712082897,19.1503059900812,19.0187881886579,18.8957730853784,17.7461473547081,18.0599930011731,18.7312631996273,19.172157772039,20.1878665802841,20.6120886778182,20.7390737185929],"URTH^FG_TOTAL_RETURNC(0,-3AM)":8.875286,"EWI^PERCENT_CHANGE(FMA_EPS(+1,0,,,,\"PORTAGG\",\"MEAN\"),FMA_EPS(+1,-1AM,,,,\"PORTAGG\",\"MEAN\"))":-0.252264816633948,"EWQ^P_PRICE(0)/P_PRICE_HIGH_PR(0,,,USD,,,\"PRICE\",\"INTRA\",\"52W\")":0.9733731,"EWU^FG_TOTAL_RETURNC(0,-6AM)":12.810826,"EWG^FG_TOTAL_RETURNC(0,-3AM)":8.060622,"EWA^FMA_PCT_ABOVE_MAVG(200,0,,,,\"PORTAGG\")":76.271186440678,"EWI^SIZE(FG_CONSTITUENTS)":26,"QQQ^FG_ROE(0)":21.5947331803331,"REFAUCASH-FDS^PROPER_NAME(0,,,\"SECURITY\",\"NAME\")":"Australia Target Cash Rate","CC_GB^IMF_IFS_RCPI_Q(0)":null,"EWN^FMA_PE(LTM,0,,,\"PORTAGG\",\"MEANR\")":23.8662778345888,"QQQ^FMA_PE(NTMA,0,,,\"PORTAGG\",\"MEANR\")":25.5641652190276,"EWJ^FMA_PE(LTM,0,,,\"PORTAGG\",\"MEANR\")":16.0363268023275,"EWA^FMA_DIV_YLD(NTMA,NOW,NOW,M,\"PORTAGG\",\"MEANR\")":3.89931195372357,"USO^FG_TOTAL_RETURNC(0,-1AM)":11.160648,"SPY^FG_TOTAL_RETURNC(0,-3AM)":10.1427555,"REFNZOCR-FDS^(SUBARRAY(NOT_NA(NO_REPEAT_F(FG_YIELD(NOW,-10AY,D))),0,1)-SUBARRAY(NOT_NA(NO_REPEAT_F(FG_YIELD(NOW,-10AY,D))),1,1))*100":25.0,"TRYDE10Y-FDS^PCTCHG(FG_YIELD(0,,,,\"YTM\"),FG_YIELD(-3AM,,,,\"YTM\"))":11.189801,"CPALM-FDS^MAX(FG_PRICE(0,-5AY))":8163.0,"EWD^FG_TOTAL_RETURNC(0,-12AM)":13.975763,"EWU^FG_TOTAL_RETURNC(0,-1AM)":3.6867738,"ENZL^P_PRICE(0)/P_PRICE_LOW_PR(0,,,USD,,,\"PRICE\",\"INTRA\",\"52W\")-1":0.10388219,"EWI^FMA_COS_UP(\"EPS\",\"1M\",+1,0,,,\"PORTAGG\",\"MEANR\")":13.0,"EWG^FMA_COS_DOWN(\"EPS\",\"1M\",+1,0,,,\"PORTAGG\",\"MEANR\")":27.0,"EWC^FG_ROE(0)":11.2512280201329,"TRYGB10Y-FDS^FG_YIELD(0,,,,\"YTM\")":4.009,"CC_DE^IMF_IFS_RCPI_Q(0)":null,"EWA^FMA_PE(LTM,0,,,\"PORTAGG\",\"MEANR\")":18.2411431194671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827237,11.9070326866152,15.3602779627681,14.6912945486843,15.3680505982123],"TRYGB10Y-FDS^FG_YIELD(-10AY,0,Y,,\"YTM\")":[1.8155,2.0248,1.2817,1.2536,1.3339,0.822,0.197,0.966,3.662,3.534],"CAGDPY@JP^EE_ACTUAL_ANNUAL(MED,+1)":3.5,"USDSEK^FG_PRICE(0)":10.57045,"PLATI-FDS^FG_PRICE_MAVG(0,,,,30)":913.9,"COPP-FDS^FG_PRICE_CHANGE(0,-1AM)":10.2414330218069,"EWL^FG_PRICE_MAVG(0,,,,30)":47.507668,"FXI^P_PRICE(0)/P_PRICE_HIGH_PR(0,,,USD,,,\"PRICE\",\"INTRA\",\"52W\")":0.79633266,"EWQ^FG_TOTAL_RETURNC(0,-3AM)":6.645727,"EWL^FMA_COS_DOWN(\"EPS\",\"1M\",+1,0,,,\"PORTAGG\",\"MEANR\")":24.0,"EWU^FG_ROE(0)":17.0275139438471,"CC_CH^IMF_IFS_RCPI_Q(0)":null,"EWI^FMA_EVAL_EBIT(LTMA,NOW,NOW,M,\"PORTAGG\",\"MEANR\")":11.1484476470994,"TRYTR7Y-FDS^FG_YIELD(-10AY,0,Y,,\"YTM\")":[7.979133,10.679033,11.110786,11.586128,15.896213,12.034795,12.534946,23.870693,7.323803,21.984322],"CAGDPY@CA^EE_ACTUAL_ANNUAL(MED,+1)":-0.6,"TIPSCL10Y-FDS^FG_YIELD(-10AY,0,Y,,\"YTM\")":[null,null,null,null,null,null,null,null,null,5.3314],"USDEUR^FG_COMPANY_NAME":"Euro per U.S. Dollar"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961448,2.03463841368045,2.71427224666172,3.12760120843659,3.00523278574567],"EWG^FG_TOTAL_RETURNC(-10AY,0,AM)":[0.09582043,0.38288832,1.5893221,1.1873722,-9.2744465,1.4951348,-7.3997917,-0.5549431,6.0267925,-4.2806983,5.351901,2.3660421,3.0931354,-1.1539757,-2.0680428,-2.8731287,1.7481208,-10.3085575,-2.8146982,8.00482,0.2979517,-5.0872684,-5.868542,2.0781398,3.420198,1.2204647,1.5947223,-5.413061,4.8921943,4.9011946,-0.979656,-4.147643,-1.7864287,7.797742,3.713429,1.2296557,2.6437998,5.8823586,4.174888,-2.55633,2.5420904,-0.6761074,5.28363,2.8017282,-0.98831654,3.042233,-0.3531456,-6.054342,0.03143549,3.2055378,-2.5883079,-4.1805387,2.5392532,-2.6067138,-1.4051497,-5.73464,-4.679632,-2.7190328,4.114902,2.0507097,1.9729614,3.7262678,-4.421419,5.339873,-6.5209746,0.0754118,-0.37679076,9.94705,-0.2407968,1.0689616,-0.71647763,-6.8041205,-24.668144,12.187958,21.771383,-0.18804073,5.186796,2.9310346,-2.2780597,-4.4223547,11.692977,4.576683,0.96393824,-1.0471225,5.6644917,0.32401085,6.400466,-2.3419142,-0.0574708,0.9775758,-6.947607,5.63035,-7.821554,5.4297924,-3.8484633,-19.043154,10.467362,-6.573433,2.4326444,-13.255042,3.7342548,-10.632062,-0.32786727,4.840219,15.374279,0.538826,9.856976,-1.6889513,2.5769472,1.4654517,-1.6162276,2.0994544,-0.7034838,-2.1962404,-6.9540024,1.7905712,9.521985,1.3670325,0.6889343,5.1317096,2.0826578],"EWL^FMA_PE(NTMA,-10AY,0,AM,\"PORTAGG\",\"MEANR\")":[16.0827295839487,16.1890176135056,16.3312494359756,16.2902501563557,15.6444494198816,16.3233933019232,15.6369396707244,15.7499686745611,16.1132691477113,15.6550501907529,16.7774126146497,17.4604084112256,17.7000054458579,17.7629766214139,17.6709799497337,17.041634530551,17.8002882082395,16.2301395906278,16.0054315414928,17.0623573243898,16.8326321726504,16.5045089315243,16.1298041746557,16.5832884320209,16.3183453931268,16.3721829444146,17.0576555536762,16.895370900135,17.1290550773822,17.4419500342325,17.2311139046871,16.0822832120136,16.1562192824815,17.0152818502574,17.2049004017712,17.6434894956563,17.3673328520791,17.9660531629,18.2644958815692,17.8769566416458,17.9831562785605,17.4885502054535,17.9580905644998,17.9836230246756,17.6681605636221,17.8750241144717,17.3427588214935,16.0124396473691,15.7126215540154,16.1413610611255,15.7186109707989,15.6242358668332,16.3074694348589,15.9472185740361,15.9296578655331,15.7177625033584,15.6831125774657,14.7844400374552,15.5676157277344,16.3684196160835,16.7523047309905,16.8970832968054,16.6122526382002,17.3769096483735,16.9283003434567,17.0460625788036,16.7562358891189,17.5006364491964,17.3159466403618,17.9126715110934,18.0730501131879,17.251705423792,16.0373107608519,17.8845191868459,19.3919641829221,19.5197212042751,19.4673536016794,19.1309374611738,19.0512570908496,18.7378126342856,18.3906129479302,18.9411516777064,18.8034266989157,18.3547780215432,18.814076523045,18.7506297023134,19.6130224461203,19.751334170712,19.8377151239441,19.7512107895055,18.2211928143975,19.4097627127289,18.6773071446453,19.7856136131679,18.0722229904065,17.0992650655098,18.5606498338934,17.4354113924282,16.848724453765,15.7364674893585,16.9290751793585,16.1352721568786,15.441984771414,15.9973445308328,16.9119655449688,16.8370173497963,17.4203843768325,17.1475803498918,17.0917329457769,17.5710359145337,16.7714574837315,16.4010898701471,16.6317183808077,16.6075138478088,15.7821938861526,15.7718327202352,16.3950891911191,16.9202044563274,17.090775393833,17.4333525795966,17.4129977844879],"WL-FDS^MAX(FG_PRICE(0,-5AY))":763.4,"URTH^FG_TOTAL_RETURNC(0,-1AM)":0.65785646,"EWI^FMA_PCT_ABOVE_MAVG(200,0,,,,\"PORTAGG\")":68.0,"EWQ^FMA_PCT_ABOVE_MAVG(200,0,,,,\"PORTAGG\")":73.015873015873,"EWU^FG_TOTAL_RETURNC(0,-3AM)":3.6236286,"EWG^FG_TOTAL_RETURNC(0,-1AM)":2.0826578,"ENZL^FG_TOTAL_RETURNC(0,-12AM)":-7.1061015,"EWI^FMA_COS_DOWN(\"EPS\",\"1M\",+1,0,,,\"PORTAGG\",\"MEANR\")":8.0,"EWL^FMA_COS_UP(\"EPS\",\"1M\",+1,0,,,\"PORTAGG\",\"MEANR\")":19.0,"CC_JP^IMF_IFS_RCPI_Q(0)":null,"EWN^JULIAN(FMA_DIV_YLD(NTMA,NOW,NOW,M,\"PORTAGG\",\"MEANR\").DATES)":45379,"QQQ^FMA_PE(LTM,0,,,\"PORTAGG\",\"MEANR\")":33.7995031299617,"EWJ^JULIAN(FMA_DIV_YLD(NTMA,NOW,NOW,M,\"PORTAGG\",\"MEANR\").DATES)":45379,"EWA^FMA_PE(NTMA,0,,,\"PORTAGG\",\"MEANR\")":16.6093290040088,"DBA^P_PRICE(0)/P_PRICE_HIGH_PR(0,,,USD,,,\"PRICE\",\"INTRA\",\"52W\")":0.9866719,"SPY^FG_TOTAL_RETURNC(0,-1AM)":0.46360493,"EWC^SIZE(FG_CONSTITUENTS)":88,"CC_CA^IMF_IFS_RCPI_Q(0)":null,"EWA^JULIAN(FMA_DIV_YLD(NTMA,NOW,NOW,M,\"PORTAGG\",\"MEANR\").DATES)":45379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06586,9.77856565542044,10.8991459502058,12.0158891729577,12.7459856653599],"CAGDPY@JP^EE_ACTUAL_ANNUAL(MED,0)":3.55112124522863,"COPP-FDS^FG_PRICE_MAVG(0,,,,30)":3.9726834,"EWI^FG_PRICE_MAVG(0,,,,200)":32.862,"EWL^FG_PRICE(0)":46.87,"FXI^FG_TOTAL_RETURNC(0,-1AM)":3.976059,"EWJ^SIZE(FG_CONSTITUENTS)":219,"EWL^FG_ROE(0)":24.1721070916563,"REFFFUND-FDS^FG_YIELD(NOW,,,0)":5.5,"REFNZOCR-FDS^PROPER_NAME(0,,,\"SECURITY\",\"NAME\")":"New Zealand Official Cash Rate","TRYDE10Y-FDS^PCTCHG(FG_YIELD(0,,,,\"YTM\"),FG_YIELD(-1AM,,,,\"YTM\"))":-2.079,"EWI^FMA_EVAL_EBITDA(NTMA,0,,,\"PORTAGG\",\"MEANR\")":7.2504055882985,"EWU^FMA_EVAL_EBIT(LTMA,NOW,NOW,M,\"PORTAGG\",\"MEANR\")":10.4900314249894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40312273413],"TRYFR10Y-FDS^FG_YIELD(-10AY,0,Y,,\"YTM\")":[0.837,0.9989,0.682,0.785,0.71,0.118,-0.344,0.201,3.07,2.534],"USDANG^STD(FG_PRICE_CHANGE(0,-3AY,M))":0.0414043666666667,"USDGBP^STD(FG_PRICE_CHANGE(0,-3AY,M))":2.40614321798816,"USDCAD^STD(FG_PRICE_CHANGE(0,-3AY,M))":1.87874814846935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70768,2.66234515884581,2.58388720632297,2.86429657456778],"EWC^FG_TOTAL_RETURNC(-10AY,0,AM)":[2.0869017,2.6474476,0.45707226,6.5368295,-1.536572,2.3720264,-7.7134132,-4.0634274,1.446271,-1.2688816,-4.67062,1.9744039,-0.9322345,6.152737,-5.727923,-2.6924253,-4.8689184,-7.992119,-0.08558035,2.6980639,-3.669721,-7.022542,0.33034086,6.396997,3.0946016,3.6020637,3.6837697,-0.09109974,1.20821,2.904904,-2.4361968,-1.189059,5.214596,2.962947,1.9820571,-1.576823,0.14902353,-3.9806545,2.0534754,3.1214356,3.0809164,1.224339,3.5574555,0.0,0.3435135,4.817426,-4.201126,-5.1104965,-0.18194914,3.2081604,-0.45920014,1.7239213,2.812934,-3.112173,1.3060331,-6.8292737,-1.1219144,-5.2090406,10.344828,1.6544104,1.4466524,1.1764646,-2.0436943,5.2643776,-3.241384,0.8909464,-0.070643425,3.358078,0.6497979,2.7121425,0.6034255,-5.5648146,-25.8645,14.040923,9.766281,0.046420097,6.6026926,1.5844345,-2.3750365,0.03629923,13.756811,-0.040763617,2.5210023,2.868855,6.159973,3.2043934,6.881118,-0.9117365,-1.1692882,2.4468899,-3.8057685,7.6398373,-5.804819,4.102075,0.52369833,0.3907323,5.396986,-5.7360888,-0.7051468,-9.800774,2.6439428,-3.6634207,-1.8419445,0.93824863,5.5472374,-4.2498293,6.9235325,-1.9144177,-0.3444314,-0.63364506,-0.17391443,3.242302,-1.0795474,0.31591654,-7.7870073,4.9363613,4.4674635,4.0322185,0.41390657,1.7312527,2.7282476],"WL-FDS^FG_PRICE_CHANGE(0,-6AM)":-5.859375,"EWG^PERCENT_CHANGE(FMA_EPS(+1,0,,,,\"PORTAGG\",\"MEAN\"),FMA_EPS(+1,-3AM,,,,\"PORTAGG\",\"MEAN\"))":-4.8652907082308,"EWQ^FMA_EVAL_EBIT(LTMA,NOW,NOW,M,\"PORTAGG\",\"MEANR\")":13.2875959429452,"EWD^P_PRICE(0)/P_PRICE_LOW_PR(0,,,USD,,,\"PRICE\",\"INTRA\",\"52W\")-1":0.29770243,"ENZL^FMA_ROE(NTMA,-20AY,NOW,FY,\"PORTAGG\",\"MEANR\")":[null,null,null,null,null,null,10.8532267295878,10.9048734413645,11.45876758647,11.0832589152415,9.94517431688139,9.90242652659034,9.79986582903071,9.84792896856594,9.52177142619013,9.00253904617992,7.53156862543881,6.44334743186288,7.76803279215843,6.57934232869273],"PASP-FDS^FG_PRICE_CHANGE(0,-1AY)":-30.8724832214765,"PASP-FDS^FG_PRICE(0)/MAX(FG_PRICE(0,-1AY))":0.628048780487805,"EWG^PERCENT_CHANGE(FMA_EPS(+1,0,,,,\"PORTAGG\",\"MEAN\"),FMA_EPS(+1,-1AM,,,,\"PORTAGG\",\"MEAN\"))":-0.772373265038618,"EWI^FMA_RBICS_REV_CURRENT(30, LOC, \"PORTAGG\")":34.5462492743982,"USDGBP^FG_PRICE_CHANGE(0,-6AM)":-4.365158,"EWG^FMA_PCT_ABOVE_MAVG(200,0,,,,\"PORTAGG\")":78.9473684210526,"EWC^FMA_COS_DOWN(\"EPS\",\"1M\",+1,0,,,\"PORTAGG\",\"MEANR\")":29.0,"EWA^JULIAN(FMA_ROE(NTMA,-20AY,NOW,FY,\"PORTAGG\",\"MEANR\").DATES)":[38352,38716,39080,39447,39813,40178,40543,40907,41274,41639,42004,42369,42734,43098,43465,43830,44196,44561,44925,45289],"EWJ^FG_PRICE_MAVG(0,,,,30)":70.27033,"EWL^FG_TOTAL_RETURNC(0,-12AM)":5.3003907,"EWD^FMA_RBICS_REV_CURRENT(30, LOC, \"PORTAGG\")":27.1998242779551,"TRYSE10Y-FDS^FG_YIELD_NAME":"Sweden Benchmark Bond - 10 Year","REFGBBANK-FDS^FG_YIELD(NOW,,,0)":5.25,"TRYSE10Y-FDS^PCTCHG(FG_YIELD(0,,,,\"YTM\"),FG_YIELD(-3AM,,,,\"YTM\"))":15.576475,"TRYAU10Y-FDS^PCTCHG(FG_YIELD(0,,,,\"YTM\"),FG_YIELD(-3AM,,,,\"YTM\"))":3.2608688,"EWI^FMA_PE(NTMA,0,,,\"PORTAGG\",\"MEANR\")":9.74082517073586,"EWQ^FMA_DIV_YLD(NTMA,NOW,NOW,M,\"PORTAGG\",\"MEANR\")":3.05390122394535,"CAGDPY@CA^EE_ACTUAL_ANNUAL(MED,0)":-0.614727995236974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NZL^JULIAN(FG_TOTAL_RETURNC(-10AY,0,AM).DATES)":[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4,44533,44565,44596,44624,44655,44685,44715,44743,44777,44806,44838,44869,44897,44930,44960,44988,45020,45050,45079,45110,45142,45170,45203,45233,45264,45295,45324,45355,45386],"EWN^FMA_PE(LTMA,-10AY,0,AM,\"PORTAGG\",\"MEANR\")":[17.2056200788441,16.8838582527278,16.8235213858037,16.9181601049196,16.2169115572302,16.834057766948,16.5766289696311,16.7210616152816,17.8924541093247,17.5290952437531,18.7344712361256,20.0957812711096,19.935824790479,19.6285502206523,19.3246866494914,18.9265659133696,19.1014813240055,17.2843428009239,16.6411710548961,17.5348300846867,17.5155796876613,16.4498228701346,15.8892948026478,16.4170373863784,16.3473649918568,16.1147881827541,16.2764740674428,15.8183783091024,15.9595685661785,16.4169863010332,16.1890723871008,15.3777867010343,15.2558604741705,16.4021809222975,16.1696397085979,16.4546385533255,16.5017694481697,16.7629776928466,16.7707809086025,16.5334856240205,16.7746606403712,16.6016722981034,17.1125538458683,17.5878297905684,17.1006155851136,17.4306698863031,17.2807800920778,16.5897048139151,16.5130528133951,16.566287067404,16.637335723037,16.4887357336975,16.7994862466477,16.6189635431497,16.133444020899,15.666116999648,15.4249032423024,14.3128616096014,15.3180523676928,16.1578650892113,16.2419034776916,16.3605987307984,16.1004731296261,16.5162958997901,16.3989457147716,16.7533524600581,16.8626803337809,17.5885904009417,17.9455010420806,18.8462830856144,18.8959175108475,17.430287836028,16.8215824406111,17.6971353081969,19.0536401527187,19.7521423634253,20.5430020124204,21.0197924723028,22.1076455289848,22.6298388090165,25.9897044231452,27.3925840343331,28.4154492023603,28.7739830691593,28.6410002005665,27.6186372683411,27.0441754111053,26.5711067603107,26.3891180375501,25.9109212580272,23.7919687470165,24.962327564665,22.3955137058444,22.8250905142463,19.9167754364658,18.1190720782585,18.6442752064398,18.1797984189955,18.5384855498793,18.0143758074229,19.8521737913772,18.4443194389549,17.9172716472711,17.4139832992147,18.4499237314036,18.53401288316,19.8760856526515,20.6609920433194,20.2938476931012,19.6966158735077,19.4460044066019,19.2554152037535,18.7272124568945,17.8169818108069,16.4782586404079,16.2083595641338,16.3603096704394,16.2407313110526,17.4291781873608,18.5327745315843,18.4485625684187],"PASP-FDS^FG_PRICE_CHANGE(0,-6AM)":-13.4453781512605,"W-FDS^FG_PRICE_CHANGE(0,-1AY)":-19.5589298626175,"EWD^FG_PRICE_MAVG(0,,,,200)":35.9042,"USDANG^FG_PRICE_CHANGE(0,-1AM)":0.0,"USDGBP^FG_PRICE_CHANGE(0,-1AM)":0.23680925,"USDCAD^FG_PRICE_CHANGE(0,-1AM)":-0.553,"EWN^FMA_RBICS_REV_CURRENT(30, LOC, \"PORTAGG\")":24.7200394051191,"TRYSE10Y-FDS^PCTCHG(FG_YIELD(0,,,,\"YTM\"),FG_YIELD(-1AM,,,,\"YTM\"))":1.3201346,"TRYAU10Y-FDS^PCTCHG(FG_YIELD(0,,,,\"YTM\"),FG_YIELD(-1AM,,,,\"YTM\"))":1.8270355,"EWI^FMA_PE(LTM,0,,,\"PORTAGG\",\"MEANR\")":10.6663807327059,"EWQ^JULIAN(FMA_DIV_YLD(NTMA,NOW,NOW,M,\"PORTAGG\",\"MEANR\").DATES)":45379,"EWI^FMA_DIV_YLD(NTMA,-10AY,0,AM,\"PORTAGG\",\"MEANR\")":[3.30926893787696,3.39928141524999,3.48528032853387,3.27729158249929,3.5736755904708,3.45177240438227,3.77215895485406,4.04317460409273,3.9333828042141,4.06134587663002,3.71302426186281,3.4747231844366,3.13160358072627,3.17642927206668,3.22621512697682,3.32377782990653,3.13428444754805,3.44948068556542,3.69527891923271,3.58897157100036,3.66096458058875,3.98669495573291,4.596590763973,4.33356723923275,4.54007175959016,4.48137164756487,4.68068410809657,4.95911206174502,4.91814017915492,4.71141530882967,5.00691521203561,4.99690749768347,4.82374329909708,4.2301917276839,4.35626800212647,4.05990350477389,3.94959167643576,3.82008396977488,3.79358750966842,3.8099664237188,3.71121267419804,3.76365208942429,3.79765697442544,3.73841304676083,3.88694648558752,3.88799266176523,3.82342077337038,4.14334489179592,4.10841288033735,3.83974969635014,4.34169098146298,4.47343043111058,4.44232084193975,4.70037811611189,4.73246120410951,5.02846733666882,5.19517628278497,5.27869322700623,5.11681974427287,4.77931031272033,4.61716820005366,4.63412917957235,5.05348182511915,4.69711184705548,4.91040692672873,4.80096802997001,4.88007232021737,4.53844459767796,4.61144572897078,4.48424327475321,4.52036752261613,4.9629103012771,6.36779775197604,5.4635202648736,4.22838569929541,4.26315896223712,3.94921362535655,4.10458469206802,4.21280879446129,4.26945972065081,3.93680627810488,3.94015298222961,3.947679057397,4.21663810050874,3.99637371635555,4.22634899362961,4.0578080931421,4.1376130952578,4.36310396155263,4.4217926580871,4.58025893616935,4.32112627872643,4.75235358825796,4.51234283003352,4.8217482873472,5.65037610221175,5.00862861586388,5.18222279511495,5.26220557604744,5.92881946620004,5.77683837690013,5.64469696857694,5.91827610723365,5.54664553856193,5.67755563875915,5.66518302423868,5.43386967367618,5.21946125726169,5.45615004079078,5.5152293213307,5.43936078668085,5.26263674027405,5.46083748857183,5.38738414368684,5.70074609431894,5.57528462825803,5.44925006616883,5.45464598877719,5.37821301913924,5.28032334938665,5.12683044323491],"EWQ^FMA_PE(LTMA,-10AY,0,AM,\"PORTAGG\",\"MEANR\")":[15.9383009228067,15.817404028698,15.8327031142692,15.7590828940171,15.1972458005869,15.6359169929453,15.0806966009467,14.653620154262,15.3032837092829,15.0097912131255,16.5361588397552,17.5259833658856,17.5702056949852,17.4913823961681,17.3592906264531,16.9947151139488,17.2357083373588,15.8143877385292,15.5019152118394,16.5025623679388,15.8426349844756,15.0428137283207,14.1759656759047,15.1988117677065,15.1071167204815,15.0809115659005,15.1587629026133,14.851521350003,14.8466669722864,15.1507258838969,15.0056955140689,14.5633468580625,14.8672597288948,15.8679941802194,15.6304564442559,15.6320599128845,15.6509322245355,15.861179977502,15.827294319433,15.6130143914712,15.6458437199166,15.528032370634,15.9916048106414,16.3556429553545,16.1607873199744,16.265697269469,16.0985045047139,15.5409620442201,15.4291152743484,15.6045680442604,15.4644373506324,15.1374782007389,15.2332785841115,14.8961978682439,14.9160564851714,14.1901749458689,13.8040310433241,12.936133117115,13.7741621896421,14.581421635759,14.6081349655526,14.6602947224629,14.3793957540511,14.7858762106186,14.588479542227,14.8683534821646,14.8498269704616,15.843584576106,15.8902619236435,16.6621930898946,16.3695396436722,14.7059695519195,14.385384855204,15.7294863943389,17.7393762748867,18.965655791646,21.3208412733652,22.6901341132377,23.2947209948922,24.3606464340772,28.3826266219619,28.9307340994174,28.0236796841287,26.9584766488169,26.301609721213,25.2973989635979,24.5190734826849,23.6067918768219,22.1743952797549,20.9658277605304,19.3477973140025,18.8578886242002,17.283333043704,17.5368649215816,16.202821234125,15.2348864314195,15.2349355912676,14.7253757785456,14.3780231575338,13.5290178288227,13.3308948564439,12.5414378909885,11.8107974366313,11.9131296250953,12.224129592273,11.9954278863306,13.1080609700182,12.9301910233758,13.0297512075537,13.1373582551883,13.1285247139165,13.2964918046797,13.2909101033577,13.2786024257061,12.775905660241,12.8915689332472,13.5232540025799,13.9274118681353,14.3978239263126,15.4907817374721,15.5064296094016],"PASP-FDS^FG_PRICE_CHANGE(0,-3AM)":-3.28638497652582,"W-FDS^FG_PRICE_CHANGE(0,-6AM)":-0.669642857142849,"EWD^FG_PRICE(0)":39.82,"EWG^FG_PRICE_MAVG(0,,,,200)":28.41345,"VWO^FMA_PCT_ABOVE_MAVG(200,0,,,,\"PORTAGG\")":40.4969485614647,"EWD^FG_TOTAL_RETURNC(0,-3AM)":4.7619104,"EWL^PERCENT_CHANGE(FMA_EPS(+1,0,,,,\"PORTAGG\",\"MEAN\"),FMA_EPS(+1,-3AM,,,,\"PORTAGG\",\"MEAN\"))":-7.63428851078892,"EWC^P_PRICE(0)/P_PRICE_LOW_PR(0,,,USD,,,\"PRICE\",\"INTRA\",\"52W\")-1":0.21076083,"FXI^FMA_COS_UP(\"EPS\",\"1M\",+1,0,,,\"PORTAGG\",\"MEANR\")":13.0,"EWN^SIZE(FG_CONSTITUENTS)":55,"EWA^SIZE(FG_CONSTITUENTS)":59,"EWQ^FMA_RBICS_REV_CURRENT(30, LOC, \"PORTAGG\")":10.7938787406678,"REFCHMPR-FDS^FG_YIELD(NOW,,,0)":1.5,"TRYNZ10Y-FDS^PCTCHG(FG_YIELD(0,,,,\"YTM\"),FG_YIELD(-3AM,,,,\"YTM\"))":2.5742145,"VWO^FMA_EVAL_EBIT(LTMA,NOW,NOW,M,\"PORTAGG\",\"MEANR\")":14.3733124424648,"SPY^FMA_EVAL_EBIT(LTMA,NOW,NOW,M,\"PORTAGG\",\"MEANR\")":20.7429680694905,"EWU^JULIAN(FMA_DIV_YLD(NTMA,NOW,NOW,M,\"PORTAGG\",\"MEANR\").DATES)":45379,"EWG^FMA_PE(NTMA,0,,,\"PORTAGG\",\"MEANR\")":12.3145854105433,"ENZL^FG_FCF_YIELD_NTM(0)":0.0190456459111215,"TRYBR10Y-FDS^FG_YIELD(-10AY,0,Y,,\"YTM\")":[12.319731,15.989595,11.062725,9.887577,8.936093,6.883678,6.961219,10.970291,12.900059,10.455909],"TRYTW10Y-FDS^FG_YIELD(-10AY,0,Y,,\"YTM\")":[1.6015,1.015,1.2037,0.9478,0.8648,0.672,0.315,0.7413,1.2812,1.211],"CAGDPY@AU^EE_ACTUAL_ANNUAL(MED,0)":1.21871580460395,"USDCAD^FG_COMPANY_NAME":"Canadian Dollar per U.S. Dollar","ENZL^FMA_EPS(NTMA,-20AY,0,CY,,\"PORTAGG\",\"MEANR\")":[null,null,null,null,null,null,2.40890596176463,2.24117429803946,2.40285148565594,2.31210808961864,2.19492193820354,2.04943671601749,2.14962845087329,2.26706810161072,2.29721148308571,2.24801606045295,1.98579271198129,1.82188446730532,2.1113846114659,2.11178796376246],"TRYSA10Y-FDS^FG_YIELD(-10AY,0,Y,,\"YTM\")":[null,null,3.8912454,3.7299898,4.5715504,2.8775356,2.0844028,2.5113702,4.613973,4.608568],"CAGDPY@IT^EE_ACTUAL_ANNUAL(MED,+1)":0.95,"CC_AU^FG_COMPANY_NAME":"Australia","USDCHF^FG_COMPANY_NAME":"Swiss Franc per U.S. Dollar","W-FDS^FG_PRICE_MAVG(0,,,,30)":5.5074167,"EWQ^FG_PRICE(0)":40.76,"EWA^FG_PRICE_MAVG(0,,,,30)":24.273333,"VGK^P_PRICE(0)/P_PRICE_HIGH_PR(0,,,USD,,,\"PRICE\",\"INTRA\",\"52W\")":0.98244315,"EWN^FG_TOTAL_RETURNC(0,-3AM)":14.63188,"EWJ^FG_TOTAL_RETURNC(0,-12AM)":20.717312,"EWA^FG_TOTAL_RETURNC(0,-12AM)":9.739197,"SPY^FMA_COS_UP(\"EPS\",\"1M\",+1,0,,,\"PORTAGG\",\"MEANR\")":180.0,"ENZL^SIZE(FG_CONSTITUENTS)":15,"EWA^FMA_RBICS_REV_CURRENT(30, LOC, \"PORTAGG\")":40.7151096463949,"REFSEREPO-FDS^(SUBARRAY(NOT_NA(NO_REPEAT_F(FG_YIELD(NOW,-10AY,D))),0,1)-SUBARRAY(NOT_NA(NO_REPEAT_F(FG_YIELD(NOW,-10AY,D))),1,1))*100":25.0,"REFJPTON-FDS^FG_YIELD(NOW,,,0)":0.1,"VWO^FMA_DIV_YLD(NTMA,NOW,NOW,M,\"PORTAGG\",\"MEANR\")":3.07016163196449,"EWD^FMA_PE(NTMA,0,,,\"PORTAGG\",\"MEANR\")":16.3743618059798,"EWL^FG_FCF_YIELD_NTM(0)":5.00740340700438,"EWC^FMA_EVAL_EBIT(LTMA,NOW,NOW,M,\"PORTAGG\",\"MEANR\")":16.3863519208326,"VGK^FG_TOTAL_RETURNC(0,-6AM)":19.138062,"UUP^FG_TOTAL_RETURNC(0,-6AM)":0.72728395,"USDAUD^FG_COMPANY_NAME":"Australian Dollar per U.S. Dollar","EWJ^P_PRICE_RETURNS_PR('52W',2,-10AY,0,AM)":[5.343318,-2.4479508,8.143723,7.8951716,4.0270567,6.6300035,-0.43292642,1.6866207,0.148952,-4.490942,6.199479,6.7631125,12.14695,18.276978,12.109602,6.721592,8.250963,-2.3050785,3.6767602,5.543506,6.951618,7.2600245,-3.1956017,-4.8743067,-11.208916,-11.611825,-9.558225,-9.648591,-4.7885537,7.387948,8.324814,1.8563747,0.99806786,7.38219,16.51429,14.87919,18.14704,17.155956,19.830168,18.388866,16.389084,12.134684,14.788198,20.25138,21.093739,24.747837,24.245811,18.349707,18.388308,17.246115,11.671865,8.166588,7.6720715,7.0629597,7.0879817,-5.4658175,-7.121068,-13.866073,-11.701191,-7.953185,-6.7599,-5.7295265,-9.96635,-0.5068898,-6.1558247,-4.0571632,-2.503562,10.266436,13.343,19.107258,11.321867,1.6178489,-14.106024,-7.6737165,7.0745587,1.337564,5.772364,9.143448,7.4836135,2.5630236,11.909019,14.119804,17.71164,26.491224,48.74023,34.71563,25.124132,24.481678,21.874023,25.793434,16.954304,18.458344,3.5892963,3.8297892,-4.59857,-7.635927,-7.8344703,-12.020898,-15.420109,-19.572884,-15.718532,-23.264378,-22.767847,-25.92898,-14.54823,-19.288176,-7.786703,-6.308275,-4.4547615,2.3880243,7.773435,18.128777,12.047482,18.256546,14.244175,25.40375,12.334704,18.907475,15.654051,24.444221,20.717312],"EWA^FMA_DIV_YLD(NTMA,-10AY,0,AM,\"PORTAGG\",\"MEANR\")":[4.79999766508593,4.78607173275801,4.81573749921409,4.78954796615276,4.72494099492016,4.68529124195175,5.05057519231253,4.84282857442742,4.9793321952458,4.95610550061048,4.69378123510542,4.57516278071761,4.61054270870761,4.64121959069181,4.94025469250166,4.85649458853878,4.79670841463601,5.51200695998104,5.45496103020028,5.23312215596218,5.27467957117332,5.14253336142738,5.14469204148457,4.8076398435174,4.93884327877262,4.63735358443825,4.60736851394045,4.67110150724477,4.50674751015082,4.58236082419872,4.51140345933382,4.77689300525309,4.59212589379812,4.47190703941818,4.58267927812281,4.56585486549954,4.52036715266029,4.52590075357029,4.61124187305626,4.65593019811276,4.60261092780464,4.57391715057525,4.65112642289677,4.46900978717414,4.50102126760439,4.44511701486072,4.47306088124523,4.66559465320391,4.83779652628425,4.67529411445381,4.72603509980728,4.59296362000577,4.63159948350894,4.64763613505808,4.7947704097068,5.07323443284335,5.27875503778238,5.35555764450583,5.09503508519014,4.91822337366744,4.89881540074731,4.87897621861783,4.85345467755833,4.61323053043652,4.56425079486326,4.6119010729338,4.55438622426741,4.38145309624349,4.40883696090694,4.29147430238786,4.19471566351325,4.56061914230272,5.13034694853349,4.00674108048484,3.34628469184429,3.38867077170893,3.38657325815467,3.50955811925958,3.72496845568349,3.70433970946549,3.42438036489861,3.54121850072667,3.60855689339928,3.8622132220508,3.97163701521748,3.91119479708517,3.82089686941806,4.05887340357472,4.04434221989806,4.01386602730577,4.08374511609973,3.36077091863194,4.03994299490941,3.81215306312218,4.3114491725966,4.30561087042062,4.30754422186982,4.54477996660012,4.67171506929082,5.31604037070342,4.83233508518859,4.87310864328756,5.03109829711148,4.92670943172705,4.43365855536458,4.59977968225796,4.24934450400746,4.45700276690121,4.48113634991335,4.47683855870835,4.47915140953114,4.27929142523483,4.16466087153078,4.15464262820757,4.44654360306339,4.36548090276511,4.26238561012991,4.0540102095415,3.9590217454451,3.96476023678142,3.94293470959057],"EWG^FMA_PE(LTMA,-10AY,0,AM,\"PORTAGG\",\"MEANR\")":[14.7775784949163,14.6330415699914,14.6863869111369,14.7021212436149,14.0045679406956,14.3741780433513,13.7374051362458,13.5698955378554,14.4128656326982,14.2318596028789,15.7488294396175,16.4661045406859,16.5142576521012,16.2530129504283,15.8445817965042,15.471700557444,15.5201783458508,14.1915337180314,13.6947369017506,14.5168016929855,14.2539952798487,13.4391708993985,12.4680152645594,12.7186772140856,12.7465334367849,12.7583590087865,12.8653974745486,12.705984699086,13.0409808881388,13.4928239289522,13.7048395117176,13.3256283544746,13.5491630343979,14.915703331865,14.8545220186501,15.0052215600377,14.9546190854403,14.9225134133883,14.8415014924809,14.5588854078196,14.3844621450596,14.1350471384664,14.7434266607106,15.4846925731171,15.380714612053,15.5347598394883,14.7787830038189,14.1641193569388,14.0466151081835,14.2092224463604,14.107956356755,13.9157714629475,14.1001856742959,13.9060439563188,13.8898834325162,13.1625388688089,12.9514167121362,12.2768786939817,12.8443176067473,13.2311540599575,13.2761737802864,13.427236034518,13.1871173560361,13.5682138672204,13.4258317322727,13.639682675254,13.8112607171591,14.9957795340311,15.1701462453498,15.4651787096354,15.3264041990838,14.0643708168197,13.8058123764859,14.8896869073947,16.9735183280288,17.9694938279274,18.8977148289078,19.8788908704134,20.332643214517,19.4196131907557,20.9037215886831,22.0574672671701,21.5115225621764,20.2511777517591,20.0777812245172,19.1916274922274,18.8450824567692,18.3270679384091,17.5127282866019,16.8385122702839,15.6985740723827,15.7226497506559,14.0789510487142,14.3631212304081,13.2834752552484,12.3151823487368,12.4656035369232,12.1852535335843,12.1395736694844,11.3778626798294,11.5256193945889,10.7948767853942,10.4084659110535,10.5726579554231,11.0712193373567,10.9082701398918,11.759315906175,11.3760445136602,11.3793677064243,11.3485968599654,11.2754704877331,11.273303724595,11.2131397350068,11.2536888534903,10.8990254830743,10.9117388915196,11.6993156466224,11.8420658192394,12.0548326541092,12.5041624970445,12.5948940126307],"NI-FDS^MAX(FG_PRICE(0,-5AY))":48241.0,"QQQ^SIZE(FG_CONSTITUENTS)":102,"REFSEREPO-FDS^FG_YIELD(NOW,,,0)":4.0,"TRYFR10Y-FDS^PCTCHG(FG_YIELD(0,,,,\"YTM\"),FG_YIELD(-1AM,,,,\"YTM\"))":-0.79861116,"EWD^FMA_PE(LTM,0,,,\"PORTAGG\",\"MEANR\")":14.6699748664497,"SPY^FMA_PE(NTMA,0,,,\"PORTAGG\",\"MEANR\")":20.7390737185929,"EWC^FMA_EVAL_EBITDA(NTMA,0,,,\"PORTAGG\",\"MEANR\")":9.96348041741114,"EWN^FG_TOTAL_RETURNC(0,-6AM)":32.0842,"EWN^FMA_COS_DOWN(\"EPS\",\"1M\",+1,0,,,\"PORTAGG\",\"MEANR\")":27.0,"VWO^FMA_EVAL_EBITDA(NTMA,0,,,\"PORTAGG\",\"MEANR\")":8.504454954462,"EWG^JULIAN(FMA_DIV_YLD(NTMA,NOW,NOW,M,\"PORTAGG\",\"MEANR\").DATES)":45379,"EWA^P_PRICE(0)/P_PRICE_HIGH_PR(0,,,USD,,,\"PRICE\",\"INTRA\",\"52W\")":0.9756389,"TRYVN10Y-FDS^FG_YIELD(-10AY,0,Y,,\"YTM\")":[7.3,6.277413,7.1117578,5.6717234,4.738006,3.5404546,2.4877946,2.059403,4.687226,2.9473283],"EWL^P_PRICE_RETURNS_PR('52W',2,-10AY,0,AM)":[18.5351,17.651249,20.19266,23.149193,10.187996,15.575576,3.9068103,2.1386623,7.1262956,0.13849735,4.323542,-0.4715383,0.28125048,2.2981524,2.9393435,-1.6312003,6.43003,-5.443102,-0.750196,1.8128037,-2.2881508,-0.339365,-8.907461,-9.411359,-10.270101,-11.954176,-10.641277,-7.0082664,-9.456658,0.49598217,0.773859,-7.6879206,-6.367117,-0.052011013,8.6526985,10.03381,11.012232,16.625643,18.078375,17.698383,18.712389,15.711641,18.261147,23.27584,26.06455,23.550833,21.918571,12.266958,8.0073595,1.8988132,-2.6541471,-2.4191916,2.1828651,3.2556415,-0.4336536,-1.4680624,-3.069812,-9.071302,-6.5231323,3.6711335,7.8661203,9.3153715,11.262714,18.200148,9.807861,11.54778,10.5322,19.325363,20.104683,32.84123,26.366901,18.471872,-0.8005023,2.5049329,9.77881,6.6479445,12.457061,11.971855,15.904558,9.006559,13.106704,12.87409,10.031271,8.459436,32.477615,28.48674,27.789795,26.301552,24.714672,24.705482,15.384161,25.359858,17.55787,19.002687,11.445117,8.708275,12.8106,2.8615952,-6.439626,-13.02101,-12.25952,-19.85411,-14.709366,-21.577942,-10.534376,-15.86219,-6.1262665,-4.2694807,-6.7312183,6.2956095,5.598259,12.91697,9.645796,17.080784,11.90691,16.117775,7.92259,12.464738,6.921208,8.590376,5.3003907],"EWQ^FG_PRICE_MAVG(0,,,,60)":39.74383,"EWN^FMA_COS_UP(\"EPS\",\"1M\",+1,0,,,\"PORTAGG\",\"MEANR\")":17.0,"^FG_YIELD(-10AY,0,Y,,\"YTM\")":[null,null,null,null,null,null,null,null,null,null],"EWN^FG_TOTAL_RETURNC(0,-1AM)":1.5689611,"SPY^SIZE(FG_CONSTITUENTS)":504,"REFGBBANK-FDS^PROPER_NAME(0,,,\"SECURITY\",\"NAME\")":"UK Bank Rate","VWO^FG_FCF_YIELD_NTM(0)":5.58271304727231,"DBA^FG_TOTAL_RETURNC(0,-1AM)":10.467696,"TRYNL10Y-FDS^PCTCHG(FG_YIELD(0,,,,\"YTM\"),FG_YIELD(-3AM,,,,\"YTM\"))":9.447199,"SPY^PERCENT_CHANGE(FMA_EPS(+1,0,,,,\"PORTAGG\",\"MEAN\"),FMA_EPS(+1,-1AM,,,,\"PORTAGG\",\"MEAN\"))":-0.223682852506911,"EWL^FMA_EVAL_EBIT(LTMA,NOW,NOW,M,\"PORTAGG\",\"MEANR\")":16.6905634669713,"EWD^FMA_COS_UP(\"EPS\",\"1M\",+1,0,,,\"PORTAGG\",\"MEANR\")":14.0,"EWQ^FG_PRICE_MAVG(0,,,,30)":40.951332,"ENZL^FMA_EVAL_EBIT(LTMA,NOW,NOW,M,\"PORTAGG\",\"MEANR\")":20.5144981314625,"VWO^FG_PE_NTM(0,,,90,0)":12.3139757849831,"VWO^PERCENT_CHANGE(FMA_EPS(+1,0,,,,\"PORTAGG\",\"MEAN\"),FMA_EPS(+1,-1AM,,,,\"PORTAGG\",\"MEAN\"))":0.0,"EWN^FMA_DIV_YLD(NTMA,-10AY,0,AM,\"PORTAGG\",\"MEANR\")":[2.67126707524373,2.81697348034319,2.81302604363984,2.74809731260379,3.02855808781653,2.92833905600878,3.06632105731315,3.13825561926678,3.01333652251545,3.08146154647867,2.90041212861688,2.71151167153017,2.65446860563694,2.73851380507085,2.86920066045636,2.95031048369196,2.86384022510323,3.48373985946937,3.59274484905921,3.18525859456351,3.24592202388408,3.21759422453154,3.40650652264899,3.30689514791493,3.33420247127681,3.44491716761665,3.15820379646118,3.32961459433652,3.22708402576824,3.06719574638024,3.08425972778601,3.22947777603248,3.17431436302957,2.93909982755878,2.9453471749988,2.81676394391233,2.77519558482281,2.69896207538921,2.69270382525859,2.80029212195414,2.75012306960095,2.86919605885253,2.77129783606755,2.74329851679338,2.84822115568756,2.81954100358298,2.85162940046749,3.01713124475304,3.01601066750348,2.93207103567599,2.87658370110586,2.96667622010222,2.8361045196147,2.9457349883553,3.0626344642723,3.19994166073887,3.22002155234071,3.45552055978227,3.25001712180833,3.10244073755478,3.00838411035306,2.95313298217354,3.15568448964536,2.94241711839443,2.96913777924068,2.92586473374311,2.81032375082343,2.71064626650132,2.67601295810468,2.57692308486884,2.60371339716205,2.78069297740998,3.20485609528927,2.76635889359986,2.38028706088979,2.34370971906715,2.3647043844534,2.35778111888305,2.32667070572977,2.29481037849603,2.05513811281423,1.94684423360957,1.9410179083804,2.09168273222309,1.91768256488738,2.01504220238602,2.00071757628817,2.00869467931465,1.9248875890576,1.83825569482228,2.01206758872996,1.84565483419015,2.00595870227783,1.93435633515663,2.23184375093928,2.49780948125594,2.21128891636716,2.41589059233176,2.56093646803958,3.48420352945727,3.0413857238227,3.79304012738643,2.91948559780481,2.94884022376906,2.63424289569049,2.68045351424372,2.50476080702443,2.62721850533603,2.65294836704233,2.72641952521934,2.6879028226558,2.6869293408094,2.72530883332597,2.88342968572098,3.05843484996484,2.97389704718241,2.78761984093795,2.73321155894995,2.5530473761579,2.57485107799925,2.5199373366355],"REFCHMPR-FDS^PROPER_NAME(0,,,\"SECURITY\",\"NAME\")":"Swiss Policy Rate - Sight Deposit Rate","ENZL^FMA_EVAL_EBITDA(NTMA,0,,,\"PORTAGG\",\"MEANR\")":12.2989882752734,"EWC^FG_TOTAL_RETURNC(0,-6AM)":19.677639,"TRYDE10Y-FDS^FG_YIELD(-10AY,0,Y,,\"YTM\")":[0.5475,0.636,0.22,0.47,0.239,-0.189,-0.575,-0.181,2.534,2.004],"SPY^FG_PRICE_MAVG(0,,,,200)":462.2728,"SPY^PERCENT_CHANGE(FMA_EPS(+1,0,,,,\"PORTAGG\",\"MEAN\"),FMA_EPS(+1,-3AM,,,,\"PORTAGG\",\"MEAN\"))":-0.221443483220838,"ENZL^FMA_DIV_YLD(NTMA,NOW,NOW,M,\"PORTAGG\",\"MEANR\")":2.74326885778498,"EWD^FMA_EVAL_EBIT(LTMA,NOW,NOW,M,\"PORTAGG\",\"MEANR\")":15.9478545682506,"EWL^FMA_EVAL_EBITDA(NTMA,0,,,\"PORTAGG\",\"MEANR\")":12.8544593246742,"QQQ^FMA_DIV_YLD(NTMA,-10AY,0,AM,\"PORTAGG\",\"MEANR\")":[1.42203366990281,1.35765022006343,1.31085769127697,1.24295239364795,1.26009035450258,1.21679091316816,1.24654883397084,1.22815233439533,1.19860449424864,1.20789072103969,1.26336058111876,1.21014085450188,1.28225423001148,1.23725505667508,1.24566531612437,1.26122092774196,1.26898564208871,1.39250307387024,1.36720016176551,1.2500149945807,1.2594201906243,1.28751040267954,1.3984289379076,1.37525834454113,1.32570560832186,1.40017082717854,1.34556864664874,1.35862473258535,1.28814138671485,1.28338731892531,1.26517421884498,1.33313270243846,1.31592340023061,1.28306640940629,1.23899425993883,1.21595978537277,1.20686559068748,1.18304033513769,1.14103212413917,1.21065328104709,1.1733588326675,1.16027732463639,1.16023455436958,1.11336772703611,1.12220869816426,1.07132887243851,1.0631498940693,1.07210358135772,1.12858728074745,1.11070277517455,1.05666052867409,1.08105015398593,1.07950353871957,1.05488183500922,1.08265742986666,1.18219257849352,1.21844131815612,1.30354729744351,1.21144853677109,1.1703388748799,1.11521314586928,1.08025528401419,1.1946491609796,1.08864064799322,1.11621918955703,1.11438660086899,1.11610304227057,1.06797775553727,1.08654061774371,1.0411164867807,0.986578331159224,1.03562781397979,1.23145700730043,1.03156441466986,0.943908619191668,0.879624694337777,0.821397782995049,0.786850768282955,0.812639713215828,0.786855619736535,0.741361956033625,0.775334098941024,0.732022435790007,0.803269981864908,0.754172587513757,0.748040551902438,0.739173930389873,0.696209342838354,0.699840125221087,0.677079344681871,0.739660766413021,0.658299003650073,0.690278907072365,0.671733102296153,0.753452139056872,0.811310912196727,0.743208204830712,0.835415605003777,0.908893488542593,0.992342144236491,0.86965596649927,0.962519191385244,1.01424016343692,1.0907144875189,0.987037692848049,1.04194435377696,0.914675780582251,0.942468656988609,0.889252043063212,0.882073426242688,0.79160911037145,0.761389842345952,0.882686229005201,0.874048684695818,0.942568075471403,0.92832005586592,0.893336434269433,0.950710501186087,0.894830241999803,0.874501764390714,0.903158203748923],"EWG^FG_PRICE(0)":31.37,"EWC^FMA_COS_UP(\"EPS\",\"1M\",+1,0,,,\"PORTAGG\",\"MEANR\")":25.0,"REFJPTON-FDS^(SUBARRAY(NOT_NA(NO_REPEAT_F(FG_YIELD(NOW,-10AY,D))),0,1)-SUBARRAY(NOT_NA(NO_REPEAT_F(FG_YIELD(NOW,-10AY,D))),1,1))*100":20.0,"EWI^JULIAN(FMA_DIV_YLD(NTMA,NOW,NOW,M,\"PORTAGG\",\"MEANR\").DATES)":45379,"ENZL^FMA_PE(NTMA,0,,,\"PORTAGG\",\"MEANR\")":25.0643293624228,"EWD^FMA_DIV_YLD(NTMA,NOW,NOW,M,\"PORTAGG\",\"MEANR\")":3.22735950403511,"SPY^FG_FCF_YIELD_NTM(0)":4.14005856508068,"USDAUD^FG_PRICE_CHANGE(0,-1AY)":1.9870043,"TRYKR10Y-FDS^FG_YIELD(-10AY,0,Y,,\"YTM\")":[2.6272,2.0852,2.0916,2.4797,1.9804,1.6728,1.7238,2.2417,3.6906,3.1928],"EWA^FMA_COS_UP(\"EPS\",\"1M\",+1,0,,,\"PORTAGG\",\"MEANR\")":22.0,"TRYNZ10Y-FDS^PCTCHG(FG_YIELD(0,,,,\"YTM\"),FG_YIELD(-1AM,,,,\"YTM\"))":-1.7977302,"ENZL^FMA_RBICS_REV_CURRENT(30, LOC, \"PORTAGG\")":13.7517044499309,"USDJPY^STD(FG_PRICE_CHANGE(0,-3AY,M))":3.01948152393537,"TRYCA10Y-FDS^FG_YIELD(0,,,,\"YTM\")":3.5533,"SPY^FMA_PE(LTMA,-10AY,0,AM,\"PORTAGG\",\"MEANR\")":[16.2968359427293,16.2372062655387,16.3003204021029,16.4996505616026,16.2029024156078,16.4849999912374,16.3629751097438,16.684921910295,17.1911357554625,17.2880609023596,17.0995495528243,17.5799708274535,17.4862016147174,17.5670688830186,17.4719082405555,17.3881398304416,17.4804102529502,16.5216733276677,16.6496234324281,17.5924137357809,17.4949842320588,16.8740731560845,16.2966838906097,16.18819342752,16.4452153070474,16.565182572191,16.7753482194953,16.9159239183927,17.3687128662998,17.6159089870747,17.6604468683771,17.2918700891375,18.2194455870168,19.0533805734181,19.0470058282493,19.5059964529408,19.3170637122769,19.2164526892078,19.238310359636,19.0961398757214,19.1759928307014,19.0917620071552,19.4373095021123,19.6418530820794,19.9724142674525,20.5965677858188,20.4222110096896,19.753213097976,19.3882771370759,19.0584991730264,18.9288508433386,18.5562986133552,18.6694704620637,18.654180542312,18.5055152210056,17.3250553415588,16.8848339833356,15.6618488826115,16.8014756694772,17.1112776465071,17.1996750663753,17.3212839887634,16.9941811050291,17.5797539543109,17.4926407268983,17.5851849371932,17.794563845827,18.5597061398243,18.959983645075,19.895155488295,20.0727466300549,18.0748092501661,17.5602767869913,19.276801779579,20.7708558207932,21.3713505701452,22.3085272116473,23.3933445247218,23.5238420706288,23.9391688047047,25.9086879026718,26.950214086948,27.1545411377405,26.1682926274439,26.0453887995242,25.4723356172567,25.0698009859009,24.9356344163444,24.0997760329465,24.0138984960309,22.8103150193123,23.5255450739361,22.479791611917,23.3506116896117,21.5274663731134,20.6664268299659,20.7519397174114,20.2344779561655,19.6744693318779,18.8264731514346,19.3833245732309,18.5485323225653,17.9195813801267,17.6733251325857,18.6236096471427,17.4962543908044,18.8156775312651,18.1146917784519,18.2255315542008,18.1848881358968,18.6115233863525,19.1720983080306,19.3840946427162,19.5924662654269,19.0009779123934,19.5210638304467,20.5156824612051,21.3812520855428,22.4160678914579,22.7995376733244,22.7124851248858],"EWA^FG_PRICE_MAVG(0,,,,60)":23.900333,"EWA^FMA_COS_DOWN(\"EPS\",\"1M\",+1,0,,,\"PORTAGG\",\"MEANR\")":19.0,"REFJPTON-FDS^PROPER_NAME(0,,,\"SECURITY\",\"NAME\")":"Japan Policy Rate","ENZL^FMA_PE(LTM,0,,,\"PORTAGG\",\"MEANR\")":29.4077076132972,"UUP^P_PRICE(0)/P_PRICE_HIGH_PR(0,,,USD,,,\"PRICE\",\"INTRA\",\"52W\")":0.9385048,"QQQ^FG_TOTAL_RETURNC(0,-12AM)":37.34846,"ENZL^JULIAN(FMA_DIV_YLD(NTMA,NOW,NOW,M,\"PORTAGG\",\"MEANR\").DATES)":45379,"UUP^FG_TOTAL_RETURNC(0,-3AM)":3.2834768,"UUP^FG_TOTAL_RETURNC(0,-1AM)":0.9629011,"CAGDPY@IT^EE_ACTUAL_ANNUAL(MED,0)":0.50816790549232,"EWD^FMA_EVAL_EBITDA(NTMA,0,,,\"PORTAGG\",\"MEANR\")":11.2403271850968,"EWL^FG_TOTAL_RETURNC(0,-3AM)":-2.0889938,"EWC^FMA_RBICS_REV_CURRENT(30, LOC, \"PORTAGG\")":40.9198307473677,"VGK^FG_TOTAL_RETURNC(0,-12AM)":12.320984,"FXI^FMA_COS_DOWN(\"EPS\",\"1M\",+1,0,,,\"PORTAGG\",\"MEANR\")":33.0,"EWA^FG_PRICE(0)":24.43,"W-FDS^FG_PRICE_CHANGE(0,-3AM)":-9.33170334148329,"EWU^FMA_PE(LTM,0,,,\"PORTAGG\",\"MEANR\")":10.6504586165974,"EWU^FMA_PE(LTMA,-10AY,0,AM,\"PORTAGG\",\"MEANR\")":[14.321614372864,14.3893722187413,14.3635178916582,14.4635631367125,14.2229546758657,14.3259661532883,13.6852686540251,13.6571584706565,13.9671384663896,13.6760489520509,14.449291240652,15.1825389702884,15.2601983607484,15.5735600312179,15.6596009526017,15.5181994991463,15.7326327234998,14.7873240569561,15.1081636704652,15.9923393617882,15.7034169706265,15.2846760952477,14.9951856990591,15.5936516191535,15.7601151272067,15.7990387706362,15.9914968248398,16.3512579053777,16.6939965588228,17.1492827394209,17.3296677766435,16.2431460224896,16.3684698356865,17.2807209886432,17.1730593944532,17.3620600606368,17.0764257459439,16.8262086236604,16.8020541321819,16.4550127307998,16.468691944279,16.103619870065,15.8711096344577,15.6243300350307,15.1155493959063,15.5436759678491,15.0783485898368,13.8558218942637,13.8741335923891,14.0284792862355,14.0295664509961,13.7950873312013,13.8587502045571,13.4848025964493,13.5080738665326,12.861120610642,12.5983627836019,12.1286869949997,12.6675236136849,12.9370712059007,13.0051016691814,13.0043341051328,12.8561353529555,13.1767581227365,12.9743126121464,12.9503809435329,12.8429168833659,13.4055846041042,13.3595463540105,14.2075295100932,13.953128788167,12.4128108804773,12.3474595424017,13.562115520447,14.9545205930159,15.3088729985573,15.9048126282025,16.3383134959903,16.8155783266292,16.5322753183077,19.3739861534205,19.8964655402159,19.307606914517,18.7803725495001,18.2153961897661,17.5599835702292,17.0557852121652,16.3401414881837,15.4104004263092,14.7353980638035,13.7824369947295,13.4113483604817,12.4710273516146,12.6066810315757,12.6552817687009,12.4091222468475,12.2767964995758,11.9327334007192,11.6970434956876,11.1000349956988,10.8978553522272,10.2759097984494,9.7195087066351,9.60528218794841,9.9880876774813,9.73551986101331,10.0982656394051,10.2641849383081,10.2866241362122,10.3401630577248,10.3040064909821,10.3638248279089,10.5555070069723,10.5145387085705,10.3397515321361,10.5289697280422,10.895644808789,11.3242206018346,11.2548155373133,11.4415806427006,11.5283776534713],"EWD^JULIAN(FMA_DIV_YLD(NTMA,NOW,NOW,M,\"PORTAGG\",\"MEANR\").DATES)":45379,"CC_CA^FG_COMPANY_NAME":"Canada","EWL^PERCENT_CHANGE(FMA_EPS(+1,0,,,,\"PORTAGG\",\"MEAN\"),FMA_EPS(+1,-1AM,,,,\"PORTAGG\",\"MEAN\"))":-1.07612703773263,"ENZL^FMA_COS_DOWN(\"EPS\",\"1M\",+1,0,,,\"PORTAGG\",\"MEANR\")":3.0,"TRYNL10Y-FDS^PCTCHG(FG_YIELD(0,,,,\"YTM\"),FG_YIELD(-1AM,,,,\"YTM\"))":-2.606456,"TRYFR10Y-FDS^PCTCHG(FG_YIELD(0,,,,\"YTM\"),FG_YIELD(-3AM,,,,\"YTM\"))":7.3253255,"PASP-FDS^FG_PRICE_MAVG(0,,,,30)":1014.8333,"PASP-FDS^FG_PRICE_CHANGE(0,-1AM)":7.29166666666667,"EWQ^FMA_PE(LTM,0,,,\"PORTAGG\",\"MEANR\")":16.599646238437,"VGK^P_PRICE(0)/P_PRICE_LOW_PR(0,,,USD,,,\"PRICE\",\"INTRA\",\"52W\")-1":0.2094078,"CC_NZ^IMF_IFS_RCPI_Q(0)":null,"EWL^FMA_PCT_ABOVE_MAVG(200,0,,,,\"PORTAGG\")":57.7777777777778,"SPY^FMA_RBICS_REV_CURRENT(30, LOC, \"PORTAGG\")":12.5169610337793,"SPY^FMA_EVAL_EBITDA(NTMA,0,,,\"PORTAGG\",\"MEANR\")":14.1834482797672,"USDCHF^FG_PRICE_CHANGE(0,-1AY)":-0.29206276,"EWJ^FMA_RBICS_REV_CURRENT(30, LOC, \"PORTAGG\")":17.7091909618777,"SPY^FMA_DIV_YLD(NTMA,NOW,NOW,M,\"PORTAGG\",\"MEANR\")":1.42735492742733,"EWC^FG_TOTAL_RETURNC(0,-1AM)":2.7282476,"EWD^P_PRICE_RETURNS_PR('52W',2,-10AY,0,AM)":[16.902506,16.818226,16.5339,21.768236,6.3534617,5.917549,-3.1404912,-0.8678138,1.4593124,-6.5948305,-0.58133006,-1.7913342,-5.072558,-3.7364483,-3.4291625,-7.0961833,-2.9003441,-8.794773,-4.9015403,-2.656275,-4.1704836,-5.874687,-12.683648,-13.995302,-9.621114,-11.373162,-11.648297,-11.095184,-8.704406,0.40832758,3.0256748,-8.109623,-5.738908,5.832231,19.782507,13.188065,9.8042965,19.954073,21.91596,26.529562,26.857018,23.978651,27.184809,33.935917,27.189754,23.641384,18.54335,13.205481,8.345008,0.7822275,-2.0099223,-4.620737,-1.6008794,-3.3723652,-6.4627113,-11.0989275,-10.247892,-14.315426,-11.259347,-4.9812675,1.1255264,2.4505496,-5.214894,5.6881666,-6.9919467,-7.251346,-7.7558336,11.299383,14.027953,25.684393,14.617753,9.865475,-21.123827,-13.159985,13.097799,2.711296,22.840141,26.378452,27.00975,12.305069,26.56002,23.721958,28.45552,36.028446,89.20971,74.82262,54.751133,53.677845,44.96093,43.636013,30.800283,40.859257,15.61371,23.067225,6.6045284,-14.979535,-6.9562016,-16.397804,-20.30549,-30.431414,-26.801126,-36.70828,-30.501032,-33.687996,-19.806374,-26.665741,-12.105489,4.7614336,-7.1274996,3.8233995,-2.9057205,15.950537,3.5244346,13.63163,10.091257,15.557898,7.1415663,16.962862,4.618156,12.332654,13.975763],"USDCHF^FG_PRICE(0)":0.9047,"EWC^FG_TOTAL_RETURNC(0,-12AM)":12.150717,"EWC^P_PRICE(0)/P_PRICE_HIGH_PR(0,,,USD,,,\"PRICE\",\"INTRA\",\"52W\")":0.9854884,"W-FDS^FG_PRICE_CHANGE(0,-1AM)":-1.2866015971606,"TRYIT10Y-FDS^FG_YIELD(0,,,,\"YTM\")":3.703,"EWU^FMA_PE(NTMA,0,,,\"PORTAGG\",\"MEANR\")":11.4833042301006,"EWG^FMA_PE(LTM,0,,,\"PORTAGG\",\"MEANR\")":12.7963438884009,"EWL^FMA_DIV_YLD(NTMA,NOW,NOW,M,\"PORTAGG\",\"MEANR\")":3.26225183141211,"USDAUD^FG_PRICE(0)":1.5110306,"EWD^FG_TOTAL_RETURNC(0,-6AM)":26.915466,"TRYAU10Y-FDS^FG_YIELD(0,,,,\"YTM\")":4.18,"EWG^FMA_DIV_YLD(NTMA,NOW,NOW,M,\"PORTAGG\",\"MEANR\")":3.24833813009107,"EWD^PERCENT_CHANGE(FMA_EPS(+1,0,,,,\"PORTAGG\",\"MEAN\"),FMA_EPS(+1,-3AM,,,,\"PORTAGG\",\"MEAN\"))":-3.11421002630814,"EWN^P_PRICE(0)/P_PRICE_LOW_PR(0,,,USD,,,\"PRICE\",\"INTRA\",\"52W\")-1":0.35574532,"DUMMY^ECON_DATE(45356,,, 'MM/YYYY')":"03/2024","DUMMY^ECON_EXPR_DATA('FDS_ECON[NTCPMIMFGSA@NZ]',03/2024,,M)":null,"DUMMY^ECON_EXPR_DATA('FDS_ECON[NTCPMIMFGSA@IT]',11/2023,,Q)":45.562866,"DUMMY^ECON_EXPR_DATA('FDS_ECON[NTCPMIMFGSA@EME]',03/2024,,M)":51.96338,"CC_US^IMF_IFS_RCPI_Q(-1AM)":3.2433991,"CC_NZ^IMF_IFS_RCPI_Q(-1AM)":4.655029,"CC_AU^IMF_IFS_RCPI_Q(-1AM)":4.051988,"CC_CA^IMF_IFS_RCPI_Q(-1AM)":3.2111022,"CC_DE^IMF_IFS_RCPI_Q(-1AM)":3.5546436,"CC_JP^IMF_IFS_RCPI_Q(-1AM)":2.9194753,"CC_CH^IMF_IFS_RCPI_Q(-1AM)":1.6172575,"CC_GB^IMF_IFS_RCPI_Q(-1AM)":4.3536315,"CC_FR^IMF_IFS_RCPI_Q(-1AM)":3.7187452,"CC_NL^IMF_IFS_RCPI_Q(-1AM)":0.80520856,"CC_SE^IMF_IFS_RCPI_Q(-1AM)":5.550837,"CC_IT^IMF_IFS_RCPI_Q(-1AM)":0.98369783,"DUMMY^ECON_EXPR_DATA('FDS_ECON[NTCPMIMFGSA@CA]',12/2023,,Q)":47.255585,"DUMMY^ECON_EXPR_DATA('FDS_ECON[NTCPMIMFGSA@AU]',12/2023,,Q)":47.862293,"DUMMY^ECON_EXPR_DATA('FDS_ECON[NTCPMIMFGSA@NZ]',12/2023,,Q)":44.351116,"DUMMY^ECON_DATE(45265,,, 'MM/YYYY')":"12/2023","DUMMY^ECON_EXPR_DATA('FDS_ECON[PMIDMMANHE]',03/2024,,M)":49.28643,"DUMMY^ECON_EXPR_DATA('FDS_ECON[NTCPMIMFGSA@IT]',03/2024,,Q)":49.208153,"DUMMY^ECON_EXPR_DATA('FDS_ECON[NTCPMIMFGSA@SE]',03/2024,,Q)":null,"DUMMY^ECON_EXPR_DATA('FDS_ECON[NTCPMIMFGSA@NL]',03/2024,,Q)":49.325874,"DUMMY^ECON_EXPR_DATA('FDS_ECON[NTCPMIMFGSA@FR]',03/2024,,Q)":45.498753,"DUMMY^ECON_EXPR_DATA('FDS_ECON[NTCPMIMFGMESA@US]',03/2024,,Q)":51.582687,"DUMMY^ECON_EXPR_DATA('FDS_ECON[NTCPMIMFGSA@GB]',03/2024,,Q)":48.24796,"DUMMY^ECON_EXPR_DATA('FDS_ECON[NTCPMIMFGSA@CH]',03/2024,,Q)":44.08605,"DUMMY^ECON_EXPR_DATA('FDS_ECON[NTCPMIMFGSA@JP]',03/2024,,Q)":47.808857,"DUMMY^ECON_EXPR_DATA('FDS_ECON[NTCPMIMFGSA@DE]',03/2024,,Q)":43.319096,"DUMMY^ECON_EXPR_DATA('FDS_ECON[NTCPMIMFGSA@CA]',03/2024,,Q)":49.30091,"DUMMY^ECON_EXPR_DATA('FDS_ECON[NTCPMIMFGSA@AU]',03/2024,,Q)":48.39547,"DUMMY^ECON_EXPR_DATA('FDS_ECON[NTCPMIMFGSA@NZ]',03/2024,,Q)":null,"DUMMY^ECON_EXPR_DATA('FDS_ECON[NTCPMIMFGSA@EME]',03/2024,,Q)":51.51058,"DUMMY^ECON_EXPR_DATA('FDS_ECON[PMIDMMANHE]',03/2024,,Q)":49.13533,"DUMMY^ECON_EXPR_DATA('FDS_ECON[NTCPMIMFGSA@IT]',12/2023,,Q)":44.859455,"DUMMY^ECON_EXPR_DATA('FDS_ECON[NTCPMIMFGSA@SE]',12/2023,,Q)":null,"DUMMY^ECON_EXPR_DATA('FDS_ECON[NTCPMIMFGSA@NL]',12/2023,,Q)":44.495136,"DUMMY^ECON_EXPR_DATA('FDS_ECON[NTCPMIMFGSA@FR]',12/2023,,Q)":42.573967,"DUMMY^ECON_EXPR_DATA('FDS_ECON[NTCPMIMFGMESA@US]',12/2023,,Q)":49.098827,"DUMMY^ECON_EXPR_DATA('FDS_ECON[NTCPMIMFGSA@GB]',12/2023,,Q)":46.0587,"DUMMY^ECON_EXPR_DATA('FDS_ECON[NTCPMIMFGSA@CH]',12/2023,,Q)":41.921543,"DUMMY^ECON_EXPR_DATA('FDS_ECON[NTCPMIMFGSA@JP]',12/2023,,Q)":48.31877,"DUMMY^ECON_EXPR_DATA('FDS_ECON[NTCPMIMFGSA@DE]',12/2023,,Q)":42.238945,"EWL^FG_COMPANY_NAME":"iShares MSCI Switzerland ETF","EWU^FG_COMPANY_NAME":"iShares MSCI United Kingdom ETF","QQQ^FG_COMPANY_NAME":"Invesco QQQ Trust Series I","SPY^FG_COMPANY_NAME":"SPDR S&P 500 ETF Trust","EWQ^FG_COMPANY_NAME":"iShares MSCI France ETF","EWN^FG_COMPANY_NAME":"iShares MSCI Netherlands ETF","EWD^FG_COMPANY_NAME":"iShares MSCI Sweden ETF","EWI^FG_COMPANY_NAME":"iShares MSCI Italy ETF","DUMMY^ECON_EXPR_DATA('FDS_ECON[NTCPMIMFGSA@SE]',11/2023,,Q)":null,"DUMMY^ECON_EXPR_DATA('FDS_ECON[NTCPMIMFGSA@NL]',11/2023,,Q)":44.945713,"DUMMY^ECON_EXPR_DATA('FDS_ECON[NTCPMIMFGSA@FR]',11/2023,,Q)":45.09797,"DUMMY^ECON_EXPR_DATA('FDS_ECON[NTCPMIMFGMESA@US]',11/2023,,Q)":48.91491,"DUMMY^ECON_EXPR_DATA('FDS_ECON[NTCPMIMFGSA@GB]',11/2023,,Q)":44.209953,"DUMMY^ECON_EXPR_DATA('FDS_ECON[NTCPMIMFGSA@CH]',11/2023,,Q)":41.102364,"DUMMY^ECON_EXPR_DATA('FDS_ECON[NTCPMIMFGSA@JP]',11/2023,,Q)":49.252666,"DUMMY^ECON_EXPR_DATA('FDS_ECON[NTCPMIMFGSA@DE]',11/2023,,Q)":39.155674,"DUMMY^ECON_EXPR_DATA('FDS_ECON[NTCPMIMFGSA@CA]',11/2023,,Q)":48.335907,"DUMMY^ECON_EXPR_DATA('FDS_ECON[NTCPMIMFGSA@AU]',11/2023,,Q)":49.327065,"DUMMY^ECON_EXPR_DATA('FDS_ECON[NTCPMIMFGSA@NZ]',11/2023,,Q)":45.880733,"DUMMY^ECON_EXPR_DATA('FDS_ECON[NTCPMIMFGSA@EME]',11/2023,,Q)":50.79569,"DUMMY^ECON_EXPR_DATA('FDS_ECON[PMIDMMANHE]',11/2023,,Q)":47.08635,"DUMMY^ECON_EXPR_DATA('FDS_ECON[NTCPMIMFGSA@IT]',02/2024,,M)":48.697094,"DUMMY^ECON_EXPR_DATA('FDS_ECON[NTCPMIMFGSA@SE]',02/2024,,M)":null,"DUMMY^ECON_EXPR_DATA('FDS_ECON[NTCPMIMFGSA@NL]',02/2024,,M)":49.33351,"DUMMY^ECON_EXPR_DATA('FDS_ECON[NTCPMIMFGSA@FR]',02/2024,,M)":47.113422,"DUMMY^ECON_EXPR_DATA('FDS_ECON[NTCPMIMFGMESA@US]',02/2024,,M)":52.19507,"DUMMY^ECON_EXPR_DATA('FDS_ECON[NTCPMIMFGSA@GB]',02/2024,,M)":47.508816,"DUMMY^ECON_EXPR_DATA('FDS_ECON[NTCPMIMFGSA@CH]',02/2024,,M)":43.954456,"DUMMY^ECON_EXPR_DATA('FDS_ECON[NTCPMIMFGSA@JP]',02/2024,,M)":47.18277,"DUMMY^ECON_EXPR_DATA('FDS_ECON[NTCPMIMFGSA@DE]',02/2024,,M)":42.52625,"DUMMY^ECON_EXPR_DATA('FDS_ECON[NTCPMIMFGSA@CA]',02/2024,,M)":49.74032,"DUMMY^ECON_EXPR_DATA('FDS_ECON[NTCPMIMFGSA@AU]',02/2024,,M)":47.823067,"DUMMY^ECON_EXPR_DATA('FDS_ECON[NTCPMIMFGSA@NZ]',02/2024,,M)":49.27094,"DUMMY^ECON_EXPR_DATA('FDS_ECON[NTCPMIMFGSA@EME]',02/2024,,M)":51.45774,"DUMMY^ECON_EXPR_DATA('FDS_ECON[PMIDMMANHE]',02/2024,,M)":49.254124,"DUMMY^ECON_EXPR_DATA('FDS_ECON[NTCPMIMFGSA@IT]',02/2024,,Q)":44.859455,"DUMMY^ECON_EXPR_DATA('FDS_ECON[NTCPMIMFGSA@SE]',02/2024,,Q)":null,"DUMMY^ECON_EXPR_DATA('FDS_ECON[NTCPMIMFGSA@NL]',02/2024,,Q)":44.495136,"DUMMY^ECON_EXPR_DATA('FDS_ECON[NTCPMIMFGSA@FR]',02/2024,,Q)":42.573967,"DUMMY^ECON_EXPR_DATA('FDS_ECON[NTCPMIMFGMESA@US]',02/2024,,Q)":49.098827,"DUMMY^ECON_EXPR_DATA('FDS_ECON[NTCPMIMFGSA@GB]',02/2024,,Q)":46.0587,"DUMMY^ECON_EXPR_DATA('FDS_ECON[NTCPMIMFGSA@CH]',02/2024,,Q)":41.921543,"DUMMY^ECON_EXPR_DATA('FDS_ECON[NTCPMIMFGSA@JP]',02/2024,,Q)":48.31877,"DUMMY^ECON_EXPR_DATA('FDS_ECON[NTCPMIMFGSA@DE]',02/2024,,Q)":42.238945,"DUMMY^ECON_EXPR_DATA('FDS_ECON[NTCPMIMFGSA@CA]',02/2024,,Q)":47.255585,"DUMMY^ECON_EXPR_DATA('FDS_ECON[NTCPMIMFGSA@AU]',02/2024,,Q)":47.862293,"DUMMY^ECON_EXPR_DATA('FDS_ECON[NTCPMIMFGSA@NZ]',02/2024,,Q)":44.351116,"DUMMY^ECON_EXPR_DATA('FDS_ECON[NTCPMIMFGSA@EME]',02/2024,,Q)":50.624123,"DUMMY^ECON_EXPR_DATA('FDS_ECON[PMIDMMANHE]',02/2024,,Q)":47.377975,"DUMMY^ECON_DATE(45327,,, 'MM/YYYY')":"02/2024","DUMMY^ECON_DATE(45235,,, 'MM/YYYY')":"11/2023","ENZL^FG_COMPANY_NAME":"iShares MSCI New Zealand ETF","EWA^FG_COMPANY_NAME":"iShares MSCI Australia ETF","EWC^FG_COMPANY_NAME":"iShares MSCI Canada ETF","EWG^FG_COMPANY_NAME":"iShares MSCI Germany ETF","EWJ^FG_COMPANY_NAME":"iShares MSCI Japan ETF"}]]></FdsFormulaCache>
</file>

<file path=customXml/itemProps1.xml><?xml version="1.0" encoding="utf-8"?>
<ds:datastoreItem xmlns:ds="http://schemas.openxmlformats.org/officeDocument/2006/customXml" ds:itemID="{ECD2D8B1-66BC-4536-A20A-BD1B2293090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2024-04-05T11:34:02Z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