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531FB81-5EBA-4F50-952A-E8F19C13A722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17" i="57" l="1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4" i="48" a="1"/>
  <c r="M13" i="48" a="1"/>
  <c r="M12" i="48" a="1"/>
  <c r="M11" i="48" a="1"/>
  <c r="M10" i="48" a="1"/>
  <c r="M9" i="48" a="1"/>
  <c r="M8" i="48" a="1"/>
  <c r="M7" i="48" a="1"/>
  <c r="M5" i="48" a="1"/>
  <c r="M4" i="48" a="1"/>
  <c r="M6" i="48" a="1"/>
  <c r="M6" i="48" l="1"/>
  <c r="M4" i="48"/>
  <c r="M5" i="48"/>
  <c r="M7" i="48"/>
  <c r="M8" i="48"/>
  <c r="M9" i="48"/>
  <c r="M10" i="48"/>
  <c r="M11" i="48"/>
  <c r="M12" i="48"/>
  <c r="M13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AJ4" i="9" a="1"/>
  <c r="D4" i="9" a="1"/>
  <c r="J20" i="48" a="1"/>
  <c r="M2" i="38" a="1"/>
  <c r="AK4" i="9" a="1"/>
  <c r="U4" i="9" a="1"/>
  <c r="E4" i="9" a="1"/>
  <c r="J19" i="4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O15" i="1" a="1"/>
  <c r="I20" i="1" a="1"/>
  <c r="G15" i="1" a="1"/>
  <c r="L12" i="1" a="1"/>
  <c r="J10" i="1" a="1"/>
  <c r="H8" i="1" a="1"/>
  <c r="F6" i="1" a="1"/>
  <c r="K3" i="1" a="1"/>
  <c r="C6" i="1" a="1"/>
  <c r="D4" i="49" a="1"/>
  <c r="C16" i="40" a="1"/>
  <c r="G11" i="60" a="1"/>
  <c r="G7" i="60" a="1"/>
  <c r="G3" i="60" a="1"/>
  <c r="L2" i="38" a="1"/>
  <c r="T4" i="9" a="1"/>
  <c r="J16" i="48" a="1"/>
  <c r="I2" i="38" a="1"/>
  <c r="AE4" i="9" a="1"/>
  <c r="M4" i="9" a="1"/>
  <c r="E19" i="12" a="1"/>
  <c r="E11" i="12" a="1"/>
  <c r="E5" i="12" a="1"/>
  <c r="B4" i="12" a="1"/>
  <c r="H9" i="39" a="1"/>
  <c r="F4" i="39" a="1"/>
  <c r="K15" i="28" a="1"/>
  <c r="K9" i="28" a="1"/>
  <c r="K3" i="28" a="1"/>
  <c r="G7" i="28" a="1"/>
  <c r="D12" i="28" a="1"/>
  <c r="O14" i="1" a="1"/>
  <c r="F20" i="1" a="1"/>
  <c r="I14" i="1" a="1"/>
  <c r="L11" i="1" a="1"/>
  <c r="L6" i="1" a="1"/>
  <c r="C9" i="1" a="1"/>
  <c r="H10" i="60" a="1"/>
  <c r="G15" i="43" a="1"/>
  <c r="G6" i="43" a="1"/>
  <c r="H15" i="42" a="1"/>
  <c r="D13" i="42" a="1"/>
  <c r="J10" i="42" a="1"/>
  <c r="H8" i="42" a="1"/>
  <c r="F6" i="42" a="1"/>
  <c r="D4" i="42" a="1"/>
  <c r="F2" i="18" a="1"/>
  <c r="B2" i="15" a="1"/>
  <c r="J2" i="7" a="1"/>
  <c r="F2" i="47" a="1"/>
  <c r="B2" i="46" a="1"/>
  <c r="J10" i="52" a="1"/>
  <c r="H8" i="52" a="1"/>
  <c r="F6" i="52" a="1"/>
  <c r="D4" i="52" a="1"/>
  <c r="T15" i="56" a="1"/>
  <c r="V10" i="56" a="1"/>
  <c r="T6" i="56" a="1"/>
  <c r="J14" i="56" a="1"/>
  <c r="H10" i="56" a="1"/>
  <c r="J5" i="56" a="1"/>
  <c r="B7" i="56" a="1"/>
  <c r="O23" i="12" a="1"/>
  <c r="O21" i="12" a="1"/>
  <c r="O19" i="12" a="1"/>
  <c r="O15" i="12" a="1"/>
  <c r="O13" i="12" a="1"/>
  <c r="O11" i="12" a="1"/>
  <c r="O9" i="12" a="1"/>
  <c r="M7" i="12" a="1"/>
  <c r="M5" i="12" a="1"/>
  <c r="M3" i="12" a="1"/>
  <c r="G13" i="43" a="1"/>
  <c r="C11" i="43" a="1"/>
  <c r="H14" i="42" a="1"/>
  <c r="E12" i="42" a="1"/>
  <c r="J9" i="42" a="1"/>
  <c r="E7" i="42" a="1"/>
  <c r="J4" i="42" a="1"/>
  <c r="K2" i="18" a="1"/>
  <c r="F2" i="15" a="1"/>
  <c r="A2" i="5" a="1"/>
  <c r="H2" i="47" a="1"/>
  <c r="C2" i="46" a="1"/>
  <c r="I10" i="52" a="1"/>
  <c r="F8" i="52" a="1"/>
  <c r="I5" i="52" a="1"/>
  <c r="F3" i="52" a="1"/>
  <c r="S14" i="56" a="1"/>
  <c r="T9" i="56" a="1"/>
  <c r="I17" i="56" a="1"/>
  <c r="H12" i="56" a="1"/>
  <c r="I7" i="56" a="1"/>
  <c r="B13" i="56" a="1"/>
  <c r="C6" i="13" a="1"/>
  <c r="L22" i="12" a="1"/>
  <c r="R19" i="12" a="1"/>
  <c r="Q15" i="12" a="1"/>
  <c r="P13" i="12" a="1"/>
  <c r="N11" i="12" a="1"/>
  <c r="K9" i="12" a="1"/>
  <c r="S6" i="12" a="1"/>
  <c r="R4" i="12" a="1"/>
  <c r="E23" i="12" a="1"/>
  <c r="C6" i="39" a="1"/>
  <c r="L4" i="28" a="1"/>
  <c r="E13" i="28" a="1"/>
  <c r="H20" i="1" a="1"/>
  <c r="F12" i="1" a="1"/>
  <c r="I9" i="1" a="1"/>
  <c r="C20" i="55" a="1"/>
  <c r="C12" i="40" a="1"/>
  <c r="E10" i="60" a="1"/>
  <c r="G5" i="60" a="1"/>
  <c r="B11" i="12" a="1"/>
  <c r="F11" i="39" a="1"/>
  <c r="L10" i="28" a="1"/>
  <c r="H8" i="28" a="1"/>
  <c r="D4" i="28" a="1"/>
  <c r="J14" i="1" a="1"/>
  <c r="H9" i="1" a="1"/>
  <c r="G4" i="1" a="1"/>
  <c r="J2" i="18" a="1"/>
  <c r="G2" i="47" a="1"/>
  <c r="H10" i="52" a="1"/>
  <c r="H5" i="52" a="1"/>
  <c r="V13" i="56" a="1"/>
  <c r="H17" i="56" a="1"/>
  <c r="H7" i="56" a="1"/>
  <c r="C5" i="13" a="1"/>
  <c r="Q19" i="12" a="1"/>
  <c r="N13" i="12" a="1"/>
  <c r="S8" i="12" a="1"/>
  <c r="G11" i="43" a="1"/>
  <c r="C9" i="43" a="1"/>
  <c r="C12" i="42" a="1"/>
  <c r="H9" i="42" a="1"/>
  <c r="C7" i="42" a="1"/>
  <c r="I2" i="18" a="1"/>
  <c r="K2" i="7" a="1"/>
  <c r="E2" i="47" a="1"/>
  <c r="G10" i="52" a="1"/>
  <c r="G5" i="52" a="1"/>
  <c r="U13" i="56" a="1"/>
  <c r="I16" i="56" a="1"/>
  <c r="G7" i="56" a="1"/>
  <c r="B11" i="56" a="1"/>
  <c r="Q21" i="12" a="1"/>
  <c r="N15" i="12" a="1"/>
  <c r="M13" i="12" a="1"/>
  <c r="S10" i="12" a="1"/>
  <c r="Q6" i="12" a="1"/>
  <c r="P4" i="12" a="1"/>
  <c r="C2" i="39" a="1"/>
  <c r="J15" i="48" a="1"/>
  <c r="G2" i="38" a="1"/>
  <c r="AB4" i="9" a="1"/>
  <c r="I4" i="9" a="1"/>
  <c r="G14" i="12" a="1"/>
  <c r="G7" i="12" a="1"/>
  <c r="J4" i="39" a="1"/>
  <c r="K6" i="1" a="1"/>
  <c r="H11" i="43" a="1"/>
  <c r="C10" i="43" a="1"/>
  <c r="G14" i="42" a="1"/>
  <c r="D12" i="42" a="1"/>
  <c r="I9" i="42" a="1"/>
  <c r="D7" i="42" a="1"/>
  <c r="I4" i="42" a="1"/>
  <c r="E2" i="15" a="1"/>
  <c r="N2" i="7" a="1"/>
  <c r="A2" i="46" a="1"/>
  <c r="E8" i="52" a="1"/>
  <c r="E3" i="52" a="1"/>
  <c r="S9" i="56" a="1"/>
  <c r="G12" i="56" a="1"/>
  <c r="B12" i="56" a="1"/>
  <c r="R21" i="12" a="1"/>
  <c r="P15" i="12" a="1"/>
  <c r="M11" i="12" a="1"/>
  <c r="R6" i="12" a="1"/>
  <c r="Q4" i="12" a="1"/>
  <c r="G22" i="12" a="1"/>
  <c r="C3" i="39" a="1"/>
  <c r="K4" i="28" a="1"/>
  <c r="D13" i="28" a="1"/>
  <c r="G20" i="1" a="1"/>
  <c r="C5" i="1" a="1"/>
  <c r="C19" i="55" a="1"/>
  <c r="C11" i="40" a="1"/>
  <c r="H9" i="60" a="1"/>
  <c r="F5" i="60" a="1"/>
  <c r="J14" i="48" a="1"/>
  <c r="F2" i="38" a="1"/>
  <c r="AA4" i="9" a="1"/>
  <c r="H4" i="9" a="1"/>
  <c r="G13" i="12" a="1"/>
  <c r="F7" i="12" a="1"/>
  <c r="B10" i="12" a="1"/>
  <c r="J3" i="39" a="1"/>
  <c r="F10" i="39" a="1"/>
  <c r="K10" i="28" a="1"/>
  <c r="G8" i="28" a="1"/>
  <c r="E3" i="28" a="1"/>
  <c r="K11" i="1" a="1"/>
  <c r="G9" i="1" a="1"/>
  <c r="J6" i="1" a="1"/>
  <c r="F4" i="1" a="1"/>
  <c r="F14" i="42" a="1"/>
  <c r="H4" i="42" a="1"/>
  <c r="D2" i="15" a="1"/>
  <c r="J12" i="52" a="1"/>
  <c r="D8" i="52" a="1"/>
  <c r="D3" i="52" a="1"/>
  <c r="V8" i="56" a="1"/>
  <c r="J11" i="56" a="1"/>
  <c r="C4" i="13" a="1"/>
  <c r="P19" i="12" a="1"/>
  <c r="R8" i="12" a="1"/>
  <c r="F22" i="12" a="1"/>
  <c r="M3" i="28" a="1"/>
  <c r="J13" i="48" a="1"/>
  <c r="J12" i="48" a="1"/>
  <c r="R4" i="9" a="1"/>
  <c r="A4" i="9" a="1"/>
  <c r="H11" i="42" a="1"/>
  <c r="J5" i="42" a="1"/>
  <c r="G2" i="15" a="1"/>
  <c r="H2" i="7" a="1"/>
  <c r="I11" i="52" a="1"/>
  <c r="E6" i="52" a="1"/>
  <c r="C3" i="52" a="1"/>
  <c r="V6" i="56" a="1"/>
  <c r="H8" i="56" a="1"/>
  <c r="K21" i="12" a="1"/>
  <c r="K14" i="12" a="1"/>
  <c r="M6" i="12" a="1"/>
  <c r="F9" i="12" a="1"/>
  <c r="B9" i="12" a="1"/>
  <c r="O11" i="1" a="1"/>
  <c r="H13" i="1" a="1"/>
  <c r="G10" i="1" a="1"/>
  <c r="H7" i="1" a="1"/>
  <c r="I4" i="1" a="1"/>
  <c r="C3" i="1" a="1"/>
  <c r="C15" i="55" a="1"/>
  <c r="H12" i="60" a="1"/>
  <c r="A2" i="38" a="1"/>
  <c r="H3" i="43" a="1"/>
  <c r="E14" i="42" a="1"/>
  <c r="G8" i="42" a="1"/>
  <c r="N2" i="18" a="1"/>
  <c r="N2" i="46" a="1"/>
  <c r="C9" i="52" a="1"/>
  <c r="U12" i="56" a="1"/>
  <c r="G14" i="56" a="1"/>
  <c r="N23" i="12" a="1"/>
  <c r="P18" i="12" a="1"/>
  <c r="P11" i="12" a="1"/>
  <c r="P8" i="12" a="1"/>
  <c r="P3" i="12" a="1"/>
  <c r="F18" i="12" a="1"/>
  <c r="H12" i="39" a="1"/>
  <c r="C14" i="39" a="1"/>
  <c r="K13" i="28" a="1"/>
  <c r="L5" i="28" a="1"/>
  <c r="G9" i="28" a="1"/>
  <c r="G19" i="1" a="1"/>
  <c r="H4" i="1" a="1"/>
  <c r="F7" i="60" a="1"/>
  <c r="J11" i="48" a="1"/>
  <c r="Q4" i="9" a="1"/>
  <c r="H15" i="43" a="1"/>
  <c r="E11" i="42" a="1"/>
  <c r="I5" i="42" a="1"/>
  <c r="G2" i="7" a="1"/>
  <c r="H11" i="52" a="1"/>
  <c r="D6" i="52" a="1"/>
  <c r="V17" i="56" a="1"/>
  <c r="U6" i="56" a="1"/>
  <c r="G8" i="56" a="1"/>
  <c r="B10" i="56" a="1"/>
  <c r="S20" i="12" a="1"/>
  <c r="S13" i="12" a="1"/>
  <c r="L6" i="12" a="1"/>
  <c r="F8" i="12" a="1"/>
  <c r="B8" i="12" a="1"/>
  <c r="O10" i="1" a="1"/>
  <c r="G13" i="1" a="1"/>
  <c r="F10" i="1" a="1"/>
  <c r="G7" i="1" a="1"/>
  <c r="D16" i="49" a="1"/>
  <c r="C14" i="55" a="1"/>
  <c r="G12" i="60" a="1"/>
  <c r="AN4" i="9" a="1"/>
  <c r="G3" i="43" a="1"/>
  <c r="D14" i="42" a="1"/>
  <c r="F8" i="42" a="1"/>
  <c r="M2" i="18" a="1"/>
  <c r="C2" i="15" a="1"/>
  <c r="M2" i="46" a="1"/>
  <c r="J8" i="52" a="1"/>
  <c r="T12" i="56" a="1"/>
  <c r="J13" i="56" a="1"/>
  <c r="M23" i="12" a="1"/>
  <c r="M18" i="12" a="1"/>
  <c r="O8" i="12" a="1"/>
  <c r="O3" i="12" a="1"/>
  <c r="E18" i="12" a="1"/>
  <c r="H8" i="39" a="1"/>
  <c r="C13" i="39" a="1"/>
  <c r="M12" i="28" a="1"/>
  <c r="K5" i="28" a="1"/>
  <c r="H7" i="28" a="1"/>
  <c r="D10" i="28" a="1"/>
  <c r="F19" i="1" a="1"/>
  <c r="E7" i="60" a="1"/>
  <c r="J10" i="48" a="1"/>
  <c r="P4" i="9" a="1"/>
  <c r="H14" i="43" a="1"/>
  <c r="D11" i="42" a="1"/>
  <c r="G4" i="9" a="1"/>
  <c r="I11" i="42" a="1"/>
  <c r="A2" i="18" a="1"/>
  <c r="E12" i="52" a="1"/>
  <c r="U16" i="56" a="1"/>
  <c r="J9" i="56" a="1"/>
  <c r="P20" i="12" a="1"/>
  <c r="S9" i="12" a="1"/>
  <c r="J12" i="39" a="1"/>
  <c r="L15" i="28" a="1"/>
  <c r="O7" i="1" a="1"/>
  <c r="G8" i="1" a="1"/>
  <c r="F5" i="1" a="1"/>
  <c r="C13" i="55" a="1"/>
  <c r="H5" i="60" a="1"/>
  <c r="I11" i="1" a="1"/>
  <c r="J9" i="39" a="1"/>
  <c r="H6" i="28" a="1"/>
  <c r="H14" i="1" a="1"/>
  <c r="K7" i="1" a="1"/>
  <c r="D14" i="49" a="1"/>
  <c r="G10" i="60" a="1"/>
  <c r="J6" i="48" a="1"/>
  <c r="H10" i="42" a="1"/>
  <c r="C4" i="42" a="1"/>
  <c r="A2" i="47" a="1"/>
  <c r="G15" i="56" a="1"/>
  <c r="R22" i="12" a="1"/>
  <c r="L12" i="12" a="1"/>
  <c r="L3" i="12" a="1"/>
  <c r="F5" i="12" a="1"/>
  <c r="D8" i="28" a="1"/>
  <c r="J7" i="1" a="1"/>
  <c r="L10" i="1" a="1"/>
  <c r="Z4" i="9" a="1"/>
  <c r="I2" i="7" a="1"/>
  <c r="U7" i="56" a="1"/>
  <c r="S5" i="12" a="1"/>
  <c r="F5" i="39" a="1"/>
  <c r="G9" i="60" a="1"/>
  <c r="F10" i="42" a="1"/>
  <c r="Q8" i="12" a="1"/>
  <c r="F4" i="12" a="1"/>
  <c r="L13" i="28" a="1"/>
  <c r="Y4" i="9" a="1"/>
  <c r="C11" i="52" a="1"/>
  <c r="C14" i="13" a="1"/>
  <c r="O14" i="12" a="1"/>
  <c r="F12" i="12" a="1"/>
  <c r="L3" i="28" a="1"/>
  <c r="L13" i="1" a="1"/>
  <c r="F7" i="1" a="1"/>
  <c r="F9" i="60" a="1"/>
  <c r="H13" i="42" a="1"/>
  <c r="R11" i="12" a="1"/>
  <c r="F23" i="12" a="1"/>
  <c r="E6" i="28" a="1"/>
  <c r="F3" i="60" a="1"/>
  <c r="H2" i="15" a="1"/>
  <c r="E2" i="7" a="1"/>
  <c r="E7" i="52" a="1"/>
  <c r="S7" i="56" a="1"/>
  <c r="C13" i="13" a="1"/>
  <c r="N14" i="12" a="1"/>
  <c r="E12" i="12" a="1"/>
  <c r="K13" i="1" a="1"/>
  <c r="G3" i="1" a="1"/>
  <c r="C14" i="40" a="1"/>
  <c r="K2" i="38" a="1"/>
  <c r="T13" i="56" a="1"/>
  <c r="H13" i="56" a="1"/>
  <c r="N22" i="12" a="1"/>
  <c r="Q11" i="12" a="1"/>
  <c r="J2" i="39" a="1"/>
  <c r="D6" i="28" a="1"/>
  <c r="W4" i="9" a="1"/>
  <c r="J9" i="48" a="1"/>
  <c r="AH4" i="9" a="1"/>
  <c r="G8" i="43" a="1"/>
  <c r="C15" i="42" a="1"/>
  <c r="C8" i="42" a="1"/>
  <c r="G4" i="42" a="1"/>
  <c r="E2" i="5" a="1"/>
  <c r="D2" i="47" a="1"/>
  <c r="I8" i="52" a="1"/>
  <c r="D5" i="52" a="1"/>
  <c r="V9" i="56" a="1"/>
  <c r="J15" i="56" a="1"/>
  <c r="B15" i="56" a="1"/>
  <c r="L23" i="12" a="1"/>
  <c r="O12" i="12" a="1"/>
  <c r="R3" i="12" a="1"/>
  <c r="G15" i="12" a="1"/>
  <c r="F6" i="12" a="1"/>
  <c r="F14" i="39" a="1"/>
  <c r="L7" i="28" a="1"/>
  <c r="G10" i="28" a="1"/>
  <c r="E9" i="28" a="1"/>
  <c r="F15" i="1" a="1"/>
  <c r="C8" i="1" a="1"/>
  <c r="F11" i="60" a="1"/>
  <c r="O4" i="1" a="1"/>
  <c r="J4" i="1" a="1"/>
  <c r="C10" i="55" a="1"/>
  <c r="G4" i="60" a="1"/>
  <c r="AD4" i="9" a="1"/>
  <c r="H6" i="43" a="1"/>
  <c r="C14" i="42" a="1"/>
  <c r="H7" i="42" a="1"/>
  <c r="B2" i="5" a="1"/>
  <c r="I4" i="52" a="1"/>
  <c r="K14" i="28" a="1"/>
  <c r="K2" i="15" a="1"/>
  <c r="H7" i="52" a="1"/>
  <c r="V14" i="56" a="1"/>
  <c r="T8" i="56" a="1"/>
  <c r="J7" i="56" a="1"/>
  <c r="C16" i="13" a="1"/>
  <c r="S19" i="12" a="1"/>
  <c r="L9" i="12" a="1"/>
  <c r="K6" i="12" a="1"/>
  <c r="E13" i="12" a="1"/>
  <c r="J8" i="39" a="1"/>
  <c r="F6" i="39" a="1"/>
  <c r="G6" i="28" a="1"/>
  <c r="O3" i="1" a="1"/>
  <c r="G14" i="1" a="1"/>
  <c r="J3" i="1" a="1"/>
  <c r="C9" i="55" a="1"/>
  <c r="F4" i="60" a="1"/>
  <c r="AC4" i="9" a="1"/>
  <c r="L2" i="46" a="1"/>
  <c r="H4" i="52" a="1"/>
  <c r="K12" i="12" a="1"/>
  <c r="K3" i="12" a="1"/>
  <c r="M4" i="28" a="1"/>
  <c r="G7" i="52" a="1"/>
  <c r="R14" i="12" a="1"/>
  <c r="G12" i="12" a="1"/>
  <c r="J7" i="39" a="1"/>
  <c r="H5" i="28" a="1"/>
  <c r="L20" i="1" a="1"/>
  <c r="D12" i="49" a="1"/>
  <c r="E4" i="60" a="1"/>
  <c r="I13" i="42" a="1"/>
  <c r="I3" i="42" a="1"/>
  <c r="G4" i="52" a="1"/>
  <c r="J6" i="56" a="1"/>
  <c r="P22" i="12" a="1"/>
  <c r="S11" i="12" a="1"/>
  <c r="G23" i="12" a="1"/>
  <c r="I6" i="42" a="1"/>
  <c r="I2" i="15" a="1"/>
  <c r="F2" i="7" a="1"/>
  <c r="F7" i="52" a="1"/>
  <c r="T14" i="56" a="1"/>
  <c r="T7" i="56" a="1"/>
  <c r="P5" i="12" a="1"/>
  <c r="J6" i="39" a="1"/>
  <c r="I10" i="1" a="1"/>
  <c r="D11" i="49" a="1"/>
  <c r="E10" i="42" a="1"/>
  <c r="H3" i="42" a="1"/>
  <c r="I13" i="56" a="1"/>
  <c r="M19" i="12" a="1"/>
  <c r="N8" i="12" a="1"/>
  <c r="E4" i="12" a="1"/>
  <c r="L12" i="28" a="1"/>
  <c r="X4" i="9" a="1"/>
  <c r="H6" i="42" a="1"/>
  <c r="O5" i="12" a="1"/>
  <c r="H10" i="1" a="1"/>
  <c r="E9" i="60" a="1"/>
  <c r="C7" i="43" a="1"/>
  <c r="E13" i="42" a="1"/>
  <c r="D10" i="42" a="1"/>
  <c r="G2" i="46" a="1"/>
  <c r="F10" i="52" a="1"/>
  <c r="E3" i="12" a="1"/>
  <c r="H15" i="28" a="1"/>
  <c r="F4" i="9" a="1"/>
  <c r="N2" i="15" a="1"/>
  <c r="D12" i="52" a="1"/>
  <c r="T16" i="56" a="1"/>
  <c r="I9" i="56" a="1"/>
  <c r="O20" i="12" a="1"/>
  <c r="M15" i="12" a="1"/>
  <c r="R9" i="12" a="1"/>
  <c r="P6" i="12" a="1"/>
  <c r="J11" i="39" a="1"/>
  <c r="O6" i="1" a="1"/>
  <c r="F8" i="1" a="1"/>
  <c r="L4" i="1" a="1"/>
  <c r="C4" i="1" a="1"/>
  <c r="C12" i="55" a="1"/>
  <c r="E5" i="60" a="1"/>
  <c r="J8" i="48" a="1"/>
  <c r="AG4" i="9" a="1"/>
  <c r="H7" i="43" a="1"/>
  <c r="J14" i="42" a="1"/>
  <c r="C11" i="42" a="1"/>
  <c r="J7" i="42" a="1"/>
  <c r="F4" i="42" a="1"/>
  <c r="D2" i="5" a="1"/>
  <c r="C2" i="47" a="1"/>
  <c r="G8" i="52" a="1"/>
  <c r="C5" i="52" a="1"/>
  <c r="U9" i="56" a="1"/>
  <c r="I15" i="56" a="1"/>
  <c r="B14" i="56" a="1"/>
  <c r="K23" i="12" a="1"/>
  <c r="N12" i="12" a="1"/>
  <c r="Q3" i="12" a="1"/>
  <c r="F15" i="12" a="1"/>
  <c r="E6" i="12" a="1"/>
  <c r="F13" i="39" a="1"/>
  <c r="M14" i="28" a="1"/>
  <c r="K7" i="28" a="1"/>
  <c r="H9" i="28" a="1"/>
  <c r="D9" i="28" a="1"/>
  <c r="L14" i="1" a="1"/>
  <c r="H11" i="1" a="1"/>
  <c r="E11" i="60" a="1"/>
  <c r="C4" i="9" a="1"/>
  <c r="M2" i="15" a="1"/>
  <c r="G11" i="52" a="1"/>
  <c r="U15" i="56" a="1"/>
  <c r="H9" i="56" a="1"/>
  <c r="B9" i="56" a="1"/>
  <c r="N20" i="12" a="1"/>
  <c r="L15" i="12" a="1"/>
  <c r="Q9" i="12" a="1"/>
  <c r="O6" i="12" a="1"/>
  <c r="J10" i="39" a="1"/>
  <c r="O5" i="1" a="1"/>
  <c r="L7" i="1" a="1"/>
  <c r="K4" i="1" a="1"/>
  <c r="D15" i="49" a="1"/>
  <c r="C11" i="55" a="1"/>
  <c r="H4" i="60" a="1"/>
  <c r="J7" i="48" a="1"/>
  <c r="AF4" i="9" a="1"/>
  <c r="G7" i="43" a="1"/>
  <c r="I14" i="42" a="1"/>
  <c r="I10" i="42" a="1"/>
  <c r="I7" i="42" a="1"/>
  <c r="E4" i="42" a="1"/>
  <c r="C2" i="5" a="1"/>
  <c r="B2" i="47" a="1"/>
  <c r="J4" i="52" a="1"/>
  <c r="H15" i="56" a="1"/>
  <c r="S22" i="12" a="1"/>
  <c r="M12" i="12" a="1"/>
  <c r="N3" i="12" a="1"/>
  <c r="E15" i="12" a="1"/>
  <c r="G5" i="12" a="1"/>
  <c r="F12" i="39" a="1"/>
  <c r="L14" i="28" a="1"/>
  <c r="M6" i="28" a="1"/>
  <c r="K14" i="1" a="1"/>
  <c r="G11" i="1" a="1"/>
  <c r="B4" i="9" a="1"/>
  <c r="L2" i="15" a="1"/>
  <c r="F11" i="52" a="1"/>
  <c r="I7" i="52" a="1"/>
  <c r="S15" i="56" a="1"/>
  <c r="U8" i="56" a="1"/>
  <c r="I8" i="56" a="1"/>
  <c r="B8" i="56" a="1"/>
  <c r="K20" i="12" a="1"/>
  <c r="K15" i="12" a="1"/>
  <c r="P9" i="12" a="1"/>
  <c r="N6" i="12" a="1"/>
  <c r="F13" i="12" a="1"/>
  <c r="F9" i="39" a="1"/>
  <c r="M5" i="28" a="1"/>
  <c r="F11" i="1" a="1"/>
  <c r="E11" i="52" a="1"/>
  <c r="S14" i="12" a="1"/>
  <c r="D13" i="49" a="1"/>
  <c r="F10" i="60" a="1"/>
  <c r="J5" i="48" a="1"/>
  <c r="H5" i="43" a="1"/>
  <c r="J13" i="42" a="1"/>
  <c r="G10" i="42" a="1"/>
  <c r="J3" i="42" a="1"/>
  <c r="I14" i="56" a="1"/>
  <c r="Q22" i="12" a="1"/>
  <c r="G4" i="12" a="1"/>
  <c r="M13" i="28" a="1"/>
  <c r="E7" i="28" a="1"/>
  <c r="J6" i="42" a="1"/>
  <c r="J2" i="15" a="1"/>
  <c r="D11" i="52" a="1"/>
  <c r="U14" i="56" a="1"/>
  <c r="C15" i="13" a="1"/>
  <c r="F14" i="1" a="1"/>
  <c r="I7" i="1" a="1"/>
  <c r="I3" i="1" a="1"/>
  <c r="C18" i="40" a="1"/>
  <c r="J4" i="48" a="1"/>
  <c r="G5" i="43" a="1"/>
  <c r="K2" i="46" a="1"/>
  <c r="H14" i="56" a="1"/>
  <c r="N19" i="12" a="1"/>
  <c r="D7" i="28" a="1"/>
  <c r="G4" i="28" a="1"/>
  <c r="K20" i="1" a="1"/>
  <c r="H3" i="1" a="1"/>
  <c r="N2" i="38" a="1"/>
  <c r="C8" i="43" a="1"/>
  <c r="J2" i="46" a="1"/>
  <c r="F4" i="52" a="1"/>
  <c r="I6" i="56" a="1"/>
  <c r="O22" i="12" a="1"/>
  <c r="F3" i="39" a="1"/>
  <c r="C15" i="40" a="1"/>
  <c r="J5" i="39" a="1"/>
  <c r="H3" i="28" a="1"/>
  <c r="D10" i="49" a="1"/>
  <c r="E3" i="42" a="1"/>
  <c r="E4" i="52" a="1"/>
  <c r="H6" i="56" a="1"/>
  <c r="L19" i="12" a="1"/>
  <c r="M8" i="12" a="1"/>
  <c r="F2" i="39" a="1"/>
  <c r="K12" i="28" a="1"/>
  <c r="L19" i="1" a="1"/>
  <c r="I6" i="1" a="1"/>
  <c r="E3" i="60" a="1"/>
  <c r="J2" i="38" a="1"/>
  <c r="G14" i="43" a="1"/>
  <c r="K2" i="5" a="1"/>
  <c r="D2" i="46" a="1"/>
  <c r="U11" i="56" a="1"/>
  <c r="R18" i="12" a="1"/>
  <c r="H7" i="39" a="1"/>
  <c r="I19" i="1" a="1"/>
  <c r="I12" i="42" a="1"/>
  <c r="C6" i="42" a="1"/>
  <c r="I6" i="52" a="1"/>
  <c r="H11" i="56" a="1"/>
  <c r="C9" i="13" a="1"/>
  <c r="O10" i="12" a="1"/>
  <c r="S4" i="12" a="1"/>
  <c r="F10" i="12" a="1"/>
  <c r="L9" i="28" a="1"/>
  <c r="E15" i="28" a="1"/>
  <c r="C14" i="1" a="1"/>
  <c r="C8" i="40" a="1"/>
  <c r="D15" i="28" a="1"/>
  <c r="C7" i="40" a="1"/>
  <c r="S11" i="56" a="1"/>
  <c r="O4" i="12" a="1"/>
  <c r="H5" i="39" a="1"/>
  <c r="L8" i="1" a="1"/>
  <c r="D2" i="38" a="1"/>
  <c r="E5" i="42" a="1"/>
  <c r="M10" i="12" a="1"/>
  <c r="G9" i="12" a="1"/>
  <c r="E14" i="28" a="1"/>
  <c r="C12" i="1" a="1"/>
  <c r="U10" i="56" a="1"/>
  <c r="N4" i="12" a="1"/>
  <c r="L8" i="28" a="1"/>
  <c r="K8" i="1" a="1"/>
  <c r="G10" i="43" a="1"/>
  <c r="F12" i="42" a="1"/>
  <c r="D5" i="42" a="1"/>
  <c r="G12" i="52" a="1"/>
  <c r="L10" i="12" a="1"/>
  <c r="E8" i="12" a="1"/>
  <c r="D14" i="28" a="1"/>
  <c r="C11" i="1" a="1"/>
  <c r="H9" i="43" a="1"/>
  <c r="E12" i="60" a="1"/>
  <c r="P23" i="12" a="1"/>
  <c r="L4" i="12" a="1"/>
  <c r="M7" i="28" a="1"/>
  <c r="D2" i="7" a="1"/>
  <c r="S6" i="56" a="1"/>
  <c r="E22" i="12" a="1"/>
  <c r="D9" i="49" a="1"/>
  <c r="AL4" i="9" a="1"/>
  <c r="C10" i="42" a="1"/>
  <c r="E10" i="52" a="1"/>
  <c r="M22" i="12" a="1"/>
  <c r="V5" i="56" a="1"/>
  <c r="G8" i="60" a="1"/>
  <c r="C6" i="43" a="1"/>
  <c r="D10" i="52" a="1"/>
  <c r="K8" i="12" a="1"/>
  <c r="C11" i="39" a="1"/>
  <c r="D5" i="28" a="1"/>
  <c r="B2" i="7" a="1"/>
  <c r="R13" i="12" a="1"/>
  <c r="K12" i="1" a="1"/>
  <c r="D7" i="49" a="1"/>
  <c r="F8" i="60" a="1"/>
  <c r="V4" i="9" a="1"/>
  <c r="G3" i="52" a="1"/>
  <c r="S7" i="12" a="1"/>
  <c r="B13" i="12" a="1"/>
  <c r="G14" i="28" a="1"/>
  <c r="E4" i="28" a="1"/>
  <c r="A2" i="7" a="1"/>
  <c r="T5" i="56" a="1"/>
  <c r="Q13" i="12" a="1"/>
  <c r="C25" i="56" a="1"/>
  <c r="R7" i="12" a="1"/>
  <c r="F20" i="12" a="1"/>
  <c r="C9" i="39" a="1"/>
  <c r="S15" i="12" a="1"/>
  <c r="F12" i="52" a="1"/>
  <c r="G10" i="56" a="1"/>
  <c r="C10" i="1" a="1"/>
  <c r="AM4" i="9" a="1"/>
  <c r="E5" i="52" a="1"/>
  <c r="H2" i="39" a="1"/>
  <c r="C12" i="39" a="1"/>
  <c r="H6" i="1" a="1"/>
  <c r="C2" i="7" a="1"/>
  <c r="I13" i="1" a="1"/>
  <c r="D8" i="49" a="1"/>
  <c r="AI4" i="9" a="1"/>
  <c r="H3" i="52" a="1"/>
  <c r="I5" i="56" a="1"/>
  <c r="B14" i="12" a="1"/>
  <c r="U5" i="56" a="1"/>
  <c r="P21" i="12" a="1"/>
  <c r="L5" i="1" a="1"/>
  <c r="C5" i="43" a="1"/>
  <c r="L2" i="18" a="1"/>
  <c r="I9" i="52" a="1"/>
  <c r="H5" i="56" a="1"/>
  <c r="G20" i="12" a="1"/>
  <c r="C10" i="39" a="1"/>
  <c r="D9" i="42" a="1"/>
  <c r="N21" i="12" a="1"/>
  <c r="J12" i="1" a="1"/>
  <c r="K5" i="1" a="1"/>
  <c r="E8" i="60" a="1"/>
  <c r="S4" i="9" a="1"/>
  <c r="H13" i="28" a="1"/>
  <c r="H2" i="38" a="1"/>
  <c r="H13" i="43" a="1"/>
  <c r="J2" i="5" a="1"/>
  <c r="T11" i="56" a="1"/>
  <c r="Q18" i="12" a="1"/>
  <c r="H6" i="39" a="1"/>
  <c r="H19" i="1" a="1"/>
  <c r="F9" i="1" a="1"/>
  <c r="E2" i="38" a="1"/>
  <c r="H12" i="42" a="1"/>
  <c r="H5" i="42" a="1"/>
  <c r="I12" i="52" a="1"/>
  <c r="H6" i="52" a="1"/>
  <c r="G11" i="56" a="1"/>
  <c r="C8" i="13" a="1"/>
  <c r="N10" i="12" a="1"/>
  <c r="E10" i="12" a="1"/>
  <c r="C13" i="1" a="1"/>
  <c r="I2" i="5" a="1"/>
  <c r="L18" i="12" a="1"/>
  <c r="M8" i="28" a="1"/>
  <c r="L15" i="1" a="1"/>
  <c r="H10" i="43" a="1"/>
  <c r="G12" i="42" a="1"/>
  <c r="H12" i="52" a="1"/>
  <c r="G6" i="52" a="1"/>
  <c r="J10" i="56" a="1"/>
  <c r="C7" i="13" a="1"/>
  <c r="C6" i="40" a="1"/>
  <c r="H2" i="5" a="1"/>
  <c r="K18" i="12" a="1"/>
  <c r="H4" i="39" a="1"/>
  <c r="K15" i="1" a="1"/>
  <c r="C2" i="38" a="1"/>
  <c r="I10" i="56" a="1"/>
  <c r="F12" i="60" a="1"/>
  <c r="G2" i="5" a="1"/>
  <c r="F5" i="52" a="1"/>
  <c r="T10" i="56" a="1"/>
  <c r="S23" i="12" a="1"/>
  <c r="M4" i="12" a="1"/>
  <c r="E7" i="12" a="1"/>
  <c r="H3" i="39" a="1"/>
  <c r="K8" i="28" a="1"/>
  <c r="J15" i="1" a="1"/>
  <c r="J8" i="1" a="1"/>
  <c r="B2" i="38" a="1"/>
  <c r="C5" i="42" a="1"/>
  <c r="K10" i="12" a="1"/>
  <c r="E12" i="28" a="1"/>
  <c r="J11" i="42" a="1"/>
  <c r="F2" i="5" a="1"/>
  <c r="S10" i="56" a="1"/>
  <c r="R15" i="12" a="1"/>
  <c r="G6" i="12" a="1"/>
  <c r="I15" i="1" a="1"/>
  <c r="G9" i="43" a="1"/>
  <c r="M14" i="12" a="1"/>
  <c r="J13" i="1" a="1"/>
  <c r="H8" i="60" a="1"/>
  <c r="D3" i="42" a="1"/>
  <c r="I3" i="52" a="1"/>
  <c r="G6" i="56" a="1"/>
  <c r="L8" i="12" a="1"/>
  <c r="B15" i="12" a="1"/>
  <c r="G15" i="28" a="1"/>
  <c r="H8" i="43" a="1"/>
  <c r="L14" i="12" a="1"/>
  <c r="C3" i="42" a="1"/>
  <c r="E21" i="12" a="1"/>
  <c r="H14" i="28" a="1"/>
  <c r="E9" i="42" a="1"/>
  <c r="D6" i="49" a="1"/>
  <c r="C4" i="43" a="1"/>
  <c r="H9" i="52" a="1"/>
  <c r="B12" i="12" a="1"/>
  <c r="N2" i="47" a="1"/>
  <c r="S5" i="56" a="1"/>
  <c r="M21" i="12" a="1"/>
  <c r="B7" i="12" a="1"/>
  <c r="I12" i="1" a="1"/>
  <c r="C3" i="43" a="1"/>
  <c r="E20" i="12" a="1"/>
  <c r="J8" i="42" a="1"/>
  <c r="H12" i="1" a="1"/>
  <c r="J15" i="42" a="1"/>
  <c r="C23" i="56" a="1"/>
  <c r="K13" i="12" a="1"/>
  <c r="C7" i="39" a="1"/>
  <c r="G6" i="60" a="1"/>
  <c r="E2" i="18" a="1"/>
  <c r="R20" i="12" a="1"/>
  <c r="B5" i="12" a="1"/>
  <c r="H5" i="1" a="1"/>
  <c r="F6" i="60" a="1"/>
  <c r="E9" i="52" a="1"/>
  <c r="F19" i="12" a="1"/>
  <c r="M15" i="28" a="1"/>
  <c r="O8" i="1" a="1"/>
  <c r="C16" i="55" a="1"/>
  <c r="E15" i="42" a="1"/>
  <c r="D9" i="52" a="1"/>
  <c r="B16" i="56" a="1"/>
  <c r="K7" i="12" a="1"/>
  <c r="G6" i="42" a="1"/>
  <c r="R10" i="12" a="1"/>
  <c r="N5" i="12" a="1"/>
  <c r="G11" i="12" a="1"/>
  <c r="L9" i="1" a="1"/>
  <c r="F3" i="1" a="1"/>
  <c r="C13" i="40" a="1"/>
  <c r="D15" i="42" a="1"/>
  <c r="I12" i="56" a="1"/>
  <c r="K11" i="28" a="1"/>
  <c r="C13" i="42" a="1"/>
  <c r="C7" i="52" a="1"/>
  <c r="F11" i="12" a="1"/>
  <c r="E18" i="28" a="1"/>
  <c r="C10" i="40" a="1"/>
  <c r="L2" i="5" a="1"/>
  <c r="E2" i="46" a="1"/>
  <c r="J12" i="42" a="1"/>
  <c r="P10" i="12" a="1"/>
  <c r="K5" i="12" a="1"/>
  <c r="G10" i="12" a="1"/>
  <c r="M9" i="28" a="1"/>
  <c r="J9" i="1" a="1"/>
  <c r="C9" i="40" a="1"/>
  <c r="H2" i="18" a="1"/>
  <c r="U17" i="56" a="1"/>
  <c r="J5" i="1" a="1"/>
  <c r="C21" i="55" a="1"/>
  <c r="C24" i="56" a="1"/>
  <c r="Q7" i="12" a="1"/>
  <c r="G12" i="28" a="1"/>
  <c r="O4" i="9" a="1"/>
  <c r="M2" i="47" a="1"/>
  <c r="C18" i="55" a="1"/>
  <c r="F9" i="52" a="1"/>
  <c r="G19" i="12" a="1"/>
  <c r="H11" i="28" a="1"/>
  <c r="E8" i="42" a="1"/>
  <c r="B17" i="56" a="1"/>
  <c r="Q12" i="12" a="1"/>
  <c r="I2" i="47" a="1"/>
  <c r="V16" i="56" a="1"/>
  <c r="Q20" i="12" a="1"/>
  <c r="G5" i="1" a="1"/>
  <c r="G16" i="56" a="1"/>
  <c r="P12" i="12" a="1"/>
  <c r="G18" i="12" a="1"/>
  <c r="H10" i="28" a="1"/>
  <c r="J11" i="1" a="1"/>
  <c r="D7" i="52" a="1"/>
  <c r="G3" i="28" a="1"/>
  <c r="M2" i="5" a="1"/>
  <c r="F2" i="46" a="1"/>
  <c r="K19" i="1" a="1"/>
  <c r="E6" i="42" a="1"/>
  <c r="L5" i="12" a="1"/>
  <c r="K9" i="1" a="1"/>
  <c r="H13" i="39" a="1"/>
  <c r="J6" i="52" a="1"/>
  <c r="D18" i="28" a="1"/>
  <c r="C9" i="42" a="1"/>
  <c r="O13" i="1" a="1"/>
  <c r="G9" i="52" a="1"/>
  <c r="L13" i="12" a="1"/>
  <c r="C8" i="39" a="1"/>
  <c r="H6" i="60" a="1"/>
  <c r="G2" i="18" a="1"/>
  <c r="T17" i="56" a="1"/>
  <c r="J17" i="56" a="1"/>
  <c r="L21" i="12" a="1"/>
  <c r="B6" i="12" a="1"/>
  <c r="O12" i="1" a="1"/>
  <c r="I5" i="1" a="1"/>
  <c r="N7" i="12" a="1"/>
  <c r="N4" i="9" a="1"/>
  <c r="I8" i="42" a="1"/>
  <c r="L2" i="47" a="1"/>
  <c r="S17" i="56" a="1"/>
  <c r="O9" i="1" a="1"/>
  <c r="G12" i="1" a="1"/>
  <c r="C17" i="55" a="1"/>
  <c r="I15" i="42" a="1"/>
  <c r="H16" i="56" a="1"/>
  <c r="L7" i="12" a="1"/>
  <c r="G11" i="28" a="1"/>
  <c r="L4" i="9" a="1"/>
  <c r="D2" i="18" a="1"/>
  <c r="B3" i="12" a="1"/>
  <c r="E6" i="60" a="1"/>
  <c r="D8" i="42" a="1"/>
  <c r="K4" i="9" a="1"/>
  <c r="C12" i="13" a="1"/>
  <c r="S13" i="56" a="1"/>
  <c r="K19" i="12" a="1"/>
  <c r="H14" i="39" a="1"/>
  <c r="J4" i="9" a="1"/>
  <c r="C11" i="13" a="1"/>
  <c r="Q10" i="12" a="1"/>
  <c r="D23" i="1" a="1"/>
  <c r="V12" i="56" a="1"/>
  <c r="S18" i="12" a="1"/>
  <c r="M10" i="28" a="1"/>
  <c r="J19" i="1" a="1"/>
  <c r="D6" i="42" a="1"/>
  <c r="I11" i="56" a="1"/>
  <c r="C10" i="13" a="1"/>
  <c r="C15" i="1" a="1"/>
  <c r="C15" i="1" l="1"/>
  <c r="C10" i="13"/>
  <c r="I11" i="56"/>
  <c r="D6" i="42"/>
  <c r="J19" i="1"/>
  <c r="M10" i="28"/>
  <c r="S18" i="12"/>
  <c r="V12" i="56"/>
  <c r="D23" i="1"/>
  <c r="Q10" i="12"/>
  <c r="C11" i="13"/>
  <c r="J4" i="9"/>
  <c r="H14" i="39"/>
  <c r="K19" i="12"/>
  <c r="S13" i="56"/>
  <c r="C12" i="13"/>
  <c r="K4" i="9"/>
  <c r="D8" i="42"/>
  <c r="E6" i="60"/>
  <c r="B3" i="12"/>
  <c r="D2" i="18"/>
  <c r="L4" i="9"/>
  <c r="G11" i="28"/>
  <c r="L7" i="12"/>
  <c r="H16" i="56"/>
  <c r="I15" i="42"/>
  <c r="C17" i="55"/>
  <c r="G12" i="1"/>
  <c r="O9" i="1"/>
  <c r="S17" i="56"/>
  <c r="L2" i="47"/>
  <c r="I8" i="42"/>
  <c r="N4" i="9"/>
  <c r="N7" i="12"/>
  <c r="I5" i="1"/>
  <c r="O12" i="1"/>
  <c r="B6" i="12"/>
  <c r="L21" i="12"/>
  <c r="J17" i="56"/>
  <c r="T17" i="56"/>
  <c r="G2" i="18"/>
  <c r="H6" i="60"/>
  <c r="C8" i="39"/>
  <c r="L13" i="12"/>
  <c r="G9" i="52"/>
  <c r="O13" i="1"/>
  <c r="C9" i="42"/>
  <c r="D18" i="28"/>
  <c r="J6" i="52"/>
  <c r="H13" i="39"/>
  <c r="K9" i="1"/>
  <c r="L5" i="12"/>
  <c r="E6" i="42"/>
  <c r="K19" i="1"/>
  <c r="F2" i="46"/>
  <c r="M2" i="5"/>
  <c r="G3" i="28"/>
  <c r="D7" i="52"/>
  <c r="J11" i="1"/>
  <c r="H10" i="28"/>
  <c r="G18" i="12"/>
  <c r="P12" i="12"/>
  <c r="G16" i="56"/>
  <c r="G5" i="1"/>
  <c r="Q20" i="12"/>
  <c r="V16" i="56"/>
  <c r="I2" i="47"/>
  <c r="Q12" i="12"/>
  <c r="B17" i="56"/>
  <c r="E8" i="42"/>
  <c r="H11" i="28"/>
  <c r="G19" i="12"/>
  <c r="F9" i="52"/>
  <c r="C18" i="55"/>
  <c r="M2" i="47"/>
  <c r="O4" i="9"/>
  <c r="G12" i="28"/>
  <c r="Q7" i="12"/>
  <c r="C24" i="56"/>
  <c r="C21" i="55"/>
  <c r="J5" i="1"/>
  <c r="U17" i="56"/>
  <c r="H2" i="18"/>
  <c r="C9" i="40"/>
  <c r="J9" i="1"/>
  <c r="M9" i="28"/>
  <c r="G10" i="12"/>
  <c r="K5" i="12"/>
  <c r="P10" i="12"/>
  <c r="J12" i="42"/>
  <c r="E2" i="46"/>
  <c r="L2" i="5"/>
  <c r="C10" i="40"/>
  <c r="E18" i="28"/>
  <c r="F11" i="12"/>
  <c r="C7" i="52"/>
  <c r="C13" i="42"/>
  <c r="K11" i="28"/>
  <c r="I12" i="56"/>
  <c r="D15" i="42"/>
  <c r="C13" i="40"/>
  <c r="F3" i="1"/>
  <c r="L9" i="1"/>
  <c r="G11" i="12"/>
  <c r="N5" i="12"/>
  <c r="R10" i="12"/>
  <c r="G6" i="42"/>
  <c r="K7" i="12"/>
  <c r="B16" i="56"/>
  <c r="D9" i="52"/>
  <c r="E15" i="42"/>
  <c r="C16" i="55"/>
  <c r="O8" i="1"/>
  <c r="M15" i="28"/>
  <c r="F19" i="12"/>
  <c r="E9" i="52"/>
  <c r="F6" i="60"/>
  <c r="H5" i="1"/>
  <c r="B5" i="12"/>
  <c r="R20" i="12"/>
  <c r="E2" i="18"/>
  <c r="G6" i="60"/>
  <c r="C7" i="39"/>
  <c r="K13" i="12"/>
  <c r="C23" i="56"/>
  <c r="J15" i="42"/>
  <c r="H12" i="1"/>
  <c r="J8" i="42"/>
  <c r="E20" i="12"/>
  <c r="C3" i="43"/>
  <c r="I12" i="1"/>
  <c r="B7" i="12"/>
  <c r="M21" i="12"/>
  <c r="S5" i="56"/>
  <c r="N2" i="47"/>
  <c r="B12" i="12"/>
  <c r="H9" i="52"/>
  <c r="C4" i="43"/>
  <c r="D6" i="49"/>
  <c r="E9" i="42"/>
  <c r="H14" i="28"/>
  <c r="E21" i="12"/>
  <c r="C3" i="42"/>
  <c r="L14" i="12"/>
  <c r="H8" i="43"/>
  <c r="G15" i="28"/>
  <c r="B15" i="12"/>
  <c r="L8" i="12"/>
  <c r="G6" i="56"/>
  <c r="I3" i="52"/>
  <c r="D3" i="42"/>
  <c r="H8" i="60"/>
  <c r="J13" i="1"/>
  <c r="M14" i="12"/>
  <c r="G9" i="43"/>
  <c r="I15" i="1"/>
  <c r="G6" i="12"/>
  <c r="R15" i="12"/>
  <c r="S10" i="56"/>
  <c r="F2" i="5"/>
  <c r="J11" i="42"/>
  <c r="E12" i="28"/>
  <c r="K10" i="12"/>
  <c r="C5" i="42"/>
  <c r="B2" i="38"/>
  <c r="J8" i="1"/>
  <c r="J15" i="1"/>
  <c r="K8" i="28"/>
  <c r="H3" i="39"/>
  <c r="E7" i="12"/>
  <c r="M4" i="12"/>
  <c r="S23" i="12"/>
  <c r="T10" i="56"/>
  <c r="F5" i="52"/>
  <c r="G2" i="5"/>
  <c r="F12" i="60"/>
  <c r="I10" i="56"/>
  <c r="C2" i="38"/>
  <c r="K15" i="1"/>
  <c r="H4" i="39"/>
  <c r="K18" i="12"/>
  <c r="H2" i="5"/>
  <c r="C6" i="40"/>
  <c r="C7" i="13"/>
  <c r="J10" i="56"/>
  <c r="G6" i="52"/>
  <c r="H12" i="52"/>
  <c r="G12" i="42"/>
  <c r="H10" i="43"/>
  <c r="L15" i="1"/>
  <c r="M8" i="28"/>
  <c r="L18" i="12"/>
  <c r="I2" i="5"/>
  <c r="C13" i="1"/>
  <c r="E10" i="12"/>
  <c r="N10" i="12"/>
  <c r="C8" i="13"/>
  <c r="G11" i="56"/>
  <c r="H6" i="52"/>
  <c r="I12" i="52"/>
  <c r="H5" i="42"/>
  <c r="H12" i="42"/>
  <c r="E2" i="38"/>
  <c r="F9" i="1"/>
  <c r="H19" i="1"/>
  <c r="H6" i="39"/>
  <c r="Q18" i="12"/>
  <c r="T11" i="56"/>
  <c r="J2" i="5"/>
  <c r="H13" i="43"/>
  <c r="H2" i="38"/>
  <c r="H13" i="28"/>
  <c r="S4" i="9"/>
  <c r="E8" i="60"/>
  <c r="K5" i="1"/>
  <c r="J12" i="1"/>
  <c r="N21" i="12"/>
  <c r="D9" i="42"/>
  <c r="C10" i="39"/>
  <c r="G20" i="12"/>
  <c r="H5" i="56"/>
  <c r="I9" i="52"/>
  <c r="L2" i="18"/>
  <c r="C5" i="43"/>
  <c r="L5" i="1"/>
  <c r="P21" i="12"/>
  <c r="U5" i="56"/>
  <c r="B14" i="12"/>
  <c r="I5" i="56"/>
  <c r="H3" i="52"/>
  <c r="AI4" i="9"/>
  <c r="D8" i="49"/>
  <c r="I13" i="1"/>
  <c r="C2" i="7"/>
  <c r="H6" i="1"/>
  <c r="C12" i="39"/>
  <c r="H2" i="39"/>
  <c r="E5" i="52"/>
  <c r="AM4" i="9"/>
  <c r="C10" i="1"/>
  <c r="G10" i="56"/>
  <c r="F12" i="52"/>
  <c r="S15" i="12"/>
  <c r="C9" i="39"/>
  <c r="F20" i="12"/>
  <c r="R7" i="12"/>
  <c r="C25" i="56"/>
  <c r="Q13" i="12"/>
  <c r="T5" i="56"/>
  <c r="A2" i="7"/>
  <c r="E4" i="28"/>
  <c r="G14" i="28"/>
  <c r="B13" i="12"/>
  <c r="S7" i="12"/>
  <c r="G3" i="52"/>
  <c r="V4" i="9"/>
  <c r="F8" i="60"/>
  <c r="D7" i="49"/>
  <c r="K12" i="1"/>
  <c r="R13" i="12"/>
  <c r="B2" i="7"/>
  <c r="D5" i="28"/>
  <c r="C11" i="39"/>
  <c r="K8" i="12"/>
  <c r="D10" i="52"/>
  <c r="C6" i="43"/>
  <c r="G8" i="60"/>
  <c r="V5" i="56"/>
  <c r="M22" i="12"/>
  <c r="E10" i="52"/>
  <c r="C10" i="42"/>
  <c r="AL4" i="9"/>
  <c r="D9" i="49"/>
  <c r="E22" i="12"/>
  <c r="S6" i="56"/>
  <c r="D2" i="7"/>
  <c r="M7" i="28"/>
  <c r="L4" i="12"/>
  <c r="P23" i="12"/>
  <c r="E12" i="60"/>
  <c r="H9" i="43"/>
  <c r="C11" i="1"/>
  <c r="D14" i="28"/>
  <c r="E8" i="12"/>
  <c r="L10" i="12"/>
  <c r="G12" i="52"/>
  <c r="D5" i="42"/>
  <c r="F12" i="42"/>
  <c r="G10" i="43"/>
  <c r="K8" i="1"/>
  <c r="L8" i="28"/>
  <c r="N4" i="12"/>
  <c r="U10" i="56"/>
  <c r="C12" i="1"/>
  <c r="E14" i="28"/>
  <c r="G9" i="12"/>
  <c r="M10" i="12"/>
  <c r="E5" i="42"/>
  <c r="D2" i="38"/>
  <c r="L8" i="1"/>
  <c r="H5" i="39"/>
  <c r="O4" i="12"/>
  <c r="S11" i="56"/>
  <c r="C7" i="40"/>
  <c r="D15" i="28"/>
  <c r="C8" i="40"/>
  <c r="C14" i="1"/>
  <c r="E15" i="28"/>
  <c r="L9" i="28"/>
  <c r="F10" i="12"/>
  <c r="S4" i="12"/>
  <c r="O10" i="12"/>
  <c r="C9" i="13"/>
  <c r="H11" i="56"/>
  <c r="I6" i="52"/>
  <c r="C6" i="42"/>
  <c r="I12" i="42"/>
  <c r="I19" i="1"/>
  <c r="H7" i="39"/>
  <c r="R18" i="12"/>
  <c r="U11" i="56"/>
  <c r="D2" i="46"/>
  <c r="K2" i="5"/>
  <c r="G14" i="43"/>
  <c r="J2" i="38"/>
  <c r="E3" i="60"/>
  <c r="I6" i="1"/>
  <c r="L19" i="1"/>
  <c r="K12" i="28"/>
  <c r="F2" i="39"/>
  <c r="M8" i="12"/>
  <c r="L19" i="12"/>
  <c r="H6" i="56"/>
  <c r="E4" i="52"/>
  <c r="E3" i="42"/>
  <c r="D10" i="49"/>
  <c r="H3" i="28"/>
  <c r="J5" i="39"/>
  <c r="C15" i="40"/>
  <c r="F3" i="39"/>
  <c r="O22" i="12"/>
  <c r="I6" i="56"/>
  <c r="F4" i="52"/>
  <c r="J2" i="46"/>
  <c r="C8" i="43"/>
  <c r="N2" i="38"/>
  <c r="H3" i="1"/>
  <c r="K20" i="1"/>
  <c r="G4" i="28"/>
  <c r="D7" i="28"/>
  <c r="N19" i="12"/>
  <c r="H14" i="56"/>
  <c r="K2" i="46"/>
  <c r="G5" i="43"/>
  <c r="J4" i="48"/>
  <c r="C18" i="40"/>
  <c r="I3" i="1"/>
  <c r="I7" i="1"/>
  <c r="F14" i="1"/>
  <c r="C15" i="13"/>
  <c r="U14" i="56"/>
  <c r="D11" i="52"/>
  <c r="J2" i="15"/>
  <c r="J6" i="42"/>
  <c r="E7" i="28"/>
  <c r="M13" i="28"/>
  <c r="G4" i="12"/>
  <c r="Q22" i="12"/>
  <c r="I14" i="56"/>
  <c r="J3" i="42"/>
  <c r="G10" i="42"/>
  <c r="J13" i="42"/>
  <c r="H5" i="43"/>
  <c r="J5" i="48"/>
  <c r="F10" i="60"/>
  <c r="D13" i="49"/>
  <c r="S14" i="12"/>
  <c r="E11" i="52"/>
  <c r="F11" i="1"/>
  <c r="M5" i="28"/>
  <c r="F9" i="39"/>
  <c r="F13" i="12"/>
  <c r="N6" i="12"/>
  <c r="P9" i="12"/>
  <c r="K15" i="12"/>
  <c r="K20" i="12"/>
  <c r="B8" i="56"/>
  <c r="I8" i="56"/>
  <c r="U8" i="56"/>
  <c r="S15" i="56"/>
  <c r="I7" i="52"/>
  <c r="F11" i="52"/>
  <c r="L2" i="15"/>
  <c r="B4" i="9"/>
  <c r="G11" i="1"/>
  <c r="K14" i="1"/>
  <c r="M6" i="28"/>
  <c r="L14" i="28"/>
  <c r="F12" i="39"/>
  <c r="G5" i="12"/>
  <c r="E15" i="12"/>
  <c r="N3" i="12"/>
  <c r="M12" i="12"/>
  <c r="S22" i="12"/>
  <c r="H15" i="56"/>
  <c r="J4" i="52"/>
  <c r="B2" i="47"/>
  <c r="C2" i="5"/>
  <c r="E4" i="42"/>
  <c r="I7" i="42"/>
  <c r="I10" i="42"/>
  <c r="I14" i="42"/>
  <c r="G7" i="43"/>
  <c r="AF4" i="9"/>
  <c r="J7" i="48"/>
  <c r="H4" i="60"/>
  <c r="C11" i="55"/>
  <c r="D15" i="49"/>
  <c r="K4" i="1"/>
  <c r="L7" i="1"/>
  <c r="O5" i="1"/>
  <c r="J10" i="39"/>
  <c r="O6" i="12"/>
  <c r="Q9" i="12"/>
  <c r="L15" i="12"/>
  <c r="N20" i="12"/>
  <c r="B9" i="56"/>
  <c r="H9" i="56"/>
  <c r="U15" i="56"/>
  <c r="G11" i="52"/>
  <c r="M2" i="15"/>
  <c r="C4" i="9"/>
  <c r="E11" i="60"/>
  <c r="H11" i="1"/>
  <c r="L14" i="1"/>
  <c r="D9" i="28"/>
  <c r="H9" i="28"/>
  <c r="K7" i="28"/>
  <c r="M14" i="28"/>
  <c r="F13" i="39"/>
  <c r="E6" i="12"/>
  <c r="F15" i="12"/>
  <c r="Q3" i="12"/>
  <c r="N12" i="12"/>
  <c r="K23" i="12"/>
  <c r="B14" i="56"/>
  <c r="I15" i="56"/>
  <c r="U9" i="56"/>
  <c r="C5" i="52"/>
  <c r="G8" i="52"/>
  <c r="C2" i="47"/>
  <c r="D2" i="5"/>
  <c r="F4" i="42"/>
  <c r="J7" i="42"/>
  <c r="C11" i="42"/>
  <c r="J14" i="42"/>
  <c r="H7" i="43"/>
  <c r="AG4" i="9"/>
  <c r="J8" i="48"/>
  <c r="E5" i="60"/>
  <c r="C12" i="55"/>
  <c r="C4" i="1"/>
  <c r="L4" i="1"/>
  <c r="F8" i="1"/>
  <c r="O6" i="1"/>
  <c r="J11" i="39"/>
  <c r="P6" i="12"/>
  <c r="R9" i="12"/>
  <c r="M15" i="12"/>
  <c r="O20" i="12"/>
  <c r="I9" i="56"/>
  <c r="T16" i="56"/>
  <c r="D12" i="52"/>
  <c r="N2" i="15"/>
  <c r="F4" i="9"/>
  <c r="H15" i="28"/>
  <c r="E3" i="12"/>
  <c r="F10" i="52"/>
  <c r="G2" i="46"/>
  <c r="D10" i="42"/>
  <c r="E13" i="42"/>
  <c r="C7" i="43"/>
  <c r="E9" i="60"/>
  <c r="H10" i="1"/>
  <c r="O5" i="12"/>
  <c r="H6" i="42"/>
  <c r="X4" i="9"/>
  <c r="L12" i="28"/>
  <c r="E4" i="12"/>
  <c r="N8" i="12"/>
  <c r="M19" i="12"/>
  <c r="I13" i="56"/>
  <c r="H3" i="42"/>
  <c r="E10" i="42"/>
  <c r="D11" i="49"/>
  <c r="I10" i="1"/>
  <c r="J6" i="39"/>
  <c r="P5" i="12"/>
  <c r="T7" i="56"/>
  <c r="T14" i="56"/>
  <c r="F7" i="52"/>
  <c r="F2" i="7"/>
  <c r="I2" i="15"/>
  <c r="I6" i="42"/>
  <c r="G23" i="12"/>
  <c r="S11" i="12"/>
  <c r="P22" i="12"/>
  <c r="J6" i="56"/>
  <c r="G4" i="52"/>
  <c r="I3" i="42"/>
  <c r="I13" i="42"/>
  <c r="E4" i="60"/>
  <c r="D12" i="49"/>
  <c r="L20" i="1"/>
  <c r="H5" i="28"/>
  <c r="J7" i="39"/>
  <c r="G12" i="12"/>
  <c r="R14" i="12"/>
  <c r="G7" i="52"/>
  <c r="M4" i="28"/>
  <c r="K3" i="12"/>
  <c r="K12" i="12"/>
  <c r="H4" i="52"/>
  <c r="L2" i="46"/>
  <c r="AC4" i="9"/>
  <c r="F4" i="60"/>
  <c r="C9" i="55"/>
  <c r="J3" i="1"/>
  <c r="G14" i="1"/>
  <c r="O3" i="1"/>
  <c r="G6" i="28"/>
  <c r="F6" i="39"/>
  <c r="J8" i="39"/>
  <c r="E13" i="12"/>
  <c r="K6" i="12"/>
  <c r="L9" i="12"/>
  <c r="S19" i="12"/>
  <c r="C16" i="13"/>
  <c r="J7" i="56"/>
  <c r="T8" i="56"/>
  <c r="V14" i="56"/>
  <c r="H7" i="52"/>
  <c r="K2" i="15"/>
  <c r="K14" i="28"/>
  <c r="I4" i="52"/>
  <c r="B2" i="5"/>
  <c r="H7" i="42"/>
  <c r="C14" i="42"/>
  <c r="H6" i="43"/>
  <c r="AD4" i="9"/>
  <c r="G4" i="60"/>
  <c r="C10" i="55"/>
  <c r="J4" i="1"/>
  <c r="O4" i="1"/>
  <c r="F11" i="60"/>
  <c r="C8" i="1"/>
  <c r="F15" i="1"/>
  <c r="E9" i="28"/>
  <c r="G10" i="28"/>
  <c r="L7" i="28"/>
  <c r="F14" i="39"/>
  <c r="F6" i="12"/>
  <c r="G15" i="12"/>
  <c r="R3" i="12"/>
  <c r="O12" i="12"/>
  <c r="L23" i="12"/>
  <c r="B15" i="56"/>
  <c r="J15" i="56"/>
  <c r="V9" i="56"/>
  <c r="D5" i="52"/>
  <c r="I8" i="52"/>
  <c r="D2" i="47"/>
  <c r="E2" i="5"/>
  <c r="G4" i="42"/>
  <c r="C8" i="42"/>
  <c r="C15" i="42"/>
  <c r="G8" i="43"/>
  <c r="AH4" i="9"/>
  <c r="J9" i="48"/>
  <c r="W4" i="9"/>
  <c r="D6" i="28"/>
  <c r="J2" i="39"/>
  <c r="Q11" i="12"/>
  <c r="N22" i="12"/>
  <c r="H13" i="56"/>
  <c r="T13" i="56"/>
  <c r="K2" i="38"/>
  <c r="C14" i="40"/>
  <c r="G3" i="1"/>
  <c r="K13" i="1"/>
  <c r="E12" i="12"/>
  <c r="N14" i="12"/>
  <c r="C13" i="13"/>
  <c r="S7" i="56"/>
  <c r="E7" i="52"/>
  <c r="E2" i="7"/>
  <c r="H2" i="15"/>
  <c r="F3" i="60"/>
  <c r="E6" i="28"/>
  <c r="F23" i="12"/>
  <c r="R11" i="12"/>
  <c r="H13" i="42"/>
  <c r="F9" i="60"/>
  <c r="F7" i="1"/>
  <c r="L13" i="1"/>
  <c r="L3" i="28"/>
  <c r="F12" i="12"/>
  <c r="O14" i="12"/>
  <c r="C14" i="13"/>
  <c r="C11" i="52"/>
  <c r="Y4" i="9"/>
  <c r="L13" i="28"/>
  <c r="F4" i="12"/>
  <c r="Q8" i="12"/>
  <c r="F10" i="42"/>
  <c r="G9" i="60"/>
  <c r="F5" i="39"/>
  <c r="S5" i="12"/>
  <c r="U7" i="56"/>
  <c r="I2" i="7"/>
  <c r="Z4" i="9"/>
  <c r="L10" i="1"/>
  <c r="J7" i="1"/>
  <c r="D8" i="28"/>
  <c r="F5" i="12"/>
  <c r="L3" i="12"/>
  <c r="L12" i="12"/>
  <c r="R22" i="12"/>
  <c r="G15" i="56"/>
  <c r="A2" i="47"/>
  <c r="C4" i="42"/>
  <c r="H10" i="42"/>
  <c r="J6" i="48"/>
  <c r="G10" i="60"/>
  <c r="D14" i="49"/>
  <c r="K7" i="1"/>
  <c r="H14" i="1"/>
  <c r="H6" i="28"/>
  <c r="J9" i="39"/>
  <c r="I11" i="1"/>
  <c r="H5" i="60"/>
  <c r="C13" i="55"/>
  <c r="F5" i="1"/>
  <c r="G8" i="1"/>
  <c r="O7" i="1"/>
  <c r="L15" i="28"/>
  <c r="J12" i="39"/>
  <c r="S9" i="12"/>
  <c r="P20" i="12"/>
  <c r="J9" i="56"/>
  <c r="U16" i="56"/>
  <c r="E12" i="52"/>
  <c r="A2" i="18"/>
  <c r="I11" i="42"/>
  <c r="G4" i="9"/>
  <c r="D11" i="42"/>
  <c r="H14" i="43"/>
  <c r="P4" i="9"/>
  <c r="J10" i="48"/>
  <c r="E7" i="60"/>
  <c r="F19" i="1"/>
  <c r="D10" i="28"/>
  <c r="H7" i="28"/>
  <c r="K5" i="28"/>
  <c r="M12" i="28"/>
  <c r="C13" i="39"/>
  <c r="H8" i="39"/>
  <c r="E18" i="12"/>
  <c r="O3" i="12"/>
  <c r="O8" i="12"/>
  <c r="M18" i="12"/>
  <c r="M23" i="12"/>
  <c r="J13" i="56"/>
  <c r="T12" i="56"/>
  <c r="J8" i="52"/>
  <c r="M2" i="46"/>
  <c r="C2" i="15"/>
  <c r="M2" i="18"/>
  <c r="F8" i="42"/>
  <c r="D14" i="42"/>
  <c r="G3" i="43"/>
  <c r="AN4" i="9"/>
  <c r="G12" i="60"/>
  <c r="C14" i="55"/>
  <c r="D16" i="49"/>
  <c r="G7" i="1"/>
  <c r="F10" i="1"/>
  <c r="G13" i="1"/>
  <c r="O10" i="1"/>
  <c r="B8" i="12"/>
  <c r="F8" i="12"/>
  <c r="L6" i="12"/>
  <c r="S13" i="12"/>
  <c r="S20" i="12"/>
  <c r="B10" i="56"/>
  <c r="G8" i="56"/>
  <c r="U6" i="56"/>
  <c r="V17" i="56"/>
  <c r="D6" i="52"/>
  <c r="H11" i="52"/>
  <c r="G2" i="7"/>
  <c r="I5" i="42"/>
  <c r="E11" i="42"/>
  <c r="H15" i="43"/>
  <c r="Q4" i="9"/>
  <c r="J11" i="48"/>
  <c r="F7" i="60"/>
  <c r="H4" i="1"/>
  <c r="G19" i="1"/>
  <c r="G9" i="28"/>
  <c r="L5" i="28"/>
  <c r="K13" i="28"/>
  <c r="C14" i="39"/>
  <c r="H12" i="39"/>
  <c r="F18" i="12"/>
  <c r="P3" i="12"/>
  <c r="P8" i="12"/>
  <c r="P11" i="12"/>
  <c r="P18" i="12"/>
  <c r="N23" i="12"/>
  <c r="G14" i="56"/>
  <c r="U12" i="56"/>
  <c r="C9" i="52"/>
  <c r="N2" i="46"/>
  <c r="N2" i="18"/>
  <c r="G8" i="42"/>
  <c r="E14" i="42"/>
  <c r="H3" i="43"/>
  <c r="A2" i="38"/>
  <c r="H12" i="60"/>
  <c r="C15" i="55"/>
  <c r="C3" i="1"/>
  <c r="I4" i="1"/>
  <c r="H7" i="1"/>
  <c r="G10" i="1"/>
  <c r="H13" i="1"/>
  <c r="O11" i="1"/>
  <c r="B9" i="12"/>
  <c r="F9" i="12"/>
  <c r="M6" i="12"/>
  <c r="K14" i="12"/>
  <c r="K21" i="12"/>
  <c r="H8" i="56"/>
  <c r="V6" i="56"/>
  <c r="C3" i="52"/>
  <c r="E6" i="52"/>
  <c r="I11" i="52"/>
  <c r="H2" i="7"/>
  <c r="G2" i="15"/>
  <c r="J5" i="42"/>
  <c r="H11" i="42"/>
  <c r="A12" i="9"/>
  <c r="A11" i="9"/>
  <c r="A9" i="9"/>
  <c r="A6" i="9"/>
  <c r="A10" i="9"/>
  <c r="A7" i="9"/>
  <c r="A13" i="9"/>
  <c r="A8" i="9"/>
  <c r="A5" i="9"/>
  <c r="A4" i="9"/>
  <c r="R4" i="9"/>
  <c r="J12" i="48"/>
  <c r="J13" i="48"/>
  <c r="M3" i="28"/>
  <c r="F22" i="12"/>
  <c r="R8" i="12"/>
  <c r="P19" i="12"/>
  <c r="C4" i="13"/>
  <c r="J11" i="56"/>
  <c r="V8" i="56"/>
  <c r="D3" i="52"/>
  <c r="D8" i="52"/>
  <c r="J12" i="52"/>
  <c r="D2" i="15"/>
  <c r="H4" i="42"/>
  <c r="F14" i="42"/>
  <c r="F4" i="1"/>
  <c r="J6" i="1"/>
  <c r="G9" i="1"/>
  <c r="K11" i="1"/>
  <c r="E3" i="28"/>
  <c r="G8" i="28"/>
  <c r="K10" i="28"/>
  <c r="F10" i="39"/>
  <c r="J3" i="39"/>
  <c r="B10" i="12"/>
  <c r="F7" i="12"/>
  <c r="G13" i="12"/>
  <c r="H4" i="9"/>
  <c r="AA4" i="9"/>
  <c r="F2" i="38"/>
  <c r="J14" i="48"/>
  <c r="F5" i="60"/>
  <c r="H9" i="60"/>
  <c r="C11" i="40"/>
  <c r="C19" i="55"/>
  <c r="C5" i="1"/>
  <c r="G20" i="1"/>
  <c r="D13" i="28"/>
  <c r="K4" i="28"/>
  <c r="C3" i="39"/>
  <c r="G22" i="12"/>
  <c r="Q4" i="12"/>
  <c r="R6" i="12"/>
  <c r="M11" i="12"/>
  <c r="P15" i="12"/>
  <c r="R21" i="12"/>
  <c r="B12" i="56"/>
  <c r="G12" i="56"/>
  <c r="S9" i="56"/>
  <c r="E3" i="52"/>
  <c r="E8" i="52"/>
  <c r="A2" i="46"/>
  <c r="N2" i="7"/>
  <c r="E2" i="15"/>
  <c r="I4" i="42"/>
  <c r="D7" i="42"/>
  <c r="I9" i="42"/>
  <c r="D12" i="42"/>
  <c r="G14" i="42"/>
  <c r="C10" i="43"/>
  <c r="H11" i="43"/>
  <c r="K6" i="1"/>
  <c r="J4" i="39"/>
  <c r="G7" i="12"/>
  <c r="G14" i="12"/>
  <c r="I4" i="9"/>
  <c r="AB4" i="9"/>
  <c r="G2" i="38"/>
  <c r="J15" i="48"/>
  <c r="C2" i="39"/>
  <c r="P4" i="12"/>
  <c r="Q6" i="12"/>
  <c r="S10" i="12"/>
  <c r="M13" i="12"/>
  <c r="N15" i="12"/>
  <c r="Q21" i="12"/>
  <c r="B11" i="56"/>
  <c r="G7" i="56"/>
  <c r="I16" i="56"/>
  <c r="U13" i="56"/>
  <c r="G5" i="52"/>
  <c r="G10" i="52"/>
  <c r="E2" i="47"/>
  <c r="K2" i="7"/>
  <c r="I2" i="18"/>
  <c r="C7" i="42"/>
  <c r="H9" i="42"/>
  <c r="C12" i="42"/>
  <c r="C9" i="43"/>
  <c r="G11" i="43"/>
  <c r="S8" i="12"/>
  <c r="N13" i="12"/>
  <c r="Q19" i="12"/>
  <c r="C5" i="13"/>
  <c r="H7" i="56"/>
  <c r="H17" i="56"/>
  <c r="V13" i="56"/>
  <c r="H5" i="52"/>
  <c r="H10" i="52"/>
  <c r="G2" i="47"/>
  <c r="J2" i="18"/>
  <c r="G4" i="1"/>
  <c r="H9" i="1"/>
  <c r="J14" i="1"/>
  <c r="D4" i="28"/>
  <c r="H8" i="28"/>
  <c r="L10" i="28"/>
  <c r="F11" i="39"/>
  <c r="B11" i="12"/>
  <c r="G5" i="60"/>
  <c r="E10" i="60"/>
  <c r="C12" i="40"/>
  <c r="C20" i="55"/>
  <c r="I9" i="1"/>
  <c r="F12" i="1"/>
  <c r="H20" i="1"/>
  <c r="E13" i="28"/>
  <c r="L4" i="28"/>
  <c r="C6" i="39"/>
  <c r="E23" i="12"/>
  <c r="R4" i="12"/>
  <c r="S6" i="12"/>
  <c r="K9" i="12"/>
  <c r="N11" i="12"/>
  <c r="P13" i="12"/>
  <c r="Q15" i="12"/>
  <c r="R19" i="12"/>
  <c r="L22" i="12"/>
  <c r="C6" i="13"/>
  <c r="B13" i="56"/>
  <c r="I7" i="56"/>
  <c r="H12" i="56"/>
  <c r="I17" i="56"/>
  <c r="T9" i="56"/>
  <c r="S14" i="56"/>
  <c r="F3" i="52"/>
  <c r="I5" i="52"/>
  <c r="F8" i="52"/>
  <c r="I10" i="52"/>
  <c r="C2" i="46"/>
  <c r="H2" i="47"/>
  <c r="A2" i="5"/>
  <c r="F2" i="15"/>
  <c r="K2" i="18"/>
  <c r="J4" i="42"/>
  <c r="E7" i="42"/>
  <c r="J9" i="42"/>
  <c r="E12" i="42"/>
  <c r="H14" i="42"/>
  <c r="C11" i="43"/>
  <c r="G13" i="43"/>
  <c r="M3" i="12"/>
  <c r="M5" i="12"/>
  <c r="M7" i="12"/>
  <c r="O9" i="12"/>
  <c r="O11" i="12"/>
  <c r="O13" i="12"/>
  <c r="O15" i="12"/>
  <c r="O19" i="12"/>
  <c r="O21" i="12"/>
  <c r="O23" i="12"/>
  <c r="B7" i="56"/>
  <c r="J5" i="56"/>
  <c r="H10" i="56"/>
  <c r="J14" i="56"/>
  <c r="T6" i="56"/>
  <c r="V10" i="56"/>
  <c r="T15" i="56"/>
  <c r="D4" i="52"/>
  <c r="F6" i="52"/>
  <c r="H8" i="52"/>
  <c r="J10" i="52"/>
  <c r="B2" i="46"/>
  <c r="F2" i="47"/>
  <c r="J2" i="7"/>
  <c r="B2" i="15"/>
  <c r="F2" i="18"/>
  <c r="D4" i="42"/>
  <c r="F6" i="42"/>
  <c r="H8" i="42"/>
  <c r="J10" i="42"/>
  <c r="D13" i="42"/>
  <c r="H15" i="42"/>
  <c r="G6" i="43"/>
  <c r="G15" i="43"/>
  <c r="H10" i="60"/>
  <c r="C9" i="1"/>
  <c r="L6" i="1"/>
  <c r="L11" i="1"/>
  <c r="I14" i="1"/>
  <c r="F20" i="1"/>
  <c r="O14" i="1"/>
  <c r="D12" i="28"/>
  <c r="G7" i="28"/>
  <c r="K3" i="28"/>
  <c r="K9" i="28"/>
  <c r="K15" i="28"/>
  <c r="F4" i="39"/>
  <c r="H9" i="39"/>
  <c r="B4" i="12"/>
  <c r="E5" i="12"/>
  <c r="E11" i="12"/>
  <c r="E19" i="12"/>
  <c r="M4" i="9"/>
  <c r="AE4" i="9"/>
  <c r="I2" i="38"/>
  <c r="J16" i="48"/>
  <c r="T4" i="9"/>
  <c r="L2" i="38"/>
  <c r="G3" i="60"/>
  <c r="G7" i="60"/>
  <c r="G11" i="60"/>
  <c r="C16" i="40"/>
  <c r="D4" i="49"/>
  <c r="C6" i="1"/>
  <c r="K3" i="1"/>
  <c r="F6" i="1"/>
  <c r="H8" i="1"/>
  <c r="J10" i="1"/>
  <c r="L12" i="1"/>
  <c r="G15" i="1"/>
  <c r="I20" i="1"/>
  <c r="O15" i="1"/>
  <c r="H4" i="28"/>
  <c r="H12" i="28"/>
  <c r="K6" i="28"/>
  <c r="L11" i="28"/>
  <c r="C4" i="39"/>
  <c r="F7" i="39"/>
  <c r="H10" i="39"/>
  <c r="J13" i="39"/>
  <c r="F3" i="12"/>
  <c r="G8" i="12"/>
  <c r="E14" i="12"/>
  <c r="F21" i="12"/>
  <c r="S3" i="12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J19" i="48"/>
  <c r="E4" i="9"/>
  <c r="U4" i="9"/>
  <c r="AK4" i="9"/>
  <c r="M2" i="38"/>
  <c r="J20" i="48"/>
  <c r="D4" i="9"/>
  <c r="AJ4" i="9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Y13" i="12" a="1"/>
  <c r="Y13" i="12" s="1"/>
  <c r="AG2" i="12"/>
  <c r="AF2" i="12"/>
  <c r="AE2" i="12"/>
  <c r="E5" i="28" a="1"/>
  <c r="E8" i="28" a="1"/>
  <c r="E11" i="28" a="1"/>
  <c r="E10" i="28" a="1"/>
  <c r="M15" i="48" a="1"/>
  <c r="M15" i="48" l="1"/>
  <c r="E10" i="28"/>
  <c r="E11" i="28"/>
  <c r="E8" i="28"/>
  <c r="E5" i="28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8" i="13" l="1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6AFA05C-E2FE-4380-A696-BF6C948268D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Timestamp="1727106688"&gt;&lt;FQL&gt;&lt;Q&gt;FC0000ZA^FG_MCAP_IDX(0,,,USD)&lt;/Q&gt;&lt;R&gt;1&lt;/R&gt;&lt;C&gt;1&lt;/C&gt;&lt;D xsi:type="xsd:double"&gt;365408.6&lt;/D&gt;&lt;/FQL&gt;&lt;FQL&gt;&lt;Q&gt;EWI^FREF_MARKET_VALUE_COMPANY(0,,,USD,,0,,"LEGACY")&lt;/Q&gt;&lt;R&gt;1&lt;/R&gt;&lt;C&gt;1&lt;/C&gt;&lt;D xsi:type="xsd:double"&gt;544.816125&lt;/D&gt;&lt;/FQL&gt;&lt;FQL&gt;&lt;Q&gt;FC0000IT^FMA_MCAP(0,,,USD,"PORTAGG")&lt;/Q&gt;&lt;R&gt;1&lt;/R&gt;&lt;C&gt;1&lt;/C&gt;&lt;D xsi:type="xsd:double"&gt;888950.75&lt;/D&gt;&lt;/FQL&gt;&lt;FQL&gt;&lt;Q&gt;EWD^FREF_MARKET_VALUE_COMPANY(0,,,USD,,0,,"LEGACY")&lt;/Q&gt;&lt;R&gt;1&lt;/R&gt;&lt;C&gt;1&lt;/C&gt;&lt;D xsi:type="xsd:double"&gt;299.061&lt;/D&gt;&lt;/FQL&gt;&lt;FQL&gt;&lt;Q&gt;FC0000SE^FMA_MCAP(0,,,USD,"PORTAGG")&lt;/Q&gt;&lt;R&gt;1&lt;/R&gt;&lt;C&gt;1&lt;/C&gt;&lt;D xsi:type="xsd:double"&gt;1079401.9&lt;/D&gt;&lt;/FQL&gt;&lt;FQL&gt;&lt;Q&gt;EWN^FREF_MARKET_VALUE_COMPANY(0,,,USD,,0,,"LEGACY")&lt;/Q&gt;&lt;R&gt;1&lt;/R&gt;&lt;C&gt;1&lt;/C&gt;&lt;D xsi:type="xsd:double"&gt;291.6075&lt;/D&gt;&lt;/FQL&gt;&lt;FQL&gt;&lt;Q&gt;FC0000NL^FMA_MCAP(0,,,USD,"PORTAGG")&lt;/Q&gt;&lt;R&gt;1&lt;/R&gt;&lt;C&gt;1&lt;/C&gt;&lt;D xsi:type="xsd:double"&gt;1095794.8&lt;/D&gt;&lt;/FQL&gt;&lt;FQL&gt;&lt;Q&gt;EWQ^FREF_MARKET_VALUE_COMPANY(0,,,USD,,0,,"LEGACY")&lt;/Q&gt;&lt;R&gt;1&lt;/R&gt;&lt;C&gt;1&lt;/C&gt;&lt;D xsi:type="xsd:double"&gt;649.112&lt;/D&gt;&lt;/FQL&gt;&lt;FQL&gt;&lt;Q&gt;FC0000FR^FMA_MCAP(0,,,USD,"PORTAGG")&lt;/Q&gt;&lt;R&gt;1&lt;/R&gt;&lt;C&gt;1&lt;/C&gt;&lt;D xsi:type="xsd:double"&gt;3179112.3&lt;/D&gt;&lt;/FQL&gt;&lt;FQL&gt;&lt;Q&gt;SPY^FREF_MARKET_VALUE_COMPANY(0,,,USD,,0,,"LEGACY")&lt;/Q&gt;&lt;R&gt;1&lt;/R&gt;&lt;C&gt;1&lt;/C&gt;&lt;D xsi:type="xsd:double"&gt;568029.062432&lt;/D&gt;&lt;/FQL&gt;&lt;FQL&gt;&lt;Q&gt;FC0000US^FMA_MCAP(0,,,USD,"PORTAGG")&lt;/Q&gt;&lt;R&gt;1&lt;/R&gt;&lt;C&gt;1&lt;/C&gt;&lt;D xsi:type="xsd:double"&gt;59223420&lt;/D&gt;&lt;/FQL&gt;&lt;FQL&gt;&lt;Q&gt;QQQ^FREF_MARKET_VALUE_COMPANY(0,,,USD,,0,,"LEGACY")&lt;/Q&gt;&lt;R&gt;1&lt;/R&gt;&lt;C&gt;1&lt;/C&gt;&lt;D xsi:type="xsd:double"&gt;290612.968&lt;/D&gt;&lt;/FQL&gt;&lt;FQL&gt;&lt;Q&gt;EWU^FREF_MARKET_VALUE_COMPANY(0,,,USD,,0,,"LEGACY")&lt;/Q&gt;&lt;R&gt;1&lt;/R&gt;&lt;C&gt;1&lt;/C&gt;&lt;D xsi:type="xsd:double"&gt;3309.4575&lt;/D&gt;&lt;/FQL&gt;&lt;FQL&gt;&lt;Q&gt;FC0000GB^FMA_MCAP(0,,,USD,"PORTAGG")&lt;/Q&gt;&lt;R&gt;1&lt;/R&gt;&lt;C&gt;1&lt;/C&gt;&lt;D xsi:type="xsd:double"&gt;3384746.5&lt;/D&gt;&lt;/FQL&gt;&lt;FQL&gt;&lt;Q&gt;EWL^FREF_MARKET_VALUE_COMPANY(0,,,USD,,0,,"LEGACY")&lt;/Q&gt;&lt;R&gt;1&lt;/R&gt;&lt;C&gt;1&lt;/C&gt;&lt;D xsi:type="xsd:double"&gt;1313.37875&lt;/D&gt;&lt;/FQL&gt;&lt;FQL&gt;&lt;Q&gt;FC0000CH^FMA_MCAP(0,,,USD,"PORTAGG")&lt;/Q&gt;&lt;R&gt;1&lt;/R&gt;&lt;C&gt;1&lt;/C&gt;&lt;D xsi:type="xsd:double"&gt;2283042.3&lt;/D&gt;&lt;/FQL&gt;&lt;FQL&gt;&lt;Q&gt;EWJ^FREF_MARKET_VALUE_COMPANY(0,,,USD,,0,,"LEGACY")&lt;/Q&gt;&lt;R&gt;1&lt;/R&gt;&lt;C&gt;1&lt;/C&gt;&lt;D xsi:type="xsd:double"&gt;15143.04&lt;/D&gt;&lt;/FQL&gt;&lt;FQL&gt;&lt;Q&gt;FC0000JP^FMA_MCAP(0,,,USD,"PORTAGG")&lt;/Q&gt;&lt;R&gt;1&lt;/R&gt;&lt;C&gt;1&lt;/C&gt;&lt;D xsi:type="xsd:double"&gt;6691552&lt;/D&gt;&lt;/FQL&gt;&lt;FQL&gt;&lt;Q&gt;EWG^FREF_MARKET_VALUE_COMPANY(0,,,USD,,0,,"LEGACY")&lt;/Q&gt;&lt;R&gt;1&lt;/R&gt;&lt;C&gt;1&lt;/C&gt;&lt;D xsi:type="xsd:double"&gt;934.8&lt;/D&gt;&lt;/FQL&gt;&lt;FQL&gt;&lt;Q&gt;FC0000DE^FMA_MCAP(0,,,USD,"PORTAGG")&lt;/Q&gt;&lt;R&gt;1&lt;/R&gt;&lt;C&gt;1&lt;/C&gt;&lt;D xsi:type="xsd:double"&gt;2339435.3&lt;/D&gt;&lt;/FQL&gt;&lt;FQL&gt;&lt;Q&gt;EWC^FREF_MARKET_VALUE_COMPANY(0,,,USD,,0,,"LEGACY")&lt;/Q&gt;&lt;R&gt;1&lt;/R&gt;&lt;C&gt;1&lt;/C&gt;&lt;D xsi:type="xsd:double"&gt;2757.0445&lt;/D&gt;&lt;/FQL&gt;&lt;FQL&gt;&lt;Q&gt;FC0000CA^FMA_MCAP(0,,,USD,"PORTAGG")&lt;/Q&gt;&lt;R&gt;1&lt;/R&gt;&lt;C&gt;1&lt;/C&gt;&lt;D xsi:type="xsd:double"&gt;2944525.8&lt;/D&gt;&lt;/FQL&gt;&lt;FQL&gt;&lt;Q&gt;EWA^FREF_MARKET_VALUE_COMPANY(0,,,USD,,0,,"LEGACY")&lt;/Q&gt;&lt;R&gt;1&lt;/R&gt;&lt;C&gt;1&lt;/C&gt;&lt;D xsi:type="xsd:double"&gt;1447.856&lt;/D&gt;&lt;/FQL&gt;&lt;FQL&gt;&lt;Q&gt;FC0000AU^FMA_MCAP(0,,,USD,"PORTAGG")&lt;/Q&gt;&lt;R&gt;1&lt;/R&gt;&lt;C&gt;1&lt;/C&gt;&lt;D xsi:type="xsd:double"&gt;1808581.8&lt;/D&gt;&lt;/FQL&gt;&lt;FQL&gt;&lt;Q&gt;ENZL^FREF_MARKET_VALUE_COMPANY(0,,,USD,,0,,"LEGACY")&lt;/Q&gt;&lt;R&gt;1&lt;/R&gt;&lt;C&gt;1&lt;/C&gt;&lt;D xsi:type="xsd:double"&gt;89.2872&lt;/D&gt;&lt;/FQL&gt;&lt;FQL&gt;&lt;Q&gt;FC0000NZ^FMA_MCAP(0,,,USD,"PORTAGG")&lt;/Q&gt;&lt;R&gt;1&lt;/R&gt;&lt;C&gt;1&lt;/C&gt;&lt;D xsi:type="xsd:double"&gt;98874.03&lt;/D&gt;&lt;/FQL&gt;&lt;FQL&gt;&lt;Q&gt;NQG00809^FG_COMPANY_NAME&lt;/Q&gt;&lt;R&gt;1&lt;/R&gt;&lt;C&gt;1&lt;/C&gt;&lt;D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Africa&lt;/D&gt;&lt;/FQL&gt;&lt;FQL&gt;&lt;Q&gt;NQG00809^FMA_MCAP(0,,,USD,"PORTAGG")&lt;/Q&gt;&lt;R&gt;0&lt;/R&gt;&lt;C&gt;0&lt;/C&gt;&lt;/FQL&gt;&lt;FQL&gt;&lt;Q&gt;DUMMY^ECON_EXPR_DATA('FDS_ECON[NTCPMIMFGSA@IT]',,,M)&lt;/Q&gt;&lt;R&gt;1&lt;/R&gt;&lt;C&gt;1&lt;/C&gt;&lt;D xsi:type="xsd:double"&gt;49.41836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xsi:type="xsd:double"&gt;47.72757&lt;/D&gt;&lt;/FQL&gt;&lt;FQL&gt;&lt;Q&gt;DUMMY^ECON_EXPR_DATA('FDS_ECON[NTCPMIMFGSA@FR]',,,M)&lt;/Q&gt;&lt;R&gt;1&lt;/R&gt;&lt;C&gt;1&lt;/C&gt;&lt;D xsi:type="xsd:double"&gt;43.86977&lt;/D&gt;&lt;/FQL&gt;&lt;FQL&gt;&lt;Q&gt;DUMMY^ECON_EXPR_DATA('FDS_ECON[NTCPMIMFGMESA@US]',,,M)&lt;/Q&gt;&lt;R&gt;1&lt;/R&gt;&lt;C&gt;1&lt;/C&gt;&lt;D xsi:type="xsd:double"&gt;47.89815&lt;/D&gt;&lt;/FQL&gt;&lt;FQL&gt;&lt;Q&gt;DUMMY^ECON_EXPR_DATA('FDS_ECON[NTCPMIMFGSA@GB]',,,M)&lt;/Q&gt;&lt;R&gt;1&lt;/R&gt;&lt;C&gt;1&lt;/C&gt;&lt;D xsi:type="xsd:double"&gt;52.516357&lt;/D&gt;&lt;/FQL&gt;&lt;FQL&gt;&lt;Q&gt;DUMMY^ECON_EXPR_DATA('FDS_ECON[NTCPMIMFGSA@CH]',,,M)&lt;/Q&gt;&lt;R&gt;1&lt;/R&gt;&lt;C&gt;1&lt;/C&gt;&lt;D xsi:type="xsd:double"&gt;49.01182&lt;/D&gt;&lt;/FQL&gt;&lt;FQL&gt;&lt;Q&gt;DUMMY^ECON_EXPR_DATA('FDS_ECON[NTCPMIMFGSA@JP]',,,M)&lt;/Q&gt;&lt;R&gt;1&lt;/R&gt;&lt;C&gt;1&lt;/C&gt;&lt;D xsi:type="xsd:double"&gt;49.845306&lt;/D&gt;&lt;/FQL&gt;&lt;FQL&gt;&lt;Q&gt;DUMMY^ECON_EXPR_DATA('FDS_ECON[NTCPMIMFGSA@DE]',,,M)&lt;/Q&gt;&lt;R&gt;1&lt;/R&gt;&lt;C&gt;1&lt;/C&gt;&lt;D xsi:type="xsd:double"&gt;42.40119&lt;/D&gt;&lt;/FQL&gt;&lt;FQL&gt;&lt;Q&gt;DUMMY^ECON_EXPR_DATA('FDS_ECON[NTCPMIMFGSA@AU]',,,M)&lt;/Q&gt;&lt;R&gt;1&lt;/R&gt;&lt;C&gt;1&lt;/C&gt;&lt;D xsi:type="xsd:double"&gt;48.495564&lt;/D&gt;&lt;/FQL&gt;&lt;FQL&gt;&lt;Q&gt;DUMMY^ECON_EXPR_DATA('FDS_ECON[NTCPMIMFGSA@NZ]',,,M)&lt;/Q&gt;&lt;R&gt;1&lt;/R&gt;&lt;C&gt;1&lt;/C&gt;&lt;D xsi:type="xsd:double"&gt;45.810715&lt;/D&gt;&lt;/FQL&gt;&lt;FQL&gt;&lt;Q&gt;DUMMY^ECON_EXPR_DATA('FDS_ECON[NTCPMIMFGSA@CA]',,,M)&lt;/Q&gt;&lt;R&gt;1&lt;/R&gt;&lt;C&gt;1&lt;/C&gt;&lt;D xsi:type="xsd:double"&gt;49.45051&lt;/D&gt;&lt;/FQL&gt;&lt;FQL&gt;&lt;Q&gt;CAGDPY@FR^EE_ACTUAL_ANNUAL(MED,+1)&lt;/Q&gt;&lt;R&gt;1&lt;/R&gt;&lt;C&gt;1&lt;/C&gt;&lt;D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xsi:type="xsd:double"&gt;-1&lt;/D&gt;&lt;/FQL&gt;&lt;FQL&gt;&lt;Q&gt;USDITL^FG_PRICE_CHANGE(0,-3AM)&lt;/Q&gt;&lt;R&gt;1&lt;/R&gt;&lt;C&gt;1&lt;/C&gt;&lt;D xsi:type="xsd:double"&gt;-4.042399&lt;/D&gt;&lt;/FQL&gt;&lt;FQL&gt;&lt;Q&gt;USDANG^FG_PRICE_CHANGE(0,-3AM)&lt;/Q&gt;&lt;R&gt;1&lt;/R&gt;&lt;C&gt;1&lt;/C&gt;&lt;D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xsi:type="xsd:double"&gt;-5.4155293&lt;/D&gt;&lt;/FQL&gt;&lt;FQL&gt;&lt;Q&gt;USDJPY^FG_PRICE_CHANGE(0,-3AM)&lt;/Q&gt;&lt;R&gt;1&lt;/R&gt;&lt;C&gt;1&lt;/C&gt;&lt;D xsi:type="xsd:double"&gt;-9.925753&lt;/D&gt;&lt;/FQL&gt;&lt;FQL&gt;&lt;Q&gt;USDCAD^FG_PRICE_CHANGE(0,-3AM)&lt;/Q&gt;&lt;R&gt;1&lt;/R&gt;&lt;C&gt;1&lt;/C&gt;&lt;D xsi:type="xsd:double"&gt;-1.5033722&lt;/D&gt;&lt;/FQL&gt;&lt;FQL&gt;&lt;Q&gt;USDNZD^FG_PRICE_CHANGE(0,-3AM)&lt;/Q&gt;&lt;R&gt;1&lt;/R&gt;&lt;C&gt;1&lt;/C&gt;&lt;D xsi:type="xsd:double"&gt;-2.464509&lt;/D&gt;&lt;/FQL&gt;&lt;FQL&gt;&lt;Q&gt;EWA^FMA_EPS(NTMA,-20AY,0,CY,,"PORTAGG","MEANR")&lt;/Q&gt;&lt;R&gt;20&lt;/R&gt;&lt;C&gt;1&lt;/C&gt;&lt;D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xsi:type="xsd:double"&gt;1.31799698442393&lt;/D&gt;&lt;D xsi:type="xsd:double"&gt;1.26256164128892&lt;/D&gt;&lt;D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xsi:type="xsd:long"&gt;45558&lt;/D&gt;&lt;/FQL&gt;&lt;FQL&gt;&lt;Q&gt;EWD^FMA_DIV_YLD(NTMA,-10AY,0,AM,"PORTAGG","MEANR")&lt;/Q&gt;&lt;R&gt;121&lt;/R&gt;&lt;C&gt;1&lt;/C&gt;&lt;D xsi:type="xsd:double"&gt;4.1860478343236&lt;/D&gt;&lt;D xsi:type="xsd:double"&gt;4.33062061384949&lt;/D&gt;&lt;D xsi:type="xsd:double"&gt;4.10698091641928&lt;/D&gt;&lt;D xsi:type="xsd:double"&gt;4.07873735495103&lt;/D&gt;&lt;D xsi:type="xsd:double"&gt;3.91785630346583&lt;/D&gt;&lt;D xsi:type="xsd:double"&gt;3.61247781394344&lt;/D&gt;&lt;D xsi:type="xsd:double"&gt;3.60708649612282&lt;/D&gt;&lt;D xsi:type="xsd:double"&gt;3.63725079469551&lt;/D&gt;&lt;D xsi:type="xsd:double"&gt;3.77877938829459&lt;/D&gt;&lt;D xsi:type="xsd:double"&gt;3.87743121325184&lt;/D&gt;&lt;D xsi:type="xsd:double"&gt;3.92904840611904&lt;/D&gt;&lt;D xsi:type="xsd:double"&gt;4.30288861454703&lt;/D&gt;&lt;D xsi:type="xsd:double"&gt;4.54906522032636&lt;/D&gt;&lt;D xsi:type="xsd:double"&gt;4.19800192556645&lt;/D&gt;&lt;D xsi:type="xsd:double"&gt;4.15720660270992&lt;/D&gt;&lt;D xsi:type="xsd:double"&gt;4.31616732091354&lt;/D&gt;&lt;D xsi:type="xsd:double"&gt;4.54641795390605&lt;/D&gt;&lt;D xsi:type="xsd:double"&gt;4.38598555244779&lt;/D&gt;&lt;D xsi:type="xsd:double"&gt;4.38072184226227&lt;/D&gt;&lt;D xsi:type="xsd:double"&gt;4.24008902350595&lt;/D&gt;&lt;D xsi:type="xsd:double"&gt;4.46612967733194&lt;/D&gt;&lt;D xsi:type="xsd:double"&gt;4.39008461405397&lt;/D&gt;&lt;D xsi:type="xsd:double"&gt;4.34161785745878&lt;/D&gt;&lt;D xsi:type="xsd:double"&gt;4.24784318468469&lt;/D&gt;&lt;D xsi:type="xsd:double"&gt;4.19219195573884&lt;/D&gt;&lt;D xsi:type="xsd:double"&gt;4.04733041716732&lt;/D&gt;&lt;D xsi:type="xsd:double"&gt;4.02607890782646&lt;/D&gt;&lt;D xsi:type="xsd:double"&gt;3.88540003504128&lt;/D&gt;&lt;D xsi:type="xsd:double"&gt;3.89928877307943&lt;/D&gt;&lt;D xsi:type="xsd:double"&gt;3.60028391421527&lt;/D&gt;&lt;D xsi:type="xsd:double"&gt;3.6508429282247&lt;/D&gt;&lt;D xsi:type="xsd:double"&gt;3.66934319959309&lt;/D&gt;&lt;D xsi:type="xsd:double"&gt;3.36326036313775&lt;/D&gt;&lt;D xsi:type="xsd:double"&gt;3.50699231518704&lt;/D&gt;&lt;D xsi:type="xsd:double"&gt;3.66471922284054&lt;/D&gt;&lt;D xsi:type="xsd:double"&gt;3.76820182223902&lt;/D&gt;&lt;D xsi:type="xsd:double"&gt;3.65962627698685&lt;/D&gt;&lt;D xsi:type="xsd:double"&gt;3.53442249359878&lt;/D&gt;&lt;D xsi:type="xsd:double"&gt;3.64187891892681&lt;/D&gt;&lt;D xsi:type="xsd:double"&gt;3.70269588074989&lt;/D&gt;&lt;D xsi:type="xsd:double"&gt;3.62919188251054&lt;/D&gt;&lt;D xsi:type="xsd:double"&gt;3.84766234679037&lt;/D&gt;&lt;D xsi:type="xsd:double"&gt;4.09635868853334&lt;/D&gt;&lt;D xsi:type="xsd:double"&gt;3.97132660094247&lt;/D&gt;&lt;D xsi:type="xsd:double"&gt;4.00096545106402&lt;/D&gt;&lt;D xsi:type="xsd:double"&gt;4.16073004016501&lt;/D&gt;&lt;D xsi:type="xsd:double"&gt;4.1524260842406&lt;/D&gt;&lt;D xsi:type="xsd:double"&gt;4.05638570874102&lt;/D&gt;&lt;D xsi:type="xsd:double"&gt;4.03304405264279&lt;/D&gt;&lt;D xsi:type="xsd:double"&gt;4.43422769937435&lt;/D&gt;&lt;D xsi:type="xsd:double"&gt;4.5771400030123&lt;/D&gt;&lt;D xsi:type="xsd:double"&gt;4.76207528826481&lt;/D&gt;&lt;D xsi:type="xsd:double"&gt;4.46111245799097&lt;/D&gt;&lt;D xsi:type="xsd:double"&gt;4.11790530091543&lt;/D&gt;&lt;D xsi:type="xsd:double"&gt;4.16006721591132&lt;/D&gt;&lt;D xsi:type="xsd:double"&gt;3.98289903404516&lt;/D&gt;&lt;D xsi:type="xsd:double"&gt;4.31590817091977&lt;/D&gt;&lt;D xsi:type="xsd:double"&gt;4.11357763545149&lt;/D&gt;&lt;D xsi:type="xsd:double"&gt;3.97443935983088&lt;/D&gt;&lt;D xsi:type="xsd:double"&gt;4.30229819737449&lt;/D&gt;&lt;D xsi:type="xsd:double"&gt;3.92911874646774&lt;/D&gt;&lt;D xsi:type="xsd:double"&gt;3.77389252895726&lt;/D&gt;&lt;D xsi:type="xsd:double"&gt;3.71317083407133&lt;/D&gt;&lt;D xsi:type="xsd:double"&gt;3.57514579951283&lt;/D&gt;&lt;D xsi:type="xsd:double"&gt;3.55881127032288&lt;/D&gt;&lt;D xsi:type="xsd:double"&gt;3.41213596389743&lt;/D&gt;&lt;D xsi:type="xsd:double"&gt;4.8728478378546&lt;/D&gt;&lt;D xsi:type="xsd:double"&gt;3.36726611478691&lt;/D&gt;&lt;D xsi:type="xsd:double"&gt;3.31339131759115&lt;/D&gt;&lt;D xsi:type="xsd:double"&gt;3.01920248257081&lt;/D&gt;&lt;D xsi:type="xsd:double"&gt;2.93060188980973&lt;/D&gt;&lt;D xsi:type="xsd:double"&gt;3.02624094311299&lt;/D&gt;&lt;D xsi:type="xsd:double"&gt;3.04449840050772&lt;/D&gt;&lt;D xsi:type="xsd:double"&gt;3.12150645419087&lt;/D&gt;&lt;D xsi:type="xsd:double"&gt;3.01049750576861&lt;/D&gt;&lt;D xsi:type="xsd:double"&gt;3.11435627543659&lt;/D&gt;&lt;D xsi:type="xsd:double"&gt;2.98258467884696&lt;/D&gt;&lt;D xsi:type="xsd:double"&gt;2.98889777640843&lt;/D&gt;&lt;D xsi:type="xsd:double"&gt;2.79793620770256&lt;/D&gt;&lt;D xsi:type="xsd:double"&gt;2.75156222561609&lt;/D&gt;&lt;D xsi:type="xsd:double"&gt;2.84990963587657&lt;/D&gt;&lt;D xsi:type="xsd:double"&gt;2.72222019219796&lt;/D&gt;&lt;D xsi:type="xsd:double"&gt;2.7040240162806&lt;/D&gt;&lt;D xsi:type="xsd:double"&gt;2.72207811222656&lt;/D&gt;&lt;D xsi:type="xsd:double"&gt;2.78519717070211&lt;/D&gt;&lt;D xsi:type="xsd:double"&gt;2.97941076774679&lt;/D&gt;&lt;D xsi:type="xsd:double"&gt;3.00253364972886&lt;/D&gt;&lt;D xsi:type="xsd:double"&gt;2.88022764565264&lt;/D&gt;&lt;D xsi:type="xsd:double"&gt;2.8377687168979&lt;/D&gt;&lt;D xsi:type="xsd:double"&gt;3.15854193523051&lt;/D&gt;&lt;D xsi:type="xsd:double"&gt;3.07240508762614&lt;/D&gt;&lt;D xsi:type="xsd:double"&gt;3.15767022238265&lt;/D&gt;&lt;D xsi:type="xsd:double"&gt;3.38560698483429&lt;/D&gt;&lt;D xsi:type="xsd:double"&gt;3.64604986170497&lt;/D&gt;&lt;D xsi:type="xsd:double"&gt;3.55739430750791&lt;/D&gt;&lt;D xsi:type="xsd:double"&gt;3.59545163494964&lt;/D&gt;&lt;D xsi:type="xsd:double"&gt;3.81915779270755&lt;/D&gt;&lt;D xsi:type="xsd:double"&gt;3.86782351587888&lt;/D&gt;&lt;D xsi:type="xsd:double"&gt;3.56988691312337&lt;/D&gt;&lt;D xsi:type="xsd:double"&gt;3.73853465609951&lt;/D&gt;&lt;D xsi:type="xsd:double"&gt;3.47114188215876&lt;/D&gt;&lt;D xsi:type="xsd:double"&gt;3.54763277786024&lt;/D&gt;&lt;D xsi:type="xsd:double"&gt;3.75492912446766&lt;/D&gt;&lt;D xsi:type="xsd:double"&gt;3.64642244150706&lt;/D&gt;&lt;D xsi:type="xsd:double"&gt;3.72201204950884&lt;/D&gt;&lt;D xsi:type="xsd:double"&gt;3.82779286472634&lt;/D&gt;&lt;D xsi:type="xsd:double"&gt;3.81370400341262&lt;/D&gt;&lt;D xsi:type="xsd:double"&gt;3.99248453688056&lt;/D&gt;&lt;D xsi:type="xsd:double"&gt;3.99808972099007&lt;/D&gt;&lt;D xsi:type="xsd:double"&gt;3.98762232696704&lt;/D&gt;&lt;D xsi:type="xsd:double"&gt;3.66881185343981&lt;/D&gt;&lt;D xsi:type="xsd:double"&gt;2.94062135103834&lt;/D&gt;&lt;D xsi:type="xsd:double"&gt;3.03777113781634&lt;/D&gt;&lt;D xsi:type="xsd:double"&gt;3.31904341288228&lt;/D&gt;&lt;D xsi:type="xsd:double"&gt;3.17089869824469&lt;/D&gt;&lt;D xsi:type="xsd:double"&gt;3.28198498312993&lt;/D&gt;&lt;D xsi:type="xsd:double"&gt;3.14758895265589&lt;/D&gt;&lt;D xsi:type="xsd:double"&gt;3.24704941600817&lt;/D&gt;&lt;D xsi:type="xsd:double"&gt;3.20097065903432&lt;/D&gt;&lt;D xsi:type="xsd:double"&gt;3.24412508841196&lt;/D&gt;&lt;D xsi:type="xsd:double"&gt;3.23566240961707&lt;/D&gt;&lt;/FQL&gt;&lt;FQL&gt;&lt;Q&gt;EWQ^FMA_PE(NTMA,-10AY,0,AM,"PORTAGG","MEANR")&lt;/Q&gt;&lt;R&gt;121&lt;/R&gt;&lt;C&gt;1&lt;/C&gt;&lt;D xsi:type="xsd:double"&gt;13.4793967313691&lt;/D&gt;&lt;D xsi:type="xsd:double"&gt;12.9153659007317&lt;/D&gt;&lt;D xsi:type="xsd:double"&gt;13.6123740708953&lt;/D&gt;&lt;D xsi:type="xsd:double"&gt;13.870769850874&lt;/D&gt;&lt;D xsi:type="xsd:double"&gt;15.3263485834173&lt;/D&gt;&lt;D xsi:type="xsd:double"&gt;16.1504175552056&lt;/D&gt;&lt;D xsi:type="xsd:double"&gt;16.6203288435665&lt;/D&gt;&lt;D xsi:type="xsd:double"&gt;16.7708872879715&lt;/D&gt;&lt;D xsi:type="xsd:double"&gt;16.5549508431863&lt;/D&gt;&lt;D xsi:type="xsd:double"&gt;16.1263943832377&lt;/D&gt;&lt;D xsi:type="xsd:double"&gt;15.965466835156&lt;/D&gt;&lt;D xsi:type="xsd:double"&gt;14.3249231520638&lt;/D&gt;&lt;D xsi:type="xsd:double"&gt;13.7995645750541&lt;/D&gt;&lt;D xsi:type="xsd:double"&gt;15.2315156584723&lt;/D&gt;&lt;D xsi:type="xsd:double"&gt;15.1982078794745&lt;/D&gt;&lt;D xsi:type="xsd:double"&gt;14.6509695277158&lt;/D&gt;&lt;D xsi:type="xsd:double"&gt;13.9237768219349&lt;/D&gt;&lt;D xsi:type="xsd:double"&gt;13.8793463792351&lt;/D&gt;&lt;D xsi:type="xsd:double"&gt;14.4536845739277&lt;/D&gt;&lt;D xsi:type="xsd:double"&gt;14.9069723583532&lt;/D&gt;&lt;D xsi:type="xsd:double"&gt;14.1028506684401&lt;/D&gt;&lt;D xsi:type="xsd:double"&gt;14.2956847977597&lt;/D&gt;&lt;D xsi:type="xsd:double"&gt;14.0181295099154&lt;/D&gt;&lt;D xsi:type="xsd:double"&gt;13.9464425414515&lt;/D&gt;&lt;D xsi:type="xsd:double"&gt;14.0027589468079&lt;/D&gt;&lt;D xsi:type="xsd:double"&gt;14.0374820914391&lt;/D&gt;&lt;D xsi:type="xsd:double"&gt;13.7395311692623&lt;/D&gt;&lt;D xsi:type="xsd:double"&gt;14.5255982089951&lt;/D&gt;&lt;D xsi:type="xsd:double"&gt;14.4168590965511&lt;/D&gt;&lt;D xsi:type="xsd:double"&gt;14.2906631671161&lt;/D&gt;&lt;D xsi:type="xsd:double"&gt;14.6817984221335&lt;/D&gt;&lt;D xsi:type="xsd:double"&gt;14.6306345947838&lt;/D&gt;&lt;D xsi:type="xsd:double"&gt;15.2530003765902&lt;/D&gt;&lt;D xsi:type="xsd:double"&gt;14.9665579870107&lt;/D&gt;&lt;D xsi:type="xsd:double"&gt;14.6650664360809&lt;/D&gt;&lt;D xsi:type="xsd:double"&gt;14.4942665213897&lt;/D&gt;&lt;D xsi:type="xsd:double"&gt;14.9997555483727&lt;/D&gt;&lt;D xsi:type="xsd:double"&gt;15.2148171746299&lt;/D&gt;&lt;D xsi:type="xsd:double"&gt;14.9059454282552&lt;/D&gt;&lt;D xsi:type="xsd:double"&gt;14.931758955554&lt;/D&gt;&lt;D xsi:type="xsd:double"&gt;15.3538718135294&lt;/D&gt;&lt;D xsi:type="xsd:double"&gt;14.6571993943397&lt;/D&gt;&lt;D xsi:type="xsd:double"&gt;14.0260183185813&lt;/D&gt;&lt;D xsi:type="xsd:double"&gt;14.7159853545921&lt;/D&gt;&lt;D xsi:type="xsd:double"&gt;14.7635212494986&lt;/D&gt;&lt;D xsi:type="xsd:double"&gt;14.1801147757194&lt;/D&gt;&lt;D xsi:type="xsd:double"&gt;13.9868960832543&lt;/D&gt;&lt;D xsi:type="xsd:double"&gt;13.8374499024254&lt;/D&gt;&lt;D xsi:type="xsd:double"&gt;13.9100023952768&lt;/D&gt;&lt;D xsi:type="xsd:double"&gt;12.4697973688669&lt;/D&gt;&lt;D xsi:type="xsd:double"&gt;12.3906307052081&lt;/D&gt;&lt;D xsi:type="xsd:double"&gt;11.8034389106372&lt;/D&gt;&lt;D xsi:type="xsd:double"&gt;12.4758318473142&lt;/D&gt;&lt;D xsi:type="xsd:double"&gt;13.3681285862403&lt;/D&gt;&lt;D xsi:type="xsd:double"&gt;13.442410612788&lt;/D&gt;&lt;D xsi:type="xsd:double"&gt;14.1249027212924&lt;/D&gt;&lt;D xsi:type="xsd:double"&gt;13.3310117313081&lt;/D&gt;&lt;D xsi:type="xsd:double"&gt;11.8917801790387&lt;/D&gt;&lt;D xsi:type="xsd:double"&gt;14.1471478066581&lt;/D&gt;&lt;D xsi:type="xsd:double"&gt;13.4505161138177&lt;/D&gt;&lt;D xsi:type="xsd:double"&gt;14.0959244217704&lt;/D&gt;&lt;D xsi:type="xsd:double"&gt;14.2643571378471&lt;/D&gt;&lt;D xsi:type="xsd:double"&gt;14.7199488342378&lt;/D&gt;&lt;D xsi:type="xsd:double"&gt;15.0232931051062&lt;/D&gt;&lt;D xsi:type="xsd:double"&gt;14.8871669022371&lt;/D&gt;&lt;D xsi:type="xsd:double"&gt;15.1653896467362&lt;/D&gt;&lt;D xsi:type="xsd:double"&gt;10.674849281175&lt;/D&gt;&lt;D xsi:type="xsd:double"&gt;15.50650723834&lt;/D&gt;&lt;D xsi:type="xsd:double"&gt;16.5424686592638&lt;/D&gt;&lt;D xsi:type="xsd:double"&gt;19.0266336831418&lt;/D&gt;&lt;D xsi:type="xsd:double"&gt;19.724581540198&lt;/D&gt;&lt;D xsi:type="xsd:double"&gt;19.2862953615819&lt;/D&gt;&lt;D xsi:type="xsd:double"&gt;18.07638921211&lt;/D&gt;&lt;D xsi:type="xsd:double"&gt;17.9309767905508&lt;/D&gt;&lt;D xsi:type="xsd:double"&gt;18.984759573188&lt;/D&gt;&lt;D xsi:type="xsd:double"&gt;18.118632523618&lt;/D&gt;&lt;D xsi:type="xsd:double"&gt;17.8151059229357&lt;/D&gt;&lt;D xsi:type="xsd:double"&gt;17.9827858604734&lt;/D&gt;&lt;D xsi:type="xsd:double"&gt;18.0450614720637&lt;/D&gt;&lt;D xsi:type="xsd:double"&gt;18.1446151926582&lt;/D&gt;&lt;D xsi:type="xsd:double"&gt;17.7177988529486&lt;/D&gt;&lt;D xsi:type="xsd:double"&gt;17.6847400320758&lt;/D&gt;&lt;D xsi:type="xsd:double"&gt;17.07350889189&lt;/D&gt;&lt;D xsi:type="xsd:double"&gt;16.3292883794755&lt;/D&gt;&lt;D xsi:type="xsd:double"&gt;16.1250781029647&lt;/D&gt;&lt;D xsi:type="xsd:double"&gt;15.6177089250023&lt;/D&gt;&lt;D xsi:type="xsd:double"&gt;15.7474563462288&lt;/D&gt;&lt;D xsi:type="xsd:double"&gt;15.7266543100502&lt;/D&gt;&lt;D xsi:type="xsd:double"&gt;15.3305061888697&lt;/D&gt;&lt;D xsi:type="xsd:double"&gt;14.1487185534283&lt;/D&gt;&lt;D xsi:type="xsd:double"&gt;13.4513479619836&lt;/D&gt;&lt;D xsi:type="xsd:double"&gt;13.1464864619855&lt;/D&gt;&lt;D xsi:type="xsd:double"&gt;12.180549957344&lt;/D&gt;&lt;D xsi:type="xsd:double"&gt;11.1826492081849&lt;/D&gt;&lt;D xsi:type="xsd:double"&gt;11.5831822459632&lt;/D&gt;&lt;D xsi:type="xsd:double"&gt;11.4311952662603&lt;/D&gt;&lt;D xsi:type="xsd:double"&gt;10.2523444873436&lt;/D&gt;&lt;D xsi:type="xsd:double"&gt;10.7630783416909&lt;/D&gt;&lt;D xsi:type="xsd:double"&gt;12.0096132609484&lt;/D&gt;&lt;D xsi:type="xsd:double"&gt;11.8622601873181&lt;/D&gt;&lt;D xsi:type="xsd:double"&gt;13.0694772966366&lt;/D&gt;&lt;D xsi:type="xsd:double"&gt;13.2976335512323&lt;/D&gt;&lt;D xsi:type="xsd:double"&gt;12.9981016388719&lt;/D&gt;&lt;D xsi:type="xsd:double"&gt;13.8223979237845&lt;/D&gt;&lt;D xsi:type="xsd:double"&gt;13.2674945414408&lt;/D&gt;&lt;D xsi:type="xsd:double"&gt;12.9095564536994&lt;/D&gt;&lt;D xsi:type="xsd:double"&gt;13.3740191688786&lt;/D&gt;&lt;D xsi:type="xsd:double"&gt;12.8272603132138&lt;/D&gt;&lt;D xsi:type="xsd:double"&gt;12.6317068085799&lt;/D&gt;&lt;D xsi:type="xsd:double"&gt;11.9632798295027&lt;/D&gt;&lt;D xsi:type="xsd:double"&gt;12.8492545328679&lt;/D&gt;&lt;D xsi:type="xsd:double"&gt;13.4590036637104&lt;/D&gt;&lt;D xsi:type="xsd:double"&gt;13.2339923789512&lt;/D&gt;&lt;D xsi:type="xsd:double"&gt;14.34470688462&lt;/D&gt;&lt;D xsi:type="xsd:double"&gt;14.5939723124614&lt;/D&gt;&lt;D xsi:type="xsd:double"&gt;14.4928978494865&lt;/D&gt;&lt;D xsi:type="xsd:double"&gt;14.5015732874344&lt;/D&gt;&lt;D xsi:type="xsd:double"&gt;13.6091678744329&lt;/D&gt;&lt;D xsi:type="xsd:double"&gt;13.5913464193918&lt;/D&gt;&lt;D xsi:type="xsd:double"&gt;13.7500923058189&lt;/D&gt;&lt;D xsi:type="xsd:double"&gt;13.528371068889&lt;/D&gt;&lt;/FQL&gt;&lt;FQL&gt;&lt;Q&gt;QQQ^FMA_PE(LTMA,-10AY,0,AM,"PORTAGG","MEANR")&lt;/Q&gt;&lt;R&gt;121&lt;/R&gt;&lt;C&gt;1&lt;/C&gt;&lt;D xsi:type="xsd:double"&gt;19.3309076779083&lt;/D&gt;&lt;D xsi:type="xsd:double"&gt;19.0869330342105&lt;/D&gt;&lt;D xsi:type="xsd:double"&gt;20.1544623531315&lt;/D&gt;&lt;D xsi:type="xsd:double"&gt;20.3098849197985&lt;/D&gt;&lt;D xsi:type="xsd:double"&gt;20.124261953247&lt;/D&gt;&lt;D xsi:type="xsd:double"&gt;20.7534058614736&lt;/D&gt;&lt;D xsi:type="xsd:double"&gt;20.6338534456741&lt;/D&gt;&lt;D xsi:type="xsd:double"&gt;20.505288470177&lt;/D&gt;&lt;D xsi:type="xsd:double"&gt;20.349911959571&lt;/D&gt;&lt;D xsi:type="xsd:double"&gt;20.2163825145577&lt;/D&gt;&lt;D xsi:type="xsd:double"&gt;20.3801910724454&lt;/D&gt;&lt;D xsi:type="xsd:double"&gt;19.2889004349243&lt;/D&gt;&lt;D xsi:type="xsd:double"&gt;19.2965970870902&lt;/D&gt;&lt;D xsi:type="xsd:double"&gt;20.3252847212119&lt;/D&gt;&lt;D xsi:type="xsd:double"&gt;20.4290927883485&lt;/D&gt;&lt;D xsi:type="xsd:double"&gt;20.2491949722443&lt;/D&gt;&lt;D xsi:type="xsd:double"&gt;18.7565151103989&lt;/D&gt;&lt;D xsi:type="xsd:double"&gt;18.1788537879778&lt;/D&gt;&lt;D xsi:type="xsd:double"&gt;18.3087380699311&lt;/D&gt;&lt;D xsi:type="xsd:double"&gt;18.4280266164513&lt;/D&gt;&lt;D xsi:type="xsd:double"&gt;18.3391402880205&lt;/D&gt;&lt;D xsi:type="xsd:double"&gt;18.6863139867324&lt;/D&gt;&lt;D xsi:type="xsd:double"&gt;19.2121303906337&lt;/D&gt;&lt;D xsi:type="xsd:double"&gt;19.619588761924&lt;/D&gt;&lt;D xsi:type="xsd:double"&gt;19.885621407605&lt;/D&gt;&lt;D xsi:type="xsd:double"&gt;19.9389042555318&lt;/D&gt;&lt;D xsi:type="xsd:double"&gt;20.029452516258&lt;/D&gt;&lt;D xsi:type="xsd:double"&gt;20.5712874187743&lt;/D&gt;&lt;D xsi:type="xsd:double"&gt;20.9811160641062&lt;/D&gt;&lt;D xsi:type="xsd:double"&gt;21.7640674675819&lt;/D&gt;&lt;D xsi:type="xsd:double"&gt;21.6383903891379&lt;/D&gt;&lt;D xsi:type="xsd:double"&gt;21.5929763080648&lt;/D&gt;&lt;D xsi:type="xsd:double"&gt;21.8424228780276&lt;/D&gt;&lt;D xsi:type="xsd:double"&gt;21.9483433086551&lt;/D&gt;&lt;D xsi:type="xsd:double"&gt;22.2415341053391&lt;/D&gt;&lt;D xsi:type="xsd:double"&gt;21.9743522077408&lt;/D&gt;&lt;D xsi:type="xsd:double"&gt;22.1990995060686&lt;/D&gt;&lt;D xsi:type="xsd:double"&gt;22.5891476186619&lt;/D&gt;&lt;D xsi:type="xsd:double"&gt;23.2348260054294&lt;/D&gt;&lt;D xsi:type="xsd:double"&gt;23.7486875513565&lt;/D&gt;&lt;D xsi:type="xsd:double"&gt;25.4125262071228&lt;/D&gt;&lt;D xsi:type="xsd:double"&gt;24.333268814325&lt;/D&gt;&lt;D xsi:type="xsd:double"&gt;23.6593914544259&lt;/D&gt;&lt;D xsi:type="xsd:double"&gt;23.4086902792223&lt;/D&gt;&lt;D xsi:type="xsd:double"&gt;23.2276313249347&lt;/D&gt;&lt;D xsi:type="xsd:double"&gt;23.2649653404729&lt;/D&gt;&lt;D xsi:type="xsd:double"&gt;23.2645564016465&lt;/D&gt;&lt;D xsi:type="xsd:double"&gt;23.0427609911461&lt;/D&gt;&lt;D xsi:type="xsd:double"&gt;23.0710697448946&lt;/D&gt;&lt;D xsi:type="xsd:double"&gt;21.9177158508543&lt;/D&gt;&lt;D xsi:type="xsd:double"&gt;19.7271044765999&lt;/D&gt;&lt;D xsi:type="xsd:double"&gt;18.0747651525871&lt;/D&gt;&lt;D xsi:type="xsd:double"&gt;19.6734850220849&lt;/D&gt;&lt;D xsi:type="xsd:double"&gt;20.8428911574737&lt;/D&gt;&lt;D xsi:type="xsd:double"&gt;21.0042484707393&lt;/D&gt;&lt;D xsi:type="xsd:double"&gt;21.41914860962&lt;/D&gt;&lt;D xsi:type="xsd:double"&gt;21.0059874903557&lt;/D&gt;&lt;D xsi:type="xsd:double"&gt;21.7040097765724&lt;/D&gt;&lt;D xsi:type="xsd:double"&gt;22.0944252387874&lt;/D&gt;&lt;D xsi:type="xsd:double"&gt;21.3884223589377&lt;/D&gt;&lt;D xsi:type="xsd:double"&gt;21.8846984490039&lt;/D&gt;&lt;D xsi:type="xsd:double"&gt;22.1370214870901&lt;/D&gt;&lt;D xsi:type="xsd:double"&gt;23.3191219136573&lt;/D&gt;&lt;D xsi:type="xsd:double"&gt;24.7573854133183&lt;/D&gt;&lt;D xsi:type="xsd:double"&gt;26.0765662973534&lt;/D&gt;&lt;D xsi:type="xsd:double"&gt;26.1000270175219&lt;/D&gt;&lt;D xsi:type="xsd:double"&gt;22.4681172673161&lt;/D&gt;&lt;D xsi:type="xsd:double"&gt;24.0048838392071&lt;/D&gt;&lt;D xsi:type="xsd:double"&gt;25.5945751934331&lt;/D&gt;&lt;D xsi:type="xsd:double"&gt;27.007347258201&lt;/D&gt;&lt;D xsi:type="xsd:double"&gt;27.9829101818681&lt;/D&gt;&lt;D xsi:type="xsd:double"&gt;29.4356667698279&lt;/D&gt;&lt;D xsi:type="xsd:double"&gt;28.8008872856584&lt;/D&gt;&lt;D xsi:type="xsd:double"&gt;31.1249974353571&lt;/D&gt;&lt;D xsi:type="xsd:double"&gt;31.3425671877628&lt;/D&gt;&lt;D xsi:type="xsd:double"&gt;33.5522030557466&lt;/D&gt;&lt;D xsi:type="xsd:double"&gt;35.0963884934838&lt;/D&gt;&lt;D xsi:type="xsd:double"&gt;32.993424438546&lt;/D&gt;&lt;D xsi:type="xsd:double"&gt;31.8817964177731&lt;/D&gt;&lt;D xsi:type="xsd:double"&gt;32.0130641227507&lt;/D&gt;&lt;D xsi:type="xsd:double"&gt;30.7503858287276&lt;/D&gt;&lt;D xsi:type="xsd:double"&gt;30.9984853190156&lt;/D&gt;&lt;D xsi:type="xsd:double"&gt;31.5431305631685&lt;/D&gt;&lt;D xsi:type="xsd:double"&gt;30.7242462913322&lt;/D&gt;&lt;D xsi:type="xsd:double"&gt;30.5323430932046&lt;/D&gt;&lt;D xsi:type="xsd:double"&gt;30.1508778537359&lt;/D&gt;&lt;D xsi:type="xsd:double"&gt;31.2981700913156&lt;/D&gt;&lt;D xsi:type="xsd:double"&gt;31.2467904329852&lt;/D&gt;&lt;D xsi:type="xsd:double"&gt;27.4191121752913&lt;/D&gt;&lt;D xsi:type="xsd:double"&gt;24.8492661588239&lt;/D&gt;&lt;D xsi:type="xsd:double"&gt;26.1266457322448&lt;/D&gt;&lt;D xsi:type="xsd:double"&gt;25.4565745691462&lt;/D&gt;&lt;D xsi:type="xsd:double"&gt;24.4786545528368&lt;/D&gt;&lt;D xsi:type="xsd:double"&gt;23.8058729964135&lt;/D&gt;&lt;D xsi:type="xsd:double"&gt;24.2943345835066&lt;/D&gt;&lt;D xsi:type="xsd:double"&gt;25.037662111583&lt;/D&gt;&lt;D xsi:type="xsd:double"&gt;22.7455994191831&lt;/D&gt;&lt;D xsi:type="xsd:double"&gt;22.5488747477525&lt;/D&gt;&lt;D xsi:type="xsd:double"&gt;23.3809683668266&lt;/D&gt;&lt;D xsi:type="xsd:double"&gt;22.4682666355111&lt;/D&gt;&lt;D xsi:type="xsd:double"&gt;24.1353178338581&lt;/D&gt;&lt;D xsi:type="xsd:double"&gt;24.8718205693932&lt;/D&gt;&lt;D xsi:type="xsd:double"&gt;24.9300837888772&lt;/D&gt;&lt;D xsi:type="xsd:double"&gt;25.1337003626874&lt;/D&gt;&lt;D xsi:type="xsd:double"&gt;25.4846464937373&lt;/D&gt;&lt;D xsi:type="xsd:double"&gt;26.4161263124587&lt;/D&gt;&lt;D xsi:type="xsd:double"&gt;27.219047600831&lt;/D&gt;&lt;D xsi:type="xsd:double"&gt;25.9413365684059&lt;/D&gt;&lt;D xsi:type="xsd:double"&gt;25.3634285023025&lt;/D&gt;&lt;D xsi:type="xsd:double"&gt;25.3159880899708&lt;/D&gt;&lt;D xsi:type="xsd:double"&gt;27.1170747037843&lt;/D&gt;&lt;D xsi:type="xsd:double"&gt;28.391548723077&lt;/D&gt;&lt;D xsi:type="xsd:double"&gt;29.2516437000242&lt;/D&gt;&lt;D xsi:type="xsd:double"&gt;29.5543554346693&lt;/D&gt;&lt;D xsi:type="xsd:double"&gt;29.5174054468388&lt;/D&gt;&lt;D xsi:type="xsd:double"&gt;28.8880153529346&lt;/D&gt;&lt;D xsi:type="xsd:double"&gt;29.0682515608311&lt;/D&gt;&lt;D xsi:type="xsd:double"&gt;29.5266208855111&lt;/D&gt;&lt;D xsi:type="xsd:double"&gt;29.8315983619296&lt;/D&gt;&lt;D xsi:type="xsd:double"&gt;30.2303457934066&lt;/D&gt;&lt;D xsi:type="xsd:double"&gt;30.2059919152821&lt;/D&gt;&lt;/FQL&gt;&lt;FQL&gt;&lt;Q&gt;DDR3512M-FDS^FG_PRICE(0)&lt;/Q&gt;&lt;R&gt;1&lt;/R&gt;&lt;C&gt;1&lt;/C&gt;&lt;D xsi:type="xsd:double"&gt;0.8831571&lt;/D&gt;&lt;/FQL&gt;&lt;FQL&gt;&lt;Q&gt;PASP-FDS^FG_PRICE(0)&lt;/Q&gt;&lt;R&gt;1&lt;/R&gt;&lt;C&gt;1&lt;/C&gt;&lt;D xsi:type="xsd:double"&gt;1075&lt;/D&gt;&lt;/FQL&gt;&lt;FQL&gt;&lt;Q&gt;PLATI-FDS^FG_PRICE(0)&lt;/Q&gt;&lt;R&gt;1&lt;/R&gt;&lt;C&gt;1&lt;/C&gt;&lt;D xsi:type="xsd:double"&gt;992&lt;/D&gt;&lt;/FQL&gt;&lt;FQL&gt;&lt;Q&gt;W-FDS^FG_PRICE(0)&lt;/Q&gt;&lt;R&gt;1&lt;/R&gt;&lt;C&gt;1&lt;/C&gt;&lt;D xsi:type="xsd:double"&gt;5.685&lt;/D&gt;&lt;/FQL&gt;&lt;FQL&gt;&lt;Q&gt;COPP-FDS^FG_PRICE(0)&lt;/Q&gt;&lt;R&gt;1&lt;/R&gt;&lt;C&gt;1&lt;/C&gt;&lt;D xsi:type="xsd:double"&gt;4.2815&lt;/D&gt;&lt;/FQL&gt;&lt;FQL&gt;&lt;Q&gt;FC0000US^FG_PRICE(0)&lt;/Q&gt;&lt;R&gt;1&lt;/R&gt;&lt;C&gt;1&lt;/C&gt;&lt;D xsi:type="xsd:double"&gt;426.70563&lt;/D&gt;&lt;/FQL&gt;&lt;FQL&gt;&lt;Q&gt;FC0000GR^FG_PRICE(0)&lt;/Q&gt;&lt;R&gt;1&lt;/R&gt;&lt;C&gt;1&lt;/C&gt;&lt;D xsi:type="xsd:double"&gt;9.837874&lt;/D&gt;&lt;/FQL&gt;&lt;FQL&gt;&lt;Q&gt;EWI^FG_PRICE(0)&lt;/Q&gt;&lt;R&gt;1&lt;/R&gt;&lt;C&gt;1&lt;/C&gt;&lt;D xsi:type="xsd:double"&gt;38.435&lt;/D&gt;&lt;/FQL&gt;&lt;FQL&gt;&lt;Q&gt;SPY^FG_PRICE(0)&lt;/Q&gt;&lt;R&gt;1&lt;/R&gt;&lt;C&gt;1&lt;/C&gt;&lt;D xsi:type="xsd:double"&gt;569.9599&lt;/D&gt;&lt;/FQL&gt;&lt;FQL&gt;&lt;Q&gt;EWJ^FG_PRICE(0)&lt;/Q&gt;&lt;R&gt;1&lt;/R&gt;&lt;C&gt;1&lt;/C&gt;&lt;D xsi:type="xsd:double"&gt;71.69&lt;/D&gt;&lt;/FQL&gt;&lt;FQL&gt;&lt;Q&gt;ENZL^FG_PRICE(0)&lt;/Q&gt;&lt;R&gt;1&lt;/R&gt;&lt;C&gt;1&lt;/C&gt;&lt;D xsi:type="xsd:double"&gt;49.604&lt;/D&gt;&lt;/FQL&gt;&lt;FQL&gt;&lt;Q&gt;EWA^FG_COMPANY_NAME&lt;/Q&gt;&lt;R&gt;1&lt;/R&gt;&lt;C&gt;1&lt;/C&gt;&lt;D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xsi:type="xsd:double"&gt;0.32981777&lt;/D&gt;&lt;/FQL&gt;&lt;FQL&gt;&lt;Q&gt;SPY^FMA_PCT_ABOVE_MAVG(200,0,,,,"PORTAGG")&lt;/Q&gt;&lt;R&gt;1&lt;/R&gt;&lt;C&gt;1&lt;/C&gt;&lt;D xsi:type="xsd:double"&gt;77.4451097804391&lt;/D&gt;&lt;/FQL&gt;&lt;FQL&gt;&lt;Q&gt;URTH^PERCENT_CHANGE(FMA_EPS(+1,0,,,,"PORTAGG","MEAN"),FMA_EPS(+1,-3AM,,,,"PORTAGG","MEAN"))&lt;/Q&gt;&lt;R&gt;1&lt;/R&gt;&lt;C&gt;1&lt;/C&gt;&lt;D xsi:type="xsd:double"&gt;1.38327059829456&lt;/D&gt;&lt;/FQL&gt;&lt;FQL&gt;&lt;Q&gt;VGK^FG_TOTAL_RETURNC(0,-3AM)&lt;/Q&gt;&lt;R&gt;1&lt;/R&gt;&lt;C&gt;1&lt;/C&gt;&lt;D xsi:type="xsd:double"&gt;4.6469927&lt;/D&gt;&lt;/FQL&gt;&lt;FQL&gt;&lt;Q&gt;EWD^P_PRICE(0)/P_PRICE_HIGH_PR(0,,,,,,"PRICE","INTRA","52W")&lt;/Q&gt;&lt;R&gt;1&lt;/R&gt;&lt;C&gt;1&lt;/C&gt;&lt;D xsi:type="xsd:double"&gt;0.99297744&lt;/D&gt;&lt;/FQL&gt;&lt;FQL&gt;&lt;Q&gt;EWQ^FG_TOTAL_RETURNC(0,-12AM)&lt;/Q&gt;&lt;R&gt;1&lt;/R&gt;&lt;C&gt;1&lt;/C&gt;&lt;D xsi:type="xsd:double"&gt;13.136983&lt;/D&gt;&lt;/FQL&gt;&lt;FQL&gt;&lt;Q&gt;SPY^PERCENT_CHANGE(FMA_EPS(+1,0,,,,"PORTAGG","MEAN"),FMA_EPS(+1,-1AM,,,,"PORTAGG","MEAN"))&lt;/Q&gt;&lt;R&gt;1&lt;/R&gt;&lt;C&gt;1&lt;/C&gt;&lt;D xsi:type="xsd:double"&gt;0.0631301681141531&lt;/D&gt;&lt;/FQL&gt;&lt;FQL&gt;&lt;Q&gt;EWU^FG_TOTAL_RETURNC(0,-1AM)&lt;/Q&gt;&lt;R&gt;1&lt;/R&gt;&lt;C&gt;1&lt;/C&gt;&lt;D xsi:type="xsd:double"&gt;-0.013369322&lt;/D&gt;&lt;/FQL&gt;&lt;FQL&gt;&lt;Q&gt;EWJ^FG_TOTAL_RETURNC(0,-6AM)&lt;/Q&gt;&lt;R&gt;1&lt;/R&gt;&lt;C&gt;1&lt;/C&gt;&lt;D xsi:type="xsd:double"&gt;0.5649924&lt;/D&gt;&lt;/FQL&gt;&lt;FQL&gt;&lt;Q&gt;EWC^P_PRICE(0)/P_PRICE_LOW_PR(0,,,,,,"PRICE","INTRA","52W")-1&lt;/Q&gt;&lt;R&gt;1&lt;/R&gt;&lt;C&gt;1&lt;/C&gt;&lt;D xsi:type="xsd:double"&gt;0.31582308&lt;/D&gt;&lt;/FQL&gt;&lt;FQL&gt;&lt;Q&gt;EWA^FMA_PCT_ABOVE_MAVG(200,0,,,,"PORTAGG")&lt;/Q&gt;&lt;R&gt;1&lt;/R&gt;&lt;C&gt;1&lt;/C&gt;&lt;D xsi:type="xsd:double"&gt;62.0689655172414&lt;/D&gt;&lt;/FQL&gt;&lt;FQL&gt;&lt;Q&gt;EWJ^SIZE(FG_CONSTITUENTS)&lt;/Q&gt;&lt;R&gt;1&lt;/R&gt;&lt;C&gt;1&lt;/C&gt;&lt;D xsi:type="xsd:long"&gt;200&lt;/D&gt;&lt;/FQL&gt;&lt;FQL&gt;&lt;Q&gt;EWD^FMA_COS_DOWN("EPS","1M",+1,0,,,"PORTAGG","MEANR")&lt;/Q&gt;&lt;R&gt;1&lt;/R&gt;&lt;C&gt;1&lt;/C&gt;&lt;D xsi:type="xsd:double"&gt;22&lt;/D&gt;&lt;/FQL&gt;&lt;FQL&gt;&lt;Q&gt;EWU^FMA_COS_UP("EPS","1M",+1,0,,,"PORTAGG","MEANR")&lt;/Q&gt;&lt;R&gt;1&lt;/R&gt;&lt;C&gt;1&lt;/C&gt;&lt;D xsi:type="xsd:double"&gt;33&lt;/D&gt;&lt;/FQL&gt;&lt;FQL&gt;&lt;Q&gt;ENZL^SIZE(FG_CONSTITUENTS)&lt;/Q&gt;&lt;R&gt;1&lt;/R&gt;&lt;C&gt;1&lt;/C&gt;&lt;D xsi:type="xsd:long"&gt;26&lt;/D&gt;&lt;/FQL&gt;&lt;FQL&gt;&lt;Q&gt;EWI^FMA_RBICS_REV_CURRENT(30, LOC, "PORTAGG")&lt;/Q&gt;&lt;R&gt;1&lt;/R&gt;&lt;C&gt;1&lt;/C&gt;&lt;D xsi:type="xsd:double"&gt;38.0511836286509&lt;/D&gt;&lt;/FQL&gt;&lt;FQL&gt;&lt;Q&gt;EWQ^FG_ROE(0)&lt;/Q&gt;&lt;R&gt;1&lt;/R&gt;&lt;C&gt;1&lt;/C&gt;&lt;D xsi:type="xsd:double"&gt;12.1513267023902&lt;/D&gt;&lt;/FQL&gt;&lt;FQL&gt;&lt;Q&gt;TRYGB10Y-FDS^FG_YIELD_NAME&lt;/Q&gt;&lt;R&gt;1&lt;/R&gt;&lt;C&gt;1&lt;/C&gt;&lt;D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xsi:type="xsd:double"&gt;-50&lt;/D&gt;&lt;/FQL&gt;&lt;FQL&gt;&lt;Q&gt;REFEUREFI-FDS^FG_YIELD(NOW,,,0)&lt;/Q&gt;&lt;R&gt;1&lt;/R&gt;&lt;C&gt;1&lt;/C&gt;&lt;D xsi:type="xsd:double"&gt;3.65&lt;/D&gt;&lt;/FQL&gt;&lt;FQL&gt;&lt;Q&gt;TRYNL10Y-FDS^PCTCHG(FG_YIELD(0,,,,"YTM"),FG_YIELD(-1AM,,,,"YTM"))&lt;/Q&gt;&lt;R&gt;1&lt;/R&gt;&lt;C&gt;1&lt;/C&gt;&lt;D xsi:type="xsd:double"&gt;-0.7197076&lt;/D&gt;&lt;/FQL&gt;&lt;FQL&gt;&lt;Q&gt;TRYCA10Y-FDS^PCTCHG(FG_YIELD(0,,,,"YTM"),FG_YIELD(-1AM,,,,"YTM"))&lt;/Q&gt;&lt;R&gt;0&lt;/R&gt;&lt;C&gt;0&lt;/C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xsi:type="xsd:double"&gt;5.46256876234888&lt;/D&gt;&lt;/FQL&gt;&lt;FQL&gt;&lt;Q&gt;EWI^FMA_PE(NTMA,0,,,"PORTAGG","MEANR")&lt;/Q&gt;&lt;R&gt;1&lt;/R&gt;&lt;C&gt;1&lt;/C&gt;&lt;D xsi:type="xsd:double"&gt;9.98651948040199&lt;/D&gt;&lt;/FQL&gt;&lt;FQL&gt;&lt;Q&gt;EWN^JULIAN(FMA_DIV_YLD(NTMA,NOW,NOW,M,"PORTAGG","MEANR").DATES)&lt;/Q&gt;&lt;R&gt;1&lt;/R&gt;&lt;C&gt;1&lt;/C&gt;&lt;D xsi:type="xsd:long"&gt;45534&lt;/D&gt;&lt;/FQL&gt;&lt;FQL&gt;&lt;Q&gt;QQQ^FMA_EVAL_EBITDA(NTMA,0,,,"PORTAGG","MEANR")&lt;/Q&gt;&lt;R&gt;1&lt;/R&gt;&lt;C&gt;1&lt;/C&gt;&lt;D xsi:type="xsd:double"&gt;16.5508232393624&lt;/D&gt;&lt;/FQL&gt;&lt;FQL&gt;&lt;Q&gt;EWL^FMA_DIV_YLD(NTMA,NOW,NOW,M,"PORTAGG","MEANR")&lt;/Q&gt;&lt;R&gt;1&lt;/R&gt;&lt;C&gt;1&lt;/C&gt;&lt;D xsi:type="xsd:double"&gt;3.08471253418279&lt;/D&gt;&lt;/FQL&gt;&lt;FQL&gt;&lt;Q&gt;EWG^FMA_PE(LTM,0,,,"PORTAGG","MEANR")&lt;/Q&gt;&lt;R&gt;1&lt;/R&gt;&lt;C&gt;1&lt;/C&gt;&lt;D xsi:type="xsd:double"&gt;15.4101484698275&lt;/D&gt;&lt;/FQL&gt;&lt;FQL&gt;&lt;Q&gt;ENZL^FMA_EVAL_EBIT(LTMA,NOW,NOW,M,"PORTAGG","MEANR")&lt;/Q&gt;&lt;R&gt;1&lt;/R&gt;&lt;C&gt;1&lt;/C&gt;&lt;D xsi:type="xsd:double"&gt;21.6175078655264&lt;/D&gt;&lt;/FQL&gt;&lt;FQL&gt;&lt;Q&gt;EWJ^FG_COMPANY_NAME&lt;/Q&gt;&lt;R&gt;1&lt;/R&gt;&lt;C&gt;1&lt;/C&gt;&lt;D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xsi:type="xsd:double"&gt;0.9832163&lt;/D&gt;&lt;/FQL&gt;&lt;FQL&gt;&lt;Q&gt;QQQ^P_PRICE(0)/P_PRICE_HIGH_PR(0,,,USD,,,"PRICE","INTRA","52W")&lt;/Q&gt;&lt;R&gt;1&lt;/R&gt;&lt;C&gt;1&lt;/C&gt;&lt;D xsi:type="xsd:double"&gt;0.9603196&lt;/D&gt;&lt;/FQL&gt;&lt;FQL&gt;&lt;Q&gt;VWO^P_PRICE(0)/P_PRICE_HIGH_PR(0,,,USD,,,"PRICE","INTRA","52W")&lt;/Q&gt;&lt;R&gt;1&lt;/R</t>
        </r>
      </text>
    </comment>
    <comment ref="A2" authorId="0" shapeId="0" xr:uid="{F0CEA76F-9CD6-477C-BCE7-C7ADFA29FE71}">
      <text>
        <r>
          <rPr>
            <b/>
            <sz val="9"/>
            <color indexed="81"/>
            <rFont val="Tahoma"/>
            <charset val="1"/>
          </rPr>
          <t>&gt;&lt;C&gt;1&lt;/C&gt;&lt;D xsi:type="xsd:double"&gt;0.99879915&lt;/D&gt;&lt;/FQL&gt;&lt;FQL&gt;&lt;Q&gt;TRYSA10Y-FDS^FG_YIELD(-10AY,0,Y,,"YTM")&lt;/Q&gt;&lt;R&gt;10&lt;/R&gt;&lt;C&gt;1&lt;/C&gt;&lt;D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xsi:type="xsd:double"&gt;3.1928&lt;/D&gt;&lt;/FQL&gt;&lt;FQL&gt;&lt;Q&gt;DUMMY^ECON_EXPR_DATA('FDS_ECON[NTCPMIMFGSA@EME]',,,M)&lt;/Q&gt;&lt;R&gt;1&lt;/R&gt;&lt;C&gt;1&lt;/C&gt;&lt;D xsi:type="xsd:double"&gt;50.789436&lt;/D&gt;&lt;/FQL&gt;&lt;FQL&gt;&lt;Q&gt;EWD^FMA_ROE(NTMA,-20AY,NOW,FY,"PORTAGG","MEANR")&lt;/Q&gt;&lt;R&gt;20&lt;/R&gt;&lt;C&gt;1&lt;/C&gt;&lt;D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xsi:type="xsd:double"&gt;14.6915673510104&lt;/D&gt;&lt;D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xsi:type="xsd:double"&gt;2.004&lt;/D&gt;&lt;/FQL&gt;&lt;FQL&gt;&lt;Q&gt;DUMMY^ECON_EXPR_DATA('FDS_ECON[PMIDMMANHE]',,,M)&lt;/Q&gt;&lt;R&gt;1&lt;/R&gt;&lt;C&gt;1&lt;/C&gt;&lt;D xsi:type="xsd:double"&gt;48.332497&lt;/D&gt;&lt;/FQL&gt;&lt;FQL&gt;&lt;Q&gt;CAGDPY@FR^EE_ACTUAL_ANNUAL(MED,0)&lt;/Q&gt;&lt;R&gt;1&lt;/R&gt;&lt;C&gt;1&lt;/C&gt;&lt;D xsi:type="xsd:double"&gt;-1.0196499952943&lt;/D&gt;&lt;/FQL&gt;&lt;FQL&gt;&lt;Q&gt;CAGDPY@AU^EE_ACTUAL_ANNUAL(MED,0)&lt;/Q&gt;&lt;R&gt;1&lt;/R&gt;&lt;C&gt;1&lt;/C&gt;&lt;D xsi:type="xsd:double"&gt;0.252467670960909&lt;/D&gt;&lt;/FQL&gt;&lt;FQL&gt;&lt;Q&gt;USDITL^FG_PRICE_CHANGE(0,-1AM)&lt;/Q&gt;&lt;R&gt;1&lt;/R&gt;&lt;C&gt;1&lt;/C&gt;&lt;D xsi:type="xsd:double"&gt;0.41772127&lt;/D&gt;&lt;/FQL&gt;&lt;FQL&gt;&lt;Q&gt;USDANG^FG_PRICE_CHANGE(0,-1AM)&lt;/Q&gt;&lt;R&gt;1&lt;/R&gt;&lt;C&gt;1&lt;/C&gt;&lt;D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xsi:type="xsd:double"&gt;-1.1984587&lt;/D&gt;&lt;/FQL&gt;&lt;FQL&gt;&lt;Q&gt;USDJPY^FG_PRICE_CHANGE(0,-1AM)&lt;/Q&gt;&lt;R&gt;1&lt;/R&gt;&lt;C&gt;1&lt;/C&gt;&lt;D xsi:type="xsd:double"&gt;-0.97479224&lt;/D&gt;&lt;/FQL&gt;&lt;FQL&gt;&lt;Q&gt;USDCAD^FG_PRICE_CHANGE(0,-1AM)&lt;/Q&gt;&lt;R&gt;1&lt;/R&gt;&lt;C&gt;1&lt;/C&gt;&lt;D xsi:type="xsd:double"&gt;-0.17012358&lt;/D&gt;&lt;/FQL&gt;&lt;FQL&gt;&lt;Q&gt;USDNZD^FG_PRICE_CHANGE(0,-1AM)&lt;/Q&gt;&lt;R&gt;1&lt;/R&gt;&lt;C&gt;1&lt;/C&gt;&lt;D xsi:type="xsd:double"&gt;-1.0129213&lt;/D&gt;&lt;/FQL&gt;&lt;FQL&gt;&lt;Q&gt;ENZL^FMA_EPS(NTMA,-20AY,0,CY,,"PORTAGG","MEANR")&lt;/Q&gt;&lt;R&gt;20&lt;/R&gt;&lt;C&gt;1&lt;/C&gt;&lt;D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xsi:type="xsd:double"&gt;-0.6997466&lt;/D&gt;&lt;D xsi:type="xsd:double"&gt;-6.278026&lt;/D&gt;&lt;D xsi:type="xsd:double"&gt;1.093638&lt;/D&gt;&lt;D xsi:type="xsd:double"&gt;-4.887825&lt;/D&gt;&lt;D xsi:type="xsd:double"&gt;-2.4337888&lt;/D&gt;&lt;D xsi:type="xsd:double"&gt;9.17095&lt;/D&gt;&lt;D xsi:type="xsd:double"&gt;0.5376339&lt;/D&gt;&lt;D xsi:type="xsd:double"&gt;0.53476095&lt;/D&gt;&lt;D xsi:type="xsd:double"&gt;4.9202085&lt;/D&gt;&lt;D xsi:type="xsd:double"&gt;1.4575481&lt;/D&gt;&lt;D xsi:type="xsd:double"&gt;-1.6705453&lt;/D&gt;&lt;D xsi:type="xsd:double"&gt;-5.494505&lt;/D&gt;&lt;D xsi:type="xsd:double"&gt;-3.55677&lt;/D&gt;&lt;D xsi:type="xsd:double"&gt;7.1631193&lt;/D&gt;&lt;D xsi:type="xsd:double"&gt;-6.4857664&lt;/D&gt;&lt;D xsi:type="xsd:double"&gt;0.16019344&lt;/D&gt;&lt;D xsi:type="xsd:double"&gt;-12.756902&lt;/D&gt;&lt;D xsi:type="xsd:double"&gt;-9.017062&lt;/D&gt;&lt;D xsi:type="xsd:double"&gt;8.928574&lt;/D&gt;&lt;D xsi:type="xsd:double"&gt;2.5409818&lt;/D&gt;&lt;D xsi:type="xsd:double"&gt;-5.8353367&lt;/D&gt;&lt;D xsi:type="xsd:double"&gt;6.254196&lt;/D&gt;&lt;D xsi:type="xsd:double"&gt;-10.024654&lt;/D&gt;&lt;D xsi:type="xsd:double"&gt;2.92238&lt;/D&gt;&lt;D xsi:type="xsd:double"&gt;-2.2182763&lt;/D&gt;&lt;D xsi:type="xsd:double"&gt;1.7241359&lt;/D&gt;&lt;D xsi:type="xsd:double"&gt;-5.129349&lt;/D&gt;&lt;D xsi:type="xsd:double"&gt;14.587855&lt;/D&gt;&lt;D xsi:type="xsd:double"&gt;2.1118045&lt;/D&gt;&lt;D xsi:type="xsd:double"&gt;-4.906726&lt;/D&gt;&lt;D xsi:type="xsd:double"&gt;8.827293&lt;/D&gt;&lt;D xsi:type="xsd:double"&gt;-2.1159887&lt;/D&gt;&lt;D xsi:type="xsd:double"&gt;14.81185&lt;/D&gt;&lt;D xsi:type="xsd:double"&gt;-2.2981644&lt;/D&gt;&lt;D xsi:type="xsd:double"&gt;5.7412744&lt;/D&gt;&lt;D xsi:type="xsd:double"&gt;3.0927777&lt;/D&gt;&lt;D xsi:type="xsd:double"&gt;5.033338&lt;/D&gt;&lt;D xsi:type="xsd:double"&gt;-2.8879702&lt;/D&gt;&lt;D xsi:type="xsd:double"&gt;0.58823824&lt;/D&gt;&lt;D xsi:type="xsd:double"&gt;0.38836002&lt;/D&gt;&lt;D xsi:type="xsd:double"&gt;10.60853&lt;/D&gt;&lt;D xsi:type="xsd:double"&gt;-4.5601726&lt;/D&gt;&lt;D xsi:type="xsd:double"&gt;-2.5585651&lt;/D&gt;&lt;D xsi:type="xsd:double"&gt;8.003796&lt;/D&gt;&lt;D xsi:type="xsd:double"&gt;-7.2934985&lt;/D&gt;&lt;D xsi:type="xsd:double"&gt;-5.415499&lt;/D&gt;&lt;D xsi:type="xsd:double"&gt;-0.2403915&lt;/D&gt;&lt;D xsi:type="xsd:double"&gt;-5.6110144&lt;/D&gt;&lt;D xsi:type="xsd:double"&gt;6.017506&lt;/D&gt;&lt;D xsi:type="xsd:double"&gt;-12.831098&lt;/D&gt;&lt;D xsi:type="xsd:double"&gt;-2.446729&lt;/D&gt;&lt;D xsi:type="xsd:double"&gt;-2.2865415&lt;/D&gt;&lt;D xsi:type="xsd:double"&gt;7.169807&lt;/D&gt;&lt;D xsi:type="xsd:double"&gt;4.0688634&lt;/D&gt;&lt;D xsi:type="xsd:double"&gt;3.5338402&lt;/D&gt;&lt;D xsi:type="xsd:double"&gt;2.9048681&lt;/D&gt;&lt;D xsi:type="xsd:double"&gt;-6.3514414&lt;/D&gt;&lt;D xsi:type="xsd:double"&gt;7.690847&lt;/D&gt;&lt;D xsi:type="xsd:double"&gt;1.5568376&lt;/D&gt;&lt;D xsi:type="xsd:double"&gt;-8.163988&lt;/D&gt;&lt;D xsi:type="xsd:double"&gt;6.948757&lt;/D&gt;&lt;D xsi:type="xsd:double"&gt;2.9401183&lt;/D&gt;&lt;D xsi:type="xsd:double"&gt;2.6798368&lt;/D&gt;&lt;D xsi:type="xsd:double"&gt;2.7018666&lt;/D&gt;&lt;D xsi:type="xsd:double"&gt;-1.0437727&lt;/D&gt;&lt;D xsi:type="xsd:double"&gt;1.1228323&lt;/D&gt;&lt;D xsi:type="xsd:double"&gt;-36.675636&lt;/D&gt;&lt;D xsi:type="xsd:double"&gt;5.419767&lt;/D&gt;&lt;D xsi:type="xsd:double"&gt;5.0403237&lt;/D&gt;&lt;D xsi:type="xsd:double"&gt;19.228697&lt;/D&gt;&lt;D xsi:type="xsd:double"&gt;5.2460313&lt;/D&gt;&lt;D xsi:type="xsd:double"&gt;-1.0046303&lt;/D&gt;&lt;D xsi:type="xsd:double"&gt;-6.049967&lt;/D&gt;&lt;D xsi:type="xsd:double"&gt;3.7390947&lt;/D&gt;&lt;D xsi:type="xsd:double"&gt;12.57509&lt;/D&gt;&lt;D xsi:type="xsd:double"&gt;5.7040453&lt;/D&gt;&lt;D xsi:type="xsd:double"&gt;-0.6107867&lt;/D&gt;&lt;D xsi:type="xsd:double"&gt;3.4141302&lt;/D&gt;&lt;D xsi:type="xsd:double"&gt;2.1129012&lt;/D&gt;&lt;D xsi:type="xsd:double"&gt;4.073715&lt;/D&gt;&lt;D xsi:type="xsd:double"&gt;2.9201746&lt;/D&gt;&lt;D xsi:type="xsd:double"&gt;-0.766629&lt;/D&gt;&lt;D xsi:type="xsd:double"&gt;-1.4778316&lt;/D&gt;&lt;D xsi:type="xsd:double"&gt;2.8125048&lt;/D&gt;&lt;D xsi:type="xsd:double"&gt;-0.4255414&lt;/D&gt;&lt;D xsi:type="xsd:double"&gt;1.8315077&lt;/D&gt;&lt;D xsi:type="xsd:double"&gt;-1.2589991&lt;/D&gt;&lt;D xsi:type="xsd:double"&gt;0.007545948&lt;/D&gt;&lt;D xsi:type="xsd:double"&gt;-0.21551847&lt;/D&gt;&lt;D xsi:type="xsd:double"&gt;-3.702563&lt;/D&gt;&lt;D xsi:type="xsd:double"&gt;-8.683109&lt;/D&gt;&lt;D xsi:type="xsd:double"&gt;-0.5614042&lt;/D&gt;&lt;D xsi:type="xsd:double"&gt;-0.49399734&lt;/D&gt;&lt;D xsi:type="xsd:double"&gt;-10.6731415&lt;/D&gt;&lt;D xsi:type="xsd:double"&gt;-5.4828167&lt;/D&gt;&lt;D xsi:type="xsd:double"&gt;3.6363602&lt;/D&gt;&lt;D xsi:type="xsd:double"&gt;-8.437765&lt;/D&gt;&lt;D xsi:type="xsd:double"&gt;5.018246&lt;/D&gt;&lt;D xsi:type="xsd:double"&gt;19.417894&lt;/D&gt;&lt;D xsi:type="xsd:double"&gt;-0.34249425&lt;/D&gt;&lt;D xsi:type="xsd:double"&gt;9.670246&lt;/D&gt;&lt;D xsi:type="xsd:double"&gt;1.6553998&lt;/D&gt;&lt;D xsi:type="xsd:double"&gt;-2.426052&lt;/D&gt;&lt;D xsi:type="xsd:double"&gt;7.935965&lt;/D&gt;&lt;D xsi:type="xsd:double"&gt;-2.4929047&lt;/D&gt;&lt;D xsi:type="xsd:double"&gt;1.3595581&lt;/D&gt;&lt;D xsi:type="xsd:double"&gt;7.8181148&lt;/D&gt;&lt;D xsi:type="xsd:double"&gt;-4.1868925&lt;/D&gt;&lt;D xsi:type="xsd:double"&gt;-1.773274&lt;/D&gt;&lt;D xsi:type="xsd:double"&gt;-4.12637&lt;/D&gt;&lt;D xsi:type="xsd:double"&gt;8.910561&lt;/D&gt;&lt;D xsi:type="xsd:double"&gt;5.513406&lt;/D&gt;&lt;D xsi:type="xsd:double"&gt;-2.0444393&lt;/D&gt;&lt;D xsi:type="xsd:double"&gt;8.045971&lt;/D&gt;&lt;D xsi:type="xsd:double"&gt;4.6752453&lt;/D&gt;&lt;D xsi:type="xsd:double"&gt;0.5883932&lt;/D&gt;&lt;D xsi:type="xsd:double"&gt;1.7548561&lt;/D&gt;&lt;D xsi:type="xsd:double"&gt;-3.5751343&lt;/D&gt;&lt;D xsi:type="xsd:double"&gt;4.9708486&lt;/D&gt;&lt;D xsi:type="xsd:double"&gt;1.6931176&lt;/D&gt;&lt;D xsi:type="xsd:double"&gt;-0.012999773&lt;/D&gt;&lt;/FQL&gt;&lt;FQL&gt;&lt;Q&gt;EWN^FMA_DIV_YLD(NTMA,-10AY,0,AM,"PORTAGG","MEANR")&lt;/Q&gt;&lt;R&gt;121&lt;/R&gt;&lt;C&gt;1&lt;/C&gt;&lt;D xsi:type="xsd:double"&gt;3.03064260512301&lt;/D&gt;&lt;D xsi:type="xsd:double"&gt;3.21444238893607&lt;/D&gt;&lt;D xsi:type="xsd:double"&gt;3.05939955908107&lt;/D&gt;&lt;D xsi:type="xsd:double"&gt;3.05082869424285&lt;/D&gt;&lt;D xsi:type="xsd:double"&gt;2.90178912302296&lt;/D&gt;&lt;D xsi:type="xsd:double"&gt;2.75459194353055&lt;/D&gt;&lt;D xsi:type="xsd:double"&gt;2.63459266791054&lt;/D&gt;&lt;D xsi:type="xsd:double"&gt;2.64563939652164&lt;/D&gt;&lt;D xsi:type="xsd:double"&gt;2.76650990742489&lt;/D&gt;&lt;D xsi:type="xsd:double"&gt;2.82642158448111&lt;/D&gt;&lt;D xsi:type="xsd:double"&gt;2.82981857161712&lt;/D&gt;&lt;D xsi:type="xsd:double"&gt;3.42600704101446&lt;/D&gt;&lt;D xsi:type="xsd:double"&gt;3.59272084469334&lt;/D&gt;&lt;D xsi:type="xsd:double"&gt;3.25510281560338&lt;/D&gt;&lt;D xsi:type="xsd:double"&gt;3.15447633753472&lt;/D&gt;&lt;D xsi:type="xsd:double"&gt;3.27785945482685&lt;/D&gt;&lt;D xsi:type="xsd:double"&gt;3.29594108300933&lt;/D&gt;&lt;D xsi:type="xsd:double"&gt;3.45111097559944&lt;/D&gt;&lt;D xsi:type="xsd:double"&gt;3.2770275041469&lt;/D&gt;&lt;D xsi:type="xsd:double"&gt;3.27059212363242&lt;/D&gt;&lt;D xsi:type="xsd:double"&gt;3.40510125761494&lt;/D&gt;&lt;D xsi:type="xsd:double"&gt;3.20335712860972&lt;/D&gt;&lt;D xsi:type="xsd:double"&gt;3.20074322554703&lt;/D&gt;&lt;D xsi:type="xsd:double"&gt;3.14299746259573&lt;/D&gt;&lt;D xsi:type="xsd:double"&gt;3.12545795291836&lt;/D&gt;&lt;D xsi:type="xsd:double"&gt;3.09048665623354&lt;/D&gt;&lt;D xsi:type="xsd:double"&gt;3.12191844159859&lt;/D&gt;&lt;D xsi:type="xsd:double"&gt;2.95868088927089&lt;/D&gt;&lt;D xsi:type="xsd:double"&gt;2.97674578450252&lt;/D&gt;&lt;D xsi:type="xsd:double"&gt;2.85434042466366&lt;/D&gt;&lt;D xsi:type="xsd:double"&gt;2.78029139041232&lt;/D&gt;&lt;D xsi:type="xsd:double"&gt;2.77553333889155&lt;/D&gt;&lt;D xsi:type="xsd:double"&gt;2.7278682933815&lt;/D&gt;&lt;D xsi:type="xsd:double"&gt;2.75392490219173&lt;/D&gt;&lt;D xsi:type="xsd:double"&gt;2.76895855549758&lt;/D&gt;&lt;D xsi:type="xsd:double"&gt;2.81551691509677&lt;/D&gt;&lt;D xsi:type="xsd:double"&gt;2.82969466102103&lt;/D&gt;&lt;D xsi:type="xsd:double"&gt;2.76429367163439&lt;/D&gt;&lt;D xsi:type="xsd:double"&gt;2.82080712264631&lt;/D&gt;&lt;D xsi:type="xsd:double"&gt;2.83203370168834&lt;/D&gt;&lt;D xsi:type="xsd:double"&gt;2.75657699523619&lt;/D&gt;&lt;D xsi:type="xsd:double"&gt;2.92978010597425&lt;/D&gt;&lt;D xsi:type="xsd:double"&gt;3.02328862798322&lt;/D&gt;&lt;D xsi:type="xsd:double"&gt;2.94555657316598&lt;/D&gt;&lt;D xsi:type="xsd:double"&gt;2.88927811728875&lt;/D&gt;&lt;D xsi:type="xsd:double"&gt;2.87977609085712&lt;/D&gt;&lt;D xsi:type="xsd:double"&gt;2.88303962836887&lt;/D&gt;&lt;D xsi:type="xsd:double"&gt;2.91484214291987&lt;/D&gt;&lt;D xsi:type="xsd:double"&gt;2.98420730710646&lt;/D&gt;&lt;D xsi:type="xsd:double"&gt;3.24868668727822&lt;/D&gt;&lt;D xsi:type="xsd:double"&gt;3.25517934225331&lt;/D&gt;&lt;D xsi:type="xsd:double"&gt;3.50698316385185&lt;/D&gt;&lt;D xsi:type="xsd:double"&gt;3.33924526630744&lt;/D&gt;&lt;D xsi:type="xsd:double"&gt;3.12722442935092&lt;/D&gt;&lt;D xsi:type="xsd:double"&gt;3.09853798775312&lt;/D&gt;&lt;D xsi:type="xsd:double"&gt;2.96287874443161&lt;/D&gt;&lt;D xsi:type="xsd:double"&gt;3.11548592246546&lt;/D&gt;&lt;D xsi:type="xsd:double"&gt;3.02670733126615&lt;/D&gt;&lt;D xsi:type="xsd:double"&gt;2.88826706368585&lt;/D&gt;&lt;D xsi:type="xsd:double"&gt;3.04810812863508&lt;/D&gt;&lt;D xsi:type="xsd:double"&gt;2.75482247937371&lt;/D&gt;&lt;D xsi:type="xsd:double"&gt;2.76080577741067&lt;/D&gt;&lt;D xsi:type="xsd:double"&gt;2.66946154621869&lt;/D&gt;&lt;D xsi:type="xsd:double"&gt;2.57627720305521&lt;/D&gt;&lt;D xsi:type="xsd:double"&gt;2.62242418626055&lt;/D&gt;&lt;D xsi:type="xsd:double"&gt;2.51684988018254&lt;/D&gt;&lt;D xsi:type="xsd:double"&gt;3.6850413317776&lt;/D&gt;&lt;D xsi:type="xsd:double"&gt;2.79280943531262&lt;/D&gt;&lt;D xsi:type="xsd:double"&gt;2.54620648558731&lt;/D&gt;&lt;D xsi:type="xsd:double"&gt;2.33979016032063&lt;/D&gt;&lt;D xsi:type="xsd:double"&gt;2.28018577477526&lt;/D&gt;&lt;D xsi:type="xsd:double"&gt;2.34839326217364&lt;/D&gt;&lt;D xsi:type="xsd:double"&gt;2.3636905512726&lt;/D&gt;&lt;D xsi:type="xsd:double"&gt;2.31675901391294&lt;/D&gt;&lt;D xsi:type="xsd:double"&gt;2.18258921078309&lt;/D&gt;&lt;D xsi:type="xsd:double"&gt;2.02919850691743&lt;/D&gt;&lt;D xsi:type="xsd:double"&gt;1.94953261173588&lt;/D&gt;&lt;D xsi:type="xsd:double"&gt;1.95369369318355&lt;/D&gt;&lt;D xsi:type="xsd:double"&gt;2.01296948601639&lt;/D&gt;&lt;D xsi:type="xsd:double"&gt;1.91141026216499&lt;/D&gt;&lt;D xsi:type="xsd:double"&gt;1.99333411950795&lt;/D&gt;&lt;D xsi:type="xsd:double"&gt;2.0115626447897&lt;/D&gt;&lt;D xsi:type="xsd:double"&gt;1.95053899787451&lt;/D&gt;&lt;D xsi:type="xsd:double"&gt;1.84972190276081&lt;/D&gt;&lt;D xsi:type="xsd:double"&gt;1.85153145992234&lt;/D&gt;&lt;D xsi:type="xsd:double"&gt;1.89998334303744&lt;/D&gt;&lt;D xsi:type="xsd:double"&gt;1.90621641272828&lt;/D&gt;&lt;D xsi:type="xsd:double"&gt;1.94498694828229&lt;/D&gt;&lt;D xsi:type="xsd:double"&gt;2.13331775444294&lt;/D&gt;&lt;D xsi:type="xsd:double"&gt;2.34365884565205&lt;/D&gt;&lt;D xsi:type="xsd:double"&gt;2.2632242168126&lt;/D&gt;&lt;D xsi:type="xsd:double"&gt;2.32800762560956&lt;/D&gt;&lt;D xsi:type="xsd:double"&gt;2.55769698350085&lt;/D&gt;&lt;D xsi:type="xsd:double"&gt;3.55644027239324&lt;/D&gt;&lt;D xsi:type="xsd:double"&gt;3.14390091365485&lt;/D&gt;&lt;D xsi:type="xsd:double"&gt;3.63816436686848&lt;/D&gt;&lt;D xsi:type="xsd:double"&gt;3.08182427319381&lt;/D&gt;&lt;D xsi:type="xsd:double"&gt;3.01010465407045&lt;/D&gt;&lt;D xsi:type="xsd:double"&gt;2.65564993169757&lt;/D&gt;&lt;D xsi:type="xsd:double"&gt;2.7791725748076&lt;/D&gt;&lt;D xsi:type="xsd:double"&gt;2.55163405592462&lt;/D&gt;&lt;D xsi:type="xsd:double"&gt;2.61094211107563&lt;/D&gt;&lt;D xsi:type="xsd:double"&gt;2.68274899532265&lt;/D&gt;&lt;D xsi:type="xsd:double"&gt;2.66049268490079&lt;/D&gt;&lt;D xsi:type="xsd:double"&gt;2.65888765731757&lt;/D&gt;&lt;D xsi:type="xsd:double"&gt;2.73778127894768&lt;/D&gt;&lt;D xsi:type="xsd:double"&gt;2.69725691110691&lt;/D&gt;&lt;D xsi:type="xsd:double"&gt;2.87302900771666&lt;/D&gt;&lt;D xsi:type="xsd:double"&gt;3.03070368690447&lt;/D&gt;&lt;D xsi:type="xsd:double"&gt;3.13425946678423&lt;/D&gt;&lt;D xsi:type="xsd:double"&gt;2.80695251406521&lt;/D&gt;&lt;D xsi:type="xsd:double"&gt;2.69179910483806&lt;/D&gt;&lt;D xsi:type="xsd:double"&gt;2.69161109974222&lt;/D&gt;&lt;D xsi:type="xsd:double"&gt;2.48317771550396&lt;/D&gt;&lt;D xsi:type="xsd:double"&gt;2.54153055226317&lt;/D&gt;&lt;D xsi:type="xsd:double"&gt;2.57163537748194&lt;/D&gt;&lt;D xsi:type="xsd:double"&gt;2.4751003203801&lt;/D&gt;&lt;D xsi:type="xsd:double"&gt;2.48057689763217&lt;/D&gt;&lt;D xsi:type="xsd:double"&gt;2.52753638922282&lt;/D&gt;&lt;D xsi:type="xsd:double"&gt;2.60310012696768&lt;/D&gt;&lt;D xsi:type="xsd:double"&gt;2.63415684591703&lt;/D&gt;&lt;/FQL&gt;&lt;FQL&gt;&lt;Q&gt;SPY^FMA_PE(NTMA,-10AY,0,AM,"PORTAGG","MEANR")&lt;/Q&gt;&lt;R&gt;121&lt;/R&gt;&lt;C&gt;1&lt;/C&gt;&lt;D xsi:type="xsd:double"&gt;15.1102454945552&lt;/D&gt;&lt;D xsi:type="xsd:double"&gt;14.9543373661784&lt;/D&gt;&lt;D xsi:type="xsd:double"&gt;15.8157826492897&lt;/D&gt;&lt;D xsi:type="xsd:double"&gt;16.1605830760414&lt;/D&gt;&lt;D xsi:type="xsd:double"&gt;16.3925604924427&lt;/D&gt;&lt;D xsi:type="xsd:double"&gt;16.9373546737866&lt;/D&gt;&lt;D xsi:type="xsd:double"&gt;16.8351753623844&lt;/D&gt;&lt;D xsi:type="xsd:double"&gt;16.8557551620261&lt;/D&gt;&lt;D xsi:type="xsd:double"&gt;16.7256915999721&lt;/D&gt;&lt;D xsi:type="xsd:double"&gt;16.5829065415121&lt;/D&gt;&lt;D xsi:type="xsd:double"&gt;16.4224304563175&lt;/D&gt;&lt;D xsi:type="xsd:double"&gt;15.3550638974136&lt;/D&gt;&lt;D xsi:type="xsd:double"&gt;15.0850640942395&lt;/D&gt;&lt;D xsi:type="xsd:double"&gt;16.2623949764157&lt;/D&gt;&lt;D xsi:type="xsd:double"&gt;16.3309023849653&lt;/D&gt;&lt;D xsi:type="xsd:double"&gt;16.1433606034778&lt;/D&gt;&lt;D xsi:type="xsd:double"&gt;15.1489961135767&lt;/D&gt;&lt;D xsi:type="xsd:double"&gt;15.5099438140132&lt;/D&gt;&lt;D xsi:type="xsd:double"&gt;15.5167363536305&lt;/D&gt;&lt;D xsi:type="xsd:double"&gt;16.5004635460184&lt;/D&gt;&lt;D xsi:type="xsd:double"&gt;16.5226770167304&lt;/D&gt;&lt;D xsi:type="xsd:double"&gt;16.6283021612132&lt;/D&gt;&lt;D xsi:type="xsd:double"&gt;17.0118613693881&lt;/D&gt;&lt;D xsi:type="xsd:double"&gt;16.9406168333375&lt;/D&gt;&lt;D xsi:type="xsd:double"&gt;16.6577706949809&lt;/D&gt;&lt;D xsi:type="xsd:double"&gt;16.3417711479852&lt;/D&gt;&lt;D xsi:type="xsd:double"&gt;16.7695129497699&lt;/D&gt;&lt;D xsi:type="xsd:double"&gt;17.0350040670959&lt;/D&gt;&lt;D xsi:type="xsd:double"&gt;16.8686409864465&lt;/D&gt;&lt;D xsi:type="xsd:double"&gt;17.6587418780946&lt;/D&gt;&lt;D xsi:type="xsd:double"&gt;17.440362017355&lt;/D&gt;&lt;D xsi:type="xsd:double"&gt;17.2710355638307&lt;/D&gt;&lt;D xsi:type="xsd:double"&gt;17.4154491817318&lt;/D&gt;&lt;D xsi:type="xsd:double"&gt;17.5522818984846&lt;/D&gt;&lt;D xsi:type="xsd:double"&gt;17.750108667157&lt;/D&gt;&lt;D xsi:type="xsd:double"&gt;17.3481531068115&lt;/D&gt;&lt;D xsi:type="xsd:double"&gt;17.6588490732781&lt;/D&gt;&lt;D xsi:type="xsd:double"&gt;17.9615542385469&lt;/D&gt;&lt;D xsi:type="xsd:double"&gt;17.9473147040421&lt;/D&gt;&lt;D xsi:type="xsd:double"&gt;18.267600534229&lt;/D&gt;&lt;D xsi:type="xsd:double"&gt;18.3882937364432&lt;/D&gt;&lt;D xsi:type="xsd:double"&gt;17.1177869393206&lt;/D&gt;&lt;D xsi:type="xsd:double"&gt;16.0338068409553&lt;/D&gt;&lt;D xsi:type="xsd:double"&gt;16.3596107746632&lt;/D&gt;&lt;D xsi:type="xsd:double"&gt;16.3683837238061&lt;/D&gt;&lt;D xsi:type="xsd:double"&gt;16.3724754157741&lt;/D&gt;&lt;D xsi:type="xsd:double"&gt;16.4938187290874&lt;/D&gt;&lt;D xsi:type="xsd:double"&gt;16.588405058014&lt;/D&gt;&lt;D xsi:type="xsd:double"&gt;16.8753622361642&lt;/D&gt;&lt;D xsi:type="xsd:double"&gt;15.6703132674008&lt;/D&gt;&lt;D xsi:type="xsd:double"&gt;15.0387464293608&lt;/D&gt;&lt;D xsi:type="xsd:double"&gt;13.891829899582&lt;/D&gt;&lt;D xsi:type="xsd:double"&gt;15.3246809588253&lt;/D&gt;&lt;D xsi:type="xsd:double"&gt;16.2737755849555&lt;/D&gt;&lt;D xsi:type="xsd:double"&gt;16.2583397537296&lt;/D&gt;&lt;D xsi:type="xsd:double"&gt;16.8814353940121&lt;/D&gt;&lt;D xsi:type="xsd:double"&gt;16.1153049085938&lt;/D&gt;&lt;D xsi:type="xsd:double"&gt;16.8216752811282&lt;/D&gt;&lt;D xsi:type="xsd:double"&gt;17.097815084718&lt;/D&gt;&lt;D xsi:type="xsd:double"&gt;16.1416244430324&lt;/D&gt;&lt;D xsi:type="xsd:double"&gt;16.8975145749832&lt;/D&gt;&lt;D xsi:type="xsd:double"&gt;16.9952683310006&lt;/D&gt;&lt;D xsi:type="xsd:double"&gt;17.5627522333421&lt;/D&gt;&lt;D xsi:type="xsd:double"&gt;18.1561569421288&lt;/D&gt;&lt;D xsi:type="xsd:double"&gt;18.6214358029808&lt;/D&gt;&lt;D xsi:type="xsd:double"&gt;18.709780723144&lt;/D&gt;&lt;D xsi:type="xsd:double"&gt;13.1232922582781&lt;/D&gt;&lt;D xsi:type="xsd:double"&gt;19.1620866326586&lt;/D&gt;&lt;D xsi:type="xsd:double"&gt;21.0752587667112&lt;/D&gt;&lt;D xsi:type="xsd:double"&gt;21.9972666430518&lt;/D&gt;&lt;D xsi:type="xsd:double"&gt;22.1694412660145&lt;/D&gt;&lt;D xsi:type="xsd:double"&gt;22.3438545739334&lt;/D&gt;&lt;D xsi:type="xsd:double"&gt;20.8114708035836&lt;/D&gt;&lt;D xsi:type="xsd:double"&gt;21.6950110832594&lt;/D&gt;&lt;D xsi:type="xsd:double"&gt;21.6222625645037&lt;/D&gt;&lt;D xsi:type="xsd:double"&gt;22.1648166337612&lt;/D&gt;&lt;D xsi:type="xsd:double"&gt;22.403997009175&lt;/D&gt;&lt;D xsi:type="xsd:double"&gt;21.8371669197296&lt;/D&gt;&lt;D xsi:type="xsd:double"&gt;21.664850798978&lt;/D&gt;&lt;D xsi:type="xsd:double"&gt;22.2521811295769&lt;/D&gt;&lt;D xsi:type="xsd:double"&gt;21.1118927293063&lt;/D&gt;&lt;D xsi:type="xsd:double"&gt;21.1738284130326&lt;/D&gt;&lt;D xsi:type="xsd:double"&gt;21.4192348683982&lt;/D&gt;&lt;D xsi:type="xsd:double"&gt;21.0741872715874&lt;/D&gt;&lt;D xsi:type="xsd:double"&gt;20.7966375067888&lt;/D&gt;&lt;D xsi:type="xsd:double"&gt;20.948057382516&lt;/D&gt;&lt;D xsi:type="xsd:double"&gt;21.2858633356091&lt;/D&gt;&lt;D xsi:type="xsd:double"&gt;21.232981036742&lt;/D&gt;&lt;D xsi:type="xsd:double"&gt;19.5573681424712&lt;/D&gt;&lt;D xsi:type="xsd:double"&gt;18.480205164686&lt;/D&gt;&lt;D xsi:type="xsd:double"&gt;19.2031202970033&lt;/D&gt;&lt;D xsi:type="xsd:double"&gt;18.0618665750641&lt;/D&gt;&lt;D xsi:type="xsd:double"&gt;16.7233266896129&lt;/D&gt;&lt;D xsi:type="xsd:double"&gt;15.8405995014184&lt;/D&gt;&lt;D xsi:type="xsd:double"&gt;16.5949260742492&lt;/D&gt;&lt;D xsi:type="xsd:double"&gt;17.3982108084075&lt;/D&gt;&lt;D xsi:type="xsd:double"&gt;15.5779245651359&lt;/D&gt;&lt;D xsi:type="xsd:double"&gt;15.980084225866&lt;/D&gt;&lt;D xsi:type="xsd:double"&gt;17.4281494992475&lt;/D&gt;&lt;D xsi:type="xsd:double"&gt;16.6703125608308&lt;/D&gt;&lt;D xsi:type="xsd:double"&gt;17.5793711998232&lt;/D&gt;&lt;D xsi:type="xsd:double"&gt;17.6894834933193&lt;/D&gt;&lt;D xsi:type="xsd:double"&gt;17.3228625337399&lt;/D&gt;&lt;D xsi:type="xsd:double"&gt;18.15895910033&lt;/D&gt;&lt;D xsi:type="xsd:double"&gt;17.9775792153538&lt;/D&gt;&lt;D xsi:type="xsd:double"&gt;18.6971427959406&lt;/D&gt;&lt;D xsi:type="xsd:double"&gt;19.4898928194312&lt;/D&gt;&lt;D xsi:type="xsd:double"&gt;18.6904153892341&lt;/D&gt;&lt;D xsi:type="xsd:double"&gt;17.9979450661774&lt;/D&gt;&lt;D xsi:type="xsd:double"&gt;17.4848828769873&lt;/D&gt;&lt;D xsi:type="xsd:double"&gt;18.7364803591476&lt;/D&gt;&lt;D xsi:type="xsd:double"&gt;19.4912064078188&lt;/D&gt;&lt;D xsi:type="xsd:double"&gt;19.8540270929457&lt;/D&gt;&lt;D xsi:type="xsd:double"&gt;20.5099174573389&lt;/D&gt;&lt;D xsi:type="xsd:double"&gt;20.9200529059124&lt;/D&gt;&lt;D xsi:type="xsd:double"&gt;20.0830408121868&lt;/D&gt;&lt;D xsi:type="xsd:double"&gt;20.499433416898&lt;/D&gt;&lt;D xsi:type="xsd:double"&gt;21.0262670374946&lt;/D&gt;&lt;D xsi:type="xsd:double"&gt;21.2143557626519&lt;/D&gt;&lt;D xsi:type="xsd:double"&gt;21.2839215887883&lt;/D&gt;&lt;D xsi:type="xsd:double"&gt;21.394503014714&lt;/D&gt;&lt;/FQL&gt;&lt;FQL&gt;&lt;Q&gt;EWU^FMA_PE(LTMA,-10AY,0,AM,"PORTAGG","MEANR")&lt;/Q&gt;&lt;R&gt;121&lt;/R&gt;&lt;C&gt;1&lt;/C&gt;&lt;D xsi:type="xsd:double"&gt;14.0248103797914&lt;/D&gt;&lt;D xsi:type="xsd:double"&gt;13.5788345415182&lt;/D&gt;&lt;D xsi:type="xsd:double"&gt;14.0621161887228&lt;/D&gt;&lt;D xsi:type="xsd:double"&gt;13.8316289028884&lt;/D&gt;&lt;D xsi:type="xsd:double"&gt;14.2478176526474&lt;/D&gt;&lt;D xsi:type="xsd:double"&gt;15.1061339635744&lt;/D&gt;&lt;D xsi:type="xsd:double"&gt;15.3180117096964&lt;/D&gt;&lt;D xsi:type="xsd:double"&gt;15.6007969244831&lt;/D&gt;&lt;D xsi:type="xsd:double"&gt;15.7913333867444&lt;/D&gt;&lt;D xsi:type="xsd:double"&gt;15.7760547331156&lt;/D&gt;&lt;D xsi:type="xsd:double"&gt;15.6444089309457&lt;/D&gt;&lt;D xsi:type="xsd:double"&gt;15.0825483082746&lt;/D&gt;&lt;D xsi:type="xsd:double"&gt;14.8755441934958&lt;/D&gt;&lt;D xsi:type="xsd:double"&gt;15.8898580663455&lt;/D&gt;&lt;D xsi:type="xsd:double"&gt;15.8345675471657&lt;/D&gt;&lt;D xsi:type="xsd:double"&gt;15.6956381751163&lt;/D&gt;&lt;D xsi:type="xsd:double"&gt;14.8609796449499&lt;/D&gt;&lt;D xsi:type="xsd:double"&gt;15.2275758978485&lt;/D&gt;&lt;D xsi:type="xsd:double"&gt;15.7103296108362&lt;/D&gt;&lt;D xsi:type="xsd:double"&gt;15.9936211326135&lt;/D&gt;&lt;D xsi:type="xsd:double"&gt;15.8705676416749&lt;/D&gt;&lt;D xsi:type="xsd:double"&gt;16.3271186329662&lt;/D&gt;&lt;D xsi:type="xsd:double"&gt;16.5257714794741&lt;/D&gt;&lt;D xsi:type="xsd:double"&gt;16.9947491415993&lt;/D&gt;&lt;D xsi:type="xsd:double"&gt;17.028883251156&lt;/D&gt;&lt;D xsi:type="xsd:double"&gt;16.8933811123995&lt;/D&gt;&lt;D xsi:type="xsd:double"&gt;16.4393713672833&lt;/D&gt;&lt;D xsi:type="xsd:double"&gt;16.9863977375723&lt;/D&gt;&lt;D xsi:type="xsd:double"&gt;17.0362583377692&lt;/D&gt;&lt;D xsi:type="xsd:double"&gt;17.4221284338095&lt;/D&gt;&lt;D xsi:type="xsd:double"&gt;17.1963804568373&lt;/D&gt;&lt;D xsi:type="xsd:double"&gt;16.8648592560914&lt;/D&gt;&lt;D xsi:type="xsd:double"&gt;16.8322028770855&lt;/D&gt;&lt;D xsi:type="xsd:double"&gt;16.4954061006383&lt;/D&gt;&lt;D xsi:type="xsd:double"&gt;16.5060556827643&lt;/D&gt;&lt;D xsi:type="xsd:double"&gt;16.0810254212958&lt;/D&gt;&lt;D xsi:type="xsd:double"&gt;15.8716690641046&lt;/D&gt;&lt;D xsi:type="xsd:double"&gt;15.7163757667209&lt;/D&gt;&lt;D xsi:type="xsd:double"&gt;15.2915012648883&lt;/D&gt;&lt;D xsi:type="xsd:double"&gt;15.3534206057366&lt;/D&gt;&lt;D xsi:type="xsd:double"&gt;15.7028460509124&lt;/D&gt;&lt;D xsi:type="xsd:double"&gt;14.5008539281828&lt;/D&gt;&lt;D xsi:type="xsd:double"&gt;13.8570120339281&lt;/D&gt;&lt;D xsi:type="xsd:double"&gt;14.0135607372886&lt;/D&gt;&lt;D xsi:type="xsd:double"&gt;14.0816285439416&lt;/D&gt;&lt;D xsi:type="xsd:double"&gt;13.9363294696152&lt;/D&gt;&lt;D xsi:type="xsd:double"&gt;13.7808304634317&lt;/D&gt;&lt;D xsi:type="xsd:double"&gt;13.6264550184932&lt;/D&gt;&lt;D xsi:type="xsd:double"&gt;13.6282517354131&lt;/D&gt;&lt;D xsi:type="xsd:double"&gt;12.7538917281484&lt;/D&gt;&lt;D xsi:type="xsd:double"&gt;12.5507386876623&lt;/D&gt;&lt;D xsi:type="xsd:double"&gt;11.9906287576816&lt;/D&gt;&lt;D xsi:type="xsd:double"&gt;12.3281632077543&lt;/D&gt;&lt;D xsi:type="xsd:double"&gt;13.0409571944735&lt;/D&gt;&lt;D xsi:type="xsd:double"&gt;12.9439215986678&lt;/D&gt;&lt;D xsi:type="xsd:double"&gt;13.0526200859991&lt;/D&gt;&lt;D xsi:type="xsd:double"&gt;12.8193819601618&lt;/D&gt;&lt;D xsi:type="xsd:double"&gt;13.0156240262751&lt;/D&gt;&lt;D xsi:type="xsd:double"&gt;13.1677850790363&lt;/D&gt;&lt;D xsi:type="xsd:double"&gt;12.7052847391674&lt;/D&gt;&lt;D xsi:type="xsd:double"&gt;13.0676347531173&lt;/D&gt;&lt;D xsi:type="xsd:double"&gt;13.236556122395&lt;/D&gt;&lt;D xsi:type="xsd:double"&gt;13.409334881193&lt;/D&gt;&lt;D xsi:type="xsd:double"&gt;14.0970807455846&lt;/D&gt;&lt;D xsi:type="xsd:double"&gt;14.0932829268633&lt;/D&gt;&lt;D xsi:type="xsd:double"&gt;13.9408069021334&lt;/D&gt;&lt;D xsi:type="xsd:double"&gt;11.8313712702058&lt;/D&gt;&lt;D xsi:type="xsd:double"&gt;13.2209488105513&lt;/D&gt;&lt;D xsi:type="xsd:double"&gt;14.2780079278409&lt;/D&gt;&lt;D xsi:type="xsd:double"&gt;15.2836072507654&lt;/D&gt;&lt;D xsi:type="xsd:double"&gt;15.7369505079916&lt;/D&gt;&lt;D xsi:type="xsd:double"&gt;16.2230228503752&lt;/D&gt;&lt;D xsi:type="xsd:double"&gt;16.6831783259242&lt;/D&gt;&lt;D xsi:type="xsd:double"&gt;16.9289645159316&lt;/D&gt;&lt;D xsi:type="xsd:double"&gt;18.4987056862221&lt;/D&gt;&lt;D xsi:type="xsd:double"&gt;19.5431386978057&lt;/D&gt;&lt;D xsi:type="xsd:double"&gt;19.9730042395424&lt;/D&gt;&lt;D xsi:type="xsd:double"&gt;19.4305958346627&lt;/D&gt;&lt;D xsi:type="xsd:double"&gt;18.407261667442&lt;/D&gt;&lt;D xsi:type="xsd:double"&gt;17.8480050785287&lt;/D&gt;&lt;D xsi:type="xsd:double"&gt;17.3030532140318&lt;/D&gt;&lt;D xsi:type="xsd:double"&gt;16.6429050675574&lt;/D&gt;&lt;D xsi:type="xsd:double"&gt;15.7112209337771&lt;/D&gt;&lt;D xsi:type="xsd:double"&gt;14.8713738284773&lt;/D&gt;&lt;D xsi:type="xsd:double"&gt;14.1596590252673&lt;/D&gt;&lt;D xsi:type="xsd:double"&gt;13.739308583223&lt;/D&gt;&lt;D xsi:type="xsd:double"&gt;12.9577888264269&lt;/D&gt;&lt;D xsi:type="xsd:double"&gt;12.4615104960179&lt;/D&gt;&lt;D xsi:type="xsd:double"&gt;12.5968884907473&lt;/D&gt;&lt;D xsi:type="xsd:double"&gt;12.6197566025418&lt;/D&gt;&lt;D xsi:type="xsd:double"&gt;12.4231530078594&lt;/D&gt;&lt;D xsi:type="xsd:double"&gt;12.125756094797&lt;/D&gt;&lt;D xsi:type="xsd:double"&gt;11.7788872283616&lt;/D&gt;&lt;D xsi:type="xsd:double"&gt;11.1848070692011&lt;/D&gt;&lt;D xsi:type="xsd:double"&gt;11.0084948384569&lt;/D&gt;&lt;D xsi:type="xsd:double"&gt;10.6441055522878&lt;/D&gt;&lt;D xsi:type="xsd:double"&gt;9.58142782133697&lt;/D&gt;&lt;D xsi:type="xsd:double"&gt;9.39822438796226&lt;/D&gt;&lt;D xsi:type="xsd:double"&gt;9.86899722541243&lt;/D&gt;&lt;D xsi:type="xsd:double"&gt;9.64044277324606&lt;/D&gt;&lt;D xsi:type="xsd:double"&gt;10.2362529140435&lt;/D&gt;&lt;D xsi:type="xsd:double"&gt;10.2375430764246&lt;/D&gt;&lt;D xsi:type="xsd:double"&gt;10.1873841019866&lt;/D&gt;&lt;D xsi:type="xsd:double"&gt;10.4194322944676&lt;/D&gt;&lt;D xsi:type="xsd:double"&gt;10.3601864976284&lt;/D&gt;&lt;D xsi:type="xsd:double"&gt;10.2628287625138&lt;/D&gt;&lt;D xsi:type="xsd:double"&gt;10.5762578947533&lt;/D&gt;&lt;D xsi:type="xsd:double"&gt;10.3554399692146&lt;/D&gt;&lt;D xsi:type="xsd:double"&gt;10.6803931514311&lt;/D&gt;&lt;D xsi:type="xsd:double"&gt;10.3524069664023&lt;/D&gt;&lt;D xsi:type="xsd:double"&gt;10.6800128584762&lt;/D&gt;&lt;D xsi:type="xsd:double"&gt;11.2210934870299&lt;/D&gt;&lt;D xsi:type="xsd:double"&gt;11.019470407907&lt;/D&gt;&lt;D xsi:type="xsd:double"&gt;11.5542526704476&lt;/D&gt;&lt;D xsi:type="xsd:double"&gt;11.5199141221403&lt;/D&gt;&lt;D xsi:type="xsd:double"&gt;11.5601944886959&lt;/D&gt;&lt;D xsi:type="xsd:double"&gt;11.7471569041684&lt;/D&gt;&lt;D xsi:type="xsd:double"&gt;11.6729737634459&lt;/D&gt;&lt;D xsi:type="xsd:double"&gt;11.8088737390767&lt;/D&gt;&lt;D xsi:type="xsd:double"&gt;12.0904847084419&lt;/D&gt;&lt;D xsi:type="xsd:double"&gt;12.0841971608709&lt;/D&gt;&lt;/FQL&gt;&lt;FQL&gt;&lt;Q&gt;WL-FDS^MAX(FG_PRICE(0,-5AY))&lt;/Q&gt;&lt;R&gt;1&lt;/R&gt;&lt;C&gt;1&lt;/C&gt;&lt;D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xsi:type="xsd:double"&gt;134.09592&lt;/D&gt;&lt;/FQL&gt;&lt;FQL&gt;&lt;Q&gt;FC0000CA^FG_PRICE(0)&lt;/Q&gt;&lt;R&gt;1&lt;/R&gt;&lt;C&gt;1&lt;/C&gt;&lt;D xsi:type="xsd:double"&gt;314.4985&lt;/D&gt;&lt;/FQL&gt;&lt;FQL&gt;&lt;Q&gt;EWD^FG_PRICE_MAVG(0,,,,200)&lt;/Q&gt;&lt;R&gt;1&lt;/R&gt;&lt;C&gt;1&lt;/C&gt;&lt;D xsi:type="xsd:double"&gt;39.754974&lt;/D&gt;&lt;/FQL&gt;&lt;FQL&gt;&lt;Q&gt;QQQ^FG_PRICE_MAVG(0,,,,200)&lt;/Q&gt;&lt;R&gt;1&lt;/R&gt;&lt;C&gt;1&lt;/C&gt;&lt;D xsi:type="xsd:double"&gt;445.9665&lt;/D&gt;&lt;/FQL&gt;&lt;FQL&gt;&lt;Q&gt;EWG^FG_PRICE_MAVG(0,,,,200)&lt;/Q&gt;&lt;R&gt;1&lt;/R&gt;&lt;C&gt;1&lt;/C&gt;&lt;D xsi:type="xsd:double"&gt;30.75805&lt;/D&gt;&lt;/FQL&gt;&lt;FQL&gt;&lt;Q&gt;EWI^FG_COMPANY_NAME&lt;/Q&gt;&lt;R&gt;1&lt;/R&gt;&lt;C&gt;1&lt;/C&gt;&lt;D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xsi:type="xsd:double"&gt;0.9393836&lt;/D&gt;&lt;/FQL&gt;&lt;FQL&gt;&lt;Q&gt;EWJ^FG_TOTAL_RETURNC(0,-12AM)&lt;/Q&gt;&lt;R&gt;1&lt;/R&gt;&lt;C&gt;1&lt;/C&gt;&lt;D xsi:type="xsd:double"&gt;18.517458&lt;/D&gt;&lt;/FQL&gt;&lt;FQL&gt;&lt;Q&gt;URTH^PERCENT_CHANGE(FMA_EPS(+1,0,,,,"PORTAGG","MEAN"),FMA_EPS(+1,-1AM,,,,"PORTAGG","MEAN"))&lt;/Q&gt;&lt;R&gt;1&lt;/R&gt;&lt;C&gt;1&lt;/C&gt;&lt;D xsi:type="xsd:double"&gt;-0.144430585925297&lt;/D&gt;&lt;/FQL&gt;&lt;FQL&gt;&lt;Q&gt;VGK^FG_TOTAL_RETURNC(0,-1AM)&lt;/Q&gt;&lt;R&gt;1&lt;/R&gt;&lt;C&gt;1&lt;/C&gt;&lt;D xsi:type="xsd:double"&gt;-0.8389473&lt;/D&gt;&lt;/FQL&gt;&lt;FQL&gt;&lt;Q&gt;EWD^FG_TOTAL_RETURNC(0,-6AM)&lt;/Q&gt;&lt;R&gt;1&lt;/R&gt;&lt;C&gt;1&lt;/C&gt;&lt;D xsi:type="xsd:double"&gt;5.957544&lt;/D&gt;&lt;/FQL&gt;&lt;FQL&gt;&lt;Q&gt;EWQ^P_PRICE(0)/P_PRICE_LOW_PR(0,,,,,,"PRICE","INTRA","52W")-1&lt;/Q&gt;&lt;R&gt;1&lt;/R&gt;&lt;C&gt;1&lt;/C&gt;&lt;D xsi:type="xsd:double"&gt;0.1758765&lt;/D&gt;&lt;/FQL&gt;&lt;FQL&gt;&lt;Q&gt;EWU^PERCENT_CHANGE(FMA_EPS(+1,0,,,,"PORTAGG","MEAN"),FMA_EPS(+1,-3AM,,,,"PORTAGG","MEAN"))&lt;/Q&gt;&lt;R&gt;1&lt;/R&gt;&lt;C&gt;1&lt;/C&gt;&lt;D xsi:type="xsd:double"&gt;1.73817167685976&lt;/D&gt;&lt;/FQL&gt;&lt;FQL&gt;&lt;Q&gt;EWJ^FG_TOTAL_RETURNC(0,-3AM)&lt;/Q&gt;&lt;R&gt;1&lt;/R&gt;&lt;C&gt;1&lt;/C&gt;&lt;D xsi:type="xsd:double"&gt;8.6047535&lt;/D&gt;&lt;/FQL&gt;&lt;FQL&gt;&lt;Q&gt;EWC^P_PRICE(0)/P_PRICE_HIGH_PR(0,,,,,,"PRICE","INTRA","52W")&lt;/Q&gt;&lt;R&gt;1&lt;/R&gt;&lt;C&gt;1&lt;/C&gt;&lt;D xsi:type="xsd:double"&gt;0.9972253&lt;/D&gt;&lt;/FQL&gt;&lt;FQL&gt;&lt;Q&gt;ENZL^FG_TOTAL_RETURNC(0,-12AM)&lt;/Q&gt;&lt;R&gt;1&lt;/R&gt;&lt;C&gt;1&lt;/C&gt;&lt;D xsi:type="xsd:double"&gt;14.3016815&lt;/D&gt;&lt;/FQL&gt;&lt;FQL&gt;&lt;Q&gt;EWJ^FMA_COS_DOWN("EPS","1M",+1,0,,,"PORTAGG","MEANR")&lt;/Q&gt;&lt;R&gt;1&lt;/R&gt;&lt;C&gt;1&lt;/C&gt;&lt;D xsi:type="xsd:double"&gt;84&lt;/D&gt;&lt;/FQL&gt;&lt;FQL&gt;&lt;Q&gt;EWD^FMA_COS_UP("EPS","1M",+1,0,,,"PORTAGG","MEANR")&lt;/Q&gt;&lt;R&gt;1&lt;/R&gt;&lt;C&gt;1&lt;/C&gt;&lt;D xsi:type="xsd:double"&gt;13&lt;/D&gt;&lt;/FQL&gt;&lt;FQL&gt;&lt;Q&gt;EWL^SIZE(FG_CONSTITUENTS)&lt;/Q&gt;&lt;R&gt;1&lt;/R&gt;&lt;C&gt;1&lt;/C&gt;&lt;D xsi:type="xsd:long"&gt;47&lt;/D&gt;&lt;/FQL&gt;&lt;FQL&gt;&lt;Q&gt;ENZL^FMA_COS_DOWN("EPS","1M",+1,0,,,"PORTAGG","MEANR")&lt;/Q&gt;&lt;R&gt;1&lt;/R&gt;&lt;C&gt;1&lt;/C&gt;&lt;D xsi:type="xsd:double"&gt;13&lt;/D&gt;&lt;/FQL&gt;&lt;FQL&gt;&lt;Q&gt;EWD^FMA_RBICS_REV_CURRENT(30, LOC, "PORTAGG")&lt;/Q&gt;&lt;R&gt;1&lt;/R&gt;&lt;C&gt;1&lt;/C&gt;&lt;D xsi:type="xsd:double"&gt;27.3013128847697&lt;/D&gt;&lt;/FQL&gt;&lt;FQL&gt;&lt;Q&gt;SPY^FG_ROE(0)&lt;/Q&gt;&lt;R&gt;1&lt;/R&gt;&lt;C&gt;1&lt;/C&gt;&lt;D xsi:type="xsd:double"&gt;18.5998452041955&lt;/D&gt;&lt;/FQL&gt;&lt;FQL&gt;&lt;Q&gt;TRYCH10Y-FDS^FG_YIELD_NAME&lt;/Q&gt;&lt;R&gt;1&lt;/R&gt;&lt;C&gt;1&lt;/C&gt;&lt;D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xsi:type="xsd:double"&gt;-5.67421&lt;/D&gt;&lt;/FQL&gt;&lt;FQL&gt;&lt;Q&gt;TRYAU10Y-FDS^PCTCHG(FG_YIELD(0,,,,"YTM"),FG_YIELD(-3AM,,,,"YTM"))&lt;/Q&gt;&lt;R&gt;1&lt;/R&gt;&lt;C&gt;1&lt;/C&gt;&lt;D xsi:type="xsd:double"&gt;-5.8167114&lt;/D&gt;&lt;/FQL&gt;&lt;FQL&gt;&lt;Q&gt;TRYUS10Y-FDS^FG_YIELD(0,,,,"YTM")&lt;/Q&gt;&lt;R&gt;0&lt;/R&gt;&lt;C&gt;0&lt;/C&gt;&lt;/FQL&gt;&lt;FQL&gt;&lt;Q&gt;CC_IT^IMF_IFS_RCPI_Q(0)&lt;/Q&gt;&lt;R&gt;1&lt;/R&gt;&lt;C&gt;1&lt;/C&gt;&lt;D xsi:type="xsd:double"&gt;0.80847347&lt;/D&gt;&lt;/FQL&gt;&lt;FQL&gt;&lt;Q&gt;VWO^FMA_DIV_YLD(NTMA,NOW,NOW,M,"PORTAGG","MEANR")&lt;/Q&gt;&lt;R&gt;1&lt;/R&gt;&lt;C&gt;1&lt;/C&gt;&lt;D xsi:type="xsd:double"&gt;2.94454119618382&lt;/D&gt;&lt;/FQL&gt;&lt;FQL&gt;&lt;Q&gt;EWI^FMA_PE(LTM,0,,,"PORTAGG","MEANR")&lt;/Q&gt;&lt;R&gt;1&lt;/R&gt;&lt;C&gt;1&lt;/C&gt;&lt;D xsi:type="xsd:double"&gt;11.4204862175488&lt;/D&gt;&lt;/FQL&gt;&lt;FQL&gt;&lt;Q&gt;EWQ^FMA_EVAL_EBIT(LTMA,NOW,NOW,M,"PORTAGG","MEANR")&lt;/Q&gt;&lt;R&gt;1&lt;/R&gt;&lt;C&gt;1&lt;/C&gt;&lt;D xsi:type="xsd:double"&gt;13.3536230759157&lt;/D&gt;&lt;/FQL&gt;&lt;FQL&gt;&lt;Q&gt;QQQ^FG_FCF_YIELD_NTM(0)&lt;/Q&gt;&lt;R&gt;1&lt;/R&gt;&lt;C&gt;1&lt;/C&gt;&lt;D xsi:type="xsd:double"&gt;3.55534928866567&lt;/D&gt;&lt;/FQL&gt;&lt;FQL&gt;&lt;Q&gt;EWL^FMA_PE(NTMA,0,,,"PORTAGG","MEANR")&lt;/Q&gt;&lt;R&gt;1&lt;/R&gt;&lt;C&gt;1&lt;/C&gt;&lt;D xsi:type="xsd:double"&gt;17.0578136298036&lt;/D&gt;&lt;/FQL&gt;&lt;FQL&gt;&lt;Q&gt;EWG^JULIAN(FMA_DIV_YLD(NTMA,NOW,NOW,M,"PORTAGG","MEANR").DATES)&lt;/Q&gt;&lt;R&gt;1&lt;/R&gt;&lt;C&gt;1&lt;/C&gt;&lt;D xsi:type="xsd:long"&gt;45534&lt;/D&gt;&lt;/FQL&gt;&lt;FQL&gt;&lt;Q&gt;ENZL^FMA_EVAL_EBITDA(NTMA,0,,,"PORTAGG","MEANR")&lt;/Q&gt;&lt;R&gt;1&lt;/R&gt;&lt;C&gt;1&lt;/C&gt;&lt;D xsi:type="xsd:double"&gt;12.7451341115485&lt;/D&gt;&lt;/FQL&gt;&lt;FQL&gt;&lt;Q&gt;EWL^FG_COMPANY_NAME&lt;/Q&gt;&lt;R&gt;1&lt;/R&gt;&lt;C&gt;1&lt;/C&gt;&lt;D xsi:type="xsd:string"&gt;iShares MSCI Switzerland ETF&lt;/D&gt;&lt;/FQL&gt;&lt;FQL&gt;&lt;Q&gt;EWN^FG_COMPANY_NAME&lt;/Q&gt;&lt;R&gt;1&lt;/R&gt;&lt;C&gt;1&lt;/C&gt;&lt;D xsi:type="xsd:string"&gt;iShares MSCI Netherlands ETF&lt;/D&gt;&lt;/FQL&gt;&lt;FQL&gt;&lt;Q&gt;VGK^FG_TOTAL_RETURNC(0,-6AM)&lt;/Q&gt;&lt;R&gt;1&lt;/R&gt;&lt;C&gt;1&lt;/C&gt;&lt;D xsi:type="xsd:double"&gt;6.542933&lt;/D&gt;&lt;/FQL&gt;&lt;FQL&gt;&lt;Q&gt;QQQ^FG_TOTAL_RETURNC(0,-6AM)&lt;/Q&gt;&lt;R&gt;1&lt;/R&gt;&lt;C&gt;1&lt;/C&gt;&lt;D xsi:type="xsd:double"&gt;8.650684&lt;/D&gt;&lt;/FQL&gt;&lt;FQL&gt;&lt;Q&gt;VWO^FG_TOTAL_RETURNC(0,-6AM)&lt;/Q&gt;&lt;R&gt;1&lt;/R&gt;&lt;C&gt;1&lt;/C&gt;&lt;D xsi:type="xsd:double"&gt;10.691273&lt;/D&gt;&lt;/FQL&gt;&lt;FQL&gt;&lt;Q&gt;EWN^FMA_ROE(NTMA,-20AY,NOW,FY,"PORTAGG","MEANR")&lt;/Q&gt;&lt;R&gt;20&lt;/R&gt;&lt;C&gt;1&lt;/C&gt;&lt;D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</t>
        </r>
      </text>
    </comment>
    <comment ref="A3" authorId="0" shapeId="0" xr:uid="{12CBD90F-63FD-4B10-BA25-1FAAEDB2C1CF}">
      <text>
        <r>
          <rPr>
            <b/>
            <sz val="9"/>
            <color indexed="81"/>
            <rFont val="Tahoma"/>
            <charset val="1"/>
          </rPr>
          <t>28&lt;/D&gt;&lt;/FQL&gt;&lt;FQL&gt;&lt;Q&gt;TRYGB10Y-FDS^FG_YIELD(-10AY,0,Y,,"YTM")&lt;/Q&gt;&lt;R&gt;10&lt;/R&gt;&lt;C&gt;1&lt;/C&gt;&lt;D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xsi:type="xsd:double"&gt;25.9001753941815&lt;/D&gt;&lt;D xsi:type="xsd:double"&gt;25.4476853128011&lt;/D&gt;&lt;D xsi:type="xsd:double"&gt;27.6470377516053&lt;/D&gt;&lt;D xsi:type="xsd:double"&gt;24.9178959308229&lt;/D&gt;&lt;D xsi:type="xsd:double"&gt;26.0524047586362&lt;/D&gt;&lt;/FQL&gt;&lt;FQL&gt;&lt;Q&gt;TRYIN10Y-FDS^FG_YIELD(-10AY,0,Y,,"YTM")&lt;/Q&gt;&lt;R&gt;10&lt;/R&gt;&lt;C&gt;1&lt;/C&gt;&lt;D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xsi:type="xsd:double"&gt;2.004&lt;/D&gt;&lt;/FQL&gt;&lt;FQL&gt;&lt;Q&gt;VWO^FMA_COS_UP("EPS","1M",+1,0,,,"PORTAGG","MEANR")&lt;/Q&gt;&lt;R&gt;1&lt;/R&gt;&lt;C&gt;1&lt;/C&gt;&lt;D xsi:type="xsd:double"&gt;969&lt;/D&gt;&lt;/FQL&gt;&lt;FQL&gt;&lt;Q&gt;SPY^FMA_COS_UP("EPS","1M",+1,0,,,"PORTAGG","MEANR")&lt;/Q&gt;&lt;R&gt;1&lt;/R&gt;&lt;C&gt;1&lt;/C&gt;&lt;D xsi:type="xsd:double"&gt;155&lt;/D&gt;&lt;/FQL&gt;&lt;FQL&gt;&lt;Q&gt;EWC^FMA_COS_UP("EPS","1M",+1,0,,,"PORTAGG","MEANR")&lt;/Q&gt;&lt;R&gt;1&lt;/R&gt;&lt;C&gt;1&lt;/C&gt;&lt;D xsi:type="xsd:double"&gt;15&lt;/D&gt;&lt;/FQL&gt;&lt;FQL&gt;&lt;Q&gt;QQQ^FG_ROE(0)&lt;/Q&gt;&lt;R&gt;1&lt;/R&gt;&lt;C&gt;1&lt;/C&gt;&lt;D xsi:type="xsd:double"&gt;22.3272871868532&lt;/D&gt;&lt;/FQL&gt;&lt;FQL&gt;&lt;Q&gt;TRYCA10Y-FDS^FG_YIELD_NAME&lt;/Q&gt;&lt;R&gt;1&lt;/R&gt;&lt;C&gt;1&lt;/C&gt;&lt;D xsi:type="xsd:string"&gt;Canada Benchmark Bond - 10 Year&lt;/D&gt;&lt;/FQL&gt;&lt;FQL&gt;&lt;Q&gt;REFGBBANK-FDS^PROPER_NAME(0,,,"SECURITY","NAME")&lt;/Q&gt;&lt;R&gt;1&lt;/R&gt;&lt;C&gt;1&lt;/C&gt;&lt;D xsi:type="xsd:string"&gt;UK Bank Rate&lt;/D&gt;&lt;/FQL&gt;&lt;FQL&gt;&lt;Q&gt;REFNZOCR-FDS^PROPER_NAME(0,,,"SECURITY","NAME")&lt;/Q&gt;&lt;R&gt;1&lt;/R&gt;&lt;C&gt;1&lt;/C&gt;&lt;D xsi:type="xsd:string"&gt;New Zealand Official Cash Rate&lt;/D&gt;&lt;/FQL&gt;&lt;FQL&gt;&lt;Q&gt;TRYJP10Y-FDS^PCTCHG(FG_YIELD(0,,,,"YTM"),FG_YIELD(-1AM,,,,"YTM"))&lt;/Q&gt;&lt;R&gt;1&lt;/R&gt;&lt;C&gt;1&lt;/C&gt;&lt;D xsi:type="xsd:double"&gt;-4.224721&lt;/D&gt;&lt;/FQL&gt;&lt;FQL&gt;&lt;Q&gt;TRYFR10Y-FDS^FG_YIELD_NAME&lt;/Q&gt;&lt;R&gt;1&lt;/R&gt;&lt;C&gt;1&lt;/C&gt;&lt;D xsi:type="xsd:string"&gt;France Benchmark Bond - 10 Year&lt;/D&gt;&lt;/FQL&gt;&lt;FQL&gt;&lt;Q&gt;CC_SE^IMF_IFS_RCPI_Q(0)&lt;/Q&gt;&lt;R&gt;1&lt;/R&gt;&lt;C&gt;1&lt;/C&gt;&lt;D xsi:type="xsd:double"&gt;3.39215&lt;/D&gt;&lt;/FQL&gt;&lt;FQL&gt;&lt;Q&gt;VWO^JULIAN(FMA_DIV_YLD(NTMA,NOW,NOW,M,"PORTAGG","MEANR").DATES)&lt;/Q&gt;&lt;R&gt;1&lt;/R&gt;&lt;C&gt;1&lt;/C&gt;&lt;D xsi:type="xsd:long"&gt;45504&lt;/D&gt;&lt;/FQL&gt;&lt;FQL&gt;&lt;Q&gt;EWD^FMA_DIV_YLD(NTMA,NOW,NOW,M,"PORTAGG","MEANR")&lt;/Q&gt;&lt;R&gt;1&lt;/R&gt;&lt;C&gt;1&lt;/C&gt;&lt;D xsi:type="xsd:double"&gt;3.20494310472097&lt;/D&gt;&lt;/FQL&gt;&lt;FQL&gt;&lt;Q&gt;SPY^FMA_EVAL_EBIT(LTMA,NOW,NOW,M,"PORTAGG","MEANR")&lt;/Q&gt;&lt;R&gt;1&lt;/R&gt;&lt;C&gt;1&lt;/C&gt;&lt;D xsi:type="xsd:double"&gt;21.0499976232196&lt;/D&gt;&lt;/FQL&gt;&lt;FQL&gt;&lt;Q&gt;EWG^FMA_EVAL_EBIT(LTMA,NOW,NOW,M,"PORTAGG","MEANR")&lt;/Q&gt;&lt;R&gt;1&lt;/R&gt;&lt;C&gt;1&lt;/C&gt;&lt;D xsi:type="xsd:double"&gt;13.8664754850983&lt;/D&gt;&lt;/FQL&gt;&lt;FQL&gt;&lt;Q&gt;EWU^FG_COMPANY_NAME&lt;/Q&gt;&lt;R&gt;1&lt;/R&gt;&lt;C&gt;1&lt;/C&gt;&lt;D xsi:type="xsd:string"&gt;iShares MSCI United Kingdom ETF&lt;/D&gt;&lt;/FQL&gt;&lt;FQL&gt;&lt;Q&gt;TLT^P_PRICE(0)/P_PRICE_HIGH_PR(0,,,USD,,,"PRICE","INTRA","52W")&lt;/Q&gt;&lt;R&gt;1&lt;/R&gt;&lt;C&gt;1&lt;/C&gt;&lt;D xsi:type="xsd:double"&gt;0.9674833&lt;/D&gt;&lt;/FQL&gt;&lt;FQL&gt;&lt;Q&gt;CAGDPY@IT^EE_ACTUAL_ANNUAL(MED,0)&lt;/Q&gt;&lt;R&gt;1&lt;/R&gt;&lt;C&gt;1&lt;/C&gt;&lt;D xsi:type="xsd:double"&gt;0.464182828189248&lt;/D&gt;&lt;/FQL&gt;&lt;FQL&gt;&lt;Q&gt;CAGDPY@DE^EE_ACTUAL_ANNUAL(MED,0)&lt;/Q&gt;&lt;R&gt;1&lt;/R&gt;&lt;C&gt;1&lt;/C&gt;&lt;D xsi:type="xsd:double"&gt;5.88214213185842&lt;/D&gt;&lt;/FQL&gt;&lt;FQL&gt;&lt;Q&gt;USDITL^FG_PRICE_CHANGE(0,-6AM)&lt;/Q&gt;&lt;R&gt;1&lt;/R&gt;&lt;C&gt;1&lt;/C&gt;&lt;D xsi:type="xsd:double"&gt;-2.8386593&lt;/D&gt;&lt;/FQL&gt;&lt;FQL&gt;&lt;Q&gt;USDANG^FG_PRICE(0)&lt;/Q&gt;&lt;R&gt;1&lt;/R&gt;&lt;C&gt;1&lt;/C&gt;&lt;D xsi:type="xsd:double"&gt;1.79&lt;/D&gt;&lt;/FQL&gt;&lt;FQL&gt;&lt;Q&gt;USDUSD^STD(FG_PRICE_CHANGE(0,-3AY,M))&lt;/Q&gt;&lt;R&gt;1&lt;/R&gt;&lt;C&gt;1&lt;/C&gt;&lt;D xsi:type="xsd:double"&gt;0&lt;/D&gt;&lt;/FQL&gt;&lt;FQL&gt;&lt;Q&gt;USDCHF^FG_PRICE_CHANGE(0,-6AM)&lt;/Q&gt;&lt;R&gt;1&lt;/R&gt;&lt;C&gt;1&lt;/C&gt;&lt;D xsi:type="xsd:double"&gt;-5.610907&lt;/D&gt;&lt;/FQL&gt;&lt;FQL&gt;&lt;Q&gt;USDEUR^FG_PRICE_CHANGE(0,-1AM)&lt;/Q&gt;&lt;R&gt;1&lt;/R&gt;&lt;C&gt;1&lt;/C&gt;&lt;D xsi:type="xsd:double"&gt;0.41772127&lt;/D&gt;&lt;/FQL&gt;&lt;FQL&gt;&lt;Q&gt;USDAUD^FG_PRICE(0)&lt;/Q&gt;&lt;R&gt;1&lt;/R&gt;&lt;C&gt;1&lt;/C&gt;&lt;D xsi:type="xsd:double"&gt;1.4597474&lt;/D&gt;&lt;/FQL&gt;&lt;FQL&gt;&lt;Q&gt;EWJ^FMA_EPS(NTMA,-20AY,0,CY,,"PORTAGG","MEANR")&lt;/Q&gt;&lt;R&gt;20&lt;/R&gt;&lt;C&gt;1&lt;/C&gt;&lt;D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xsi:type="xsd:double"&gt;3.67789544317284&lt;/D&gt;&lt;D xsi:type="xsd:double"&gt;4.61613854439477&lt;/D&gt;&lt;D xsi:type="xsd:double"&gt;4.46089540048153&lt;/D&gt;&lt;D xsi:type="xsd:double"&gt;4.56673185665912&lt;/D&gt;&lt;/FQL&gt;&lt;FQL&gt;&lt;Q&gt;ENZL^P_PRICE_RETURNS_PR('52W',2,-10AY,0,AM)&lt;/Q&gt;&lt;R&gt;121&lt;/R&gt;&lt;C&gt;1&lt;/C&gt;&lt;D xsi:type="xsd:double"&gt;7.6727986&lt;/D&gt;&lt;D xsi:type="xsd:double"&gt;1.2900233&lt;/D&gt;&lt;D xsi:type="xsd:double"&gt;9.408558&lt;/D&gt;&lt;D xsi:type="xsd:double"&gt;11.22967&lt;/D&gt;&lt;D xsi:type="xsd:double"&gt;4.738641&lt;/D&gt;&lt;D xsi:type="xsd:double"&gt;7.323408&lt;/D&gt;&lt;D xsi:type="xsd:double"&gt;3.4213424&lt;/D&gt;&lt;D xsi:type="xsd:double"&gt;-0.7041633&lt;/D&gt;&lt;D xsi:type="xsd:double"&gt;-2.7980924&lt;/D&gt;&lt;D xsi:type="xsd:double"&gt;-10.4527235&lt;/D&gt;&lt;D xsi:type="xsd:double"&gt;-11.787653&lt;/D&gt;&lt;D xsi:type="xsd:double"&gt;-11.553669&lt;/D&gt;&lt;D xsi:type="xsd:double"&gt;-15.339745&lt;/D&gt;&lt;D xsi:type="xsd:double"&gt;-1.8865228&lt;/D&gt;&lt;D xsi:type="xsd:double"&gt;-8.87534&lt;/D&gt;&lt;D xsi:type="xsd:double"&gt;-1.7426372&lt;/D&gt;&lt;D xsi:type="xsd:double"&gt;-7.084054&lt;/D&gt;&lt;D xsi:type="xsd:double"&gt;-4.824257&lt;/D&gt;&lt;D xsi:type="xsd:double"&gt;-1.0492086&lt;/D&gt;&lt;D xsi:type="xsd:double"&gt;6.0343623&lt;/D&gt;&lt;D xsi:type="xsd:double"&gt;9.930313&lt;/D&gt;&lt;D xsi:type="xsd:double"&gt;26.650227&lt;/D&gt;&lt;D xsi:type="xsd:double"&gt;31.718563&lt;/D&gt;&lt;D xsi:type="xsd:double"&gt;44.90261&lt;/D&gt;&lt;D xsi:type="xsd:double"&gt;49.094357&lt;/D&gt;&lt;D xsi:type="xsd:double"&gt;25.208055&lt;/D&gt;&lt;D xsi:type="xsd:double"&gt;21.528578&lt;/D&gt;&lt;D xsi:type="xsd:double"&gt;11.9933605&lt;/D&gt;&lt;D xsi:type="xsd:double"&gt;28.712845&lt;/D&gt;&lt;D xsi:type="xsd:double"&gt;23.792208&lt;/D&gt;&lt;D xsi:type="xsd:double"&gt;10.167492&lt;/D&gt;&lt;D xsi:type="xsd:double"&gt;5.8463693&lt;/D&gt;&lt;D xsi:type="xsd:double"&gt;11.408436&lt;/D&gt;&lt;D xsi:type="xsd:double"&gt;10.702192&lt;/D&gt;&lt;D xsi:type="xsd:double"&gt;12.84436&lt;/D&gt;&lt;D xsi:type="xsd:double"&gt;3.666675&lt;/D&gt;&lt;D xsi:type="xsd:double"&gt;6.922257&lt;/D&gt;&lt;D xsi:type="xsd:double"&gt;13.359833&lt;/D&gt;&lt;D xsi:type="xsd:double"&gt;15.1124&lt;/D&gt;&lt;D xsi:type="xsd:double"&gt;24.176682&lt;/D&gt;&lt;D xsi:type="xsd:double"&gt;18.131626&lt;/D&gt;&lt;D xsi:type="xsd:double"&gt;18.393208&lt;/D&gt;&lt;D xsi:type="xsd:double"&gt;24.508703&lt;/D&gt;&lt;D xsi:type="xsd:double"&gt;16.423214&lt;/D&gt;&lt;D xsi:type="xsd:double"&gt;13.693153&lt;/D&gt;&lt;D xsi:type="xsd:double"&gt;12.94862&lt;/D&gt;&lt;D xsi:type="xsd:double"&gt;4.4927&lt;/D&gt;&lt;D xsi:type="xsd:double"&gt;6.5906763&lt;/D&gt;&lt;D xsi:type="xsd:double"&gt;8.677506&lt;/D&gt;&lt;D xsi:type="xsd:double"&gt;0.595665&lt;/D&gt;&lt;D xsi:type="xsd:double"&gt;6.4464808&lt;/D&gt;&lt;D xsi:type="xsd:double"&gt;-1.0457754&lt;/D&gt;&lt;D xsi:type="xsd:double"&gt;2.6121855&lt;/D&gt;&lt;D xsi:type="xsd:double"&gt;4.9894333&lt;/D&gt;&lt;D xsi:type="xsd:double"&gt;5.7065845&lt;/D&gt;&lt;D xsi:type="xsd:double"&gt;13.082576&lt;/D&gt;&lt;D xsi:type="xsd:double"&gt;12.432301&lt;/D&gt;&lt;D xsi:type="xsd:double"&gt;7.8069925&lt;/D&gt;&lt;D xsi:type="xsd:double"&gt;20.900738&lt;/D&gt;&lt;D xsi:type="xsd:double"&gt;9.5357895&lt;/D&gt;&lt;D xsi:type="xsd:double"&gt;9.114706&lt;/D&gt;&lt;D xsi:type="xsd:double"&gt;21.345388&lt;/D&gt;&lt;D xsi:type="xsd:double"&gt;18.314148&lt;/D&gt;&lt;D xsi:type="xsd:double"&gt;32.189323&lt;/D&gt;&lt;D xsi:type="xsd:double"&gt;26.008093&lt;/D&gt;&lt;D xsi:type="xsd:double"&gt;20.54428&lt;/D&gt;&lt;D xsi:type="xsd:double"&gt;-23.77066&lt;/D&gt;&lt;D xsi:type="xsd:double"&gt;-4.1531982&lt;/D&gt;&lt;D xsi:type="xsd:double"&gt;0.28111935&lt;/D&gt;&lt;D xsi:type="xsd:double"&gt;9.297716&lt;/D&gt;&lt;D xsi:type="xsd:double"&gt;7.6244473&lt;/D&gt;&lt;D xsi:type="xsd:double"&gt;15.795172&lt;/D&gt;&lt;D xsi:type="xsd:double"&gt;10.989845&lt;/D&gt;&lt;D xsi:type="xsd:double"&gt;20.845043&lt;/D&gt;&lt;D xsi:type="xsd:double"&gt;23.151339&lt;/D&gt;&lt;D xsi:type="xsd:double"&gt;18.814505&lt;/D&gt;&lt;D xsi:type="xsd:double"&gt;19.308388&lt;/D&gt;&lt;D xsi:type="xsd:double"&gt;14.70058&lt;/D&gt;&lt;D xsi:type="xsd:double"&gt;69.068695&lt;/D&gt;&lt;D xsi:type="xsd:double"&gt;36.75053&lt;/D&gt;&lt;D xsi:type="xsd:double"&gt;27.46811&lt;/D&gt;&lt;D xsi:type="xsd:double"&gt;13.268828&lt;/D&gt;&lt;D xsi:type="xsd:double"&gt;8.321655&lt;/D&gt;&lt;D xsi:type="xsd:double"&gt;6.970513&lt;/D&gt;&lt;D xsi:type="xsd:double"&gt;16.799473&lt;/D&gt;&lt;D xsi:type="xsd:double"&gt;5.1693916&lt;/D&gt;&lt;D xsi:type="xsd:double"&gt;-5.2430925&lt;/D&gt;&lt;D xsi:type="xsd:double"&gt;-9.978414&lt;/D&gt;&lt;D xsi:type="xsd:double"&gt;-17.388105&lt;/D&gt;&lt;D xsi:type="xsd:double"&gt;-13.696331&lt;/D&gt;&lt;D xsi:type="xsd:double"&gt;-7.3813677&lt;/D&gt;&lt;D xsi:type="xsd:double"&gt;-17.501146&lt;/D&gt;&lt;D xsi:type="xsd:double"&gt;-21.064865&lt;/D&gt;&lt;D xsi:type="xsd:double"&gt;-24.724955&lt;/D&gt;&lt;D xsi:type="xsd:double"&gt;-22.723877&lt;/D&gt;&lt;D xsi:type="xsd:double"&gt;-20.237875&lt;/D&gt;&lt;D xsi:type="xsd:double"&gt;-31.289375&lt;/D&gt;&lt;D xsi:type="xsd:double"&gt;-33.132183&lt;/D&gt;&lt;D xsi:type="xsd:double"&gt;-19.599915&lt;/D&gt;&lt;D xsi:type="xsd:double"&gt;-16.04163&lt;/D&gt;&lt;D xsi:type="xsd:double"&gt;-3.718096&lt;/D&gt;&lt;D xsi:type="xsd:double"&gt;-7.1801004&lt;/D&gt;&lt;D xsi:type="xsd:double"&gt;-11.532479&lt;/D&gt;&lt;D xsi:type="xsd:double"&gt;-5.113709&lt;/D&gt;&lt;D xsi:type="xsd:double"&gt;5.054784&lt;/D&gt;&lt;D xsi:type="xsd:double"&gt;9.133255&lt;/D&gt;&lt;D xsi:type="xsd:double"&gt;6.922877&lt;/D&gt;&lt;D xsi:type="xsd:double"&gt;-2.7981997&lt;/D&gt;&lt;D xsi:type="xsd:double"&gt;1.2525797&lt;/D&gt;&lt;D xsi:type="xsd:double"&gt;2.7511716&lt;/D&gt;&lt;D xsi:type="xsd:double"&gt;-3.6893666&lt;/D&gt;&lt;D xsi:type="xsd:double"&gt;2.7258754&lt;/D&gt;&lt;D xsi:type="xsd:double"&gt;-7.9467115&lt;/D&gt;&lt;D xsi:type="xsd:double"&gt;-5.012858&lt;/D&gt;&lt;D xsi:type="xsd:double"&gt;-3.0614674&lt;/D&gt;&lt;D xsi:type="xsd:double"&gt;-7.333666&lt;/D&gt;&lt;D xsi:type="xsd:double"&gt;-6.6948056&lt;/D&gt;&lt;D xsi:type="xsd:double"&gt;-3.1150997&lt;/D&gt;&lt;D xsi:type="xsd:double"&gt;-2.373153&lt;/D&gt;&lt;D xsi:type="xsd:double"&gt;11.109364&lt;/D&gt;&lt;D xsi:type="xsd:double"&gt;14.3016815&lt;/D&gt;&lt;/FQL&gt;&lt;FQL&gt;&lt;Q&gt;SPY^FMA_DIV_YLD(NTMA,-10AY,0,AM,"PORTAGG","MEANR")&lt;/Q&gt;&lt;R&gt;121&lt;/R&gt;&lt;C&gt;1&lt;/C&gt;&lt;D xsi:type="xsd:double"&gt;2.12113400608635&lt;/D&gt;&lt;D xsi:type="xsd:double"&gt;2.16984487001189&lt;/D&gt;&lt;D xsi:type="xsd:double"&gt;2.07028914100136&lt;/D&gt;&lt;D xsi:type="xsd:double"&gt;2.07371396816664&lt;/D&gt;&lt;D xsi:type="xsd:double"&gt;2.12227922749282&lt;/D&gt;&lt;D xsi:type="xsd:double"&gt;2.09674685811471&lt;/D&gt;&lt;D xsi:type="xsd:double"&gt;2.15308094302026&lt;/D&gt;&lt;D xsi:type="xsd:double"&gt;2.14332183553889&lt;/D&gt;&lt;D xsi:type="xsd:double"&gt;2.13970438174093&lt;/D&gt;&lt;D xsi:type="xsd:double"&gt;2.14874772979324&lt;/D&gt;&lt;D xsi:type="xsd:double"&gt;2.18245901351229&lt;/D&gt;&lt;D xsi:type="xsd:double"&gt;2.34854412270244&lt;/D&gt;&lt;D xsi:type="xsd:double"&gt;2.4008815641309&lt;/D&gt;&lt;D xsi:type="xsd:double"&gt;2.25175177815447&lt;/D&gt;&lt;D xsi:type="xsd:double"&gt;2.27245030874921&lt;/D&gt;&lt;D xsi:type="xsd:double"&gt;2.28960811730876&lt;/D&gt;&lt;D xsi:type="xsd:double"&gt;2.49307720186843&lt;/D&gt;&lt;D xsi:type="xsd:double"&gt;2.45182025901469&lt;/D&gt;&lt;D xsi:type="xsd:double"&gt;2.47519773454617&lt;/D&gt;&lt;D xsi:type="xsd:double"&gt;2.29179874134034&lt;/D&gt;&lt;D xsi:type="xsd:double"&gt;2.29270141173246&lt;/D&gt;&lt;D xsi:type="xsd:double"&gt;2.26432497678764&lt;/D&gt;&lt;D xsi:type="xsd:double"&gt;2.20901730113117&lt;/D&gt;&lt;D xsi:type="xsd:double"&gt;2.20272134149624&lt;/D&gt;&lt;D xsi:type="xsd:double"&gt;2.22257127193486&lt;/D&gt;&lt;D xsi:type="xsd:double"&gt;2.25475278169333&lt;/D&gt;&lt;D xsi:type="xsd:double"&gt;2.20714478252866&lt;/D&gt;&lt;D xsi:type="xsd:double"&gt;2.16277802258585&lt;/D&gt;&lt;D xsi:type="xsd:double"&gt;2.17557966692274&lt;/D&gt;&lt;D xsi:type="xsd:double"&gt;2.10637837461634&lt;/D&gt;&lt;D xsi:type="xsd:double"&gt;2.12559273740343&lt;/D&gt;&lt;D xsi:type="xsd:double"&gt;2.13752272910581&lt;/D&gt;&lt;D xsi:type="xsd:double"&gt;2.1080210975241&lt;/D&gt;&lt;D xsi:type="xsd:double"&gt;2.08611357163004&lt;/D&gt;&lt;D xsi:type="xsd:double"&gt;2.08192046325301&lt;/D&gt;&lt;D xsi:type="xsd:double"&gt;2.11803768804064&lt;/D&gt;&lt;D xsi:type="xsd:double"&gt;2.07310741873066&lt;/D&gt;&lt;D xsi:type="xsd:double"&gt;2.03254583158474&lt;/D&gt;&lt;D xsi:type="xsd:double"&gt;2.00703995810953&lt;/D&gt;&lt;D xsi:type="xsd:double"&gt;1.95252863229292&lt;/D&gt;&lt;D xsi:type="xsd:double"&gt;1.86335016145739&lt;/D&gt;&lt;D xsi:type="xsd:double"&gt;1.95779445698658&lt;/D&gt;&lt;D xsi:type="xsd:double"&gt;2.09611740368357&lt;/D&gt;&lt;D xsi:type="xsd:double"&gt;2.05104870218734&lt;/D&gt;&lt;D xsi:type="xsd:double"&gt;2.02388126629958&lt;/D&gt;&lt;D xsi:type="xsd:double"&gt;2.0230766313855&lt;/D&gt;&lt;D xsi:type="xsd:double"&gt;2.00611617077107&lt;/D&gt;&lt;D xsi:type="xsd:double"&gt;1.98610336770601&lt;/D&gt;&lt;D xsi:type="xsd:double"&gt;1.94396359995819&lt;/D&gt;&lt;D xsi:type="xsd:double"&gt;2.09338377845803&lt;/D&gt;&lt;D xsi:type="xsd:double"&gt;2.18036533017401&lt;/D&gt;&lt;D xsi:type="xsd:double"&gt;2.4022200614989&lt;/D&gt;&lt;D xsi:type="xsd:double"&gt;2.21016862767007&lt;/D&gt;&lt;D xsi:type="xsd:double"&gt;2.09606090985895&lt;/D&gt;&lt;D xsi:type="xsd:double"&gt;2.10766829922598&lt;/D&gt;&lt;D xsi:type="xsd:double"&gt;2.0306337736227&lt;/D&gt;&lt;D xsi:type="xsd:double"&gt;2.12049477872474&lt;/D&gt;&lt;D xsi:type="xsd:double"&gt;2.03816170586198&lt;/D&gt;&lt;D xsi:type="xsd:double"&gt;2.01408605726185&lt;/D&gt;&lt;D xsi:type="xsd:double"&gt;2.13547847715171&lt;/D&gt;&lt;D xsi:type="xsd:double"&gt;2.03928019709788&lt;/D&gt;&lt;D xsi:type="xsd:double"&gt;2.0437266970293&lt;/D&gt;&lt;D xsi:type="xsd:double"&gt;1.99241138899378&lt;/D&gt;&lt;D xsi:type="xsd:double"&gt;1.93463075534558&lt;/D&gt;&lt;D xsi:type="xsd:double"&gt;1.88875501962009&lt;/D&gt;&lt;D xsi:type="xsd:double"&gt;1.89566172460069&lt;/D&gt;&lt;D xsi:type="xsd:double"&gt;2.82641440802225&lt;/D&gt;&lt;D xsi:type="xsd:double"&gt;2.19440289985958&lt;/D&gt;&lt;D xsi:type="xsd:double"&gt;2.04589683968309&lt;/D&gt;&lt;D xsi:type="xsd:double"&gt;1.91993570304135&lt;/D&gt;&lt;D xsi:type="xsd:double"&gt;1.83538338513794&lt;/D&gt;&lt;D xsi:type="xsd:double"&gt;1.75486934666695&lt;/D&gt;&lt;D xsi:type="xsd:double"&gt;1.84084414752909&lt;/D&gt;&lt;D xsi:type="xsd:double"&gt;1.72760994831326&lt;/D&gt;&lt;D xsi:type="xsd:double"&gt;1.67559745536018&lt;/D&gt;&lt;D xsi:type="xsd:double"&gt;1.60430686730752&lt;/D&gt;&lt;D xsi:type="xsd:double"&gt;1.54956129496503&lt;/D&gt;&lt;D xsi:type="xsd:double"&gt;1.54969584163763&lt;/D&gt;&lt;D xsi:type="xsd:double"&gt;1.54401672302017&lt;/D&gt;&lt;D xsi:type="xsd:double"&gt;1.45768286660184&lt;/D&gt;&lt;D xsi:type="xsd:double"&gt;1.47219782291228&lt;/D&gt;&lt;D xsi:type="xsd:double"&gt;1.45720520349361&lt;/D&gt;&lt;D xsi:type="xsd:double"&gt;1.41965706444844&lt;/D&gt;&lt;D xsi:type="xsd:double"&gt;1.41162098704407&lt;/D&gt;&lt;D xsi:type="xsd:double"&gt;1.42382939412263&lt;/D&gt;&lt;D xsi:type="xsd:double"&gt;1.40672069482644&lt;/D&gt;&lt;D xsi:type="xsd:double"&gt;1.370403649731&lt;/D&gt;&lt;D xsi:type="xsd:double"&gt;1.36454188803909&lt;/D&gt;&lt;D xsi:type="xsd:double"&gt;1.47844574969004&lt;/D&gt;&lt;D xsi:type="xsd:double"&gt;1.56034975150215&lt;/D&gt;&lt;D xsi:type="xsd:double"&gt;1.4793639095188&lt;/D&gt;&lt;D xsi:type="xsd:double"&gt;1.5455769344878&lt;/D&gt;&lt;D xsi:type="xsd:double"&gt;1.66916715400717&lt;/D&gt;&lt;D xsi:type="xsd:double"&gt;1.76553576186137&lt;/D&gt;&lt;D xsi:type="xsd:double"&gt;1.69882739979679&lt;/D&gt;&lt;D xsi:type="xsd:double"&gt;1.65070553937422&lt;/D&gt;&lt;D xsi:type="xsd:double"&gt;1.8522065661703&lt;/D&gt;&lt;D xsi:type="xsd:double"&gt;1.83487587261114&lt;/D&gt;&lt;D xsi:type="xsd:double"&gt;1.72079980612643&lt;/D&gt;&lt;D xsi:type="xsd:double"&gt;1.80578905866682&lt;/D&gt;&lt;D xsi:type="xsd:double"&gt;1.73187101893852&lt;/D&gt;&lt;D xsi:type="xsd:double"&gt;1.75060163103374&lt;/D&gt;&lt;D xsi:type="xsd:double"&gt;1.7824664689003&lt;/D&gt;&lt;D xsi:type="xsd:double"&gt;1.71143743633013&lt;/D&gt;&lt;D xsi:type="xsd:double"&gt;1.70573084975043&lt;/D&gt;&lt;D xsi:type="xsd:double"&gt;1.63294801654069&lt;/D&gt;&lt;D xsi:type="xsd:double"&gt;1.57273292703387&lt;/D&gt;&lt;D xsi:type="xsd:double"&gt;1.61889773745287&lt;/D&gt;&lt;D xsi:type="xsd:double"&gt;1.672156385479&lt;/D&gt;&lt;D xsi:type="xsd:double"&gt;1.72137788820699&lt;/D&gt;&lt;D xsi:type="xsd:double"&gt;1.60069839048567&lt;/D&gt;&lt;D xsi:type="xsd:double"&gt;1.54662116097726&lt;/D&gt;&lt;D xsi:type="xsd:double"&gt;1.51918730813237&lt;/D&gt;&lt;D xsi:type="xsd:double"&gt;1.47573170877779&lt;/D&gt;&lt;D xsi:type="xsd:double"&gt;1.4348609110388&lt;/D&gt;&lt;D xsi:type="xsd:double"&gt;1.489889800304&lt;/D&gt;&lt;D xsi:type="xsd:double"&gt;1.45295219857527&lt;/D&gt;&lt;D xsi:type="xsd:double"&gt;1.41012109813616&lt;/D&gt;&lt;D xsi:type="xsd:double"&gt;1.391371826011&lt;/D&gt;&lt;D xsi:type="xsd:double"&gt;1.37628914939376&lt;/D&gt;&lt;D xsi:type="xsd:double"&gt;1.36188680650387&lt;/D&gt;&lt;/FQL&gt;&lt;FQL&gt;&lt;Q&gt;EWJ^FMA_PE(NTMA,-10AY,0,AM,"PORTAGG","MEANR")&lt;/Q&gt;&lt;R&gt;121&lt;/R&gt;&lt;C&gt;1&lt;/C&gt;&lt;D xsi:type="xsd:double"&gt;14.1441643240736&lt;/D&gt;&lt;D xsi:type="xsd:double"&gt;12.9878642845721&lt;/D&gt;&lt;D xsi:type="xsd:double"&gt;14.533363196839&lt;/D&gt;&lt;D xsi:type="xsd:double"&gt;14.3458531362832&lt;/D&gt;&lt;D xsi:type="xsd:double"&gt;14.0985248800733&lt;/D&gt;&lt;D xsi:type="xsd:double"&gt;14.9160607889679&lt;/D&gt;&lt;D xsi:type="xsd:double"&gt;15.7305458997995&lt;/D&gt;&lt;D xsi:type="xsd:double"&gt;15.9891463693586&lt;/D&gt;&lt;D xsi:type="xsd:double"&gt;16.2241517249773&lt;/D&gt;&lt;D xsi:type="xsd:double"&gt;15.9361555672787&lt;/D&gt;&lt;D xsi:type="xsd:double"&gt;15.6019415947915&lt;/D&gt;&lt;D xsi:type="xsd:double"&gt;14.5700227074708&lt;/D&gt;&lt;D xsi:type="xsd:double"&gt;13.4595011307723&lt;/D&gt;&lt;D xsi:type="xsd:double"&gt;14.2890808117916&lt;/D&gt;&lt;D xsi:type="xsd:double"&gt;14.78815076011&lt;/D&gt;&lt;D xsi:type="xsd:double"&gt;13.9380351865156&lt;/D&gt;&lt;D xsi:type="xsd:double"&gt;12.5035806729158&lt;/D&gt;&lt;D xsi:type="xsd:double"&gt;12.1158279295344&lt;/D&gt;&lt;D xsi:type="xsd:double"&gt;12.9699005130274&lt;/D&gt;&lt;D xsi:type="xsd:double"&gt;13.5317459378074&lt;/D&gt;&lt;D xsi:type="xsd:double"&gt;13.188001086675&lt;/D&gt;&lt;D xsi:type="xsd:double"&gt;13.1247336854013&lt;/D&gt;&lt;D xsi:type="xsd:double"&gt;13.6015718357268&lt;/D&gt;&lt;D xsi:type="xsd:double"&gt;13.1869778435693&lt;/D&gt;&lt;D xsi:type="xsd:double"&gt;13.6528918733936&lt;/D&gt;&lt;D xsi:type="xsd:double"&gt;13.6011668441542&lt;/D&gt;&lt;D xsi:type="xsd:double"&gt;14.2727423280809&lt;/D&gt;&lt;D xsi:type="xsd:double"&gt;14.9474454123011&lt;/D&gt;&lt;D xsi:type="xsd:double"&gt;14.4462680238472&lt;/D&gt;&lt;D xsi:type="xsd:double"&gt;14.3597285877623&lt;/D&gt;&lt;D xsi:type="xsd:double"&gt;13.9305201315032&lt;/D&gt;&lt;D xsi:type="xsd:double"&gt;13.4776269570852&lt;/D&gt;&lt;D xsi:type="xsd:double"&gt;14.2036918054379&lt;/D&gt;&lt;D xsi:type="xsd:double"&gt;14.3757293290361&lt;/D&gt;&lt;D xsi:type="xsd:double"&gt;14.3018694223789&lt;/D&gt;&lt;D xsi:type="xsd:double"&gt;13.6614748480555&lt;/D&gt;&lt;D xsi:type="xsd:double"&gt;13.9928308108011&lt;/D&gt;&lt;D xsi:type="xsd:double"&gt;14.4936166193982&lt;/D&gt;&lt;D xsi:type="xsd:double"&gt;14.4865086876441&lt;/D&gt;&lt;D xsi:type="xsd:double"&gt;14.7825205923177&lt;/D&gt;&lt;D xsi:type="xsd:double"&gt;15.4400336273397&lt;/D&gt;&lt;D xsi:type="xsd:double"&gt;13.278439601835&lt;/D&gt;&lt;D xsi:type="xsd:double"&gt;12.4269988915395&lt;/D&gt;&lt;D xsi:type="xsd:double"&gt;13.0328889464489&lt;/D&gt;&lt;D xsi:type="xsd:double"&gt;13.3106706575878&lt;/D&gt;&lt;D xsi:type="xsd:double"&gt;12.8964708798787&lt;/D&gt;&lt;D xsi:type="xsd:double"&gt;12.8335587956994&lt;/D&gt;&lt;D xsi:type="xsd:double"&gt;12.480474398128&lt;/D&gt;&lt;D xsi:type="xsd:double"&gt;13.2522009189224&lt;/D&gt;&lt;D xsi:type="xsd:double"&gt;12.0290217464458&lt;/D&gt;&lt;D xsi:type="xsd:double"&gt;11.9513857828251&lt;/D&gt;&lt;D xsi:type="xsd:double"&gt;11.068554444202&lt;/D&gt;&lt;D xsi:type="xsd:double"&gt;11.7123116643905&lt;/D&gt;&lt;D xsi:type="xsd:double"&gt;12.4105710989753&lt;/D&gt;&lt;D xsi:type="xsd:double"&gt;12.6665198550001&lt;/D&gt;&lt;D xsi:type="xsd:double"&gt;12.7480577639256&lt;/D&gt;&lt;D xsi:type="xsd:double"&gt;12.2927865286044&lt;/D&gt;&lt;D xsi:type="xsd:double"&gt;12.6498398114521&lt;/D&gt;&lt;D xsi:type="xsd:double"&gt;12.8785769960904&lt;/D&gt;&lt;D xsi:type="xsd:double"&gt;12.4519191823014&lt;/D&gt;&lt;D xsi:type="xsd:double"&gt;13.4228036104188&lt;/D&gt;&lt;D xsi:type="xsd:double"&gt;13.6207140585062&lt;/D&gt;&lt;D xsi:type="xsd:double"&gt;14.098348845477&lt;/D&gt;&lt;D xsi:type="xsd:double"&gt;14.617098144499&lt;/D&gt;&lt;D xsi:type="xsd:double"&gt;14.5807946005771&lt;/D&gt;&lt;D xsi:type="xsd:double"&gt;14.241086308389&lt;/D&gt;&lt;D xsi:type="xsd:double"&gt;11.1003886464644&lt;/D&gt;&lt;D xsi:type="xsd:double"&gt;13.5301427506134&lt;/D&gt;&lt;D xsi:type="xsd:double"&gt;14.8713789699763&lt;/D&gt;&lt;D xsi:type="xsd:double"&gt;17.8415260441404&lt;/D&gt;&lt;D xsi:type="xsd:double"&gt;17.9327948074515&lt;/D&gt;&lt;D xsi:type="xsd:double"&gt;17.9618458865574&lt;/D&gt;&lt;D xsi:type="xsd:double"&gt;18.3986205107174&lt;/D&gt;&lt;D xsi:type="xsd:double"&gt;17.747832427224&lt;/D&gt;&lt;D xsi:type="xsd:double"&gt;18.2315937673376&lt;/D&gt;&lt;D xsi:type="xsd:double"&gt;18.0929391308949&lt;/D&gt;&lt;D xsi:type="xsd:double"&gt;18.6623173616102&lt;/D&gt;&lt;D xsi:type="xsd:double"&gt;18.522323860541&lt;/D&gt;&lt;D xsi:type="xsd:double"&gt;17.7241324827377&lt;/D&gt;&lt;D xsi:type="xsd:double"&gt;16.9060026151594&lt;/D&gt;&lt;D xsi:type="xsd:double"&gt;16.2485776993849&lt;/D&gt;&lt;D xsi:type="xsd:double"&gt;16.336814931515&lt;/D&gt;&lt;D xsi:type="xsd:double"&gt;15.6537731667898&lt;/D&gt;&lt;D xsi:type="xsd:double"&gt;15.1672029317277&lt;/D&gt;&lt;D xsi:type="xsd:double"&gt;15.6413979342329&lt;/D&gt;&lt;D xsi:type="xsd:double"&gt;15.1752813737146&lt;/D&gt;&lt;D xsi:type="xsd:double"&gt;15.2472969840946&lt;/D&gt;&lt;D xsi:type="xsd:double"&gt;14.544734060278&lt;/D&gt;&lt;D xsi:type="xsd:double"&gt;13.9080976619312&lt;/D&gt;&lt;D xsi:type="xsd:double"&gt;13.2244332401484&lt;/D&gt;&lt;D xsi:type="xsd:double"&gt;13.5143534620209&lt;/D&gt;&lt;D xsi:type="xsd:double"&gt;12.9361170955786&lt;/D&gt;&lt;D xsi:type="xsd:double"&gt;12.7673008780606&lt;/D&gt;&lt;D xsi:type="xsd:double"&gt;12.2537558118763&lt;/D&gt;&lt;D xsi:type="xsd:double"&gt;12.8811856021914&lt;/D&gt;&lt;D xsi:type="xsd:double"&gt;12.9522136641809&lt;/D&gt;&lt;D xsi:type="xsd:double"&gt;12.4579049753461&lt;/D&gt;&lt;D xsi:type="xsd:double"&gt;12.177376439825&lt;/D&gt;&lt;D xsi:type="xsd:double"&gt;12.9717111429841&lt;/D&gt;&lt;D xsi:type="xsd:double"&gt;12.2727771262593&lt;/D&gt;&lt;D xsi:type="xsd:double"&gt;12.6590439260495&lt;/D&gt;&lt;D xsi:type="xsd:double"&gt;12.9324336365344&lt;/D&gt;&lt;D xsi:type="xsd:double"&gt;12.8364985887223&lt;/D&gt;&lt;D xsi:type="xsd:double"&gt;13.3667083455152&lt;/D&gt;&lt;D xsi:type="xsd:double"&gt;14.2183766066541&lt;/D&gt;&lt;D xsi:type="xsd:double"&gt;14.74149148469&lt;/D&gt;&lt;D xsi:type="xsd:double"&gt;14.533663715261&lt;/D&gt;&lt;D xsi:type="xsd:double"&gt;14.2739428207986&lt;/D&gt;&lt;D xsi:type="xsd:double"&gt;14.7300895710823&lt;/D&gt;&lt;D xsi:type="xsd:double"&gt;13.7672759754823&lt;/D&gt;&lt;D xsi:type="xsd:double"&gt;14.4030953422245&lt;/D&gt;&lt;D xsi:type="xsd:double"&gt;13.8998983544252&lt;/D&gt;&lt;D xsi:type="xsd:double"&gt;15.0552524087258&lt;/D&gt;&lt;D xsi:type="xsd:double"&gt;15.4864762323769&lt;/D&gt;&lt;D xsi:type="xsd:double"&gt;16.1799283526244&lt;/D&gt;&lt;D xsi:type="xsd:double"&gt;15.0980187404724&lt;/D&gt;&lt;D xsi:type="xsd:double"&gt;15.5184911300987&lt;/D&gt;&lt;D xsi:type="xsd:double"&gt;15.1169665903498&lt;/D&gt;&lt;D xsi:type="xsd:double"&gt;15.5321552436505&lt;/D&gt;&lt;D xsi:type="xsd:double"&gt;14.5171480481702&lt;/D&gt;&lt;D xsi:type="xsd:double"&gt;13.6745594567491&lt;/D&gt;&lt;/FQL&gt;&lt;FQL&gt;&lt;Q&gt;ENZL^FMA_PE(LTMA,-10AY,0,AM,"PORTAGG","MEANR")&lt;/Q&gt;&lt;R&gt;121&lt;/R&gt;&lt;C&gt;1&lt;/C&gt;&lt;D xsi:type="xsd:double"&gt;17.9728586273838&lt;/D&gt;&lt;D xsi:type="xsd:double"&gt;18.1269755758172&lt;/D&gt;&lt;D xsi:type="xsd:double"&gt;18.7784100435702&lt;/D&gt;&lt;D xsi:type="xsd:double"&gt;19.1175336025468&lt;/D&gt;&lt;D xsi:type="xsd:double"&gt;19.6148479074336&lt;/D&gt;&lt;D xsi:type="xsd:double"&gt;20.0869518607978&lt;/D&gt;&lt;D xsi:type="xsd:double"&gt;20.2086812804339&lt;/D&gt;&lt;D xsi:type="xsd:double"&gt;20.0511427930497&lt;/D&gt;&lt;D xsi:type="xsd:double"&gt;19.9938467197182&lt;/D&gt;&lt;D xsi:type="xsd:double"&gt;19.7156043662357&lt;/D&gt;&lt;D xsi:type="xsd:double"&gt;19.8517049744192&lt;/D&gt;&lt;D xsi:type="xsd:double"&gt;19.4082032376429&lt;/D&gt;&lt;D xsi:type="xsd:double"&gt;18.9308680542045&lt;/D&gt;&lt;D xsi:type="xsd:double"&gt;19.5064217804011&lt;/D&gt;&lt;D xsi:type="xsd:double"&gt;19.5512943067728&lt;/D&gt;&lt;D xsi:type="xsd:double"&gt;19.7071892506357&lt;/D&gt;&lt;D xsi:type="xsd:double"&gt;19.1245719582198&lt;/D&gt;&lt;D xsi:type="xsd:double"&gt;19.3079288217318&lt;/D&gt;&lt;D xsi:type="xsd:double"&gt;19.2573002889686&lt;/D&gt;&lt;D xsi:type="xsd:double"&gt;19.4877148194963&lt;/D&gt;&lt;D xsi:type="xsd:double"&gt;19.6287946064422&lt;/D&gt;&lt;D xsi:type="xsd:double"&gt;19.5752294347078&lt;/D&gt;&lt;D xsi:type="xsd:double"&gt;20.3246849664894&lt;/D&gt;&lt;D xsi:type="xsd:double"&gt;20.9137068988025&lt;/D&gt;&lt;D xsi:type="xsd:double"&gt;20.8325956296427&lt;/D&gt;&lt;D xsi:type="xsd:double"&gt;20.1075417451936&lt;/D&gt;&lt;D xsi:type="xsd:double"&gt;20.000840246748&lt;/D&gt;&lt;D xsi:type="xsd:double"&gt;19.9857967367727&lt;/D&gt;&lt;D xsi:type="xsd:double"&gt;20.457169273916&lt;/D&gt;&lt;D xsi:type="xsd:double"&gt;20.3094473820351&lt;/D&gt;&lt;D xsi:type="xsd:double"&gt;19.7156258765102&lt;/D&gt;&lt;D xsi:type="xsd:double"&gt;19.7761968054248&lt;/D&gt;&lt;D xsi:type="xsd:double"&gt;19.9525444876371&lt;/D&gt;&lt;D xsi:type="xsd:double"&gt;20.1081973479062&lt;/D&gt;&lt;D xsi:type="xsd:double"&gt;20.3497145820659&lt;/D&gt;&lt;D xsi:type="xsd:double"&gt;20.7204080464739&lt;/D&gt;&lt;D xsi:type="xsd:double"&gt;20.5208291321795&lt;/D&gt;&lt;D xsi:type="xsd:double"&gt;21.0074243997498&lt;/D&gt;&lt;D xsi:type="xsd:double"&gt;21.320205756094&lt;/D&gt;&lt;D xsi:type="xsd:double"&gt;22.3452282290213&lt;/D&gt;&lt;D xsi:type="xsd:double"&gt;22.022494987291&lt;/D&gt;&lt;D xsi:type="xsd:double"&gt;22.4193912390945&lt;/D&gt;&lt;D xsi:type="xsd:double"&gt;22.5537747919281&lt;/D&gt;&lt;D xsi:type="xsd:double"&gt;22.2356040251571&lt;/D&gt;&lt;D xsi:type="xsd:double"&gt;22.3142898345522&lt;/D&gt;&lt;D xsi:type="xsd:double"&gt;22.8558728627725&lt;/D&gt;&lt;D xsi:type="xsd:double"&gt;22.7298560796183&lt;/D&gt;&lt;D xsi:type="xsd:double"&gt;23.3594212211808&lt;/D&gt;&lt;D xsi:type="xsd:double"&gt;23.735286351707&lt;/D&gt;&lt;D xsi:type="xsd:double"&gt;22.3451310879883&lt;/D&gt;&lt;D xsi:type="xsd:double"&gt;22.4360294410039&lt;/D&gt;&lt;D xsi:type="xsd:double"&gt;22.6722839931872&lt;/D&gt;&lt;D xsi:type="xsd:double"&gt;23.5431373284339&lt;/D&gt;&lt;D xsi:type="xsd:double"&gt;24.1558951925164&lt;/D&gt;&lt;D xsi:type="xsd:double"&gt;24.0493860396254&lt;/D&gt;&lt;D xsi:type="xsd:double"&gt;24.2120653078727&lt;/D&gt;&lt;D xsi:type="xsd:double"&gt;24.4761024551047&lt;/D&gt;&lt;D xsi:type="xsd:double"&gt;24.4243909922375&lt;/D&gt;&lt;D xsi:type="xsd:double"&gt;25.2755442158576&lt;/D&gt;&lt;D xsi:type="xsd:double"&gt;27.7230639240117&lt;/D&gt;&lt;D xsi:type="xsd:double"&gt;28.5122364364232&lt;/D&gt;&lt;D xsi:type="xsd:double"&gt;28.685990967465&lt;/D&gt;&lt;D xsi:type="xsd:double"&gt;29.8860164020117&lt;/D&gt;&lt;D xsi:type="xsd:double"&gt;32.4355456357052&lt;/D&gt;&lt;D xsi:type="xsd:double"&gt;33.3261641535305&lt;/D&gt;&lt;D xsi:type="xsd:double"&gt;33.7103273173697&lt;/D&gt;&lt;D xsi:type="xsd:double"&gt;29.7161015530742&lt;/D&gt;&lt;D xsi:type="xsd:double"&gt;31.3633860978479&lt;/D&gt;&lt;D xsi:type="xsd:double"&gt;32.466623556616&lt;/D&gt;&lt;D xsi:type="xsd:double"&gt;32.2050261577857&lt;/D&gt;&lt;D xsi:type="xsd:double"&gt;33.7553186335393&lt;/D&gt;&lt;D xsi:type="xsd:double"&gt;34.2154906196155&lt;/D&gt;&lt;D xsi:type="xsd:double"&gt;33.2481534072063&lt;/D&gt;&lt;D xsi:type="xsd:double"&gt;35.4559099786682&lt;/D&gt;&lt;D xsi:type="xsd:double"&gt;35.4028332254916&lt;/D&gt;&lt;D xsi:type="xsd:double"&gt;37.7472450128424&lt;/D&gt;&lt;D xsi:type="xsd:double"&gt;37.7638765304951&lt;/D&gt;&lt;D xsi:type="xsd:double"&gt;34.4905403262646&lt;/D&gt;&lt;D xsi:type="xsd:double"&gt;34.4016008151973&lt;/D&gt;&lt;D xsi:type="xsd:double"&gt;34.5008656654129&lt;/D&gt;&lt;D xsi:type="xsd:double"&gt;34.8851875421853&lt;/D&gt;&lt;D xsi:type="xsd:double"&gt;35.7319004568158&lt;/D&gt;&lt;D xsi:type="xsd:double"&gt;36.6733920637856&lt;/D&gt;&lt;D xsi:type="xsd:double"&gt;37.7908572003734&lt;/D&gt;&lt;D xsi:type="xsd:double"&gt;39.0190369727229&lt;/D&gt;&lt;D xsi:type="xsd:double"&gt;38.9336579195575&lt;/D&gt;&lt;D xsi:type="xsd:double"&gt;38.3528443632038&lt;/D&gt;&lt;D xsi:type="xsd:double"&gt;38.9108217155928&lt;/D&gt;&lt;D xsi:type="xsd:double"&gt;37.1133216831069&lt;/D&gt;&lt;D xsi:type="xsd:double"&gt;35.9229028812502&lt;/D&gt;&lt;D xsi:type="xsd:double"&gt;35.0944624232517&lt;/D&gt;&lt;D xsi:type="xsd:double"&gt;34.5497679034006&lt;/D&gt;&lt;D xsi:type="xsd:double"&gt;33.9572924034965&lt;/D&gt;&lt;D xsi:type="xsd:double"&gt;32.9305870652992&lt;/D&gt;&lt;D xsi:type="xsd:double"&gt;33.0652870466471&lt;/D&gt;&lt;D xsi:type="xsd:double"&gt;34.1088821304443&lt;/D&gt;&lt;D xsi:type="xsd:double"&gt;32.6057369764695&lt;/D&gt;&lt;D xsi:type="xsd:double"&gt;30.7643675200782&lt;/D&gt;&lt;D xsi:type="xsd:double"&gt;30.2401603924065&lt;/D&gt;&lt;D xsi:type="xsd:double"&gt;29.2819577999868&lt;/D&gt;&lt;D xsi:type="xsd:double"&gt;29.8360840718609&lt;/D&gt;&lt;D xsi:type="xsd:double"&gt;29.6817092240591&lt;/D&gt;&lt;D xsi:type="xsd:double"&gt;28.9186444536844&lt;/D&gt;&lt;D xsi:type="xsd:double"&gt;28.5473427436474&lt;/D&gt;&lt;D xsi:type="xsd:double"&gt;28.0831619112752&lt;/D&gt;&lt;D xsi:type="xsd:double"&gt;26.1438727844251&lt;/D&gt;&lt;D xsi:type="xsd:double"&gt;25.5269573344851&lt;/D&gt;&lt;D xsi:type="xsd:double"&gt;24.3650121785193&lt;/D&gt;&lt;D xsi:type="xsd:double"&gt;23.8539088213779&lt;/D&gt;&lt;D xsi:type="xsd:double"&gt;22.6759832061109&lt;/D&gt;&lt;D xsi:type="xsd:double"&gt;22.1741486435909&lt;/D&gt;&lt;D xsi:type="xsd:double"&gt;23.8483940457585&lt;/D&gt;&lt;D xsi:type="xsd:double"&gt;23.284160015743&lt;/D&gt;&lt;D xsi:type="xsd:double"&gt;23.186177503248&lt;/D&gt;&lt;D xsi:type="xsd:double"&gt;23.9746109337421&lt;/D&gt;&lt;D xsi:type="xsd:double"&gt;24.2361182262651&lt;/D&gt;&lt;D xsi:type="xsd:double"&gt;24.5645747079123&lt;/D&gt;&lt;D xsi:type="xsd:double"&gt;24.3936099698723&lt;/D&gt;&lt;D xsi:type="xsd:double"&gt;25.3090394571872&lt;/D&gt;&lt;D xsi:type="xsd:double"&gt;26.4901271659117&lt;/D&gt;&lt;D xsi:type="xsd:double"&gt;24.2533821132262&lt;/D&gt;&lt;/FQL&gt;&lt;FQL&gt;&lt;Q&gt;PASP-FDS^MAX(FG_PRICE(0,-5AY))&lt;/Q&gt;&lt;R&gt;1&lt;/R&gt;&lt;C&gt;1&lt;/C&gt;&lt;D xsi:type="xsd:double"&gt;3158.12&lt;/D&gt;&lt;/FQL&gt;&lt;FQL&gt;&lt;Q&gt;PLATI-FDS^FG_PRICE_CHANGE(0,-1AY)&lt;/Q&gt;&lt;R&gt;1&lt;/R&gt;&lt;C&gt;1&lt;/C&gt;&lt;D xsi:type="xsd:double"&gt;4.86257928118394&lt;/D&gt;&lt;/FQL&gt;&lt;FQL&gt;&lt;Q&gt;W-FDS^FG_PRICE_CHANGE(0,-3AM)&lt;/Q&gt;&lt;R&gt;1&lt;/R&gt;&lt;C&gt;1&lt;/C&gt;&lt;D xsi:type="xsd:double"&gt;1.246660730187&lt;/D&gt;&lt;/FQL&gt;&lt;FQL&gt;&lt;Q&gt;COPP-FDS^FG_PRICE_MAVG(0,,,,30)&lt;/Q&gt;&lt;R&gt;1&lt;/R&gt;&lt;C&gt;1&lt;/C&gt;&lt;D xsi:type="xsd:double"&gt;4.1422668&lt;/D&gt;&lt;/FQL&gt;&lt;FQL&gt;&lt;Q&gt;FC0000CH^FG_PRICE(0)&lt;/Q&gt;&lt;R&gt;1&lt;/R&gt;&lt;C&gt;1&lt;/C&gt;&lt;D xsi:type="xsd:double"&gt;346.16034&lt;/D&gt;&lt;/FQL&gt;&lt;FQL&gt;&lt;Q&gt;FC0000AU^FG_PRICE(0)&lt;/Q&gt;&lt;R&gt;1&lt;/R&gt;&lt;C&gt;1&lt;/C&gt;&lt;D xsi:type="xsd:double"&gt;388.46286&lt;/D&gt;&lt;/FQL&gt;&lt;FQL&gt;&lt;Q&gt;EWQ^FG_PRICE_MAVG(0,,,,200)&lt;/Q&gt;&lt;R&gt;1&lt;/R&gt;&lt;C&gt;1&lt;/C&gt;&lt;D xsi:type="xsd:double"&gt;39.581875&lt;/D&gt;&lt;/FQL&gt;&lt;FQL&gt;&lt;Q&gt;EWL^FG_PRICE_MAVG(0,,,,30)&lt;/Q&gt;&lt;R&gt;1&lt;/R&gt;&lt;C&gt;1&lt;/C&gt;&lt;D xsi:type="xsd:double"&gt;51.4305&lt;/D&gt;&lt;/FQL&gt;&lt;FQL&gt;&lt;Q&gt;ENZL^FG_PRICE_MAVG(0,,,,200)&lt;/Q&gt;&lt;R&gt;1&lt;/R&gt;&lt;C&gt;1&lt;/C&gt;&lt;D xsi:type="xsd:double"&gt;46.374233&lt;/D&gt;&lt;/FQL&gt;&lt;FQL&gt;&lt;Q&gt;FXI^FG_TOTAL_RETURNC(0,-3AM)&lt;/Q&gt;&lt;R&gt;1&lt;/R&gt;&lt;C&gt;1&lt;/C&gt;&lt;D xsi:type="xsd:double"&gt;4.9962163&lt;/D&gt;&lt;/FQL&gt;&lt;FQL&gt;&lt;Q&gt;VWO^FG_TOTAL_RETURNC(0,-3AM)&lt;/Q&gt;&lt;R&gt;1&lt;/R&gt;&lt;C&gt;1&lt;/C&gt;&lt;D xsi:type="xsd:double"&gt;4.393065&lt;/D&gt;&lt;/FQL&gt;&lt;FQL&gt;&lt;Q&gt;EWI^FG_TOTAL_RETURNC(0,-3AM)&lt;/Q&gt;&lt;R&gt;1&lt;/R&gt;&lt;C&gt;1&lt;/C&gt;&lt;D xsi:type="xsd:double"&gt;6.734252&lt;/D&gt;&lt;/FQL&gt;&lt;FQL&gt;&lt;Q&gt;EWN^FG_TOTAL_RETURNC(0,-3AM)&lt;/Q&gt;&lt;R&gt;1&lt;/R&gt;&lt;C&gt;1&lt;/C&gt;&lt;D xsi:type="xsd:double"&gt;-2.3992896&lt;/D&gt;&lt;/FQL&gt;&lt;FQL&gt;&lt;Q&gt;SPY^FG_TOTAL_RETURNC(0,-3AM)&lt;/Q&gt;&lt;R&gt;1&lt;/R&gt;&lt;C&gt;1&lt;/C&gt;&lt;D xsi:type="xsd:double"&gt;4.9788833&lt;/D&gt;&lt;/FQL&gt;&lt;FQL&gt;&lt;Q&gt;EWU^FG_TOTAL_RETURNC(0,-3AM)&lt;/Q&gt;&lt;R&gt;1&lt;/R&gt;&lt;C&gt;1&lt;/C&gt;&lt;D xsi:type="xsd:double"&gt;6.508112&lt;/D&gt;&lt;/FQL&gt;&lt;FQL&gt;&lt;Q&gt;EWJ^PERCENT_CHANGE(FMA_EPS(+1,0,,,,"PORTAGG","MEAN"),FMA_EPS(+1,-3AM,,,,"PORTAGG","MEAN"))&lt;/Q&gt;&lt;R&gt;1&lt;/R&gt;&lt;C&gt;1&lt;/C&gt;&lt;D xsi:type="xsd:double"&gt;13.7504831067604&lt;/D&gt;&lt;/FQL&gt;&lt;FQL&gt;&lt;Q&gt;EWC^PERCENT_CHANGE(FMA_EPS(+1,0,,,,"PORTAGG","MEAN"),FMA_EPS(+1,-3AM,,,,"PORTAGG","MEAN"))&lt;/Q&gt;&lt;R&gt;1&lt;/R&gt;&lt;C&gt;1&lt;/C&gt;&lt;D xsi:type="xsd:double"&gt;1.1803011792509&lt;/D&gt;&lt;/FQL&gt;&lt;FQL&gt;&lt;Q&gt;ENZL^PERCENT_CHANGE(FMA_EPS(+1,0,,,,"PORTAGG","MEAN"),FMA_EPS(+1,-3AM,,,,"PORTAGG","MEAN"))&lt;/Q&gt;&lt;R&gt;1&lt;/R&gt;&lt;C&gt;1&lt;/C&gt;&lt;D xsi:type="xsd:double"&gt;14.3973268287527&lt;/D&gt;&lt;/FQL&gt;&lt;FQL&gt;&lt;Q&gt;CAGDPY@NL^EE_ACTUAL_ANNUAL(MED,0)&lt;/Q&gt;&lt;R&gt;1&lt;/R&gt;&lt;C&gt;1&lt;/C&gt;&lt;D xsi:type="xsd:double"&gt;9.85408501996988&lt;/D&gt;&lt;/FQL&gt;&lt;FQL&gt;&lt;Q&gt;CC_US^FG_COMPANY_NAME&lt;/Q&gt;&lt;R&gt;1&lt;/R&gt;&lt;C&gt;1&lt;/C&gt;&lt;D xsi:type="xsd:string"&gt;United States&lt;/D&gt;&lt;/FQL&gt;&lt;FQL&gt;&lt;Q&gt;USDSEK^FG_PRICE_CHANGE(0,-6AM)&lt;/Q&gt;&lt;R&gt;1&lt;/R&gt;&lt;C&gt;1&lt;/C&gt;&lt;D xsi:type="xsd:double"&gt;-3.4603179&lt;/D&gt;&lt;/FQL&gt;&lt;FQL&gt;&lt;Q&gt;USDCHF^FG_PRICE_CHANGE(0,-1AY)&lt;/Q&gt;&lt;R&gt;1&lt;/R&gt;&lt;C&gt;1&lt;/C&gt;&lt;D xsi:type="xsd:double"&gt;-6.4131556&lt;/D&gt;&lt;/FQL&gt;&lt;FQL&gt;&lt;Q&gt;USDGBP^STD(FG_PRICE_CHANGE(0,-3AY,M))&lt;/Q&gt;&lt;R&gt;1&lt;/R&gt;&lt;C&gt;1&lt;/C&gt;&lt;D xsi:type="xsd:double"&gt;2.38683145915514&lt;/D&gt;&lt;/FQL&gt;&lt;FQL&gt;&lt;Q&gt;USDJPY^FG_PRICE_CHANGE(0,-1AY)&lt;/Q&gt;&lt;R&gt;1&lt;/R&gt;&lt;C&gt;1&lt;/C&gt;&lt;D xsi:type="xsd:double"&gt;-2.9307544&lt;/D&gt;&lt;/FQL&gt;&lt;FQL&gt;&lt;Q&gt;USDAUD^STD(FG_PRICE_CHANGE(0,-3AY,M))&lt;/Q&gt;&lt;R&gt;1&lt;/R&gt;&lt;C&gt;1&lt;/C&gt;&lt;D xsi:type="xsd:double"&gt;3.13974050035568&lt;/D&gt;&lt;/FQL&gt;&lt;FQL&gt;&lt;Q&gt;EWQ^FMA_EPS(NTMA,-20AY,0,CY,,"PORTAGG","MEANR")&lt;/Q&gt;&lt;R&gt;20&lt;/R&gt;&lt;C&gt;1&lt;/C&gt;&lt;D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xsi:type="xsd:double"&gt;2.19705970678672&lt;/D&gt;&lt;D xsi:type="xsd:double"&gt;1.85109750448731&lt;/D&gt;&lt;D xsi:type="xsd:double"&gt;2.46081748725315&lt;/D&gt;&lt;D xsi:type="xsd:double"&gt;2.80266519059803&lt;/D&gt;&lt;D xsi:type="xsd:double"&gt;2.92070467941154&lt;/D&gt;&lt;/FQL&gt;&lt;FQL&gt;&lt;Q&gt;EWJ^P_PRICE_RETURNS_PR('52W',2,-10AY,0,AM)&lt;/Q&gt;&lt;R&gt;121&lt;/R&gt;&lt;C&gt;1&lt;/C&gt;&lt;D xsi:type="xsd:double"&gt;0.11128187&lt;/D&gt;&lt;D xsi:type="xsd:double"&gt;-4.3673697&lt;/D&gt;&lt;D xsi:type="xsd:double"&gt;-3.030312&lt;/D&gt;&lt;D xsi:type="xsd:double"&gt;-2.2915542&lt;/D&gt;&lt;D xsi:type="xsd:double"&gt;-2.1388173&lt;/D&gt;&lt;D xsi:type="xsd:double"&gt;7.8762054&lt;/D&gt;&lt;D xsi:type="xsd:double"&gt;19.800926&lt;/D&gt;&lt;D xsi:type="xsd:double"&gt;20.658756&lt;/D&gt;&lt;D xsi:type="xsd:double"&gt;19.233822&lt;/D&gt;&lt;D xsi:type="xsd:double"&gt;10.5752945&lt;/D&gt;&lt;D xsi:type="xsd:double"&gt;7.0868373&lt;/D&gt;&lt;D xsi:type="xsd:double"&gt;0.3383875&lt;/D&gt;&lt;D xsi:type="xsd:double"&gt;-2.0793736&lt;/D&gt;&lt;D xsi:type="xsd:double"&gt;12.719309&lt;/D&gt;&lt;D xsi:type="xsd:double"&gt;9.133255&lt;/D&gt;&lt;D xsi:type="xsd:double"&gt;8.014607&lt;/D&gt;&lt;D xsi:type="xsd:double"&gt;-0.6124675&lt;/D&gt;&lt;D xsi:type="xsd:double"&gt;-10.5719385&lt;/D&gt;&lt;D xsi:type="xsd:double"&gt;-10.16959&lt;/D&gt;&lt;D xsi:type="xsd:double"&gt;-6.850499&lt;/D&gt;&lt;D xsi:type="xsd:double"&gt;-11.799497&lt;/D&gt;&lt;D xsi:type="xsd:double"&gt;-8.550954&lt;/D&gt;&lt;D xsi:type="xsd:double"&gt;-6.5129223&lt;/D&gt;&lt;D xsi:type="xsd:double"&gt;5.4452777&lt;/D&gt;&lt;D xsi:type="xsd:double"&gt;12.471951&lt;/D&gt;&lt;D xsi:type="xsd:double"&gt;4.2645335&lt;/D&gt;&lt;D xsi:type="xsd:double"&gt;0.86040497&lt;/D&gt;&lt;D xsi:type="xsd:double"&gt;3.388548&lt;/D&gt;&lt;D xsi:type="xsd:double"&gt;14.079094&lt;/D&gt;&lt;D xsi:type="xsd:double"&gt;21.537518&lt;/D&gt;&lt;D xsi:type="xsd:double"&gt;15.079821&lt;/D&gt;&lt;D xsi:type="xsd:double"&gt;8.24399&lt;/D&gt;&lt;D xsi:type="xsd:double"&gt;16.981184&lt;/D&gt;&lt;D xsi:type="xsd:double"&gt;16.306437&lt;/D&gt;&lt;D xsi:type="xsd:double"&gt;16.874718&lt;/D&gt;&lt;D xsi:type="xsd:double"&gt;11.982417&lt;/D&gt;&lt;D xsi:type="xsd:double"&gt;10.065115&lt;/D&gt;&lt;D xsi:type="xsd:double"&gt;16.770245&lt;/D&gt;&lt;D xsi:type="xsd:double"&gt;21.51221&lt;/D&gt;&lt;D xsi:type="xsd:double"&gt;22.410452&lt;/D&gt;&lt;D xsi:type="xsd:double"&gt;29.335571&lt;/D&gt;&lt;D xsi:type="xsd:double"&gt;21.001387&lt;/D&gt;&lt;D xsi:type="xsd:double"&gt;14.545977&lt;/D&gt;&lt;D xsi:type="xsd:double"&gt;19.333803&lt;/D&gt;&lt;D xsi:type="xsd:double"&gt;15.841699&lt;/D&gt;&lt;D xsi:type="xsd:double"&gt;10.443211&lt;/D&gt;&lt;D xsi:type="xsd:d</t>
        </r>
      </text>
    </comment>
    <comment ref="A4" authorId="0" shapeId="0" xr:uid="{89A8ED86-2DE7-47DC-8551-C210D2FF6E6B}">
      <text>
        <r>
          <rPr>
            <b/>
            <sz val="9"/>
            <color indexed="81"/>
            <rFont val="Tahoma"/>
            <charset val="1"/>
          </rPr>
          <t>ouble"&gt;9.148085&lt;/D&gt;&lt;D xsi:type="xsd:double"&gt;6.9542646&lt;/D&gt;&lt;D xsi:type="xsd:double"&gt;10.015631&lt;/D&gt;&lt;D xsi:type="xsd:double"&gt;-2.0783424&lt;/D&gt;&lt;D xsi:type="xsd:double"&gt;-7.876551&lt;/D&gt;&lt;D xsi:type="xsd:double"&gt;-15.558201&lt;/D&gt;&lt;D xsi:type="xsd:double"&gt;-16.48345&lt;/D&gt;&lt;D xsi:type="xsd:double"&gt;-8.613396&lt;/D&gt;&lt;D xsi:type="xsd:double"&gt;-7.392269&lt;/D&gt;&lt;D xsi:type="xsd:double"&gt;-7.0650997&lt;/D&gt;&lt;D xsi:type="xsd:double"&gt;-11.436158&lt;/D&gt;&lt;D xsi:type="xsd:double"&gt;-5.4775896&lt;/D&gt;&lt;D xsi:type="xsd:double"&gt;-4.0303946&lt;/D&gt;&lt;D xsi:type="xsd:double"&gt;-6.492859&lt;/D&gt;&lt;D xsi:type="xsd:double"&gt;-3.6446393&lt;/D&gt;&lt;D xsi:type="xsd:double"&gt;6.1492324&lt;/D&gt;&lt;D xsi:type="xsd:double"&gt;11.60109&lt;/D&gt;&lt;D xsi:type="xsd:double"&gt;22.893547&lt;/D&gt;&lt;D xsi:type="xsd:double"&gt;15.064537&lt;/D&gt;&lt;D xsi:type="xsd:double"&gt;5.9802055&lt;/D&gt;&lt;D xsi:type="xsd:double"&gt;-16.027534&lt;/D&gt;&lt;D xsi:type="xsd:double"&gt;-7.0254564&lt;/D&gt;&lt;D xsi:type="xsd:double"&gt;0.8426547&lt;/D&gt;&lt;D xsi:type="xsd:double"&gt;5.9319496&lt;/D&gt;&lt;D xsi:type="xsd:double"&gt;3.2925248&lt;/D&gt;&lt;D xsi:type="xsd:double"&gt;9.896242&lt;/D&gt;&lt;D xsi:type="xsd:double"&gt;5.6025863&lt;/D&gt;&lt;D xsi:type="xsd:double"&gt;4.1234374&lt;/D&gt;&lt;D xsi:type="xsd:double"&gt;10.919655&lt;/D&gt;&lt;D xsi:type="xsd:double"&gt;11.846315&lt;/D&gt;&lt;D xsi:type="xsd:double"&gt;17.387522&lt;/D&gt;&lt;D xsi:type="xsd:double"&gt;26.893509&lt;/D&gt;&lt;D xsi:type="xsd:double"&gt;56.805027&lt;/D&gt;&lt;D xsi:type="xsd:double"&gt;38.46917&lt;/D&gt;&lt;D xsi:type="xsd:double"&gt;30.689991&lt;/D&gt;&lt;D xsi:type="xsd:double"&gt;20.725119&lt;/D&gt;&lt;D xsi:type="xsd:double"&gt;22.805655&lt;/D&gt;&lt;D xsi:type="xsd:double"&gt;18.559896&lt;/D&gt;&lt;D xsi:type="xsd:double"&gt;25.183308&lt;/D&gt;&lt;D xsi:type="xsd:double"&gt;16.740835&lt;/D&gt;&lt;D xsi:type="xsd:double"&gt;8.700132&lt;/D&gt;&lt;D xsi:type="xsd:double"&gt;4.1419864&lt;/D&gt;&lt;D xsi:type="xsd:double"&gt;-4.4038353&lt;/D&gt;&lt;D xsi:type="xsd:double"&gt;-10.204095&lt;/D&gt;&lt;D xsi:type="xsd:double"&gt;-8.405691&lt;/D&gt;&lt;D xsi:type="xsd:double"&gt;-15.18631&lt;/D&gt;&lt;D xsi:type="xsd:double"&gt;-13.390237&lt;/D&gt;&lt;D xsi:type="xsd:double"&gt;-20.199615&lt;/D&gt;&lt;D xsi:type="xsd:double"&gt;-17.071379&lt;/D&gt;&lt;D xsi:type="xsd:double"&gt;-16.390455&lt;/D&gt;&lt;D xsi:type="xsd:double"&gt;-29.775816&lt;/D&gt;&lt;D xsi:type="xsd:double"&gt;-25.680721&lt;/D&gt;&lt;D xsi:type="xsd:double"&gt;-18.326962&lt;/D&gt;&lt;D xsi:type="xsd:double"&gt;-17.76151&lt;/D&gt;&lt;D xsi:type="xsd:double"&gt;-9.915358&lt;/D&gt;&lt;D xsi:type="xsd:double"&gt;-8.533597&lt;/D&gt;&lt;D xsi:type="xsd:double"&gt;-7.1289244&lt;/D&gt;&lt;D xsi:type="xsd:double"&gt;3.3749938&lt;/D&gt;&lt;D xsi:type="xsd:double"&gt;5.9608817&lt;/D&gt;&lt;D xsi:type="xsd:double"&gt;16.742002&lt;/D&gt;&lt;D xsi:type="xsd:double"&gt;15.514922&lt;/D&gt;&lt;D xsi:type="xsd:double"&gt;10.549116&lt;/D&gt;&lt;D xsi:type="xsd:double"&gt;22.135508&lt;/D&gt;&lt;D xsi:type="xsd:double"&gt;18.744553&lt;/D&gt;&lt;D xsi:type="xsd:double"&gt;14.778948&lt;/D&gt;&lt;D xsi:type="xsd:double"&gt;18.172909&lt;/D&gt;&lt;D xsi:type="xsd:double"&gt;16.995478&lt;/D&gt;&lt;D xsi:type="xsd:double"&gt;24.82599&lt;/D&gt;&lt;D xsi:type="xsd:double"&gt;29.33606&lt;/D&gt;&lt;D xsi:type="xsd:double"&gt;16.50709&lt;/D&gt;&lt;D xsi:type="xsd:double"&gt;14.597082&lt;/D&gt;&lt;D xsi:type="xsd:double"&gt;7.099712&lt;/D&gt;&lt;D xsi:type="xsd:double"&gt;14.985371&lt;/D&gt;&lt;D xsi:type="xsd:double"&gt;21.569897&lt;/D&gt;&lt;D xsi:type="xsd:double"&gt;18.533993&lt;/D&gt;&lt;/FQL&gt;&lt;FQL&gt;&lt;Q&gt;ENZL^JULIAN(FG_TOTAL_RETURNC(-10AY,0,AM).DATES)&lt;/Q&gt;&lt;R&gt;121&lt;/R&gt;&lt;C&gt;1&lt;/C&gt;&lt;D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xsi:type="xsd:long"&gt;45558&lt;/D&gt;&lt;/FQL&gt;&lt;FQL&gt;&lt;Q&gt;EWU^FMA_PE(NTMA,-10AY,0,AM,"PORTAGG","MEANR")&lt;/Q&gt;&lt;R&gt;121&lt;/R&gt;&lt;C&gt;1&lt;/C&gt;&lt;D xsi:type="xsd:double"&gt;13.1948633540615&lt;/D&gt;&lt;D xsi:type="xsd:double"&gt;12.8567751616128&lt;/D&gt;&lt;D xsi:type="xsd:double"&gt;13.5858648355194&lt;/D&gt;&lt;D xsi:type="xsd:double"&gt;13.8138137539948&lt;/D&gt;&lt;D xsi:type="xsd:double"&gt;15.0420448303364&lt;/D&gt;&lt;D xsi:type="xsd:double"&gt;15.652811885979&lt;/D&gt;&lt;D xsi:type="xsd:double"&gt;15.9008078495102&lt;/D&gt;&lt;D xsi:type="xsd:double"&gt;16.2573632277451&lt;/D&gt;&lt;D xsi:type="xsd:double"&gt;16.24039201124&lt;/D&gt;&lt;D xsi:type="xsd:double"&gt;15.71258997114&lt;/D&gt;&lt;D xsi:type="xsd:double"&gt;15.2867590692015&lt;/D&gt;&lt;D xsi:type="xsd:double"&gt;14.2732629716726&lt;/D&gt;&lt;D xsi:type="xsd:double"&gt;14.1445291895228&lt;/D&gt;&lt;D xsi:type="xsd:double"&gt;15.429531249127&lt;/D&gt;&lt;D xsi:type="xsd:double"&gt;15.287008428497&lt;/D&gt;&lt;D xsi:type="xsd:double"&gt;15.2626431887391&lt;/D&gt;&lt;D xsi:type="xsd:double"&gt;15.0295284764758&lt;/D&gt;&lt;D xsi:type="xsd:double"&gt;15.2855026309607&lt;/D&gt;&lt;D xsi:type="xsd:double"&gt;16.1417271316779&lt;/D&gt;&lt;D xsi:type="xsd:double"&gt;16.4566989312412&lt;/D&gt;&lt;D xsi:type="xsd:double"&gt;15.6533849881501&lt;/D&gt;&lt;D xsi:type="xsd:double"&gt;16.153473089906&lt;/D&gt;&lt;D xsi:type="xsd:double"&gt;16.0553133181738&lt;/D&gt;&lt;D xsi:type="xsd:double"&gt;16.2132861777189&lt;/D&gt;&lt;D xsi:type="xsd:double"&gt;15.7936653698498&lt;/D&gt;&lt;D xsi:type="xsd:double"&gt;15.1940977676595&lt;/D&gt;&lt;D xsi:type="xsd:double"&gt;14.3275988241622&lt;/D&gt;&lt;D xsi:type="xsd:double"&gt;14.2976207077027&lt;/D&gt;&lt;D xsi:type="xsd:double"&gt;14.2240998982384&lt;/D&gt;&lt;D xsi:type="xsd:double"&gt;14.5121916893195&lt;/D&gt;&lt;D xsi:type="xsd:double"&gt;14.4669000298814&lt;/D&gt;&lt;D xsi:type="xsd:double"&gt;14.1152398837832&lt;/D&gt;&lt;D xsi:type="xsd:double"&gt;14.7695993865017&lt;/D&gt;&lt;D xsi:type="xsd:double"&gt;14.4750276486595&lt;/D&gt;&lt;D xsi:type="xsd:double"&gt;14.7893898476638&lt;/D&gt;&lt;D xsi:type="xsd:double"&gt;14.4666569831913&lt;/D&gt;&lt;D xsi:type="xsd:double"&gt;14.5246915845155&lt;/D&gt;&lt;D xsi:type="xsd:double"&gt;14.5449355687945&lt;/D&gt;&lt;D xsi:type="xsd:double"&gt;14.2941653327795&lt;/D&gt;&lt;D xsi:type="xsd:double"&gt;14.555522954109&lt;/D&gt;&lt;D xsi:type="xsd:double"&gt;14.7510097619867&lt;/D&gt;&lt;D xsi:type="xsd:double"&gt;13.6999837703761&lt;/D&gt;&lt;D xsi:type="xsd:double"&gt;13.0472310489504&lt;/D&gt;&lt;D xsi:type="xsd:double"&gt;13.7136548320551&lt;/D&gt;&lt;D xsi:type="xsd:double"&gt;13.8639805520021&lt;/D&gt;&lt;D xsi:type="xsd:double"&gt;13.4607199916216&lt;/D&gt;&lt;D xsi:type="xsd:double"&gt;13.1073436223421&lt;/D&gt;&lt;D xsi:type="xsd:double"&gt;12.8079774116158&lt;/D&gt;&lt;D xsi:type="xsd:double"&gt;12.7639970234146&lt;/D&gt;&lt;D xsi:type="xsd:double"&gt;11.673330114204&lt;/D&gt;&lt;D xsi:type="xsd:double"&gt;11.6483503369946&lt;/D&gt;&lt;D xsi:type="xsd:double"&gt;11.3830887458534&lt;/D&gt;&lt;D xsi:type="xsd:double"&gt;11.9126963283886&lt;/D&gt;&lt;D xsi:type="xsd:double"&gt;12.4681323075007&lt;/D&gt;&lt;D xsi:type="xsd:double"&gt;12.5142742261753&lt;/D&gt;&lt;D xsi:type="xsd:double"&gt;12.8380033600876&lt;/D&gt;&lt;D xsi:type="xsd:double"&gt;12.1335663940187&lt;/D&gt;&lt;D xsi:type="xsd:double"&gt;12.5548520706342&lt;/D&gt;&lt;D xsi:type="xsd:double"&gt;12.7018366605821&lt;/D&gt;&lt;D xsi:type="xsd:double"&gt;11.8636309925335&lt;/D&gt;&lt;D xsi:type="xsd:double"&gt;12.3523725436458&lt;/D&gt;&lt;D xsi:type="xsd:double"&gt;12.5524579551895&lt;/D&gt;&lt;D xsi:type="xsd:double"&gt;12.8232086365857&lt;/D&gt;&lt;D xsi:type="xsd:double"&gt;13.4829996280486&lt;/D&gt;&lt;D xsi:type="xsd:double"&gt;13.3570138654079&lt;/D&gt;&lt;D xsi:type="xsd:double"&gt;13.3243705475584&lt;/D&gt;&lt;D xsi:type="xsd:double"&gt;9.68030326211717&lt;/D&gt;&lt;D xsi:type="xsd:double"&gt;14.0852472810006&lt;/D&gt;&lt;D xsi:type="xsd:double"&gt;15.519676409072&lt;/D&gt;&lt;D xsi:type="xsd:double"&gt;16.3250202086094&lt;/D&gt;&lt;D xsi:type="xsd:double"&gt;15.8931515839429&lt;/D&gt;&lt;D xsi:type="xsd:double"&gt;15.2884485074742&lt;/D&gt;&lt;D xsi:type="xsd:double"&gt;14.5298809894234&lt;/D&gt;&lt;D xsi:type="xsd:double"&gt;13.971355347033&lt;/D&gt;&lt;D xsi:type="xsd:double"&gt;14.6486781814631&lt;/D&gt;&lt;D xsi:type="xsd:double"&gt;14.5398711507423&lt;/D&gt;&lt;D xsi:type="xsd:double"&gt;14.3315347915694&lt;/D&gt;&lt;D xsi:type="xsd:double"&gt;14.1941813286431&lt;/D&gt;&lt;D xsi:type="xsd:double"&gt;13.6331122909712&lt;/D&gt;&lt;D xsi:type="xsd:double"&gt;13.406444822551&lt;/D&gt;&lt;D xsi:type="xsd:double"&gt;13.2455303157618&lt;/D&gt;&lt;D xsi:type="xsd:double"&gt;12.9626130371104&lt;/D&gt;&lt;D xsi:type="xsd:double"&gt;12.3553564111276&lt;/D&gt;&lt;D xsi:type="xsd:double"&gt;12.1492362893032&lt;/D&gt;&lt;D xsi:type="xsd:double"&gt;11.9790577943003&lt;/D&gt;&lt;D xsi:type="xsd:double"&gt;12.1487680329219&lt;/D&gt;&lt;D xsi:type="xsd:double"&gt;12.0059702344452&lt;/D&gt;&lt;D xsi:type="xsd:double"&gt;12.1550426487731&lt;/D&gt;&lt;D xsi:type="xsd:double"&gt;12.3236762496997&lt;/D&gt;&lt;D xsi:type="xsd:double"&gt;12.0751186421246&lt;/D&gt;&lt;D xsi:type="xsd:double"&gt;11.585902682795&lt;/D&gt;&lt;D xsi:type="xsd:double"&gt;10.9291475092378&lt;/D&gt;&lt;D xsi:type="xsd:double"&gt;10.4470839185817&lt;/D&gt;&lt;D xsi:type="xsd:double"&gt;9.5845921358932&lt;/D&gt;&lt;D xsi:type="xsd:double"&gt;9.73777099705659&lt;/D&gt;&lt;D xsi:type="xsd:double"&gt;9.69154510989992&lt;/D&gt;&lt;D xsi:type="xsd:double"&gt;8.56457252186364&lt;/D&gt;&lt;D xsi:type="xsd:double"&gt;8.70926187599424&lt;/D&gt;&lt;D xsi:type="xsd:double"&gt;9.722709108153&lt;/D&gt;&lt;D xsi:type="xsd:double"&gt;9.84991850400314&lt;/D&gt;&lt;D xsi:type="xsd:double"&gt;10.601974842299&lt;/D&gt;&lt;D xsi:type="xsd:double"&gt;10.5164478162205&lt;/D&gt;&lt;D xsi:type="xsd:double"&gt;10.0841290587763&lt;/D&gt;&lt;D xsi:type="xsd:double"&gt;10.8187951914867&lt;/D&gt;&lt;D xsi:type="xsd:double"&gt;10.4842711394179&lt;/D&gt;&lt;D xsi:type="xsd:double"&gt;10.1882587983964&lt;/D&gt;&lt;D xsi:type="xsd:double"&gt;10.6659586659809&lt;/D&gt;&lt;D xsi:type="xsd:double"&gt;10.1859089038861&lt;/D&gt;&lt;D xsi:type="xsd:double"&gt;10.5504656763916&lt;/D&gt;&lt;D xsi:type="xsd:double"&gt;10.0575280792324&lt;/D&gt;&lt;D xsi:type="xsd:double"&gt;10.3832453402456&lt;/D&gt;&lt;D xsi:type="xsd:double"&gt;10.9000101973846&lt;/D&gt;&lt;D xsi:type="xsd:double"&gt;10.7333306534345&lt;/D&gt;&lt;D xsi:type="xsd:double"&gt;11.2593842152514&lt;/D&gt;&lt;D xsi:type="xsd:double"&gt;11.5180262625245&lt;/D&gt;&lt;D xsi:type="xsd:double"&gt;11.4781740624446&lt;/D&gt;&lt;D xsi:type="xsd:double"&gt;11.7906324550821&lt;/D&gt;&lt;D xsi:type="xsd:double"&gt;11.4734122800874&lt;/D&gt;&lt;D xsi:type="xsd:double"&gt;11.5143789732903&lt;/D&gt;&lt;D xsi:type="xsd:double"&gt;11.7240791391758&lt;/D&gt;&lt;D xsi:type="xsd:double"&gt;11.6388360869661&lt;/D&gt;&lt;/FQL&gt;&lt;FQL&gt;&lt;Q&gt;EWA^FMA_PE(LTMA,-10AY,0,AM,"PORTAGG","MEANR")&lt;/Q&gt;&lt;R&gt;121&lt;/R&gt;&lt;C&gt;1&lt;/C&gt;&lt;D xsi:type="xsd:double"&gt;14.9368584793799&lt;/D&gt;&lt;D xsi:type="xsd:double"&gt;15.0148448358718&lt;/D&gt;&lt;D xsi:type="xsd:double"&gt;14.7187949275655&lt;/D&gt;&lt;D xsi:type="xsd:double"&gt;14.5049303496613&lt;/D&gt;&lt;D xsi:type="xsd:double"&gt;14.995008005436&lt;/D&gt;&lt;D xsi:type="xsd:double"&gt;16.115527259532&lt;/D&gt;&lt;D xsi:type="xsd:double"&gt;16.2960083375504&lt;/D&gt;&lt;D xsi:type="xsd:double"&gt;16.327376640164&lt;/D&gt;&lt;D xsi:type="xsd:double"&gt;16.1597134242243&lt;/D&gt;&lt;D xsi:type="xsd:double"&gt;16.185035015303&lt;/D&gt;&lt;D xsi:type="xsd:double"&gt;15.9897513757759&lt;/D&gt;&lt;D xsi:type="xsd:double"&gt;15.5039754593051&lt;/D&gt;&lt;D xsi:type="xsd:double"&gt;15.0073493312765&lt;/D&gt;&lt;D xsi:type="xsd:double"&gt;15.8398946492438&lt;/D&gt;&lt;D xsi:type="xsd:double"&gt;15.7549536500811&lt;/D&gt;&lt;D xsi:type="xsd:double"&gt;15.5056633808564&lt;/D&gt;&lt;D xsi:type="xsd:double"&gt;14.8479077271261&lt;/D&gt;&lt;D xsi:type="xsd:double"&gt;15.3403849772955&lt;/D&gt;&lt;D xsi:type="xsd:double"&gt;15.184414592492&lt;/D&gt;&lt;D xsi:type="xsd:double"&gt;15.4020052666275&lt;/D&gt;&lt;D xsi:type="xsd:double"&gt;15.6424318002719&lt;/D&gt;&lt;D xsi:type="xsd:double"&gt;15.8145252919588&lt;/D&gt;&lt;D xsi:type="xsd:double"&gt;16.2957340032564&lt;/D&gt;&lt;D xsi:type="xsd:double"&gt;16.7563962532514&lt;/D&gt;&lt;D xsi:type="xsd:double"&gt;16.6970766299267&lt;/D&gt;&lt;D xsi:type="xsd:double"&gt;16.8360321572039&lt;/D&gt;&lt;D xsi:type="xsd:double"&gt;17.3342748491485&lt;/D&gt;&lt;D xsi:type="xsd:double"&gt;17.5424860665429&lt;/D&gt;&lt;D xsi:type="xsd:double"&gt;17.5025819186456&lt;/D&gt;&lt;D xsi:type="xsd:double"&gt;17.8657192906183&lt;/D&gt;&lt;D xsi:type="xsd:double"&gt;17.3328136043977&lt;/D&gt;&lt;D xsi:type="xsd:double"&gt;17.2706529574721&lt;/D&gt;&lt;D xsi:type="xsd:double"&gt;16.9934264291224&lt;/D&gt;&lt;D xsi:type="xsd:double"&gt;16.759866775305&lt;/D&gt;&lt;D xsi:type="xsd:double"&gt;16.8294394827482&lt;/D&gt;&lt;D xsi:type="xsd:double"&gt;16.7328755815787&lt;/D&gt;&lt;D xsi:type="xsd:double"&gt;16.4368287153034&lt;/D&gt;&lt;D xsi:type="xsd:double"&gt;16.6672249155086&lt;/D&gt;&lt;D xsi:type="xsd:double"&gt;16.6949898575444&lt;/D&gt;&lt;D xsi:type="xsd:double"&gt;16.7731043961764&lt;/D&gt;&lt;D xsi:type="xsd:double"&gt;16.7264109322974&lt;/D&gt;&lt;D xsi:type="xsd:double"&gt;16.5376070971854&lt;/D&gt;&lt;D xsi:type="xsd:double"&gt;16.3529175505601&lt;/D&gt;&lt;D xsi:type="xsd:double"&gt;16.2521918813457&lt;/D&gt;&lt;D xsi:type="xsd:double"&gt;16.2661968440457&lt;/D&gt;&lt;D xsi:type="xsd:double"&gt;16.329033837213&lt;/D&gt;&lt;D xsi:type="xsd:double"&gt;16.258493388544&lt;/D&gt;&lt;D xsi:type="xsd:double"&gt;16.2234004767629&lt;/D&gt;&lt;D xsi:type="xsd:double"&gt;16.0816063939496&lt;/D&gt;&lt;D xsi:type="xsd:double"&gt;15.2643441166785&lt;/D&gt;&lt;D xsi:type="xsd:double"&gt;15.0282777504154&lt;/D&gt;&lt;D xsi:type="xsd:double"&gt;14.2454800785266&lt;/D&gt;&lt;D xsi:type="xsd:double"&gt;15.1625254186786&lt;/D&gt;&lt;D xsi:type="xsd:double"&gt;15.9108723124367&lt;/D&gt;&lt;D xsi:type="xsd:double"&gt;15.8864824651815&lt;/D&gt;&lt;D xsi:type="xsd:double"&gt;15.8820480939311&lt;/D&gt;&lt;D xsi:type="xsd:double"&gt;16.0256995310871&lt;/D&gt;&lt;D xsi:type="xsd:double"&gt;16.2652813593759&lt;/D&gt;&lt;D xsi:type="xsd:double"&gt;16.4096242731457&lt;/D&gt;&lt;D xsi:type="xsd:double"&gt;16.2976128328634&lt;/D&gt;&lt;D xsi:type="xsd:double"&gt;16.8556197694948&lt;/D&gt;&lt;D xsi:type="xsd:double"&gt;17.1192812703216&lt;/D&gt;&lt;D xsi:type="xsd:double"&gt;17.4026486894662&lt;/D&gt;&lt;D xsi:type="xsd:double"&gt;17.9154770062323&lt;/D&gt;&lt;D xsi:type="xsd:double"&gt;18.744908752835&lt;/D&gt;&lt;D xsi:type="xsd:double"&gt;18.9112660857583&lt;/D&gt;&lt;D xsi:type="xsd:double"&gt;15.9258225461232&lt;/D&gt;&lt;D xsi:type="xsd:double"&gt;16.8549237969857&lt;/D&gt;&lt;D xsi:type="xsd:double"&gt;17.5655530646869&lt;/D&gt;&lt;D xsi:type="xsd:double"&gt;18.5314775146922&lt;/D&gt;&lt;D xsi:type="xsd:double"&gt;19.2077153874448&lt;/D&gt;&lt;D xsi:type="xsd:double"&gt;19.6665510914239&lt;/D&gt;&lt;D xsi:type="xsd:double"&gt;19.3382650606702&lt;/D&gt;&lt;D xsi:type="xsd:double"&gt;20.1006116060811&lt;/D&gt;&lt;D xsi:type="xsd:double"&gt;21.9564536639658&lt;/D&gt;&lt;D xsi:type="xsd:double"&gt;22.9288047427864&lt;/D&gt;&lt;D xsi:type="xsd:double"&gt;23.3163820308569&lt;/D&gt;&lt;D xsi:type="xsd:double"&gt;22.5355852443281&lt;/D&gt;&lt;D xsi:type="xsd:double"&gt;21.4210839379575&lt;/D&gt;&lt;D xsi:type="xsd:double"&gt;21.1506429997003&lt;/D&gt;&lt;D xsi:type="xsd:double"&gt;20.6802089935286&lt;/D&gt;&lt;D xsi:type="xsd:double"&gt;20.2601756197215&lt;/D&gt;&lt;D xsi:type="xsd:double"&gt;19.3450010901008&lt;/D&gt;&lt;D xsi:type="xsd:double"&gt;18.987475191676&lt;/D&gt;&lt;D xsi:type="xsd:double"&gt;18.6838915536245&lt;/D&gt;&lt;D xsi:type="xsd:double"&gt;18.760943252633&lt;/D&gt;&lt;D xsi:type="xsd:double"&gt;18.0732861088154&lt;/D&gt;&lt;D xsi:type="xsd:double"&gt;17.8141057744119&lt;/D&gt;&lt;D xsi:type="xsd:double"&gt;16.9738165590657&lt;/D&gt;&lt;D xsi:type="xsd:double"&gt;16.0549133734292&lt;/D&gt;&lt;D xsi:type="xsd:double"&gt;15.8121272708297&lt;/D&gt;&lt;D xsi:type="xsd:double"&gt;15.5455596090202&lt;/D&gt;&lt;D xsi:type="xsd:double"&gt;15.1222848606024&lt;/D&gt;&lt;D xsi:type="xsd:double"&gt;14.1323474245502&lt;/D&gt;&lt;D xsi:type="xsd:double"&gt;14.3735137085195&lt;/D&gt;&lt;D xsi:type="xsd:double"&gt;14.3920193694812&lt;/D&gt;&lt;D xsi:type="xsd:double"&gt;13.4964297979024&lt;/D&gt;&lt;D xsi:type="xsd:double"&gt;13.2126382099248&lt;/D&gt;&lt;D xsi:type="xsd:double"&gt;14.313682105013&lt;/D&gt;&lt;D xsi:type="xsd:double"&gt;14.1001263108437&lt;/D&gt;&lt;D xsi:type="xsd:double"&gt;14.8277010544235&lt;/D&gt;&lt;D xsi:type="xsd:double"&gt;14.353736066264&lt;/D&gt;&lt;D xsi:type="xsd:double"&gt;14.1532488321072&lt;/D&gt;&lt;D xsi:type="xsd:double"&gt;14.3444408904695&lt;/D&gt;&lt;D xsi:type="xsd:double"&gt;14.3425757137841&lt;/D&gt;&lt;D xsi:type="xsd:double"&gt;14.4551747040297&lt;/D&gt;&lt;D xsi:type="xsd:double"&gt;14.9224636605663&lt;/D&gt;&lt;D xsi:type="xsd:double"&gt;14.8442872412133&lt;/D&gt;&lt;D xsi:type="xsd:double"&gt;14.8721681310838&lt;/D&gt;&lt;D xsi:type="xsd:double"&gt;14.4168779284169&lt;/D&gt;&lt;D xsi:type="xsd:double"&gt;15.1441577293349&lt;/D&gt;&lt;D xsi:type="xsd:double"&gt;16.3228987011036&lt;/D&gt;&lt;D xsi:type="xsd:double"&gt;16.2244479038617&lt;/D&gt;&lt;D xsi:type="xsd:double"&gt;16.6031042238772&lt;/D&gt;&lt;D xsi:type="xsd:double"&gt;16.6191829711817&lt;/D&gt;&lt;D xsi:type="xsd:double"&gt;16.6087869661315&lt;/D&gt;&lt;D xsi:type="xsd:double"&gt;16.7710716459837&lt;/D&gt;&lt;D xsi:type="xsd:double"&gt;16.8492687649898&lt;/D&gt;&lt;D xsi:type="xsd:double"&gt;17.1323609214262&lt;/D&gt;&lt;D xsi:type="xsd:double"&gt;17.4673290169963&lt;/D&gt;&lt;D xsi:type="xsd:double"&gt;18.0165874847236&lt;/D&gt;&lt;/FQL&gt;&lt;FQL&gt;&lt;Q&gt;PASP-FDS^FG_PRICE(0)/MAX(FG_PRICE(0,-1AY))&lt;/Q&gt;&lt;R&gt;1&lt;/R&gt;&lt;C&gt;1&lt;/C&gt;&lt;D xsi:type="xsd:double"&gt;0.825019186492709&lt;/D&gt;&lt;/FQL&gt;&lt;FQL&gt;&lt;Q&gt;PLATI-FDS^FG_PRICE_CHANGE(0,-3AM)&lt;/Q&gt;&lt;R&gt;1&lt;/R&gt;&lt;C&gt;1&lt;/C&gt;&lt;D xsi:type="xsd:double"&gt;-0.998003992015972&lt;/D&gt;&lt;/FQL&gt;&lt;FQL&gt;&lt;Q&gt;BRENT-FDS^FG_PRICE(0)/MAX(FG_PRICE(0,-1AY))&lt;/Q&gt;&lt;R&gt;1&lt;/R&gt;&lt;C&gt;1&lt;/C&gt;&lt;D xsi:type="xsd:double"&gt;0.870614479821537&lt;/D&gt;&lt;/FQL&gt;&lt;FQL&gt;&lt;Q&gt;TIOS-FDS^FG_PRICE_CHANGE(0,-3AM)&lt;/Q&gt;&lt;R&gt;1&lt;/R&gt;&lt;C&gt;1&lt;/C&gt;&lt;D xsi:type="xsd:double"&gt;-14.0519820493642&lt;/D&gt;&lt;/FQL&gt;&lt;FQL&gt;&lt;Q&gt;FC0000JP^FG_PRICE(0)&lt;/Q&gt;&lt;R&gt;1&lt;/R&gt;&lt;C&gt;1&lt;/C&gt;&lt;D xsi:type="xsd:double"&gt;180.93648&lt;/D&gt;&lt;/FQL&gt;&lt;FQL&gt;&lt;Q&gt;EWI^FG_PRICE_MAVG(0,,,,60)&lt;/Q&gt;&lt;R&gt;1&lt;/R&gt;&lt;C&gt;1&lt;/C&gt;&lt;D xsi:type="xsd:double"&gt;37.359585&lt;/D&gt;&lt;/FQL&gt;&lt;FQL&gt;&lt;Q&gt;QQQ^FG_PRICE_MAVG(0,,,,30)&lt;/Q&gt;&lt;R&gt;1&lt;/R&gt;&lt;C&gt;1&lt;/C&gt;&lt;D xsi:type="xsd:double"&gt;470.84732&lt;/D&gt;&lt;/FQL&gt;&lt;FQL&gt;&lt;Q&gt;EWC^FG_PRICE_MAVG(0,,,,60)&lt;/Q&gt;&lt;R&gt;1&lt;/R&gt;&lt;C&gt;1&lt;/C&gt;&lt;D xsi:type="xsd:double"&gt;38.938667&lt;/D&gt;&lt;/FQL&gt;&lt;FQL&gt;&lt;Q&gt;SPY^FG_COMPANY_NAME&lt;/Q&gt;&lt;R&gt;1&lt;/R&gt;&lt;C&gt;1&lt;/C&gt;&lt;D xsi:type="xsd:string"&gt;SPDR S&amp;amp;P 500 ETF Trust&lt;/D&gt;&lt;/FQL&gt;&lt;FQL&gt;&lt;Q&gt;VWO^P_PRICE(0)/P_PRICE_LOW_PR(0,,,,,,"PRICE","INTRA","52W")-1&lt;/Q&gt;&lt;R&gt;1&lt;/R&gt;&lt;C&gt;1&lt;/C&gt;&lt;D xsi:type="xsd:double"&gt;0.2214657&lt;/D&gt;&lt;/FQL&gt;&lt;FQL&gt;&lt;Q&gt;EWI^P_PRICE(0)/P_PRICE_HIGH_PR(0,,,,,,"PRICE","INTRA","52W")&lt;/Q&gt;&lt;R&gt;1&lt;/R&gt;&lt;C&gt;1&lt;/C&gt;&lt;D xsi:type="xsd:double"&gt;0.976251&lt;/D&gt;&lt;/FQL&gt;&lt;FQL&gt;&lt;Q&gt;EWN^FG_TOTAL_RETURNC(0,-6AM)&lt;/Q&gt;&lt;R&gt;1&lt;/R&gt;&lt;C&gt;1&lt;/C&gt;&lt;D xsi:type="xsd:double"&gt;1.8805027&lt;/D&gt;&lt;/FQL&gt;&lt;FQL&gt;&lt;Q&gt;SPY^FG_TOTAL_RETURNC(0,-1AM)&lt;/Q&gt;&lt;R&gt;1&lt;/R&gt;&lt;C&gt;1&lt;/C&gt;&lt;D xsi:type="xsd:double"&gt;1.6883135&lt;/D&gt;&lt;/FQL&gt;&lt;FQL&gt;&lt;Q&gt;EWU^FMA_PCT_ABOVE_MAVG(200,0,,,,"PORTAGG")&lt;/Q&gt;&lt;R&gt;1&lt;/R&gt;&lt;C&gt;1&lt;/C&gt;&lt;D xsi:type="xsd:double"&gt;64.1025641025641&lt;/D&gt;&lt;/FQL&gt;&lt;FQL&gt;&lt;Q&gt;EWG^FG_TOTAL_RETURNC(0,-12AM)&lt;/Q&gt;&lt;R&gt;1&lt;/R&gt;&lt;C&gt;1&lt;/C&gt;&lt;D xsi:type="xsd:double"&gt;25.836014&lt;/D&gt;&lt;/FQL&gt;&lt;FQL&gt;&lt;Q&gt;EWA^P_PRICE(0)/P_PRICE_LOW_PR(0,,,,,,"PRICE","INTRA","52W")-1&lt;/Q&gt;&lt;R&gt;1&lt;/R&gt;&lt;C&gt;1&lt;/C&gt;&lt;D xsi:type="xsd:double"&gt;0.30083096&lt;/D&gt;&lt;/FQL&gt;&lt;FQL&gt;&lt;Q&gt;FXI^FMA_COS_UP("EPS","1M",+1,0,,,"PORTAGG","MEANR")&lt;/Q&gt;&lt;R&gt;1&lt;/R&gt;&lt;C&gt;1&lt;/C&gt;&lt;D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xsi:type="xsd:double"&gt;4.35&lt;/D&gt;&lt;/FQL&gt;&lt;FQL&gt;&lt;Q&gt;TRYNL10Y-FDS^FG_YIELD(0,,,,"YTM")&lt;/Q&gt;&lt;R&gt;1&lt;/R&gt;&lt;C&gt;1&lt;/C&gt;&lt;D xsi:type="xsd:double"&gt;2.483&lt;/D&gt;&lt;/FQL&gt;&lt;FQL&gt;&lt;Q&gt;VWO^FG_PE_NTM(0,,,90,0)&lt;/Q&gt;&lt;R&gt;1&lt;/R&gt;&lt;C&gt;1&lt;/C&gt;&lt;D xsi:type="xsd:double"&gt;12.8727492418253&lt;/D&gt;&lt;/FQL&gt;&lt;FQL&gt;&lt;Q&gt;EWQ^JULIAN(FMA_DIV_YLD(NTMA,NOW,NOW,M,"PORTAGG","MEANR").DATES)&lt;/Q&gt;&lt;R&gt;1&lt;/R&gt;&lt;C&gt;1&lt;/C&gt;&lt;D xsi:type="xsd:long"&gt;45534&lt;/D&gt;&lt;/FQL&gt;&lt;FQL&gt;&lt;Q&gt;EWU^FMA_DIV_YLD(NTMA,NOW,NOW,M,"PORTAGG","MEANR")&lt;/Q&gt;&lt;R&gt;1&lt;/R&gt;&lt;C&gt;1&lt;/C&gt;&lt;D xsi:type="xsd:double"&gt;3.8107962887261&lt;/D&gt;&lt;/FQL&gt;&lt;FQL&gt;&lt;Q&gt;TLT^FG_TOTAL_RETURNC(0,-1AM)&lt;/Q&gt;&lt;R&gt;1&lt;/R&gt;&lt;C&gt;1&lt;/C&gt;&lt;D xsi:type="xsd:double"&gt;0.26390553&lt;/D&gt;&lt;/FQL&gt;&lt;FQL&gt;&lt;Q&gt;GLD^FG_TOTAL_RETURNC(0,-6AM)&lt;/Q&gt;&lt;R&gt;1&lt;/R&gt;&lt;C&gt;1&lt;/C&gt;&lt;D xsi:type="xsd:double"&gt;21.332657&lt;/D&gt;&lt;/FQL&gt;&lt;FQL&gt;&lt;Q&gt;TRYCH10Y-FDS^PCTCHG(FG_YIELD(0,,,,"YTM"),FG_YIELD(-3AM,,,,"YTM"))&lt;/Q&gt;&lt;R&gt;0&lt;/R&gt;&lt;C&gt;0&lt;/C&gt;&lt;/FQL&gt;&lt;FQL&gt;&lt;Q&gt;TRYAU10Y-FDS^FG_YIELD_NAME&lt;/Q&gt;&lt;R&gt;1&lt;/R&gt;&lt;C&gt;1&lt;/C&gt;&lt;D xsi:type="xsd:string"&gt;Australia Benchmark Bond - 10 Year&lt;/D&gt;&lt;/FQL&gt;&lt;FQL&gt;&lt;Q&gt;EWD^FG_FCF_YIELD_NTM(0)&lt;/Q&gt;&lt;R&gt;1&lt;/R&gt;&lt;C&gt;1&lt;/C&gt;&lt;D xsi:type="xsd:double"&gt;5.12143995808244&lt;/D&gt;&lt;/FQL&gt;&lt;FQL&gt;&lt;Q&gt;EWU^FMA_PE(NTMA,0,,,"PORTAGG","MEANR")&lt;/Q&gt;&lt;R&gt;1&lt;/R&gt;&lt;C&gt;1&lt;/C&gt;&lt;D xsi:type="xsd:double"&gt;11.6388360869661&lt;/D&gt;&lt;/FQL&gt;&lt;FQL&gt;&lt;Q&gt;EWA^FMA_PE(LTM,0,,,"PORTAGG","MEANR")&lt;/Q&gt;&lt;R&gt;1&lt;/R&gt;&lt;C&gt;1&lt;/C&gt;&lt;D xsi:type="xsd:double"&gt;19.6237008171394&lt;/D&gt;&lt;/FQL&gt;&lt;FQL&gt;&lt;Q&gt;SPY^FMA_EPS(NTMA,-20AY,0,CY,,"PORTAGG","MEANR")&lt;/Q&gt;&lt;R&gt;20&lt;/R&gt;&lt;C&gt;1&lt;/C&gt;&lt;D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xsi:type="xsd:double"&gt;17.7294354280966&lt;/D&gt;&lt;D xsi:type="xsd:double"&gt;16.6617702931577&lt;/D&gt;&lt;D xsi:type="xsd:double"&gt;22.2767073415236&lt;/D&gt;&lt;D xsi:type="xsd:double"&gt;22.9687104404943&lt;/D&gt;&lt;D xsi:type="xsd:double"&gt;24.3449867555029&lt;/D&gt;&lt;/FQL&gt;&lt;FQL&gt;&lt;Q&gt;EWL^FMA_PE(NTMA,-10AY,0,AM,"PORTAGG","MEANR")&lt;/Q&gt;&lt;R&gt;121&lt;/R&gt;&lt;C&gt;1&lt;/C&gt;&lt;D xsi:type="xsd:double"&gt;16.0357822708227&lt;/D&gt;&lt;D xsi:type="xsd:double"&gt;15.4736600361511&lt;/D&gt;&lt;D xsi:type="xsd:double"&gt;16.259563260335&lt;/D&gt;&lt;D xsi:type="xsd:double"&gt;15.8511036078783&lt;/D&gt;&lt;D xsi:type="xsd:double"&gt;15.8472828793535&lt;/D&gt;&lt;D xsi:type="xsd:double"&gt;17.5244763950772&lt;/D&gt;&lt;D xsi:type="xsd:double"&gt;18.1269902479608&lt;/D&gt;&lt;D xsi:type="xsd:double"&gt;18.1878596165352&lt;/D&gt;&lt;D xsi:type="xsd:double"&gt;17.8907131780678&lt;/D&gt;&lt;D xsi:type="xsd:double"&gt;17.4250833221519&lt;/D&gt;&lt;D xsi:type="xsd:double"&gt;17.7026389816047&lt;/D&gt;&lt;D xsi:type="xsd:double"&gt;16.5872289185066&lt;/D&gt;&lt;D xsi:type="xsd:double"&gt;15.8637087275457&lt;/D&gt;&lt;D xsi:type="xsd:double"&gt;16.9581487691951&lt;/D&gt;&lt;D xsi:type="xsd:double"&gt;16.9158700295328&lt;/D&gt;&lt;D xsi:type="xsd:double"&gt;16.7861786407914&lt;/D&gt;&lt;D xsi:type="xsd:double"&gt;15.9214716836289&lt;/D&gt;&lt;D xsi:type="xsd:double"&gt;16.1618673423308&lt;/D&gt;&lt;D xsi:type="xsd:double"&gt;16.5488278669019&lt;/D&gt;&lt;D xsi:type="xsd:double"&gt;16.9130168395024&lt;/D&gt;&lt;D xsi:type="xsd:double"&gt;16.8311993858571&lt;/D&gt;&lt;D xsi:type="xsd:double"&gt;16.8635787833574&lt;/D&gt;&lt;D xsi:type="xsd:double"&gt;17.1159569246395&lt;/D&gt;&lt;D xsi:type="xsd:double"&gt;17.426896677684&lt;/D&gt;&lt;D xsi:type="xsd:double"&gt;17.3734602745831&lt;/D&gt;&lt;D xsi:type="xsd:double"&gt;16.7441776012431&lt;/D&gt;&lt;D xsi:type="xsd:double"&gt;16.0934144582564&lt;/D&gt;&lt;D xsi:type="xsd:double"&gt;16.7707930878255&lt;/D&gt;&lt;D xsi:type="xsd:double"&gt;16.935432708511&lt;/D&gt;&lt;D xsi:type="xsd:double"&gt;17.5864494485496&lt;/D&gt;&lt;D xsi:type="xsd:double"&gt;17.6451828492269&lt;/D&gt;&lt;D xsi:type="xsd:double"&gt;17.208094590521&lt;/D&gt;&lt;D xsi:type="xsd:double"&gt;18.1463944362355&lt;/D&gt;&lt;D xsi:type="xsd:double"&gt;17.9907678575641&lt;/D&gt;&lt;D xsi:type="xsd:double"&gt;17.8064361866579&lt;/D&gt;&lt;D xsi:type="xsd:double"&gt;17.5465711081741&lt;/D&gt;&lt;D xsi:type="xsd:double"&gt;17.7464640719279&lt;/D&gt;&lt;D xsi:type="xsd:double"&gt;17.9048672296774&lt;/D&gt;&lt;D xsi:type="xsd:double"&gt;17.7633623986844&lt;/D&gt;&lt;D xsi:type="xsd:double"&gt;17.6528554205736&lt;/D&gt;&lt;D xsi:type="xsd:double"&gt;17.9550174458827&lt;/D&gt;&lt;D xsi:type="xsd:double"&gt;16.7481193958846&lt;/D&gt;&lt;D xsi:type="xsd:double"&gt;15.8095193767345&lt;/D&gt;&lt;D xsi:type="xsd:double"&gt;16.1044499844373&lt;/D&gt;&lt;D xsi:type="xsd:double"&gt;16.0212465890998&lt;/D&gt;&lt;D xsi:type="xsd:double"&gt;15.6124138590994&lt;/D&gt;&lt;D xsi:type="xsd:double"&gt;16.1140853672006&lt;/D&gt;&lt;D xsi:type="xsd:double"&gt;16.0646502103891&lt;/D&gt;&lt;D xsi:type="xsd:double"&gt;16.0396008562494&lt;/D&gt;&lt;D xsi:type="xsd:double"&gt;15.1719321352081&lt;/D&gt;&lt;D xsi:type="xsd:double"&gt;15.3901043134934&lt;/D&gt;&lt;D xsi:type="xsd:double"&gt;14.510648588218&lt;/D&gt;&lt;D xsi:type="xsd:double"&gt;15.4911989968079&lt;/D&gt;&lt;D xsi:type="xsd:double"&gt;16.1418101516679&lt;/D&gt;&lt;D xsi:type="xsd:double"&gt;16.3141240469746&lt;/D&gt;&lt;D xsi:type="xsd:double"&gt;16.9083753167364&lt;/D&gt;&lt;D xsi:type="xsd:double"&gt;16.6238586703144&lt;/D&gt;&lt;D xsi:type="xsd:double"&gt;17.1654805627326&lt;/D&gt;&lt;D xsi:type="xsd:double"&gt;17.195096010179&lt;/D&gt;&lt;D xsi:type="xsd:double"&gt;16.7686683228994&lt;/D&gt;&lt;D xsi:type="xsd:double"&gt;17.0553383868366&lt;/D&gt;&lt;D xsi:type="xsd:double"&gt;17.001415668896&lt;/D&gt;&lt;D xsi:type="xsd:double"&gt;17.410182619373&lt;/D&gt;&lt;D xsi:type="xsd:double"&gt;17.9384886767483&lt;/D&gt;&lt;D xsi:type="xsd:double"&gt;18.1170927627091&lt;/D&gt;&lt;D xsi:type="xsd:double"&gt;18.4692071763161&lt;/D&gt;&lt;D xsi:type="xsd:double"&gt;13.7101554285641&lt;/D&gt;&lt;D xsi:type="xsd:double"&gt;17.980141183468&lt;/D&gt;&lt;D xsi:type="xsd:double"&gt;18.7106611768017&lt;/D&gt;&lt;D xsi:type="xsd:double"&gt;19.6377712216018&lt;/D&gt;&lt;D xsi:type="xsd:double"&gt;19.90809866219&lt;/D&gt;&lt;D xsi:type="xsd:double"&gt;19.4960839106404&lt;/D&gt;&lt;D xsi:type="xsd:double"&gt;19.1274142608948&lt;/D&gt;&lt;D xsi:type="xsd:double"&gt;18.5028690936024&lt;/D&gt;&lt;D xsi:type="xsd:double"&gt;18.7722695610748&lt;/D&gt;&lt;D xsi:type="xsd:double"&gt;18.4239899684092&lt;/D&gt;&lt;D xsi:type="xsd:double"&gt;18.9855499600723&lt;/D&gt;&lt;D xsi:type="xsd:double"&gt;18.5067295868648&lt;/D&gt;&lt;D xsi:type="xsd:double"&gt;18.8545684864577&lt;/D&gt;&lt;D xsi:type="xsd:double"&gt;18.70746103013&lt;/D&gt;&lt;D xsi:type="xsd:double"&gt;19.0907303971457&lt;/D&gt;&lt;D xsi:type="xsd:double"&gt;19.811968424508&lt;/D&gt;&lt;D xsi:type="xsd:double"&gt;19.7397049827434&lt;/D&gt;&lt;D xsi:type="xsd:double"&gt;20.0047245883392&lt;/D&gt;&lt;D xsi:type="xsd:double"&gt;18.9576715217364&lt;/D&gt;&lt;D xsi:type="xsd:double"&gt;18.9513435521817&lt;/D&gt;&lt;D xsi:type="xsd:double"&gt;18.9101287621235&lt;/D&gt;&lt;D xsi:type="xsd:double"&gt;19.6027276504281&lt;/D&gt;&lt;D xsi:type="xsd:double"&gt;18.5812184914033&lt;/D&gt;&lt;D xsi:type="xsd:double"&gt;17.9924802781137&lt;/D&gt;&lt;D xsi:type="xsd:double"&gt;18.18012880076&lt;/D&gt;&lt;D xsi:type="xsd:double"&gt;18.1604305502053&lt;/D&gt;&lt;D xsi:type="xsd:double"&gt;16.7969235027112&lt;/D&gt;&lt;D xsi:type="xsd:double"&gt;15.3012472768648&lt;/D&gt;&lt;D xsi:type="xsd:double"&gt;16.4167727287611&lt;/D&gt;&lt;D xsi:type="xsd:double"&gt;16.3189659252769&lt;/D&gt;&lt;D xsi:type="xsd:double"&gt;14.8203163775664&lt;/D&gt;&lt;D xsi:type="xsd:double"&gt;15.174749771819&lt;/D&gt;&lt;D xsi:type="xsd:double"&gt;16.8996385275862&lt;/D&gt;&lt;D xsi:type="xsd:double"&gt;16.2989917004945&lt;/D&gt;&lt;D xsi:type="xsd:double"&gt;17.4015323627385&lt;/D&gt;&lt;D xsi:type="xsd:double"&gt;17.3227896460586&lt;/D&gt;&lt;D xsi:type="xsd:double"&gt;16.6448539669617&lt;/D&gt;&lt;D xsi:type="xsd:double"&gt;17.6796056108389&lt;/D&gt;&lt;D xsi:type="xsd:double"&gt;17.3538509119101&lt;/D&gt;&lt;D xsi:type="xsd:double"&gt;16.3848970563672&lt;/D&gt;&lt;D xsi:type="xsd:double"&gt;16.7017801922729&lt;/D&gt;&lt;D xsi:type="xsd:double"&gt;16.3919589363461&lt;/D&gt;&lt;D xsi:type="xsd:double"&gt;16.3467409705256&lt;/D&gt;&lt;D xsi:type="xsd:double"&gt;15.4476539723575&lt;/D&gt;&lt;D xsi:type="xsd:double"&gt;16.2519751686692&lt;/D&gt;&lt;D xsi:type="xsd:double"&gt;16.7911273238041&lt;/D&gt;&lt;D xsi:type="xsd:double"&gt;16.7601542891134&lt;/D&gt;&lt;D xsi:type="xsd:double"&gt;17.5906194855506&lt;/D&gt;&lt;D xsi:type="xsd:double"&gt;17.6306834514543&lt;/D&gt;&lt;D xsi:type="xsd:double"&gt;17.0354123037871&lt;/D&gt;&lt;D xsi:type="xsd:double"&gt;17.2674145704876&lt;/D&gt;&lt;D xsi:type="xsd:double"&gt;17.216947637098&lt;/D&gt;&lt;D xsi:type="xsd:double"&gt;17.3743070344872&lt;/D&gt;&lt;D xsi:type="xsd:double"&gt;17.6085590418023&lt;/D&gt;&lt;D xsi:type="xsd:double"&gt;17.0578136298036&lt;/D&gt;&lt;/FQL&gt;&lt;FQL&gt;&lt;Q&gt;PASP-FDS^FG_PRICE_CHANGE(0,-1AY)&lt;/Q&gt;&lt;R&gt;1&lt;/R&gt;&lt;C&gt;1&lt;/C&gt;&lt;D xsi:type="xsd:double"&gt;-16.5372670807453&lt;/D&gt;&lt;/FQL&gt;&lt;FQL&gt;&lt;Q&gt;BRENT-FDS^FG_PRICE_CHANGE(0,-1AY)&lt;/Q&gt;&lt;R&gt;1&lt;/R&gt;&lt;C&gt;1&lt;/C&gt;&lt;D xsi:type="xsd:double"&gt;-9.64958434178681&lt;/D&gt;&lt;/FQL&gt;&lt;FQL&gt;&lt;Q&gt;EWI^FG_PRICE_MAVG(0,,,,30)&lt;/Q&gt;&lt;R&gt;1&lt;/R&gt;&lt;C&gt;1&lt;/C&gt;&lt;D xsi:type="xsd:double"&gt;37.911167&lt;/D&gt;&lt;/FQL&gt;&lt;FQL&gt;&lt;Q&gt;EWC^FG_PRICE_MAVG(0,,,,30)&lt;/Q&gt;&lt;R&gt;1&lt;/R&gt;&lt;C&gt;1&lt;/C&gt;&lt;D xsi:type="xsd:double"&gt;39.926&lt;/D&gt;&lt;/FQL&gt;&lt;FQL&gt;&lt;Q&gt;VWO^P_PRICE(0)/P_PRICE_HIGH_PR(0,,,,,,"PRICE","INTRA","52W")&lt;/Q&gt;&lt;R&gt;1&lt;/R&gt;&lt;C&gt;1&lt;/C&gt;&lt;D xsi:type="xsd:double"&gt;0.99890834&lt;/D&gt;&lt;/FQL&gt;&lt;FQL&gt;&lt;Q&gt;EWN^FG_TOTAL_RETURNC(0,-1AM)&lt;/Q&gt;&lt;R&gt;1&lt;/R&gt;&lt;C&gt;1&lt;/C&gt;&lt;D xsi:type="xsd:double"&gt;-2.2061765&lt;/D&gt;&lt;/FQL&gt;&lt;FQL&gt;&lt;Q&gt;EWL^FG_TOTAL_RETURNC(0,-12AM)&lt;/Q&gt;&lt;R&gt;1&lt;/R&gt;&lt;C&gt;1&lt;/C&gt;&lt;D xsi:type="xsd:double"&gt;17.471111&lt;/D&gt;&lt;/FQL&gt;&lt;FQL&gt;&lt;Q&gt;CAGDPY@US^EE_ACTUAL_ANNUAL(MED,0)&lt;/Q&gt;&lt;R&gt;1&lt;/R&gt;&lt;C&gt;1&lt;/C&gt;&lt;D xsi:type="xsd:double"&gt;-3.31108668288718&lt;/D&gt;&lt;/FQL&gt;&lt;FQL&gt;&lt;Q&gt;CC_GB^FG_COMPANY_NAME&lt;/Q&gt;&lt;R&gt;1&lt;/R&gt;&lt;C&gt;1&lt;/C&gt;&lt;D xsi:type="xsd:string"&gt;United Kingdom&lt;/D&gt;&lt;/FQL&gt;&lt;FQL&gt;&lt;Q&gt;USDCHF^FG_COMPANY_NAME&lt;/Q&gt;&lt;R&gt;1&lt;/R&gt;&lt;C&gt;1&lt;/C&gt;&lt;D xsi:type="xsd:string"&gt;Swiss Franc per U.S. Dollar&lt;/D&gt;&lt;/FQL&gt;&lt;FQL&gt;&lt;Q&gt;USDGBP^FG_PRICE_CHANGE(0,-6AM)&lt;/Q&gt;&lt;R&gt;1&lt;/R&gt;&lt;C&gt;1&lt;/C&gt;&lt;D xsi:type="xsd:double"&gt;-5.602789&lt;/D&gt;&lt;/FQL&gt;&lt;FQL&gt;&lt;Q&gt;USDJPY^FG_COMPANY_NAME&lt;/Q&gt;&lt;R&gt;1&lt;/R&gt;&lt;C&gt;1&lt;/C&gt;&lt;D xsi:type="xsd:string"&gt;Japanese Yen per U.S. Dollar&lt;/D&gt;&lt;/FQL&gt;&lt;FQL&gt;&lt;Q&gt;QQQ^FMA_EPS(NTMA,-20AY,0,CY,,"PORTAGG","MEANR")&lt;/Q&gt;&lt;R&gt;20&lt;/R&gt;&lt;C&gt;1&lt;/C&gt;&lt;D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xsi:type="xsd:double"&gt;9.58367357249962&lt;/D&gt;&lt;D xsi:type="xsd:double"&gt;10.6841505033347&lt;/D&gt;&lt;D xsi:type="xsd:double"&gt;13.9300394020218&lt;/D&gt;&lt;D xsi:type="xsd:double"&gt;12.9987631337275&lt;/D&gt;&lt;D xsi:type="xsd:double"&gt;16.6470023372621&lt;/D&gt;&lt;/FQL&gt;&lt;FQL&gt;&lt;Q&gt;EWQ^FMA_DIV_YLD(NTMA,-10AY,0,AM,"PORTAGG","MEANR")&lt;/Q&gt;&lt;R&gt;121&lt;/R&gt;&lt;C&gt;1&lt;/C&gt;&lt;D xsi:type="xsd:double"&gt;3.59223100073792&lt;/D&gt;&lt;D xsi:type="xsd:double"&gt;3.76359918442014&lt;/D&gt;&lt;D xsi:type="xsd:double"&gt;3.60223451557205&lt;/D&gt;&lt;D xsi:type="xsd:double"&gt;3.61115373394347&lt;/D&gt;&lt;D xsi:type="xsd:double"&gt;3.35044560975798&lt;/D&gt;&lt;D xsi:type="xsd:double"&gt;3.16877361404806&lt;/D&gt;&lt;D xsi:type="xsd:double"&gt;3.17186929959149&lt;/D&gt;&lt;D xsi:type="xsd:double"&gt;3.11936602551561&lt;/D&gt;&lt;D xsi:type="xsd:double"&gt;3.21161531632873&lt;/D&gt;&lt;D xsi:type="xsd:double"&gt;3.26844004236122&lt;/D&gt;&lt;D xsi:type="xsd:double"&gt;3.26697031146391&lt;/D&gt;&lt;D xsi:type="xsd:double"&gt;3.6143775886129&lt;/D&gt;&lt;D xsi:type="xsd:double"&gt;3.79221335061749&lt;/D&gt;&lt;D xsi:type="xsd:double"&gt;3.41136642525016&lt;/D&gt;&lt;D xsi:type="xsd:double"&gt;3.43876750098588&lt;/D&gt;&lt;D xsi:type="xsd:double"&gt;3.57948636890244&lt;/D&gt;&lt;D xsi:type="xsd:double"&gt;3.85656538138304&lt;/D&gt;&lt;D xsi:type="xsd:double"&gt;3.9056460899289&lt;/D&gt;&lt;D xsi:type="xsd:double"&gt;3.74500856859139&lt;/D&gt;&lt;D xsi:type="xsd:double"&gt;3.63643597089524&lt;/D&gt;&lt;D xsi:type="xsd:double"&gt;3.81900862728794&lt;/D&gt;&lt;D xsi:type="xsd:double"&gt;3.72176957371452&lt;/D&gt;&lt;D xsi:type="xsd:double"&gt;3.78144196109144&lt;/D&gt;&lt;D xsi:type="xsd:double"&gt;3.73369960434534&lt;/D&gt;&lt;D xsi:type="xsd:double"&gt;3.68421630049106&lt;/D&gt;&lt;D xsi:type="xsd:double"&gt;3.69334230497807&lt;/D&gt;&lt;D xsi:type="xsd:double"&gt;3.71468985557711&lt;/D&gt;&lt;D xsi:type="xsd:double"&gt;3.48655641338116&lt;/D&gt;&lt;D xsi:type="xsd:double"&gt;3.47793261392642&lt;/D&gt;&lt;D xsi:type="xsd:double"&gt;3.48412178977433&lt;/D&gt;&lt;D xsi:type="xsd:double"&gt;3.40559637915702&lt;/D&gt;&lt;D xsi:type="xsd:double"&gt;3.39792668134091&lt;/D&gt;&lt;D xsi:type="xsd:double"&gt;3.23031113192069&lt;/D&gt;&lt;D xsi:type="xsd:double"&gt;3.29042097051476&lt;/D&gt;&lt;D xsi:type="xsd:double"&gt;3.38066010877144&lt;/D&gt;&lt;D xsi:type="xsd:double"&gt;3.4123551331556&lt;/D&gt;&lt;D xsi:type="xsd:double"&gt;3.311004763055&lt;/D&gt;&lt;D xsi:type="xsd:double"&gt;3.28396886690885&lt;/D&gt;&lt;D xsi:type="xsd:double"&gt;3.32502204743411&lt;/D&gt;&lt;D xsi:type="xsd:double"&gt;3.29039407209335&lt;/D&gt;&lt;D xsi:type="xsd:double"&gt;3.19729844686758&lt;/D&gt;&lt;D xsi:type="xsd:double"&gt;3.37282249626396&lt;/D&gt;&lt;D xsi:type="xsd:double"&gt;3.50839356918339&lt;/D&gt;&lt;D xsi:type="xsd:double"&gt;3.33618801251879&lt;/D&gt;&lt;D xsi:type="xsd:double"&gt;3.29404594417019&lt;/D&gt;&lt;D xsi:type="xsd:double"&gt;3.42333513205695&lt;/D&gt;&lt;D xsi:type="xsd:double"&gt;3.42916463440748&lt;/D&gt;&lt;D xsi:type="xsd:double"&gt;3.44352085283515&lt;/D&gt;&lt;D xsi:type="xsd:double"&gt;3.41690221216904&lt;/D&gt;&lt;D xsi:type="xsd:double"&gt;3.80044806884077&lt;/D&gt;&lt;D xsi:type="xsd:double"&gt;3.83422208095101&lt;/D&gt;&lt;D xsi:type="xsd:double"&gt;4.03616894065281&lt;/D&gt;&lt;D xsi:type="xsd:double"&gt;3.90444717086495&lt;/D&gt;&lt;D xsi:type="xsd:double"&gt;3.66175372995746&lt;/D&gt;&lt;D xsi:type="xsd:double"&gt;3.64850720879981&lt;/D&gt;&lt;D xsi:type="xsd:double"&gt;3.46967030935448&lt;/D&gt;&lt;D xsi:type="xsd:double"&gt;3.67970674661526&lt;/D&gt;&lt;D xsi:type="xsd:double"&gt;4.7383675371514&lt;/D&gt;&lt;D xsi:type="xsd:double"&gt;3.49885148438396&lt;/D&gt;&lt;D xsi:type="xsd:double"&gt;3.69732049474825&lt;/D&gt;&lt;D xsi:type="xsd:double"&gt;3.51341425038028&lt;/D&gt;&lt;D xsi:type="xsd:double"&gt;3.50504784947587&lt;/D&gt;&lt;D xsi:type="xsd:double"&gt;3.38548154306679&lt;/D&gt;&lt;D xsi:type="xsd:double"&gt;3.32834948602365&lt;/D&gt;&lt;D xsi:ty</t>
        </r>
      </text>
    </comment>
    <comment ref="A5" authorId="0" shapeId="0" xr:uid="{CE676A7D-0BA8-47D7-9D98-AD4A0392422C}">
      <text>
        <r>
          <rPr>
            <b/>
            <sz val="9"/>
            <color indexed="81"/>
            <rFont val="Tahoma"/>
            <charset val="1"/>
          </rPr>
          <t>pe="xsd:double"&gt;3.35086106873745&lt;/D&gt;&lt;D xsi:type="xsd:double"&gt;3.29986656415255&lt;/D&gt;&lt;D xsi:type="xsd:double"&gt;4.99904895016167&lt;/D&gt;&lt;D xsi:type="xsd:double"&gt;3.75612142645453&lt;/D&gt;&lt;D xsi:type="xsd:double"&gt;3.55399514759486&lt;/D&gt;&lt;D xsi:type="xsd:double"&gt;3.1119538783242&lt;/D&gt;&lt;D xsi:type="xsd:double"&gt;3.07721543047059&lt;/D&gt;&lt;D xsi:type="xsd:double"&gt;3.17805109624056&lt;/D&gt;&lt;D xsi:type="xsd:double"&gt;3.29571692206874&lt;/D&gt;&lt;D xsi:type="xsd:double"&gt;3.21876684479077&lt;/D&gt;&lt;D xsi:type="xsd:double"&gt;2.92531745182814&lt;/D&gt;&lt;D xsi:type="xsd:double"&gt;2.94009720034279&lt;/D&gt;&lt;D xsi:type="xsd:double"&gt;2.93845581308054&lt;/D&gt;&lt;D xsi:type="xsd:double"&gt;2.83933590352153&lt;/D&gt;&lt;D xsi:type="xsd:double"&gt;2.79096270604875&lt;/D&gt;&lt;D xsi:type="xsd:double"&gt;2.69870805906547&lt;/D&gt;&lt;D xsi:type="xsd:double"&gt;2.70293958894974&lt;/D&gt;&lt;D xsi:type="xsd:double"&gt;2.68555985844389&lt;/D&gt;&lt;D xsi:type="xsd:double"&gt;2.70326200272148&lt;/D&gt;&lt;D xsi:type="xsd:double"&gt;2.75659140656369&lt;/D&gt;&lt;D xsi:type="xsd:double"&gt;2.78222114514148&lt;/D&gt;&lt;D xsi:type="xsd:double"&gt;2.82295704359592&lt;/D&gt;&lt;D xsi:type="xsd:double"&gt;2.76480741185091&lt;/D&gt;&lt;D xsi:type="xsd:double"&gt;2.75627438780792&lt;/D&gt;&lt;D xsi:type="xsd:double"&gt;2.79761566786485&lt;/D&gt;&lt;D xsi:type="xsd:double"&gt;3.02260122226884&lt;/D&gt;&lt;D xsi:type="xsd:double"&gt;3.13469116127916&lt;/D&gt;&lt;D xsi:type="xsd:double"&gt;3.12594612055683&lt;/D&gt;&lt;D xsi:type="xsd:double"&gt;3.26538564984725&lt;/D&gt;&lt;D xsi:type="xsd:double"&gt;3.55889144690369&lt;/D&gt;&lt;D xsi:type="xsd:double"&gt;3.37334723156204&lt;/D&gt;&lt;D xsi:type="xsd:double"&gt;3.38168041275872&lt;/D&gt;&lt;D xsi:type="xsd:double"&gt;3.75142350884794&lt;/D&gt;&lt;D xsi:type="xsd:double"&gt;3.61986179659817&lt;/D&gt;&lt;D xsi:type="xsd:double"&gt;3.28003776988574&lt;/D&gt;&lt;D xsi:type="xsd:double"&gt;3.36785109640652&lt;/D&gt;&lt;D xsi:type="xsd:double"&gt;3.12639570956446&lt;/D&gt;&lt;D xsi:type="xsd:double"&gt;3.13409982683158&lt;/D&gt;&lt;D xsi:type="xsd:double"&gt;3.23322937091668&lt;/D&gt;&lt;D xsi:type="xsd:double"&gt;3.08590419424623&lt;/D&gt;&lt;D xsi:type="xsd:double"&gt;3.21696023344294&lt;/D&gt;&lt;D xsi:type="xsd:double"&gt;3.323135951041&lt;/D&gt;&lt;D xsi:type="xsd:double"&gt;3.23115620969357&lt;/D&gt;&lt;D xsi:type="xsd:double"&gt;3.36146716472982&lt;/D&gt;&lt;D xsi:type="xsd:double"&gt;3.39635620827913&lt;/D&gt;&lt;D xsi:type="xsd:double"&gt;3.56582976932125&lt;/D&gt;&lt;D xsi:type="xsd:double"&gt;3.35750402413052&lt;/D&gt;&lt;D xsi:type="xsd:double"&gt;3.21601054073427&lt;/D&gt;&lt;D xsi:type="xsd:double"&gt;3.2935737822851&lt;/D&gt;&lt;D xsi:type="xsd:double"&gt;3.10240367090981&lt;/D&gt;&lt;D xsi:type="xsd:double"&gt;3.0657261289369&lt;/D&gt;&lt;D xsi:type="xsd:double"&gt;3.10920399389146&lt;/D&gt;&lt;D xsi:type="xsd:double"&gt;3.11015325722376&lt;/D&gt;&lt;D xsi:type="xsd:double"&gt;3.33575468842877&lt;/D&gt;&lt;D xsi:type="xsd:double"&gt;3.34847673909457&lt;/D&gt;&lt;D xsi:type="xsd:double"&gt;3.35781029220688&lt;/D&gt;&lt;D xsi:type="xsd:double"&gt;3.42239880625256&lt;/D&gt;&lt;/FQL&gt;&lt;FQL&gt;&lt;Q&gt;EWG^FMA_PE(NTMA,-10AY,0,AM,"PORTAGG","MEANR")&lt;/Q&gt;&lt;R&gt;121&lt;/R&gt;&lt;C&gt;1&lt;/C&gt;&lt;D xsi:type="xsd:double"&gt;12.6542091649557&lt;/D&gt;&lt;D xsi:type="xsd:double"&gt;11.9259712896871&lt;/D&gt;&lt;D xsi:type="xsd:double"&gt;12.7882914875153&lt;/D&gt;&lt;D xsi:type="xsd:double"&gt;13.0114223178756&lt;/D&gt;&lt;D xsi:type="xsd:double"&gt;13.9694063809206&lt;/D&gt;&lt;D xsi:type="xsd:double"&gt;14.4930589793&lt;/D&gt;&lt;D xsi:type="xsd:double"&gt;15.3940061884251&lt;/D&gt;&lt;D xsi:type="xsd:double"&gt;15.0527628202038&lt;/D&gt;&lt;D xsi:type="xsd:double"&gt;14.6368460659296&lt;/D&gt;&lt;D xsi:type="xsd:double"&gt;14.077913898469&lt;/D&gt;&lt;D xsi:type="xsd:double"&gt;13.9265846524072&lt;/D&gt;&lt;D xsi:type="xsd:double"&gt;12.3005861796804&lt;/D&gt;&lt;D xsi:type="xsd:double"&gt;11.6622119862861&lt;/D&gt;&lt;D xsi:type="xsd:double"&gt;13.2375271361406&lt;/D&gt;&lt;D xsi:type="xsd:double"&gt;13.804816570122&lt;/D&gt;&lt;D xsi:type="xsd:double"&gt;13.3335762072756&lt;/D&gt;&lt;D xsi:type="xsd:double"&gt;12.2126608809624&lt;/D&gt;&lt;D xsi:type="xsd:double"&gt;11.9690820900541&lt;/D&gt;&lt;D xsi:type="xsd:double"&gt;12.770619396053&lt;/D&gt;&lt;D xsi:type="xsd:double"&gt;13.2131578635888&lt;/D&gt;&lt;D xsi:type="xsd:double"&gt;12.2939272980321&lt;/D&gt;&lt;D xsi:type="xsd:double"&gt;12.58226503133&lt;/D&gt;&lt;D xsi:type="xsd:double"&gt;12.5254624166376&lt;/D&gt;&lt;D xsi:type="xsd:double"&gt;12.9665767120746&lt;/D&gt;&lt;D xsi:type="xsd:double"&gt;13.02480391726&lt;/D&gt;&lt;D xsi:type="xsd:double"&gt;13.0537447694821&lt;/D&gt;&lt;D xsi:type="xsd:double"&gt;12.7939928130629&lt;/D&gt;&lt;D xsi:type="xsd:double"&gt;13.6284764546732&lt;/D&gt;&lt;D xsi:type="xsd:double"&gt;13.6474622180666&lt;/D&gt;&lt;D xsi:type="xsd:double"&gt;13.8680402551966&lt;/D&gt;&lt;D xsi:type="xsd:double"&gt;13.8320796994919&lt;/D&gt;&lt;D xsi:type="xsd:double"&gt;13.6397854774381&lt;/D&gt;&lt;D xsi:type="xsd:double"&gt;13.828429913375&lt;/D&gt;&lt;D xsi:type="xsd:double"&gt;13.7356264388411&lt;/D&gt;&lt;D xsi:type="xsd:double"&gt;13.185003885294&lt;/D&gt;&lt;D xsi:type="xsd:double"&gt;13.0378999326742&lt;/D&gt;&lt;D xsi:type="xsd:double"&gt;13.4388972644063&lt;/D&gt;&lt;D xsi:type="xsd:double"&gt;13.7983029239752&lt;/D&gt;&lt;D xsi:type="xsd:double"&gt;13.808759616191&lt;/D&gt;&lt;D xsi:type="xsd:double"&gt;13.9177970516154&lt;/D&gt;&lt;D xsi:type="xsd:double"&gt;14.2736182708297&lt;/D&gt;&lt;D xsi:type="xsd:double"&gt;13.1723869719976&lt;/D&gt;&lt;D xsi:type="xsd:double"&gt;12.5406450010266&lt;/D&gt;&lt;D xsi:type="xsd:double"&gt;13.2001148334348&lt;/D&gt;&lt;D xsi:type="xsd:double"&gt;13.3207946328328&lt;/D&gt;&lt;D xsi:type="xsd:double"&gt;13.0380285456548&lt;/D&gt;&lt;D xsi:type="xsd:double"&gt;12.9779543313667&lt;/D&gt;&lt;D xsi:type="xsd:double"&gt;12.8481411217203&lt;/D&gt;&lt;D xsi:type="xsd:double"&gt;12.8405984967396&lt;/D&gt;&lt;D xsi:type="xsd:double"&gt;11.6605531291178&lt;/D&gt;&lt;D xsi:type="xsd:double"&gt;11.4545155703358&lt;/D&gt;&lt;D xsi:type="xsd:double"&gt;11.0267567517539&lt;/D&gt;&lt;D xsi:type="xsd:double"&gt;11.652814357656&lt;/D&gt;&lt;D xsi:type="xsd:double"&gt;12.0291542233111&lt;/D&gt;&lt;D xsi:type="xsd:double"&gt;12.0503926259947&lt;/D&gt;&lt;D xsi:type="xsd:double"&gt;12.8996347250746&lt;/D&gt;&lt;D xsi:type="xsd:double"&gt;12.2622974621933&lt;/D&gt;&lt;D xsi:type="xsd:double"&gt;12.6426575438608&lt;/D&gt;&lt;D xsi:type="xsd:double"&gt;12.9916310467197&lt;/D&gt;&lt;D xsi:type="xsd:double"&gt;12.2876378306829&lt;/D&gt;&lt;D xsi:type="xsd:double"&gt;12.9613500090232&lt;/D&gt;&lt;D xsi:type="xsd:double"&gt;13.4476535642915&lt;/D&gt;&lt;D xsi:type="xsd:double"&gt;14.0037440323827&lt;/D&gt;&lt;D xsi:type="xsd:double"&gt;14.1919373352496&lt;/D&gt;&lt;D xsi:type="xsd:double"&gt;14.2253408363285&lt;/D&gt;&lt;D xsi:type="xsd:double"&gt;14.3758015490941&lt;/D&gt;&lt;D xsi:type="xsd:double"&gt;9.91070493476809&lt;/D&gt;&lt;D xsi:type="xsd:double"&gt;14.2255302003466&lt;/D&gt;&lt;D xsi:type="xsd:double"&gt;15.842858886419&lt;/D&gt;&lt;D xsi:type="xsd:double"&gt;17.9544408493103&lt;/D&gt;&lt;D xsi:type="xsd:double"&gt;18.6286178926457&lt;/D&gt;&lt;D xsi:type="xsd:double"&gt;17.7348800075104&lt;/D&gt;&lt;D xsi:type="xsd:double"&gt;16.7701150957513&lt;/D&gt;&lt;D xsi:type="xsd:double"&gt;16.1212133405652&lt;/D&gt;&lt;D xsi:type="xsd:double"&gt;16.1043503120425&lt;/D&gt;&lt;D xsi:type="xsd:double"&gt;16.0178449524797&lt;/D&gt;&lt;D xsi:type="xsd:double"&gt;15.9730234840053&lt;/D&gt;&lt;D xsi:type="xsd:double"&gt;15.3851090484051&lt;/D&gt;&lt;D xsi:type="xsd:double"&gt;15.9516518666437&lt;/D&gt;&lt;D xsi:type="xsd:double"&gt;15.5628126435165&lt;/D&gt;&lt;D xsi:type="xsd:double"&gt;14.7847860815145&lt;/D&gt;&lt;D xsi:type="xsd:double"&gt;14.7247775982052&lt;/D&gt;&lt;D xsi:type="xsd:double"&gt;14.542371514394&lt;/D&gt;&lt;D xsi:type="xsd:double"&gt;14.2432892334079&lt;/D&gt;&lt;D xsi:type="xsd:double"&gt;13.9019061177273&lt;/D&gt;&lt;D xsi:type="xsd:double"&gt;13.6941631044532&lt;/D&gt;&lt;D xsi:type="xsd:double"&gt;13.5316065036366&lt;/D&gt;&lt;D xsi:type="xsd:double"&gt;13.3087133336742&lt;/D&gt;&lt;D xsi:type="xsd:double"&gt;13.0786834530811&lt;/D&gt;&lt;D xsi:type="xsd:double"&gt;11.9928753142555&lt;/D&gt;&lt;D xsi:type="xsd:double"&gt;11.5870356765757&lt;/D&gt;&lt;D xsi:type="xsd:double"&gt;11.3563793764465&lt;/D&gt;&lt;D xsi:type="xsd:double"&gt;10.7865735056564&lt;/D&gt;&lt;D xsi:type="xsd:double"&gt;9.80094492596696&lt;/D&gt;&lt;D xsi:type="xsd:double"&gt;10.1552169942745&lt;/D&gt;&lt;D xsi:type="xsd:double"&gt;9.81600638523285&lt;/D&gt;&lt;D xsi:type="xsd:double"&gt;9.1309871481165&lt;/D&gt;&lt;D xsi:type="xsd:double"&gt;9.46068071869833&lt;/D&gt;&lt;D xsi:type="xsd:double"&gt;10.7205783347505&lt;/D&gt;&lt;D xsi:type="xsd:double"&gt;10.4587758716492&lt;/D&gt;&lt;D xsi:type="xsd:double"&gt;11.4449196928474&lt;/D&gt;&lt;D xsi:type="xsd:double"&gt;11.6170315329714&lt;/D&gt;&lt;D xsi:type="xsd:double"&gt;11.1881269644623&lt;/D&gt;&lt;D xsi:type="xsd:double"&gt;11.4576440994146&lt;/D&gt;&lt;D xsi:type="xsd:double"&gt;11.0698901740842&lt;/D&gt;&lt;D xsi:type="xsd:double"&gt;10.6678657593842&lt;/D&gt;&lt;D xsi:type="xsd:double"&gt;10.8329910250051&lt;/D&gt;&lt;D xsi:type="xsd:double"&gt;10.535529829823&lt;/D&gt;&lt;D xsi:type="xsd:double"&gt;10.4771316784916&lt;/D&gt;&lt;D xsi:type="xsd:double"&gt;9.88370560982022&lt;/D&gt;&lt;D xsi:type="xsd:double"&gt;10.7816197586674&lt;/D&gt;&lt;D xsi:type="xsd:double"&gt;11.1672309993294&lt;/D&gt;&lt;D xsi:type="xsd:double"&gt;11.0955271340755&lt;/D&gt;&lt;D xsi:type="xsd:double"&gt;11.8631833013029&lt;/D&gt;&lt;D xsi:type="xsd:double"&gt;12.2084607046162&lt;/D&gt;&lt;D xsi:type="xsd:double"&gt;12.090250469953&lt;/D&gt;&lt;D xsi:type="xsd:double"&gt;12.0233556645618&lt;/D&gt;&lt;D xsi:type="xsd:double"&gt;11.6235436863165&lt;/D&gt;&lt;D xsi:type="xsd:double"&gt;11.9272743314936&lt;/D&gt;&lt;D xsi:type="xsd:double"&gt;11.9331618494449&lt;/D&gt;&lt;D xsi:type="xsd:double"&gt;12.2068099097259&lt;/D&gt;&lt;/FQL&gt;&lt;FQL&gt;&lt;Q&gt;PASP-FDS^FG_PRICE_CHANGE(0,-6AM)&lt;/Q&gt;&lt;R&gt;1&lt;/R&gt;&lt;C&gt;1&lt;/C&gt;&lt;D xsi:type="xsd:double"&gt;5.3921568627451&lt;/D&gt;&lt;/FQL&gt;&lt;FQL&gt;&lt;Q&gt;BRENT-FDS^FG_PRICE_CHANGE(0,-6AM)&lt;/Q&gt;&lt;R&gt;1&lt;/R&gt;&lt;C&gt;1&lt;/C&gt;&lt;D xsi:type="xsd:double"&gt;0&lt;/D&gt;&lt;/FQL&gt;&lt;FQL&gt;&lt;Q&gt;EWD^FG_PRICE_MAVG(0,,,,60)&lt;/Q&gt;&lt;R&gt;1&lt;/R&gt;&lt;C&gt;1&lt;/C&gt;&lt;D xsi:type="xsd:double"&gt;40.5055&lt;/D&gt;&lt;/FQL&gt;&lt;FQL&gt;&lt;Q&gt;EWC^FG_PRICE(0)&lt;/Q&gt;&lt;R&gt;1&lt;/R&gt;&lt;C&gt;1&lt;/C&gt;&lt;D xsi:type="xsd:double"&gt;41.33&lt;/D&gt;&lt;/FQL&gt;&lt;FQL&gt;&lt;Q&gt;EWJ^P_PRICE(0)/P_PRICE_HIGH_PR(0,,,,,,"PRICE","INTRA","52W")&lt;/Q&gt;&lt;R&gt;1&lt;/R&gt;&lt;C&gt;1&lt;/C&gt;&lt;D xsi:type="xsd:double"&gt;0.99122024&lt;/D&gt;&lt;/FQL&gt;&lt;FQL&gt;&lt;Q&gt;EWI^FG_TOTAL_RETURNC(0,-1AM)&lt;/Q&gt;&lt;R&gt;1&lt;/R&gt;&lt;C&gt;1&lt;/C&gt;&lt;D xsi:type="xsd:double"&gt;-0.012999773&lt;/D&gt;&lt;/FQL&gt;&lt;FQL&gt;&lt;Q&gt;EWN^PERCENT_CHANGE(FMA_EPS(+1,0,,,,"PORTAGG","MEAN"),FMA_EPS(+1,-3AM,,,,"PORTAGG","MEAN"))&lt;/Q&gt;&lt;R&gt;1&lt;/R&gt;&lt;C&gt;1&lt;/C&gt;&lt;D xsi:type="xsd:double"&gt;3.00099837390546&lt;/D&gt;&lt;/FQL&gt;&lt;FQL&gt;&lt;Q&gt;QQQ^FG_TOTAL_RETURNC(0,-12AM)&lt;/Q&gt;&lt;R&gt;1&lt;/R&gt;&lt;C&gt;1&lt;/C&gt;&lt;D xsi:type="xsd:double"&gt;36.042667&lt;/D&gt;&lt;/FQL&gt;&lt;FQL&gt;&lt;Q&gt;EWG^P_PRICE(0)/P_PRICE_HIGH_PR(0,,,,,,"PRICE","INTRA","52W")&lt;/Q&gt;&lt;R&gt;1&lt;/R&gt;&lt;C&gt;1&lt;/C&gt;&lt;D xsi:type="xsd:double"&gt;0.98735696&lt;/D&gt;&lt;/FQL&gt;&lt;FQL&gt;&lt;Q&gt;EWA^FG_TOTAL_RETURNC(0,-6AM)&lt;/Q&gt;&lt;R&gt;1&lt;/R&gt;&lt;C&gt;1&lt;/C&gt;&lt;D xsi:type="xsd:double"&gt;11.845088&lt;/D&gt;&lt;/FQL&gt;&lt;FQL&gt;&lt;Q&gt;EWL^FMA_ROE(NTMA,-20AY,NOW,FY,"PORTAGG","MEANR")&lt;/Q&gt;&lt;R&gt;20&lt;/R&gt;&lt;C&gt;1&lt;/C&gt;&lt;D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xsi:type="xsd:double"&gt;21.984322&lt;/D&gt;&lt;/FQL&gt;&lt;FQL&gt;&lt;Q&gt;EWD^SIZE(FG_CONSTITUENTS)&lt;/Q&gt;&lt;R&gt;1&lt;/R&gt;&lt;C&gt;1&lt;/C&gt;&lt;D xsi:type="xsd:long"&gt;47&lt;/D&gt;&lt;/FQL&gt;&lt;FQL&gt;&lt;Q&gt;EWC^FMA_RBICS_REV_CURRENT(30, LOC, "PORTAGG")&lt;/Q&gt;&lt;R&gt;1&lt;/R&gt;&lt;C&gt;1&lt;/C&gt;&lt;D xsi:type="xsd:double"&gt;40.9197765683473&lt;/D&gt;&lt;/FQL&gt;&lt;FQL&gt;&lt;Q&gt;EWG^FMA_EVAL_EBITDA(NTMA,0,,,"PORTAGG","MEANR")&lt;/Q&gt;&lt;R&gt;1&lt;/R&gt;&lt;C&gt;1&lt;/C&gt;&lt;D xsi:type="xsd:double"&gt;8.59814446005878&lt;/D&gt;&lt;/FQL&gt;&lt;FQL&gt;&lt;Q&gt;CAGDPY@US^EE_ACTUAL_ANNUAL(MED,+1)&lt;/Q&gt;&lt;R&gt;1&lt;/R&gt;&lt;C&gt;1&lt;/C&gt;&lt;D xsi:type="xsd:double"&gt;-3.3&lt;/D&gt;&lt;/FQL&gt;&lt;FQL&gt;&lt;Q&gt;USDSEK^FG_PRICE_CHANGE(0,-3AM)&lt;/Q&gt;&lt;R&gt;1&lt;/R&gt;&lt;C&gt;1&lt;/C&gt;&lt;D xsi:type="xsd:double"&gt;-3.2829463&lt;/D&gt;&lt;/FQL&gt;&lt;FQL&gt;&lt;Q&gt;USDCHF^FG_PRICE(0)&lt;/Q&gt;&lt;R&gt;1&lt;/R&gt;&lt;C&gt;1&lt;/C&gt;&lt;D xsi:type="xsd:double"&gt;0.84785&lt;/D&gt;&lt;/FQL&gt;&lt;FQL&gt;&lt;Q&gt;USDGBP^STD(FG_PRICE_CHANGE(0,-1AY,AM))&lt;/Q&gt;&lt;R&gt;1&lt;/R&gt;&lt;C&gt;1&lt;/C&gt;&lt;D xsi:type="xsd:double"&gt;1.75893683359968&lt;/D&gt;&lt;/FQL&gt;&lt;FQL&gt;&lt;Q&gt;USDJPY^FG_PRICE(0)&lt;/Q&gt;&lt;R&gt;1&lt;/R&gt;&lt;C&gt;1&lt;/C&gt;&lt;D xsi:type="xsd:double"&gt;143.745&lt;/D&gt;&lt;/FQL&gt;&lt;FQL&gt;&lt;Q&gt;USDAUD^STD(FG_PRICE_CHANGE(0,-1AY,AM))&lt;/Q&gt;&lt;R&gt;1&lt;/R&gt;&lt;C&gt;1&lt;/C&gt;&lt;D xsi:type="xsd:double"&gt;2.12381329690085&lt;/D&gt;&lt;/FQL&gt;&lt;FQL&gt;&lt;Q&gt;EWG^P_PRICE_RETURNS_PR('52W',2,-10AY,0,AM)&lt;/Q&gt;&lt;R&gt;121&lt;/R&gt;&lt;C&gt;1&lt;/C&gt;&lt;D xsi:type="xsd:double"&gt;4.5421124&lt;/D&gt;&lt;D xsi:type="xsd:double"&gt;-7.9034686&lt;/D&gt;&lt;D xsi:type="xsd:double"&gt;-3.9726138&lt;/D&gt;&lt;D xsi:type="xsd:double"&gt;-8.086025&lt;/D&gt;&lt;D xsi:type="xsd:double"&gt;-10.209256&lt;/D&gt;&lt;D xsi:type="xsd:double"&gt;-4.9604535&lt;/D&gt;&lt;D xsi:type="xsd:double"&gt;1.0804415&lt;/D&gt;&lt;D xsi:type="xsd:double"&gt;-3.6720037&lt;/D&gt;&lt;D xsi:type="xsd:double"&gt;-2.1956086&lt;/D&gt;&lt;D xsi:type="xsd:double"&gt;-4.7073603&lt;/D&gt;&lt;D xsi:type="xsd:double"&gt;-4.3078957&lt;/D&gt;&lt;D xsi:type="xsd:double"&gt;-8.6908455&lt;/D&gt;&lt;D xsi:type="xsd:double"&gt;-12.365776&lt;/D&gt;&lt;D xsi:type="xsd:double"&gt;4.226172&lt;/D&gt;&lt;D xsi:type="xsd:double"&gt;-2.8285503&lt;/D&gt;&lt;D xsi:type="xsd:double"&gt;-2.730447&lt;/D&gt;&lt;D xsi:type="xsd:double"&gt;-11.5121&lt;/D&gt;&lt;D xsi:type="xsd:double"&gt;-18.044514&lt;/D&gt;&lt;D xsi:type="xsd:double"&gt;-14.36171&lt;/D&gt;&lt;D xsi:type="xsd:double"&gt;-9.214878&lt;/D&gt;&lt;D xsi:type="xsd:double"&gt;-15.119326&lt;/D&gt;&lt;D xsi:type="xsd:double"&gt;-9.245282&lt;/D&gt;&lt;D xsi:type="xsd:double"&gt;-11.529636&lt;/D&gt;&lt;D xsi:type="xsd:double"&gt;4.6352983&lt;/D&gt;&lt;D xsi:type="xsd:double"&gt;10.046661&lt;/D&gt;&lt;D xsi:type="xsd:double"&gt;0.52375793&lt;/D&gt;&lt;D xsi:type="xsd:double"&gt;-4.891938&lt;/D&gt;&lt;D xsi:type="xsd:double"&gt;0.629282&lt;/D&gt;&lt;D xsi:type="xsd:double"&gt;15.898347&lt;/D&gt;&lt;D xsi:type="xsd:double"&gt;20.191204&lt;/D&gt;&lt;D xsi:type="xsd:double"&gt;14.311325&lt;/D&gt;&lt;D xsi:type="xsd:double"&gt;8.881235&lt;/D&gt;&lt;D xsi:type="xsd:double"&gt;26.067139&lt;/D&gt;&lt;D xsi:type="xsd:double"&gt;19.606245&lt;/D&gt;&lt;D xsi:type="xsd:double"&gt;26.130867&lt;/D&gt;&lt;D xsi:type="xsd:double"&gt;18.525421&lt;/D&gt;&lt;D xsi:type="xsd:double"&gt;23.693192&lt;/D&gt;&lt;D xsi:type="xsd:double"&gt;28.385902&lt;/D&gt;&lt;D xsi:type="xsd:double"&gt;33.40242&lt;/D&gt;&lt;D xsi:type="xsd:double"&gt;28.77729&lt;/D&gt;&lt;D xsi:type="xsd:double"&gt;33.221268&lt;/D&gt;&lt;D xsi:type="xsd:double"&gt;21.80022&lt;/D&gt;&lt;D xsi:type="xsd:double"&gt;12.796366&lt;/D&gt;&lt;D xsi:type="xsd:double"&gt;18.433523&lt;/D&gt;&lt;D xsi:type="xsd:double"&gt;7.3183656&lt;/D&gt;&lt;D xsi:type="xsd:double"&gt;3.0092478&lt;/D&gt;&lt;D xsi:type="xsd:double"&gt;3.1417727&lt;/D&gt;&lt;D xsi:type="xsd:double"&gt;-0.15320778&lt;/D&gt;&lt;D xsi:type="xsd:double"&gt;-2.2801518&lt;/D&gt;&lt;D xsi:type="xsd:double"&gt;-13.644875&lt;/D&gt;&lt;D xsi:type="xsd:double"&gt;-16.910612&lt;/D&gt;&lt;D xsi:type="xsd:double"&gt;-22.965305&lt;/D&gt;&lt;D xsi:type="xsd:double"&gt;-24.216187&lt;/D&gt;&lt;D xsi:type="xsd:double"&gt;-15.832692&lt;/D&gt;&lt;D xsi:type="xsd:double"&gt;-13.6100235&lt;/D&gt;&lt;D xsi:type="xsd:double"&gt;-10.839546&lt;/D&gt;&lt;D xsi:type="xsd:double"&gt;-13.42153&lt;/D&gt;&lt;D xsi:type="xsd:double"&gt;-5.9959707&lt;/D&gt;&lt;D xsi:type="xsd:double"&gt;-7.466638&lt;/D&gt;&lt;D xsi:type="xsd:double"&gt;-12.107593&lt;/D&gt;&lt;D xsi:type="xsd:double"&gt;-9.219933&lt;/D&gt;&lt;D xsi:type="xsd:double"&gt;6.646061&lt;/D&gt;&lt;D xsi:type="xsd:double"&gt;10.470188&lt;/D&gt;&lt;D xsi:type="xsd:double"&gt;20.776962&lt;/D&gt;&lt;D xsi:type="xsd:double"&gt;15.398323&lt;/D&gt;&lt;D xsi:type="xsd:double"&gt;11.0896&lt;/D&gt;&lt;D xsi:type="xsd:double"&gt;-28.5733&lt;/D&gt;&lt;D xsi:type="xsd:double"&gt;-20.114511&lt;/D&gt;&lt;D xsi:type="xsd:double"&gt;-10.645819&lt;/D&gt;&lt;D xsi:type="xsd:double"&gt;0.13289452&lt;/D&gt;&lt;D xsi:type="xsd:double"&gt;6.9072843&lt;/D&gt;&lt;D xsi:type="xsd:double"&gt;14.0456915&lt;/D&gt;&lt;D xsi:type="xsd:double"&gt;6.726992&lt;/D&gt;&lt;D xsi:type="xsd:double"&gt;4.6007037&lt;/D&gt;&lt;D xsi:type="xsd:double"&gt;5.452764&lt;/D&gt;&lt;D xsi:type="xsd:double"&gt;10.827661&lt;/D&gt;&lt;D xsi:type="xsd:double"&gt;11.795282&lt;/D&gt;&lt;D xsi:type="xsd:double"&gt;13.656998&lt;/D&gt;&lt;D xsi:type="xsd:double"&gt;82.176186&lt;/D&gt;&lt;D xsi:type="xsd:double"&gt;61.735474&lt;/D&gt;&lt;D xsi:type="xsd:double"&gt;50.69879&lt;/D&gt;&lt;D xsi:type="xsd:double"&gt;29.520966&lt;/D&gt;&lt;D xsi:type="xsd:double"&gt;21.366001&lt;/D&gt;&lt;D xsi:type="xsd:double"&gt;21.85024&lt;/D&gt;&lt;D xsi:type="xsd:double"&gt;23.836279&lt;/D&gt;&lt;D xsi:type="xsd:double"&gt;19.419086&lt;/D&gt;&lt;D xsi:type="xsd:double"&gt;13.78088&lt;/D&gt;&lt;D xsi:type="xsd:double"&gt;5.3040504&lt;/D&gt;&lt;D xsi:type="xsd:double"&gt;0.78982115&lt;/D&gt;&lt;D xsi:type="xsd:double"&gt;-4.9631176&lt;/D&gt;&lt;D xsi:type="xsd:double"&gt;-12.761366&lt;/D&gt;&lt;D xsi:type="xsd:double"&gt;-20.216347&lt;/D&gt;&lt;D xsi:type="xsd:double"&gt;-23.029709&lt;/D&gt;&lt;D xsi:type="xsd:double"&gt;-29.765743&lt;/D&gt;&lt;D xsi:type="xsd:double"&gt;-30.535925&lt;/D&gt;&lt;D xsi:type="xsd:double"&gt;-33.97749&lt;/D&gt;&lt;D xsi:type="xsd:double"&gt;-39.221497&lt;/D&gt;&lt;D xsi:type="xsd:double"&gt;-34.304703&lt;/D&gt;&lt;D xsi:type="xsd:double"&gt;-21.691864&lt;/D&gt;&lt;D xsi:type="xsd:double"&gt;-21.802784&lt;/D&gt;&lt;D xsi:type="xsd:double"&gt;-10.490799&lt;/D&gt;&lt;D xsi:type="xsd:double"&gt;-4.438472&lt;/D&gt;&lt;D xsi:type="xsd:double"&gt;0.48897266&lt;/D&gt;&lt;D xsi:type="xsd:double"&gt;9.171009&lt;/D&gt;&lt;D xsi:type="xsd:double"&gt;11.395348&lt;/D&gt;&lt;D xsi:type="xsd:double"&gt;22.835123&lt;/D&gt;&lt;D xsi:type="xsd:double"&gt;29.870165&lt;/D&gt;&lt;D xsi:type="xsd:double"&gt;28.35945&lt;/D&gt;&lt;D xsi:type="xsd:double"&gt;31.352388&lt;/D&gt;&lt;D xsi:type="xsd:double"&gt;22.618628&lt;/D&gt;&lt;D xsi:type="xsd:double"&gt;15.416336&lt;/D&gt;&lt;D xsi:type="xsd:double"&gt;23.001528&lt;/D&gt;&lt;D xsi:type="xsd:double"&gt;6.3643336&lt;/D&gt;&lt;D xsi:type="xsd:double"&gt;11.735988&lt;/D&gt;&lt;D xsi:type="xsd:double"&gt;17.210602&lt;/D&gt;&lt;D xsi:type="xsd:double"&gt;8.615732&lt;/D&gt;&lt;D xsi:type="xsd:double"&gt;13.799774&lt;/D&gt;&lt;D xsi:type="xsd:double"&gt;8.932853&lt;/D&gt;&lt;D xsi:type="xsd:double"&gt;10.571098&lt;/D&gt;&lt;D xsi:type="xsd:double"&gt;20.149744&lt;/D&gt;&lt;D xsi:type="xsd:double"&gt;25.836014&lt;/D&gt;&lt;/FQL&gt;&lt;FQL&gt;&lt;Q&gt;EWI^FMA_DIV_YLD(NTMA,-10AY,0,AM,"PORTAGG","MEANR")&lt;/Q&gt;&lt;R&gt;121&lt;/R&gt;&lt;C&gt;1&lt;/C&gt;&lt;D xsi:type="xsd:double"&gt;3.65284903044768&lt;/D&gt;&lt;D xsi:type="xsd:double"&gt;3.93933944108674&lt;/D&gt;&lt;D xsi:type="xsd:double"&gt;3.85010389528602&lt;/D&gt;&lt;D xsi:type="xsd:double"&gt;3.99839154100899&lt;/D&gt;&lt;D xsi:type="xsd:double"&gt;3.81629675964404&lt;/D&gt;&lt;D xsi:type="xsd:double"&gt;3.46693791630581&lt;/D&gt;&lt;D xsi:type="xsd:double"&gt;3.11680037724309&lt;/D&gt;&lt;D xsi:type="xsd:double"&gt;3.15605517259463&lt;/D&gt;&lt;D xsi:type="xsd:double"&gt;3.12909749985921&lt;/D&gt;&lt;D xsi:type="xsd:double"&gt;3.23352053855374&lt;/D&gt;&lt;D xsi:type="xsd:double"&gt;3.18646829345721&lt;/D&gt;&lt;D xsi:type="xsd:double"&gt;3.39851660392416&lt;/D&gt;&lt;D xsi:type="xsd:double"&gt;3.5656296268021&lt;/D&gt;&lt;D xsi:type="xsd:double"&gt;3.49763919995114&lt;/D&gt;&lt;D xsi:type="xsd:double"&gt;3.60964861618906&lt;/D&gt;&lt;D xsi:type="xsd:double"&gt;3.80850686903831&lt;/D&gt;&lt;D xsi:type="xsd:double"&gt;4.34855988216155&lt;/D&gt;&lt;D xsi:type="xsd:double"&gt;4.6473255246591&lt;/D&gt;&lt;D xsi:type="xsd:double"&gt;4.2846996611736&lt;/D&gt;&lt;D xsi:type="xsd:double"&gt;4.29429495090454&lt;/D&gt;&lt;D xsi:type="xsd:double"&gt;4.67652158448576&lt;/D&gt;&lt;D xsi:type="xsd:double"&gt;4.57479202523624&lt;/D&gt;&lt;D xsi:type="xsd:double"&gt;4.7465585994739&lt;/D&gt;&lt;D xsi:type="xsd:double"&gt;4.75208193889482&lt;/D&gt;&lt;D xsi:type="xsd:double"&gt;4.94816311757233&lt;/D&gt;&lt;D xsi:type="xsd:double"&gt;4.78672542112014&lt;/D&gt;&lt;D xsi:type="xsd:double"&gt;4.84222460810718&lt;/D&gt;&lt;D xsi:type="xsd:double"&gt;4.26939921045352&lt;/D&gt;&lt;D xsi:type="xsd:double"&gt;4.351957216252&lt;/D&gt;&lt;D xsi:type="xsd:double"&gt;4.33838962071971&lt;/D&gt;&lt;D xsi:type="xsd:double"&gt;3.9647620896871&lt;/D&gt;&lt;D xsi:type="xsd:double"&gt;4.07307281644726&lt;/D&gt;&lt;D xsi:type="xsd:double"&gt;3.79858071992269&lt;/D&gt;&lt;D xsi:type="xsd:double"&gt;3.8194108471734&lt;/D&gt;&lt;D xsi:type="xsd:double"&gt;3.80310760004875&lt;/D&gt;&lt;D xsi:type="xsd:double"&gt;3.79037719707726&lt;/D&gt;&lt;D xsi:type="xsd:double"&gt;3.68476308732057&lt;/D&gt;&lt;D xsi:type="xsd:double"&gt;3.83537531148866&lt;/D&gt;&lt;D xsi:type="xsd:double"&gt;3.88406023801923&lt;/D&gt;&lt;D xsi:type="xsd:double"&gt;3.91263972212497&lt;/D&gt;&lt;D xsi:type="xsd:double"&gt;3.71700004288391&lt;/D&gt;&lt;D xsi:type="xsd:double"&gt;3.95198749149545&lt;/D&gt;&lt;D xsi:type="xsd:double"&gt;4.1280854449308&lt;/D&gt;&lt;D xsi:type="xsd:double"&gt;3.87910499248391&lt;/D&gt;&lt;D xsi:type="xsd:double"&gt;4.16087097349717&lt;/D&gt;&lt;D xsi:type="xsd:double"&gt;4.42448634021461&lt;/D&gt;&lt;D xsi:type="xsd:double"&gt;4.49205456115569&lt;/D&gt;&lt;D xsi:type="xsd:double"&gt;4.66599843515949&lt;/D&gt;&lt;D xsi:type="xsd:double"&gt;4.51950342756652&lt;/D&gt;&lt;D xsi:type="xsd:double"&gt;5.15850814964598&lt;/D&gt;&lt;D xsi:type="xsd:double"&gt;5.21734128570538&lt;/D&gt;&lt;D xsi:type="xsd:double"&gt;5.39738084223837&lt;/D&gt;&lt;D xsi:type="xsd:double"&gt;5.16814545894312&lt;/D&gt;&lt;D xsi:type="xsd:double"&gt;4.90212627655978&lt;/D&gt;&lt;D xsi:type="xsd:double"&gt;4.72151203729755&lt;/D&gt;&lt;D xsi:type="xsd:double"&gt;4.61217215381162&lt;/D&gt;&lt;D xsi:type="xsd:double"&gt;5.02611906350268&lt;/D&gt;&lt;D xsi:type="xsd:double"&gt;4.78640494717272&lt;/D&gt;&lt;D xsi:type="xsd:double"&gt;4.69518217564865&lt;/D&gt;&lt;D xsi:type="xsd:double"&gt;5.07430684303714&lt;/D&gt;&lt;D xsi:type="xsd:double"&gt;4.77235334357715&lt;/D&gt;&lt;D xsi:type="xsd:double"&gt;4.69858921982651&lt;/D&gt;&lt;D xsi:type="xsd:double"&gt;4.59007552315308&lt;/D&gt;&lt;D xsi:type="xsd:double"&gt;4.41650377597292&lt;/D&gt;&lt;D xsi:type="xsd:double"&gt;4.52335718276416&lt;/D&gt;&lt;D xsi:type="xsd:double"&gt;4.47502496779332&lt;/D&gt;&lt;D xsi:type="xsd:double"&gt;6.83041412409727&lt;/D&gt;&lt;D xsi:type="xsd:double"&gt;5.65858533322956&lt;/D&gt;&lt;D xsi:type="xsd:double"&gt;4.98196728784672&lt;/D&gt;&lt;D xsi:type="xsd:double"&gt;4.25559207538938&lt;/D&gt;&lt;D xsi:type="xsd:double"&gt;4.21039337168933&lt;/D&gt;&lt;D xsi:type="xsd:double"&gt;4.00362524036283&lt;/D&gt;&lt;D xsi:type="xsd:double"&gt;4.21289007441711&lt;/D&gt;&lt;D xsi:type="xsd:double"&gt;4.18603633653711&lt;/D&gt;&lt;D xsi:type="xsd:double"&gt;3.94965676218022&lt;/D&gt;&lt;D xsi:type="xsd:double"&gt;3.94378977438249&lt;/D&gt;&lt;D xsi:type="xsd:double"&gt;4.06468950827017&lt;/D&gt;&lt;D xsi:type="xsd:double"&gt;4.09069025450562&lt;/D&gt;&lt;D xsi:type="xsd:double"&gt;4.07557981135524&lt;/D&gt;&lt;D xsi:type="xsd:double"&gt;4.14396536293711&lt;/D&gt;&lt;D xsi:type="xsd:double"&gt;4.15366320886539&lt;/D&gt;&lt;D xsi:type="xsd:double"&gt;4.14419769596958&lt;/D&gt;&lt;D xsi:type="xsd:double"&gt;4.23842530451907&lt;/D&gt;&lt;D xsi:type="xsd:double"&gt;4.36902743793897&lt;/D&gt;&lt;D xsi:type="xsd:double"&gt;4.47090828778667&lt;/D&gt;&lt;D xsi:type="xsd:double"&gt;4.39536471599871&lt;/D&gt;&lt;D xsi:type="xsd:double"&gt;4.43773740127256&lt;/D&gt;&lt;D xsi:type="xsd:double"&gt;4.63429873501195&lt;/D&gt;&lt;D xsi:type="xsd:double"&gt;4.70647427123215&lt;/D&gt;&lt;D xsi:type="xsd:double"&gt;4.9793132839912&lt;/D&gt;&lt;D xsi:type="xsd:double"&gt;5.22276556217608&lt;/D&gt;&lt;D xsi:type="xsd:double"&gt;5.17446238005593&lt;/D&gt;&lt;D xsi:type="xsd:double"&gt;5.18560260636232&lt;/D&gt;&lt;D xsi:type="xsd:double"&gt;5.86856554422439&lt;/D&gt;&lt;D xsi:type="xsd:double"&gt;6.01246851902318&lt;/D&gt;&lt;D xsi:type="xsd:double"&gt;5.68281413413286&lt;/D&gt;&lt;D xsi:type="xsd:double"&gt;5.94355252174508&lt;/D&gt;&lt;D xsi:type="xsd:double"&gt;6.00453404510024&lt;/D&gt;&lt;D xsi:type="xsd:double"&gt;5.46263339532368&lt;/D&gt;&lt;D xsi:type="xsd:double"&gt;5.8802974859583&lt;/D&gt;&lt;D xsi:type="xsd:double"&gt;5.4968568901818&lt;/D&gt;&lt;D xsi:type="xsd:double"&gt;5.54608239241193&lt;/D&gt;&lt;D xsi:type="xsd:double"&gt;5.55146555395202&lt;/D&gt;&lt;D xsi:type="xsd:double"&gt;5.31556047976343&lt;/D&gt;&lt;D xsi:type="xsd:double"&gt;5.58259610214361&lt;/D&gt;&lt;D xsi:type="xsd:double"&gt;5.47191788760625&lt;/D&gt;&lt;D xsi:type="xsd:double"&gt;5.21068288834228&lt;/D&gt;&lt;D xsi:type="xsd:double"&gt;5.58248396487025&lt;/D&gt;&lt;D xsi:type="xsd:double"&gt;5.4539415018297&lt;/D&gt;&lt;D xsi:type="xsd:double"&gt;5.70127175459464&lt;/D&gt;&lt;D xsi:type="xsd:double"&gt;5.56541279443337&lt;/D&gt;&lt;D xsi:type="xsd:double"&gt;5.47095302501127&lt;/D&gt;&lt;D xsi:type="xsd:double"&gt;5.49674750940831&lt;/D&gt;&lt;D xsi:type="xsd:double"&gt;5.27753454048039&lt;/D&gt;&lt;D xsi:type="xsd:double"&gt;5.12571666578269&lt;/D&gt;&lt;D xsi:type="xsd:double"&gt;5.19550801737334&lt;/D&gt;&lt;D xsi:type="xsd:double"&gt;5.25089423714367&lt;/D&gt;&lt;D xsi:type="xsd:double"&gt;5.44918847355691&lt;/D&gt;&lt;D xsi:type="xsd:double"&gt;5.25890453606014&lt;/D&gt;&lt;D xsi:type="xsd:double"&gt;5.38934745684382&lt;/D&gt;&lt;D xsi:type="xsd:double"&gt;5.32968494987301&lt;/D&gt;&lt;/FQL&gt;&lt;FQL&gt;&lt;Q&gt;ENZL^JULIAN(FMA_DIV_YLD(LTMA,-10AY,0,AM,"PORTAGG","MEANR").DATES)&lt;/Q&gt;&lt;R&gt;121&lt;/R&gt;&lt;C&gt;1&lt;/C&gt;&lt;D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xsi:type="xsd:long"&gt;45554&lt;/D&gt;&lt;/FQL&gt;&lt;FQL&gt;&lt;Q&gt;PLATI-FDS^FG_PRICE_CHANGE(0,-1AM)&lt;/Q&gt;&lt;R&gt;1&lt;/R&gt;&lt;C&gt;1&lt;/C&gt;&lt;D xsi:type="xsd:double"&gt;4.09233997901364&lt;/D&gt;&lt;/FQL&gt;&lt;FQL&gt;&lt;Q&gt;TIOS-FDS^FG_PRICE_CHANGE(0,-1AM)&lt;/Q&gt;&lt;R&gt;1&lt;/R&gt;&lt;C&gt;1&lt;/C&gt;&lt;D xsi:type="xsd:double"&gt;-6.24171341152472&lt;/D&gt;&lt;/FQL&gt;&lt;FQL&gt;&lt;Q&gt;QQQ^FG_PRICE(0)&lt;/Q&gt;&lt;R&gt;1&lt;/R&gt;&lt;C&gt;1&lt;/C&gt;&lt;D xsi:type="xsd:double"&gt;483.6&lt;/D&gt;&lt;/FQL&gt;&lt;FQL&gt;&lt;Q&gt;QQQ^FG_COMPANY_NAME&lt;/Q&gt;&lt;R&gt;1&lt;/R&gt;&lt;C&gt;1&lt;/C&gt;&lt;D xsi:type="xsd:string"&gt;Invesco QQQ Trust Series I&lt;/D&gt;&lt;/FQL&gt;&lt;FQL&gt;&lt;Q&gt;EWJ^P_PRICE(0)/P_PRICE_LOW_PR(0,,,,,,"PRICE","INTRA","52W")-1&lt;/Q&gt;&lt;R&gt;1&lt;/R&gt;&lt;C&gt;1&lt;/C&gt;&lt;D xsi:type="xsd:double"&gt;0.25332165&lt;/D&gt;&lt;/FQL&gt;&lt;FQL&gt;&lt;Q&gt;EWI^FG_TOTAL_RETURNC(0,-6AM)&lt;/Q&gt;&lt;R&gt;1&lt;/R&gt;&lt;C&gt;1&lt;/C&gt;&lt;D xsi:type="xsd:double"&gt;5.340612&lt;/D&gt;&lt;/FQL&gt;&lt;FQL&gt;&lt;Q&gt;SPY^PERCENT_CHANGE(FMA_EPS(+1,0,,,,"PORTAGG","MEAN"),FMA_EPS(+1,-3AM,,,,"PORTAGG","MEAN"))&lt;/Q&gt;&lt;R&gt;1&lt;/R&gt;&lt;C&gt;1&lt;/C&gt;&lt;D xsi:type="xsd:double"&gt;-0.674109670906601&lt;/D&gt;&lt;/FQL&gt;&lt;FQL&gt;&lt;Q&gt;EWG^P_PRICE(0)/P_PRICE_LOW_PR(0,,,,,,"PRICE","INTRA","52W")-1&lt;/Q&gt;&lt;R&gt;1&lt;/R&gt;&lt;C&gt;1&lt;/C&gt;&lt;D xsi:type="xsd:double"&gt;0.3276664&lt;/D&gt;&lt;/FQL&gt;&lt;FQL&gt;&lt;Q&gt;EWA^P_PRICE(0)/P_PRICE_HIGH_PR(0,,,,,,"PRICE","INTRA","52W")&lt;/Q&gt;&lt;R&gt;1&lt;/R&gt;&lt;C&gt;1&lt;/C&gt;&lt;D xsi:type="xsd:double"&gt;0.9894052&lt;/D&gt;&lt;/FQL&gt;&lt;FQL&gt;&lt;Q&gt;SPY^SIZE(FG_CONSTITUENTS)&lt;/Q&gt;&lt;R&gt;1&lt;/R&gt;&lt;C&gt;1&lt;/C&gt;&lt;D xsi:type="xsd:long"&gt;503&lt;/D&gt;&lt;/FQL&gt;&lt;FQL&gt;&lt;Q&gt;REFAUCASH-FDS^PROPER_NAME(0,,,"SECURITY","NAME")&lt;/Q&gt;&lt;R&gt;1&lt;/R&gt;&lt;C&gt;1&lt;/C&gt;&lt;D xsi:type="xsd:string"&gt;Australia Target Cash Rate&lt;/D&gt;&lt;/FQL&gt;&lt;FQL&gt;&lt;Q&gt;TRYNL10Y-FDS^FG_YIELD_NAME&lt;/Q&gt;&lt;R&gt;1&lt;/R&gt;&lt;C&gt;1&lt;/C&gt;&lt;D xsi:type="xsd:string"&gt;Netherlands Benchmark Bond - 10 Year&lt;/D&gt;&lt;/FQL&gt;&lt;FQL&gt;&lt;Q&gt;VWO^FG_PE(0)&lt;/Q&gt;&lt;R&gt;1&lt;/R&gt;&lt;C&gt;1&lt;/C&gt;&lt;D xsi:type="xsd:double"&gt;15.1276869728042&lt;/D&gt;&lt;/FQL&gt;&lt;FQL&gt;&lt;Q&gt;USO^P_PRICE(0)/P_PRICE_HIGH_PR(0,,,USD,,,"PRICE","INTRA","52W")&lt;/Q&gt;&lt;R&gt;1&lt;/R&gt;&lt;C&gt;1&lt;/C&gt;&lt;D xsi:type="xsd:double"&gt;0.8665627&lt;/D&gt;&lt;/FQL&gt;&lt;FQL&gt;&lt;Q&gt;GLD^FG_TOTAL_RETURNC(0,-3AM)&lt;/Q&gt;&lt;R&gt;1&lt;/R&gt;&lt;C&gt;1&lt;/C&gt;&lt;D xsi:type="xsd:double"&gt;13.180923&lt;/D&gt;&lt;/FQL&gt;&lt;FQL&gt;&lt;Q&gt;EWJ^FMA_ROE(NTMA,-20AY,NOW,FY,"PORTAGG","MEANR")&lt;/Q&gt;&lt;R&gt;20&lt;/R&gt;&lt;C&gt;1&lt;/C&gt;&lt;D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xsi:type="xsd:double"&gt;9.22076567390079&lt;/D&gt;&lt;D xsi:type="xsd:double"&gt;9.22544557136732&lt;/D&gt;&lt;D xsi:type="xsd:double"&gt;9.29976871138421&lt;/D&gt;&lt;/FQL&gt;&lt;FQL&gt;&lt;Q&gt;TRYCN10Y-FDS^FG_YIELD(-10AY,0,Y,,"YTM")&lt;/Q&gt;&lt;R&gt;10&lt;/R&gt;&lt;C&gt;1&lt;/C&gt;&lt;D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xsi:type="xsd:double"&gt;2.574&lt;/D&gt;&lt;/FQL&gt;&lt;FQL&gt;&lt;Q&gt;EWN^SIZE(FG_CONSTITUENTS)&lt;/Q&gt;&lt;R&gt;1&lt;/R&gt;&lt;C&gt;1&lt;/C&gt;&lt;D xsi:type="xsd:long"&gt;55&lt;/D&gt;&lt;/FQL&gt;&lt;FQL&gt;&lt;Q&gt;EWA^FMA_RBICS_REV_CURRENT(30, LOC, "PORTAGG")&lt;/Q&gt;&lt;R&gt;1&lt;/R&gt;&lt;C&gt;1&lt;/C&gt;&lt;D xsi:type="xsd:double"&gt;43.4940120023799&lt;/D&gt;&lt;/FQL&gt;&lt;FQL&gt;&lt;Q&gt;REFFFUND-FDS^PROPER_NAME(0,,,"SECURITY","NAME")&lt;/Q&gt;&lt;R&gt;1&lt;/R&gt;&lt;C&gt;1&lt;/C&gt;&lt;D xsi:type="xsd:string"&gt;US Federal Funds Target Rate&lt;/D&gt;&lt;/FQL&gt;&lt;FQL&gt;&lt;Q&gt;TRYCH10Y-FDS^PCTCHG(FG_YIELD(0,,,,"YTM"),FG_YIELD(-1AM,,,,"YTM"))&lt;/Q&gt;&lt;R&gt;0&lt;/R&gt;&lt;C&gt;0&lt;/C&gt;&lt;/FQL&gt;&lt;FQL&gt;&lt;Q&gt;TRYNZ10Y-FDS^FG_YIELD(0,,,,"YTM")&lt;/Q&gt;&lt;R&gt;1&lt;/R&gt;&lt;C&gt;1&lt;/C&gt;&lt;D xsi:type="xsd:double"&gt;4.219&lt;/D&gt;&lt;/FQL&gt;&lt;FQL&gt;&lt;Q&gt;SPY^FMA_EVAL_EBITDA(NTMA,0,,,"PORTAGG","MEANR")&lt;/Q&gt;&lt;R&gt;1&lt;/R&gt;&lt;C&gt;1&lt;/C&gt;&lt;D xsi:type="xsd:double"&gt;14.7035276313793&lt;/D&gt;&lt;/FQL&gt;&lt;FQL&gt;&lt;Q&gt;EWU^FMA_PE(LTM,0,,,"PORTAGG","MEANR")&lt;/Q&gt;&lt;R&gt;1&lt;/R&gt;&lt;C&gt;1&lt;/C&gt;&lt;D xsi:type="xsd:double"&gt;13.9179801166469&lt;/D&gt;&lt;/FQL&gt;&lt;FQL&gt;&lt;Q&gt;EWG^FG_FCF_YIELD_NTM(0)&lt;/Q&gt;&lt;R&gt;1&lt;/R&gt;&lt;C&gt;1&lt;/C&gt;&lt;D xsi:type="xsd:double"&gt;5.87675630956271&lt;/D&gt;&lt;/FQL&gt;&lt;FQL&gt;&lt;Q&gt;EWA^JULIAN(FMA_DIV_YLD(NTMA,NOW,NOW,M,"PORTAGG","MEANR").DATES)&lt;/Q&gt;&lt;R&gt;1&lt;/R&gt;&lt;C&gt;1&lt;/C&gt;&lt;D xsi:type="xsd:long"&gt;45534&lt;/D&gt;&lt;/FQL&gt;&lt;FQL&gt;&lt;Q&gt;USDSEK^FG_PRICE_CHANGE(0,-1AM)&lt;/Q&gt;&lt;R&gt;1&lt;/R&gt;&lt;C&gt;1&lt;/C&gt;&lt;D xsi:type="xsd:double"&gt;-0.08435249&lt;/D&gt;&lt;/FQL&gt;&lt;FQL&gt;&lt;Q&gt;USDAUD^FG_PRICE_CHANGE(0,-6AM)&lt;/Q&gt;&lt;R&gt;1&lt;/R&gt;&lt;C&gt;1&lt;/C&gt;&lt;D xsi:type="xsd:double"&gt;-4.8244658&lt;/D&gt;&lt;/FQL&gt;&lt;FQL&gt;&lt;Q&gt;EWC^P_PRICE_RETURNS_PR('52W',2,-10AY,0,AM)&lt;/Q&gt;&lt;R&gt;121&lt;/R&gt;&lt;C&gt;1&lt;/C&gt;&lt;D xsi:type="xsd:double"&gt;13.205957&lt;/D&gt;&lt;D xsi:type="xsd:double"&gt;3.6972046&lt;/D&gt;&lt;D xsi:type="xsd:double"&gt;7.638335&lt;/D&gt;&lt;D xsi:type="xsd:double"&gt;1.8845439&lt;/D&gt;&lt;D xsi:type="xsd:double"&gt;-2.6522815&lt;/D&gt;&lt;D xsi:type="xsd:double"&gt;-2.3765266&lt;/D&gt;&lt;D xsi:type="xsd:double"&gt;-3.133428&lt;/D&gt;&lt;D xsi:type="xsd:double"&gt;-0.1154542&lt;/D&gt;&lt;D xsi:type="xsd:double"&gt;-5.406606&lt;/D&gt;&lt;D xsi:type="xsd:double"&gt;-11.444479&lt;/D&gt;&lt;D xsi:type="xsd:double"&gt;-21.58475&lt;/D&gt;&lt;D xsi:type="xsd:double"&gt;-26.09803&lt;/D&gt;&lt;D xsi:type="xsd:double"&gt;-25.148767&lt;/D&gt;&lt;D xsi:type="xsd:double"&gt;-15.796131&lt;/D&gt;&lt;D xsi:type="xsd:double"&gt;-24.04567&lt;/D&gt;&lt;D xsi:type="xsd:double"&gt;-22.017605&lt;/D&gt;&lt;D xsi:type="xsd:double"&gt;-24.998528&lt;/D&gt;&lt;D xsi:type="xsd:double"&gt;-21.930998&lt;/D&gt;&lt;D xsi:type="xsd:double"&gt;-14.113384&lt;/D&gt;&lt;D xsi:type="xsd:double"&gt;-11.55532&lt;/D&gt;&lt;D xsi:type="xsd:double"&gt;-13.497931&lt;/D&gt;&lt;D xsi:type="xsd:double"&gt;-7.4008884&lt;/D&gt;&lt;D xsi:type="xsd:double"&gt;1.5563726&lt;/D&gt;&lt;D xsi:type="xsd:double"&gt;12.722635&lt;/D&gt;&lt;D xsi:type="xsd:double"&gt;12.711775&lt;/D&gt;&lt;D xsi:type="xsd:double"&gt;9.263002&lt;/D&gt;&lt;D xsi:type="xsd:double"&gt;14.828241&lt;/D&gt;&lt;D xsi:type="xsd:double"&gt;21.074713&lt;/D&gt;&lt;D xsi:type="xsd:double"&gt;36.447205&lt;/D&gt;&lt;D xsi:type="xsd:double"&gt;32.65879&lt;/D&gt;&lt;D xsi:type="xsd:double"&gt;16.588724&lt;/D&gt;&lt;D xsi:type="xsd:double"&gt;8.49812&lt;/D&gt;&lt;D xsi:type="xsd:double"&gt;11.381995999999999&lt;/D&gt;&lt;D xsi:type="xsd:double"&gt;7.1575165&lt;/D&gt;&lt;D xsi:type="xsd:double"&gt;12.606764&lt;/D&gt;&lt;D xsi:type="xsd:double"&gt;8.270275&lt;/D&gt;&lt;D xsi:type="xsd:double"&gt;13.844943&lt;/D&gt;&lt;D xsi:type="xsd:double"&gt;15.026749&lt;/D&gt;&lt;D xsi:type="xsd:double"&gt;15.198112&lt;/D&gt;&lt;D xsi:type="xsd:double"&gt;13.648415&lt;/D&gt;&lt;D xsi:type="xsd:double"&gt;15.480221&lt;/D&gt;&lt;D xsi:type="xsd:double"&gt;5.297911&lt;/D&gt;&lt;D xsi:type="xsd:double"&gt;4.498887&lt;/D&gt;&lt;D xsi:type="xsd:double"&gt;7.381344&lt;/D&gt;&lt;D xsi:type="xsd:double"&gt;12.873257&lt;/D&gt;&lt;D xsi:type="xsd:double"&gt;10.831654&lt;/D&gt;&lt;D xsi:type="xsd:double"&gt;5.683553&lt;/D&gt;&lt;D xsi:type="xsd:double"&gt;6.7486286&lt;/D&gt;&lt;D xsi:type="xsd:double"&gt;2.863872&lt;/D&gt;&lt;D xsi:type="xsd:double"&gt;-5.3350153&lt;/D&gt;&lt;D xsi:type="xsd:double"&gt;-9.134399&lt;/D&gt;&lt;D xsi:type="xsd:double"&gt;-17.62798&lt;/D&gt;&lt;D xsi:type="xsd:double"&gt;-11.777282&lt;/D&gt;&lt;D xsi:type="xsd:double"&gt;1.7521977&lt;/D&gt;&lt;D xsi:type="xsd:double"&gt;2.369666&lt;/D&gt;</t>
        </r>
      </text>
    </comment>
    <comment ref="A6" authorId="0" shapeId="0" xr:uid="{B08564A3-ABEB-4EA7-8A0E-3DB7CE3A06EC}">
      <text>
        <r>
          <rPr>
            <b/>
            <sz val="9"/>
            <color indexed="81"/>
            <rFont val="Tahoma"/>
            <charset val="1"/>
          </rPr>
          <t>&lt;D xsi:type="xsd:double"&gt;5.1225185&lt;/D&gt;&lt;D xsi:type="xsd:double"&gt;-2.9639184&lt;/D&gt;&lt;D xsi:type="xsd:double"&gt;3.86976&lt;/D&gt;&lt;D xsi:type="xsd:double"&gt;2.77642&lt;/D&gt;&lt;D xsi:type="xsd:double"&gt;-2.4534643&lt;/D&gt;&lt;D xsi:type="xsd:double"&gt;2.9513717&lt;/D&gt;&lt;D xsi:type="xsd:double"&gt;9.572721&lt;/D&gt;&lt;D xsi:type="xsd:double"&gt;13.81743&lt;/D&gt;&lt;D xsi:type="xsd:double"&gt;29.314232&lt;/D&gt;&lt;D xsi:type="xsd:double"&gt;19.644093&lt;/D&gt;&lt;D xsi:type="xsd:double"&gt;12.868047&lt;/D&gt;&lt;D xsi:type="xsd:double"&gt;-34.20303&lt;/D&gt;&lt;D xsi:type="xsd:double"&gt;-17.546183&lt;/D&gt;&lt;D xsi:type="xsd:double"&gt;-10.991669&lt;/D&gt;&lt;D xsi:type="xsd:double"&gt;-6.8459806&lt;/D&gt;&lt;D xsi:type="xsd:double"&gt;-4.0356755&lt;/D&gt;&lt;D xsi:type="xsd:double"&gt;4.038799&lt;/D&gt;&lt;D xsi:type="xsd:double"&gt;-5.5807233&lt;/D&gt;&lt;D xsi:type="xsd:double"&gt;0.07634163&lt;/D&gt;&lt;D xsi:type="xsd:double"&gt;3.7117004&lt;/D&gt;&lt;D xsi:type="xsd:double"&gt;6.723249&lt;/D&gt;&lt;D xsi:type="xsd:double"&gt;6.337321&lt;/D&gt;&lt;D xsi:type="xsd:double"&gt;10.384237&lt;/D&gt;&lt;D xsi:type="xsd:double"&gt;96.197495&lt;/D&gt;&lt;D xsi:type="xsd:double"&gt;55.021297&lt;/D&gt;&lt;D xsi:type="xsd:double"&gt;56.362213&lt;/D&gt;&lt;D xsi:type="xsd:double"&gt;46.900116&lt;/D&gt;&lt;D xsi:type="xsd:double"&gt;39.187386&lt;/D&gt;&lt;D xsi:type="xsd:double"&gt;33.419384&lt;/D&gt;&lt;D xsi:type="xsd:double"&gt;40.442444&lt;/D&gt;&lt;D xsi:type="xsd:double"&gt;43.831764&lt;/D&gt;&lt;D xsi:type="xsd:double"&gt;33.65724&lt;/D&gt;&lt;D xsi:type="xsd:double"&gt;25.09005&lt;/D&gt;&lt;D xsi:type="xsd:double"&gt;19.529402&lt;/D&gt;&lt;D xsi:type="xsd:double"&gt;14.927376&lt;/D&gt;&lt;D xsi:type="xsd:double"&gt;20.579779&lt;/D&gt;&lt;D xsi:type="xsd:double"&gt;11.752594&lt;/D&gt;&lt;D xsi:type="xsd:double"&gt;0.6879926&lt;/D&gt;&lt;D xsi:type="xsd:double"&gt;-10.081137&lt;/D&gt;&lt;D xsi:type="xsd:double"&gt;-6.2345624&lt;/D&gt;&lt;D xsi:type="xsd:double"&gt;-2.8309166&lt;/D&gt;&lt;D xsi:type="xsd:double"&gt;-13.834673&lt;/D&gt;&lt;D xsi:type="xsd:double"&gt;-17.430353&lt;/D&gt;&lt;D xsi:type="xsd:double"&gt;-8.231152&lt;/D&gt;&lt;D xsi:type="xsd:double"&gt;-11.522764&lt;/D&gt;&lt;D xsi:type="xsd:double"&gt;-3.9574206&lt;/D&gt;&lt;D xsi:type="xsd:double"&gt;-6.148994&lt;/D&gt;&lt;D xsi:type="xsd:double"&gt;-16.897375&lt;/D&gt;&lt;D xsi:type="xsd:double"&gt;-8.746332&lt;/D&gt;&lt;D xsi:type="xsd:double"&gt;-4.4731736&lt;/D&gt;&lt;D xsi:type="xsd:double"&gt;4.810083&lt;/D&gt;&lt;D xsi:type="xsd:double"&gt;8.0378895&lt;/D&gt;&lt;D xsi:type="xsd:double"&gt;-2.1128595&lt;/D&gt;&lt;D xsi:type="xsd:double"&gt;7.454264&lt;/D&gt;&lt;D xsi:type="xsd:double"&gt;3.928101&lt;/D&gt;&lt;D xsi:type="xsd:double"&gt;0.64299107&lt;/D&gt;&lt;D xsi:type="xsd:double"&gt;14.983058&lt;/D&gt;&lt;D xsi:type="xsd:double"&gt;4.881859&lt;/D&gt;&lt;D xsi:type="xsd:double"&gt;10.645294&lt;/D&gt;&lt;D xsi:type="xsd:double"&gt;18.317461&lt;/D&gt;&lt;D xsi:type="xsd:double"&gt;9.599233&lt;/D&gt;&lt;D xsi:type="xsd:double"&gt;12.500596&lt;/D&gt;&lt;D xsi:type="xsd:double"&gt;8.696914&lt;/D&gt;&lt;D xsi:type="xsd:double"&gt;9.724892&lt;/D&gt;&lt;D xsi:type="xsd:double"&gt;21.54734&lt;/D&gt;&lt;D xsi:type="xsd:double"&gt;24.579966&lt;/D&gt;&lt;/FQL&gt;&lt;FQL&gt;&lt;Q&gt;DDR3512M-FDS^MAX(FG_PRICE(0,-5AY))&lt;/Q&gt;&lt;R&gt;1&lt;/R&gt;&lt;C&gt;1&lt;/C&gt;&lt;D xsi:type="xsd:double"&gt;3.3053632&lt;/D&gt;&lt;/FQL&gt;&lt;FQL&gt;&lt;Q&gt;PLATI-FDS^FG_PRICE_MAVG(0,,,,30)&lt;/Q&gt;&lt;R&gt;1&lt;/R&gt;&lt;C&gt;1&lt;/C&gt;&lt;D xsi:type="xsd:double"&gt;959.2&lt;/D&gt;&lt;/FQL&gt;&lt;FQL&gt;&lt;Q&gt;TIOS-FDS^FG_PRICE_MAVG(0,,,,30)&lt;/Q&gt;&lt;R&gt;1&lt;/R&gt;&lt;C&gt;1&lt;/C&gt;&lt;D xsi:type="xsd:double"&gt;95.613335&lt;/D&gt;&lt;/FQL&gt;&lt;FQL&gt;&lt;Q&gt;EWU^FG_PRICE_MAVG(0,,,,200)&lt;/Q&gt;&lt;R&gt;1&lt;/R&gt;&lt;C&gt;1&lt;/C&gt;&lt;D xsi:type="xsd:double"&gt;34.563026&lt;/D&gt;&lt;/FQL&gt;&lt;FQL&gt;&lt;Q&gt;EWL^P_PRICE(0)/P_PRICE_LOW_PR(0,,,,,,"PRICE","INTRA","52W")-1&lt;/Q&gt;&lt;R&gt;1&lt;/R&gt;&lt;C&gt;1&lt;/C&gt;&lt;D xsi:type="xsd:double"&gt;0.22755718&lt;/D&gt;&lt;/FQL&gt;&lt;FQL&gt;&lt;Q&gt;SPY^FMA_COS_DOWN("EPS","1M",+1,0,,,"PORTAGG","MEANR")&lt;/Q&gt;&lt;R&gt;1&lt;/R&gt;&lt;C&gt;1&lt;/C&gt;&lt;D xsi:type="xsd:double"&gt;171&lt;/D&gt;&lt;/FQL&gt;&lt;FQL&gt;&lt;Q&gt;REFNZOCR-FDS^(SUBARRAY(NOT_NA(NO_REPEAT_F(FG_YIELD(NOW,-10AY,D))),0,1)-SUBARRAY(NOT_NA(NO_REPEAT_F(FG_YIELD(NOW,-10AY,D))),1,1))*100&lt;/Q&gt;&lt;R&gt;1&lt;/R&gt;&lt;C&gt;1&lt;/C&gt;&lt;D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xsi:type="xsd:double"&gt;-25&lt;/D&gt;&lt;/FQL&gt;&lt;FQL&gt;&lt;Q&gt;EWQ^FG_COMPANY_NAME&lt;/Q&gt;&lt;R&gt;1&lt;/R&gt;&lt;C&gt;1&lt;/C&gt;&lt;D xsi:type="xsd:string"&gt;iShares MSCI France ETF&lt;/D&gt;&lt;/FQL&gt;&lt;FQL&gt;&lt;Q&gt;TRYJP10Y-FDS^FG_YIELD(-10AY,0,Y,,"YTM")&lt;/Q&gt;&lt;R&gt;10&lt;/R&gt;&lt;C&gt;1&lt;/C&gt;&lt;D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xsi:type="xsd:long"&gt;45289&lt;/D&gt;&lt;/FQL&gt;&lt;FQL&gt;&lt;Q&gt;USDUSD^FG_PRICE_CHANGE(0,-6AM)&lt;/Q&gt;&lt;R&gt;1&lt;/R&gt;&lt;C&gt;1&lt;/C&gt;&lt;D xsi:type="xsd:double"&gt;0&lt;/D&gt;&lt;/FQL&gt;&lt;FQL&gt;&lt;Q&gt;USDCAD^STD(FG_PRICE_CHANGE(0,-3AY,M))&lt;/Q&gt;&lt;R&gt;1&lt;/R&gt;&lt;C&gt;1&lt;/C&gt;&lt;D xsi:type="xsd:double"&gt;1.83420331354053&lt;/D&gt;&lt;/FQL&gt;&lt;FQL&gt;&lt;Q&gt;EWL^P_PRICE_RETURNS_PR('52W',2,-10AY,0,AM)&lt;/Q&gt;&lt;R&gt;121&lt;/R&gt;&lt;C&gt;1&lt;/C&gt;&lt;D xsi:type="xsd:double"&gt;7.723546&lt;/D&gt;&lt;D xsi:type="xsd:double"&gt;-1.1515081&lt;/D&gt;&lt;D xsi:type="xsd:double"&gt;4.816556&lt;/D&gt;&lt;D xsi:type="xsd:double"&gt;1.8238306&lt;/D&gt;&lt;D xsi:type="xsd:double"&gt;-0.41010976&lt;/D&gt;&lt;D xsi:type="xsd:double"&gt;1.2937307&lt;/D&gt;&lt;D xsi:type="xsd:double"&gt;5.0159097&lt;/D&gt;&lt;D xsi:type="xsd:double"&gt;2.9465437&lt;/D&gt;&lt;D xsi:type="xsd:double"&gt;3.1977892&lt;/D&gt;&lt;D xsi:type="xsd:double"&gt;1.6899228&lt;/D&gt;&lt;D xsi:type="xsd:double"&gt;2.5691986&lt;/D&gt;&lt;D xsi:type="xsd:double"&gt;-2.0193636&lt;/D&gt;&lt;D xsi:type="xsd:double"&gt;-6.1853943&lt;/D&gt;&lt;D xsi:type="xsd:double"&gt;4.564786&lt;/D&gt;&lt;D xsi:type="xsd:double"&gt;-4.057604&lt;/D&gt;&lt;D xsi:type="xsd:double"&gt;-0.28260946&lt;/D&gt;&lt;D xsi:type="xsd:double"&gt;-8.50265&lt;/D&gt;&lt;D xsi:type="xsd:double"&gt;-12.963706&lt;/D&gt;&lt;D xsi:type="xsd:double"&gt;-12.319326&lt;/D&gt;&lt;D xsi:type="xsd:double"&gt;-9.294498&lt;/D&gt;&lt;D xsi:type="xsd:double"&gt;-13.275075&lt;/D&gt;&lt;D xsi:type="xsd:double"&gt;-8.8971195&lt;/D&gt;&lt;D xsi:type="xsd:double"&gt;-9.464031&lt;/D&gt;&lt;D xsi:type="xsd:double"&gt;-1.2506366&lt;/D&gt;&lt;D xsi:type="xsd:double"&gt;4.7697544&lt;/D&gt;&lt;D xsi:type="xsd:double"&gt;-3.7461162&lt;/D&gt;&lt;D xsi:type="xsd:double"&gt;-6.534481&lt;/D&gt;&lt;D xsi:type="xsd:double"&gt;-4.185563&lt;/D&gt;&lt;D xsi:type="xsd:double"&gt;7.5603485&lt;/D&gt;&lt;D xsi:type="xsd:double"&gt;12.96612&lt;/D&gt;&lt;D xsi:type="xsd:double"&gt;11.586094&lt;/D&gt;&lt;D xsi:type="xsd:double"&gt;7.506478&lt;/D&gt;&lt;D xsi:type="xsd:double"&gt;19.096888&lt;/D&gt;&lt;D xsi:type="xsd:double"&gt;15.16596&lt;/D&gt;&lt;D xsi:type="xsd:double"&gt;19.745731&lt;/D&gt;&lt;D xsi:type="xsd:double"&gt;13.587082&lt;/D&gt;&lt;D xsi:type="xsd:double"&gt;14.4712925&lt;/D&gt;&lt;D xsi:type="xsd:double"&gt;19.920492&lt;/D&gt;&lt;D xsi:type="xsd:double"&gt;26.50459&lt;/D&gt;&lt;D xsi:type="xsd:double"&gt;22.964048&lt;/D&gt;&lt;D xsi:type="xsd:double"&gt;24.820446&lt;/D&gt;&lt;D xsi:type="xsd:double"&gt;16.94498&lt;/D&gt;&lt;D xsi:type="xsd:double"&gt;7.278514&lt;/D&gt;&lt;D xsi:type="xsd:double"&gt;8.902836&lt;/D&gt;&lt;D xsi:type="xsd:double"&gt;-0.40658116&lt;/D&gt;&lt;D xsi:type="xsd:double"&gt;-1.8148124&lt;/D&gt;&lt;D xsi:type="xsd:double"&gt;-0.024878979&lt;/D&gt;&lt;D xsi:type="xsd:double"&gt;3.0168653&lt;/D&gt;&lt;D xsi:type="xsd:double"&gt;4.071951&lt;/D&gt;&lt;D xsi:type="xsd:double"&gt;-3.2200515&lt;/D&gt;&lt;D xsi:type="xsd:double"&gt;-4.5840797&lt;/D&gt;&lt;D xsi:type="xsd:double"&gt;-10.513371&lt;/D&gt;&lt;D xsi:type="xsd:double"&gt;-8.275354&lt;/D&gt;&lt;D xsi:type="xsd:double"&gt;-0.35425425&lt;/D&gt;&lt;D xsi:type="xsd:double"&gt;5.387056&lt;/D&gt;&lt;D xsi:type="xsd:double"&gt;6.9319963&lt;/D&gt;&lt;D xsi:type="xsd:double"&gt;8.88989&lt;/D&gt;&lt;D xsi:type="xsd:double"&gt;19.175316&lt;/D&gt;&lt;D xsi:type="xsd:double"&gt;13.357687&lt;/D&gt;&lt;D xsi:type="xsd:double"&gt;9.295881&lt;/D&gt;&lt;D xsi:type="xsd:double"&gt;9.030378&lt;/D&gt;&lt;D xsi:type="xsd:double"&gt;17.123497&lt;/D&gt;&lt;D xsi:type="xsd:double"&gt;20.772362&lt;/D&gt;&lt;D xsi:type="xsd:double"&gt;34.545135&lt;/D&gt;&lt;D xsi:type="xsd:double"&gt;28.208673&lt;/D&gt;&lt;D xsi:type="xsd:double"&gt;24.647976&lt;/D&gt;&lt;D xsi:type="xsd:double"&gt;-10.448742&lt;/D&gt;&lt;D xsi:type="xsd:double"&gt;3.281808&lt;/D&gt;&lt;D xsi:type="xsd:double"&gt;5.2081227&lt;/D&gt;&lt;D xsi:type="xsd:double"&gt;6.8536043&lt;/D&gt;&lt;D xsi:type="xsd:double"&gt;11.085272&lt;/D&gt;&lt;D xsi:type="xsd:double"&gt;13.763344&lt;/D&gt;&lt;D xsi:type="xsd:double"&gt;10.447847&lt;/D&gt;&lt;D xsi:type="xsd:double"&gt;11.945332&lt;/D&gt;&lt;D xsi:type="xsd:double"&gt;11.880672&lt;/D&gt;&lt;D xsi:type="xsd:double"&gt;9.939014&lt;/D&gt;&lt;D xsi:type="xsd:double"&gt;11.248088&lt;/D&gt;&lt;D xsi:type="xsd:double"&gt;6.3593507&lt;/D&gt;&lt;D xsi:type="xsd:double"&gt;48.636173&lt;/D&gt;&lt;D xsi:type="xsd:double"&gt;32.07054&lt;/D&gt;&lt;D xsi:type="xsd:double"&gt;29.960941&lt;/D&gt;&lt;D xsi:type="xsd:double"&gt;25.867546&lt;/D&gt;&lt;D xsi:type="xsd:double"&gt;22.588707&lt;/D&gt;&lt;D xsi:type="xsd:double"&gt;24.764215&lt;/D&gt;&lt;D xsi:type="xsd:double"&gt;21.460867&lt;/D&gt;&lt;D xsi:type="xsd:double"&gt;22.529566&lt;/D&gt;&lt;D xsi:type="xsd:double"&gt;18.948496&lt;/D&gt;&lt;D xsi:type="xsd:double"&gt;21.194696&lt;/D&gt;&lt;D xsi:type="xsd:double"&gt;11.0463505&lt;/D&gt;&lt;D xsi:type="xsd:double"&gt;11.039734&lt;/D&gt;&lt;D xsi:type="xsd:double"&gt;10.476136&lt;/D&gt;&lt;D xsi:type="xsd:double"&gt;4.003954&lt;/D&gt;&lt;D xsi:type="xsd:double"&gt;-5.5785894&lt;/D&gt;&lt;D xsi:type="xsd:double"&gt;-15.800548&lt;/D&gt;&lt;D xsi:type="xsd:double"&gt;-12.05576&lt;/D&gt;&lt;D xsi:type="xsd:double"&gt;-16.641462&lt;/D&gt;&lt;D xsi:type="xsd:double"&gt;-21.253342&lt;/D&gt;&lt;D xsi:type="xsd:double"&gt;-20.911533&lt;/D&gt;&lt;D xsi:type="xsd:double"&gt;-11.991024&lt;/D&gt;&lt;D xsi:type="xsd:double"&gt;-17.835157&lt;/D&gt;&lt;D xsi:type="xsd:double"&gt;-7.4185076&lt;/D&gt;&lt;D xsi:type="xsd:double"&gt;-5.1080823&lt;/D&gt;&lt;D xsi:type="xsd:double"&gt;-8.568716&lt;/D&gt;&lt;D xsi:type="xsd:double"&gt;2.3167968&lt;/D&gt;&lt;D xsi:type="xsd:double"&gt;8.9163065&lt;/D&gt;&lt;D xsi:type="xsd:double"&gt;16.05221&lt;/D&gt;&lt;D xsi:type="xsd:double"&gt;14.296436&lt;/D&gt;&lt;D xsi:type="xsd:double"&gt;12.268472&lt;/D&gt;&lt;D xsi:type="xsd:double"&gt;17.972898&lt;/D&gt;&lt;D xsi:type="xsd:double"&gt;12.930036&lt;/D&gt;&lt;D xsi:type="xsd:double"&gt;8.203995&lt;/D&gt;&lt;D xsi:type="xsd:double"&gt;15.843428&lt;/D&gt;&lt;D xsi:type="xsd:double"&gt;5.2069306&lt;/D&gt;&lt;D xsi:type="xsd:double"&gt;8.958578&lt;/D&gt;&lt;D xsi:type="xsd:double"&gt;11.797249&lt;/D&gt;&lt;D xsi:type="xsd:double"&gt;-1.2836754&lt;/D&gt;&lt;D xsi:type="xsd:double"&gt;3.7080526&lt;/D&gt;&lt;D xsi:type="xsd:double"&gt;8.744597&lt;/D&gt;&lt;D xsi:type="xsd:double"&gt;6.5114975&lt;/D&gt;&lt;D xsi:type="xsd:double"&gt;17.030167&lt;/D&gt;&lt;D xsi:type="xsd:double"&gt;17.471111&lt;/D&gt;&lt;/FQL&gt;&lt;FQL&gt;&lt;Q&gt;EWU^FMA_DIV_YLD(NTMA,-10AY,0,AM,"PORTAGG","MEANR")&lt;/Q&gt;&lt;R&gt;121&lt;/R&gt;&lt;C&gt;1&lt;/C&gt;&lt;D xsi:type="xsd:double"&gt;3.9926821952015&lt;/D&gt;&lt;D xsi:type="xsd:double"&gt;4.17143164303427&lt;/D&gt;&lt;D xsi:type="xsd:double"&gt;4.00984894256654&lt;/D&gt;&lt;D xsi:type="xsd:double"&gt;4.12089956176177&lt;/D&gt;&lt;D xsi:type="xsd:double"&gt;4.01505478417657&lt;/D&gt;&lt;D xsi:type="xsd:double"&gt;3.92343282978906&lt;/D&gt;&lt;D xsi:type="xsd:double"&gt;3.88877794752069&lt;/D&gt;&lt;D xsi:type="xsd:double"&gt;3.86834831531076&lt;/D&gt;&lt;D xsi:type="xsd:double"&gt;3.85898806397293&lt;/D&gt;&lt;D xsi:type="xsd:double"&gt;3.98154921751889&lt;/D&gt;&lt;D xsi:type="xsd:double"&gt;4.151728662526&lt;/D&gt;&lt;D xsi:type="xsd:double"&gt;4.39993241371633&lt;/D&gt;&lt;D xsi:type="xsd:double"&gt;4.51237391563217&lt;/D&gt;&lt;D xsi:type="xsd:double"&gt;4.20257766533593&lt;/D&gt;&lt;D xsi:type="xsd:double"&gt;4.24628138223328&lt;/D&gt;&lt;D xsi:type="xsd:double"&gt;4.29841276837049&lt;/D&gt;&lt;D xsi:type="xsd:double"&gt;4.53598417785118&lt;/D&gt;&lt;D xsi:type="xsd:double"&gt;4.59295362692366&lt;/D&gt;&lt;D xsi:type="xsd:double"&gt;4.36986893916994&lt;/D&gt;&lt;D xsi:type="xsd:double"&gt;4.23698646371883&lt;/D&gt;&lt;D xsi:type="xsd:double"&gt;4.3746656988789&lt;/D&gt;&lt;D xsi:type="xsd:double"&gt;4.18021189239613&lt;/D&gt;&lt;D xsi:type="xsd:double"&gt;4.13637929296537&lt;/D&gt;&lt;D xsi:type="xsd:double"&gt;4.06067500581971&lt;/D&gt;&lt;D xsi:type="xsd:double"&gt;4.14748176498155&lt;/D&gt;&lt;D xsi:type="xsd:double"&gt;4.2857418100981&lt;/D&gt;&lt;D xsi:type="xsd:double"&gt;4.40498556251439&lt;/D&gt;&lt;D xsi:type="xsd:double"&gt;4.32711188519498&lt;/D&gt;&lt;D xsi:type="xsd:double"&gt;4.2972804168697&lt;/D&gt;&lt;D xsi:type="xsd:double"&gt;4.27155776226084&lt;/D&gt;&lt;D xsi:type="xsd:double"&gt;4.30890464569174&lt;/D&gt;&lt;D xsi:type="xsd:double"&gt;4.44291525122781&lt;/D&gt;&lt;D xsi:type="xsd:double"&gt;4.23021319185969&lt;/D&gt;&lt;D xsi:type="xsd:double"&gt;4.31802546953172&lt;/D&gt;&lt;D xsi:type="xsd:double"&gt;4.26347757590242&lt;/D&gt;&lt;D xsi:type="xsd:double"&gt;4.37047978302611&lt;/D&gt;&lt;D xsi:type="xsd:double"&gt;4.32465943429831&lt;/D&gt;&lt;D xsi:type="xsd:double"&gt;4.28162751375276&lt;/D&gt;&lt;D xsi:type="xsd:double"&gt;4.36340468538769&lt;/D&gt;&lt;D xsi:type="xsd:double"&gt;4.25981685587515&lt;/D&gt;&lt;D xsi:type="xsd:double"&gt;4.15713847866316&lt;/D&gt;&lt;D xsi:type="xsd:double"&gt;4.43070854950536&lt;/D&gt;&lt;D xsi:type="xsd:double"&gt;4.63250525824449&lt;/D&gt;&lt;D xsi:type="xsd:double"&gt;4.38736199137794&lt;/D&gt;&lt;D xsi:type="xsd:double"&gt;4.26467490467603&lt;/D&gt;&lt;D xsi:type="xsd:double"&gt;4.35603119650813&lt;/D&gt;&lt;D xsi:type="xsd:double"&gt;4.42423056710157&lt;/D&gt;&lt;D xsi:type="xsd:double"&gt;4.52205578508452&lt;/D&gt;&lt;D xsi:type="xsd:double"&gt;4.51679779086999&lt;/D&gt;&lt;D xsi:type="xsd:double"&gt;4.91111656351398&lt;/D&gt;&lt;D xsi:type="xsd:double"&gt;4.98883429269452&lt;/D&gt;&lt;D xsi:type="xsd:double"&gt;5.21478301593075&lt;/D&gt;&lt;D xsi:type="xsd:double"&gt;5.16895026898089&lt;/D&gt;&lt;D xsi:type="xsd:double"&gt;4.94387011792545&lt;/D&gt;&lt;D xsi:type="xsd:double"&gt;4.92335832389143&lt;/D&gt;&lt;D xsi:type="xsd:double"&gt;4.79332132010237&lt;/D&gt;&lt;D xsi:type="xsd:double"&gt;4.96595471604259&lt;/D&gt;&lt;D xsi:type="xsd:double"&gt;4.79126481704408&lt;/D&gt;&lt;D xsi:type="xsd:double"&gt;4.78828782171822&lt;/D&gt;&lt;D xsi:type="xsd:double"&gt;5.130776734579&lt;/D&gt;&lt;D xsi:type="xsd:double"&gt;4.93407685581654&lt;/D&gt;&lt;D xsi:type="xsd:double"&gt;4.86595359660308&lt;/D&gt;&lt;D xsi:type="xsd:double"&gt;4.81380382445645&lt;/D&gt;&lt;D xsi:type="xsd:double"&gt;4.57323683029039&lt;/D&gt;&lt;D xsi:type="xsd:double"&gt;4.61574535826809&lt;/D&gt;&lt;D xsi:type="xsd:double"&gt;4.71151694866351&lt;/D&gt;&lt;D xsi:type="xsd:double"&gt;7.32979851280709&lt;/D&gt;&lt;D xsi:type="xsd:double"&gt;5.40487550083245&lt;/D&gt;&lt;D xsi:type="xsd:double"&gt;4.33784873829292&lt;/D&gt;&lt;D xsi:type="xsd:double"&gt;4.03837237555492&lt;/D&gt;&lt;D xsi:type="xsd:double"&gt;4.02131486278644&lt;/D&gt;&lt;D xsi:type="xsd:double"&gt;4.05237425711178&lt;/D&gt;&lt;D xsi:type="xsd:double"&gt;4.20980704938522&lt;/D&gt;&lt;D xsi:type="xsd:double"&gt;4.33165458787541&lt;/D&gt;&lt;D xsi:type="xsd:double"&gt;4.02776307632092&lt;/D&gt;&lt;D xsi:type="xsd:double"&gt;3.92757075200959&lt;/D&gt;&lt;D xsi:type="xsd:double"&gt;3.91508598843085&lt;/D&gt;&lt;D xsi:type="xsd:double"&gt;3.96986588008372&lt;/D&gt;&lt;D xsi:type="xsd:double"&gt;4.04498151675395&lt;/D&gt;&lt;D xsi:type="xsd:double"&gt;3.9735178305317&lt;/D&gt;&lt;D xsi:type="xsd:double"&gt;3.91546492981067&lt;/D&gt;&lt;D xsi:type="xsd:double"&gt;3.9468024372976&lt;/D&gt;&lt;D xsi:type="xsd:double"&gt;4.11380693548945&lt;/D&gt;&lt;D xsi:type="xsd:double"&gt;4.20572517573264&lt;/D&gt;&lt;D xsi:type="xsd:double"&gt;4.1739387044942&lt;/D&gt;&lt;D xsi:type="xsd:double"&gt;4.04938099896268&lt;/D&gt;&lt;D xsi:type="xsd:double"&gt;4.04586137061718&lt;/D&gt;&lt;D xsi:type="xsd:double"&gt;3.93648074182208&lt;/D&gt;&lt;D xsi:type="xsd:double"&gt;3.86083454864174&lt;/D&gt;&lt;D xsi:type="xsd:double"&gt;3.86642775418412&lt;/D&gt;&lt;D xsi:type="xsd:double"&gt;3.95282206434141&lt;/D&gt;&lt;D xsi:type="xsd:double"&gt;4.02093062761178&lt;/D&gt;&lt;D xsi:type="xsd:double"&gt;4.0746544743155&lt;/D&gt;&lt;D xsi:type="xsd:double"&gt;4.40124353739766&lt;/D&gt;&lt;D xsi:type="xsd:double"&gt;4.26654839061648&lt;/D&gt;&lt;D xsi:type="xsd:double"&gt;4.24515089470219&lt;/D&gt;&lt;D xsi:type="xsd:double"&gt;4.7516223644736&lt;/D&gt;&lt;D xsi:type="xsd:double"&gt;4.63128024678854&lt;/D&gt;&lt;D xsi:type="xsd:double"&gt;4.25646643542522&lt;/D&gt;&lt;D xsi:type="xsd:double"&gt;4.2609216207101&lt;/D&gt;&lt;D xsi:type="xsd:double"&gt;4.08143013708149&lt;/D&gt;&lt;D xsi:type="xsd:double"&gt;4.10772774010304&lt;/D&gt;&lt;D xsi:type="xsd:double"&gt;4.31849701087646&lt;/D&gt;&lt;D xsi:type="xsd:double"&gt;4.06424036510248&lt;/D&gt;&lt;D xsi:type="xsd:double"&gt;4.28891271635926&lt;/D&gt;&lt;D xsi:type="xsd:double"&gt;4.43050863512998&lt;/D&gt;&lt;D xsi:type="xsd:double"&gt;4.28780929700542&lt;/D&gt;&lt;D xsi:type="xsd:double"&gt;4.56503337074937&lt;/D&gt;&lt;D xsi:type="xsd:double"&gt;4.4046159336431&lt;/D&gt;&lt;D xsi:type="xsd:double"&gt;4.59473319453829&lt;/D&gt;&lt;D xsi:type="xsd:double"&gt;4.47380803303744&lt;/D&gt;&lt;D xsi:type="xsd:double"&gt;4.29169016019098&lt;/D&gt;&lt;D xsi:type="xsd:double"&gt;4.43554784716012&lt;/D&gt;&lt;D xsi:type="xsd:double"&gt;4.18398043084856&lt;/D&gt;&lt;D xsi:type="xsd:double"&gt;4.04392724061405&lt;/D&gt;&lt;D xsi:type="xsd:double"&gt;3.99387907508332&lt;/D&gt;&lt;D xsi:type="xsd:double"&gt;3.8499254504951&lt;/D&gt;&lt;D xsi:type="xsd:double"&gt;3.94486663741078&lt;/D&gt;&lt;D xsi:type="xsd:double"&gt;3.9186512502109&lt;/D&gt;&lt;D xsi:type="xsd:double"&gt;3.82611790453374&lt;/D&gt;&lt;D xsi:type="xsd:double"&gt;3.8966617363481&lt;/D&gt;&lt;/FQL&gt;&lt;FQL&gt;&lt;Q&gt;WL-FDS^FG_PRICE(0)/MAX(FG_PRICE(0,-1AY))&lt;/Q&gt;&lt;R&gt;1&lt;/R&gt;&lt;C&gt;1&lt;/C&gt;&lt;D xsi:type="xsd:double"&gt;0.766177626408174&lt;/D&gt;&lt;/FQL&gt;&lt;FQL&gt;&lt;Q&gt;W-FDS^FG_PRICE_CHANGE(0,-1AM)&lt;/Q&gt;&lt;R&gt;1&lt;/R&gt;&lt;C&gt;1&lt;/C&gt;&lt;D xsi:type="xsd:double"&gt;13.1906421105027&lt;/D&gt;&lt;/FQL&gt;&lt;FQL&gt;&lt;Q&gt;TIOS-FDS^FG_PRICE(0)&lt;/Q&gt;&lt;R&gt;1&lt;/R&gt;&lt;C&gt;1&lt;/C&gt;&lt;D xsi:type="xsd:double"&gt;91.93&lt;/D&gt;&lt;/FQL&gt;&lt;FQL&gt;&lt;Q&gt;EWG^FG_PRICE_MAVG(0,,,,30)&lt;/Q&gt;&lt;R&gt;1&lt;/R&gt;&lt;C&gt;1&lt;/C&gt;&lt;D xsi:type="xsd:double"&gt;32.013&lt;/D&gt;&lt;/FQL&gt;&lt;FQL&gt;&lt;Q&gt;EWJ^FMA_PCT_ABOVE_MAVG(200,0,,,,"PORTAGG")&lt;/Q&gt;&lt;R&gt;1&lt;/R&gt;&lt;C&gt;1&lt;/C&gt;&lt;D xsi:type="xsd:double"&gt;45.2261306532663&lt;/D&gt;&lt;/FQL&gt;&lt;FQL&gt;&lt;Q&gt;EWD^FMA_PCT_ABOVE_MAVG(200,0,,,,"PORTAGG")&lt;/Q&gt;&lt;R&gt;1&lt;/R&gt;&lt;C&gt;1&lt;/C&gt;&lt;D xsi:type="xsd:double"&gt;62.2222222222222&lt;/D&gt;&lt;/FQL&gt;&lt;FQL&gt;&lt;Q&gt;EWG^PERCENT_CHANGE(FMA_EPS(+1,0,,,,"PORTAGG","MEAN"),FMA_EPS(+1,-3AM,,,,"PORTAGG","MEAN"))&lt;/Q&gt;&lt;R&gt;1&lt;/R&gt;&lt;C&gt;1&lt;/C&gt;&lt;D xsi:type="xsd:double"&gt;0.0225748761344886&lt;/D&gt;&lt;/FQL&gt;&lt;FQL&gt;&lt;Q&gt;EWU^FMA_COS_DOWN("EPS","1M",+1,0,,,"PORTAGG","MEANR")&lt;/Q&gt;&lt;R&gt;1&lt;/R&gt;&lt;C&gt;1&lt;/C&gt;&lt;D xsi:type="xsd:double"&gt;28&lt;/D&gt;&lt;/FQL&gt;&lt;FQL&gt;&lt;Q&gt;CC_US^IMF_IFS_RCPI_Q(0)&lt;/Q&gt;&lt;R&gt;1&lt;/R&gt;&lt;C&gt;1&lt;/C&gt;&lt;D xsi:type="xsd:double"&gt;3.19889&lt;/D&gt;&lt;/FQL&gt;&lt;FQL&gt;&lt;Q&gt;EWN^FMA_PE(NTMA,0,,,"PORTAGG","MEANR")&lt;/Q&gt;&lt;R&gt;1&lt;/R&gt;&lt;C&gt;1&lt;/C&gt;&lt;D xsi:type="xsd:double"&gt;15.1001802426334&lt;/D&gt;&lt;/FQL&gt;&lt;FQL&gt;&lt;Q&gt;QQQ^FMA_PE(LTM,0,,,"PORTAGG","MEANR")&lt;/Q&gt;&lt;R&gt;1&lt;/R&gt;&lt;C&gt;1&lt;/C&gt;&lt;D xsi:type="xsd:double"&gt;35.7821142975722&lt;/D&gt;&lt;/FQL&gt;&lt;FQL&gt;&lt;Q&gt;EWJ^FMA_PE(NTMA,0,,,"PORTAGG","MEANR")&lt;/Q&gt;&lt;R&gt;1&lt;/R&gt;&lt;C&gt;1&lt;/C&gt;&lt;D xsi:type="xsd:double"&gt;13.6745594567491&lt;/D&gt;&lt;/FQL&gt;&lt;FQL&gt;&lt;Q&gt;EWA^FMA_DIV_YLD(NTMA,NOW,NOW,M,"PORTAGG","MEANR")&lt;/Q&gt;&lt;R&gt;1&lt;/R&gt;&lt;C&gt;1&lt;/C&gt;&lt;D xsi:type="xsd:double"&gt;3.70434485279372&lt;/D&gt;&lt;/FQL&gt;&lt;FQL&gt;&lt;Q&gt;EWJ^P_PRICE(0)/P_PRICE_HIGH_PR(0,,,USD,,,"PRICE","INTRA","52W")&lt;/Q&gt;&lt;R&gt;1&lt;/R&gt;&lt;C&gt;1&lt;/C&gt;&lt;D xsi:type="xsd:double"&gt;0.99122024&lt;/D&gt;&lt;/FQL&gt;&lt;FQL&gt;&lt;Q&gt;EWA^JULIAN(FMA_ROE(NTMA,-20AY,NOW,FY,"PORTAGG","MEANR").DATES)&lt;/Q&gt;&lt;R&gt;20&lt;/R&gt;&lt;C&gt;1&lt;/C&gt;&lt;D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xsi:type="xsd:long"&gt;45289&lt;/D&gt;&lt;/FQL&gt;&lt;FQL&gt;&lt;Q&gt;CAGDPY@NZ^EE_ACTUAL_ANNUAL(MED,+1)&lt;/Q&gt;&lt;R&gt;1&lt;/R&gt;&lt;C&gt;1&lt;/C&gt;&lt;D xsi:type="xsd:double"&gt;-6.4&lt;/D&gt;&lt;/FQL&gt;&lt;FQL&gt;&lt;Q&gt;USDSEK^FG_PRICE_CHANGE(0,-1AY)&lt;/Q&gt;&lt;R&gt;1&lt;/R&gt;&lt;C&gt;1&lt;/C&gt;&lt;D xsi:type="xsd:double"&gt;-8.297878&lt;/D&gt;&lt;/FQL&gt;&lt;FQL&gt;&lt;Q&gt;USDCHF^FG_PRICE_CHANGE(0,-3AM)&lt;/Q&gt;&lt;R&gt;1&lt;/R&gt;&lt;C&gt;1&lt;/C&gt;&lt;D xsi:type="xsd:double"&gt;-5.114424&lt;/D&gt;&lt;/FQL&gt;&lt;FQL&gt;&lt;Q&gt;EWI^FMA_EPS(NTMA,-20AY,0,CY,,"PORTAGG","MEANR")&lt;/Q&gt;&lt;R&gt;20&lt;/R&gt;&lt;C&gt;1&lt;/C&gt;&lt;D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xsi:type="xsd:double"&gt;1.99711745729499&lt;/D&gt;&lt;D xsi:type="xsd:double"&gt;2.96400297596909&lt;/D&gt;&lt;D xsi:type="xsd:double"&gt;3.54736708862932&lt;/D&gt;&lt;D xsi:type="xsd:double"&gt;3.81180271683843&lt;/D&gt;&lt;/FQL&gt;&lt;FQL&gt;&lt;Q&gt;EWI^FMA_PE(LTMA,-10AY,0,AM,"PORTAGG","MEANR")&lt;/Q&gt;&lt;R&gt;121&lt;/R&gt;&lt;C&gt;1&lt;/C&gt;&lt;D xsi:type="xsd:double"&gt;17.5614177941541&lt;/D&gt;&lt;D xsi:type="xsd:double"&gt;16.9133138385617&lt;/D&gt;&lt;D xsi:type="xsd:double"&gt;18.3345088872365&lt;/D&gt;&lt;D xsi:type="xsd:double"&gt;18.56319803912&lt;/D&gt;&lt;D xsi:type="xsd:double"&gt;21.9515741975931&lt;/D&gt;&lt;D xsi:type="xsd:double"&gt;44.8468939376691&lt;/D&gt;&lt;D xsi:type="xsd:double"&gt;43.1525199899158&lt;/D&gt;&lt;D xsi:type="xsd:double"&gt;40.2920594430256&lt;/D&gt;&lt;D xsi:type="xsd:double"&gt;37.7533243239703&lt;/D&gt;&lt;D xsi:type="xsd:double"&gt;34.635888168481&lt;/D&gt;&lt;D xsi:type="xsd:double"&gt;31.9441923601127&lt;/D&gt;&lt;D xsi:type="xsd:double"&gt;28.6580883066836&lt;/D&gt;&lt;D xsi:type="xsd:double"&gt;25.2704646261446&lt;/D&gt;&lt;D xsi:type="xsd:double"&gt;23.8817041005748&lt;/D&gt;&lt;D xsi:type="xsd:double"&gt;21.8469842797063&lt;/D&gt;&lt;D xsi:type="xsd:double"&gt;18.7047992379415&lt;/D&gt;&lt;D xsi:type="xsd:double"&gt;16.3055593642544&lt;/D&gt;&lt;D xsi:type="xsd:double"&gt;14.9162001658522&lt;/D&gt;&lt;D xsi:type="xsd:double"&gt;15.3871560408559&lt;/D&gt;&lt;D xsi:type="xsd:double"&gt;15.3593763265401&lt;/D&gt;&lt;D xsi:type="xsd:double"&gt;15.2769134429091&lt;/D&gt;&lt;D xsi:type="xsd:double"&gt;15.0628566602479&lt;/D&gt;&lt;D xsi:type="xsd:double"&gt;14.6898500792443&lt;/D&gt;&lt;D xsi:type="xsd:double"&gt;15.0251101112746&lt;/D&gt;&lt;D xsi:type="xsd:double"&gt;14.7379414372578&lt;/D&gt;&lt;D xsi:type="xsd:double"&gt;15.22514073566&lt;/D&gt;&lt;D xsi:type="xsd:double"&gt;14.2917032273344&lt;/D&gt;&lt;D xsi:type="xsd:double"&gt;27.5300332724139&lt;/D&gt;&lt;D xsi:type="xsd:double"&gt;27.5750073551418&lt;/D&gt;&lt;D xsi:type="xsd:double"&gt;86.0241988098412&lt;/D&gt;&lt;D xsi:type="xsd:double"&gt;80.6866736070062&lt;/D&gt;&lt;D xsi:type="xsd:double"&gt;73.7187661896302&lt;/D&gt;&lt;D xsi:type="xsd:double"&gt;66.5241627859873&lt;/D&gt;&lt;D xsi:type="xsd:double"&gt;59.0937435551121&lt;/D&gt;&lt;D xsi:type="xsd:double"&gt;52.7484438526133&lt;/D&gt;&lt;D xsi:type="xsd:double"&gt;44.960115006453&lt;/D&gt;&lt;D xsi:type="xsd:double"&gt;38.223042182489&lt;/D&gt;&lt;D xsi:type="xsd:double"&gt;31.0719755419773&lt;/D&gt;&lt;D xsi:type="xsd:double"&gt;24.1589024818896&lt;/D&gt;&lt;D xsi:type="xsd:double"&gt;17.350528589575&lt;/D&gt;&lt;D xsi:type="xsd:double"&gt;16.1277782465856&lt;/D&gt;&lt;D xsi:type="xsd:double"&gt;14.2433880988696&lt;/D&gt;&lt;D xsi:type="xsd:double"&gt;14.0856071310279&lt;/D&gt;&lt;D xsi:type="xsd:double"&gt;14.2149252808235&lt;/D&gt;&lt;D xsi:type="xsd:double"&gt;13.7910583571899&lt;/D&gt;&lt;D xsi:type="xsd:double"&gt;13.4045498385653&lt;/D&gt;&lt;D xsi:type="xsd:double"&gt;13.1342100878687&lt;/D&gt;&lt;D xsi:type="xsd:double"&gt;12.6524987092365&lt;/D&gt;&lt;D xsi:type="xsd:double"&gt;12.7122063521543&lt;/D&gt;&lt;D xsi:type="xsd:double"&gt;11.3790808043861&lt;/D&gt;&lt;D xsi:type="xsd:double"&gt;11.0851895741432&lt;/D&gt;&lt;D xsi:type="xsd:double"&gt;10.5664441881321&lt;/D&gt;&lt;D xsi:type="xsd:double"&gt;10.9521759824183&lt;/D&gt;&lt;D xsi:type="xsd:double"&gt;11.1584027463661&lt;/D&gt;&lt;D xsi:type="xsd:double"&gt;11.3059615425333&lt;/D&gt;&lt;D xsi:type="xsd:double"&gt;11.3605766032591&lt;/D&gt;&lt;D xsi:type="xsd:double"&gt;10.9917122054059&lt;/D&gt;&lt;D xsi:type="xsd:double"&gt;11.1748117289151&lt;/D&gt;&lt;D xsi:type="xsd:double"&gt;11.3185207763136&lt;/D&gt;&lt;D xsi:type="xsd:double"&gt;10.8386659992883&lt;/D&gt;&lt;D xsi:type="xsd:double"&gt;11.2766576100393&lt;/D&gt;&lt;D xsi:type="xsd:double"&gt;11.5396192510993&lt;/D&gt;&lt;D xsi:type="xsd:double"&gt;11.8444837406868&lt;/D&gt;&lt;D xsi:type="xsd:double"&gt;12.3015726394982&lt;/D&gt;&lt;D xsi:type="xsd:double"&gt;12.0770491432951&lt;/D&gt;&lt;D xsi:type="xsd:double"&gt;12.6890162128706&lt;/D&gt;&lt;D xsi:type="xsd:double"&gt;10.8043604483386&lt;/D&gt;&lt;D xsi:type="xsd:double"&gt;11.9724105275262&lt;/D&gt;&lt;D xsi:type="xsd:double"&gt;13.7712344166652&lt;/D&gt;&lt;D xsi:type="xsd:double"&gt;16.2880762509362&lt;/D&gt;&lt;D xsi:type="xsd:double"&gt;17.7387281597109&lt;/D&gt;&lt;D xsi:type="xsd:double"&gt;17.5137873992996&lt;/D&gt;&lt;D xsi:type="xsd:double"&gt;18.0306664352587&lt;/D&gt;&lt;D xsi:type="xsd:double"&gt;19.0811935339854&lt;/D&gt;&lt;D xsi:type="xsd:double"&gt;21.9602141974402&lt;/D&gt;&lt;D xsi:type="xsd:double"&gt;23.0217149014849&lt;/D&gt;&lt;D xsi:type="xsd:double"&gt;20.7492813826241&lt;/D&gt;&lt;D xsi:type="xsd:double"&gt;20.0042059547963&lt;/D&gt;&lt;D xsi:type="xsd:double"&gt;19.9140481011051&lt;/D&gt;&lt;D xsi:type="xsd:double"&gt;19.3160064922687&lt;/D&gt;&lt;D xsi:type="xsd:double"&gt;18.677306611085&lt;/D&gt;&lt;D xsi:type="xsd:double"&gt;18.140306517252&lt;/D&gt;&lt;D xsi:type="xsd:double"&gt;17.4397558260394&lt;/D&gt;&lt;D xsi:type="xsd:double"&gt;15.9281581669551&lt;/D&gt;&lt;D xsi:type="xsd:double"&gt;15.0144798915863&lt;/D&gt;&lt;D xsi:type="xsd:double"&gt;14.3619282206619&lt;/D&gt;&lt;D xsi:type="xsd:double"&gt;13.2914851093037&lt;/D&gt;&lt;D xsi:type="xsd:double"&gt;12.1501654383022&lt;/D&gt;&lt;D xsi:type="xsd:double"&gt;11.9810773374981&lt;/D&gt;&lt;D xsi:type="xsd:double"&gt;10.856264152432&lt;/D&gt;&lt;D xsi:type="xsd:double"&gt;10.5159918666587&lt;/D&gt;&lt;D xsi:type="xsd:double"&gt;10.4147997269059&lt;/D&gt;&lt;D xsi:type="xsd:double"&gt;10.0813789169256&lt;/D&gt;&lt;D xsi:type="xsd:double"&gt;9.43490006115423&lt;/D&gt;&lt;D xsi:type="xsd:double"&gt;9.02922605067543&lt;/D&gt;&lt;D xsi:type="xsd:double"&gt;8.55701588961869&lt;/D&gt;&lt;D xsi:type="xsd:double"&gt;8.09429106453842&lt;/D&gt;&lt;D xsi:type="xsd:double"&gt;7.98616548410463&lt;/D&gt;&lt;D xsi:type="xsd:double"&gt;8.26563798174204&lt;/D&gt;&lt;D xsi:type="xsd:double"&gt;7.48020154473232&lt;/D&gt;&lt;D xsi:type="xsd:double"&gt;7.9771725553655&lt;/D&gt;&lt;D xsi:type="xsd:double"&gt;8.19860343769003&lt;/D&gt;&lt;D xsi:type="xsd:double"&gt;8.24478720310811&lt;/D&gt;&lt;D xsi:type="xsd:double"&gt;8.41102421394401&lt;/D&gt;&lt;D xsi:type="xsd:double"&gt;8.26038200836939&lt;/D&gt;&lt;D xsi:type="xsd:double"&gt;8.44071930164964&lt;/D&gt;&lt;D xsi:type="xsd:double"&gt;8.71019321655576&lt;/D&gt;&lt;D xsi:type="xsd:double"&gt;8.20459307363109&lt;/D&gt;&lt;D xsi:type="xsd:double"&gt;8.33919475823602&lt;/D&gt;&lt;D xsi:type="xsd:double"&gt;8.0325458461502&lt;/D&gt;&lt;D xsi:type="xsd:double"&gt;8.22071872670923&lt;/D&gt;&lt;D xsi:type="xsd:double"&gt;8.84838072730554&lt;/D&gt;&lt;D xsi:type="xsd:double"&gt;8.92231669363717&lt;/D&gt;&lt;D xsi:type="xsd:double"&gt;9.32869159246799&lt;/D&gt;&lt;D xsi:type="xsd:double"&gt;9.45735959688065&lt;/D&gt;&lt;D xsi:type="xsd:double"&gt;9.48606390436577&lt;/D&gt;&lt;D xsi:type="xsd:double"&gt;9.55734291978769&lt;/D&gt;&lt;D xsi:type="xsd:double"&gt;9.44905077898283&lt;/D&gt;&lt;D xsi:type="xsd:double"&gt;9.74151671930812&lt;/D&gt;&lt;D xsi:type="xsd:double"&gt;9.78760468559962&lt;/D&gt;&lt;D xsi:type="xsd:double"&gt;10.0345432198646&lt;/D&gt;&lt;/FQL&gt;&lt;FQL&gt;&lt;Q&gt;NI-FDS^FG_PRICE(0)&lt;/Q&gt;&lt;R&gt;1&lt;/R&gt;&lt;C&gt;1&lt;/C&gt;&lt;D xsi:type="xsd:double"&gt;16175&lt;/D&gt;&lt;/FQL&gt;&lt;FQL&gt;&lt;Q&gt;EWQ^FG_PRICE(0)&lt;/Q&gt;&lt;R&gt;1&lt;/R&gt;&lt;C&gt;1&lt;/C&gt;&lt;D xsi:type="xsd:double"&gt;39.58&lt;/D&gt;&lt;/FQL&gt;&lt;FQL&gt;&lt;Q&gt;FXI^FG_TOTAL_RETURNC(0,-1AM)&lt;/Q&gt;&lt;R&gt;1&lt;/R&gt;&lt;C&gt;1&lt;/C&gt;&lt;D xsi:type="xsd:double"&gt;4.7583103&lt;/D&gt;&lt;/FQL&gt;&lt;FQL&gt;&lt;Q&gt;SPY^FG_TOTAL_RETURNC(0,-6AM)&lt;/Q&gt;&lt;R&gt;1&lt;/R&gt;&lt;C&gt;1&lt;/C&gt;&lt;D xsi:type="xsd:double"&gt;10.02611&lt;/D&gt;&lt;/FQL&gt;&lt;FQL&gt;&lt;Q&gt;EWL^FG_TOTAL_RETURNC(0,-6AM)&lt;/Q&gt;&lt;R&gt;1&lt;/R&gt;&lt;C&gt;1&lt;/C&gt;&lt;D xsi:type="xsd:double"&gt;9.862757&lt;/D&gt;&lt;/FQL&gt;&lt;FQL&gt;&lt;Q&gt;ENZL^FG_TOTAL_RETURNC(0,-6AM)&lt;/Q&gt;&lt;R&gt;1&lt;/R&gt;&lt;C&gt;1&lt;/C&gt;&lt;D xsi:type="xsd:double"&gt;10.364532&lt;/D&gt;&lt;/FQL&gt;&lt;FQL&gt;&lt;Q&gt;VGK^FMA_COS_DOWN("EPS","1M",+1,0,,,"PORTAGG","MEANR")&lt;/Q&gt;&lt;R&gt;1&lt;/R&gt;&lt;C&gt;1&lt;/C&gt;&lt;D xsi:type="xsd:double"&gt;600&lt;/D&gt;&lt;/FQL&gt;&lt;FQL&gt;&lt;Q&gt;EWN^FG_ROE(0)&lt;/Q&gt;&lt;R&gt;1&lt;/R&gt;&lt;C&gt;1&lt;/C&gt;&lt;D xsi:type="xsd:double"&gt;11.0104126981375&lt;/D&gt;&lt;/FQL&gt;&lt;FQL&gt;&lt;Q&gt;REFCATARG-FDS^FG_YIELD(NOW,,,0)&lt;/Q&gt;&lt;R&gt;1&lt;/R&gt;&lt;C&gt;1&lt;/C&gt;&lt;D xsi:type="xsd:double"&gt;4.25&lt;/D&gt;&lt;/FQL&gt;&lt;FQL&gt;&lt;Q&gt;TRYGB10Y-FDS^PCTCHG(FG_YIELD(0,,,,"YTM"),FG_YIELD(-1AM,,,,"YTM"))&lt;/Q&gt;&lt;R&gt;1&lt;/R&gt;&lt;C&gt;1&lt;/C&gt;&lt;D xsi:type="xsd:double"&gt;0.4340046&lt;/D&gt;&lt;/FQL&gt;&lt;FQL&gt;&lt;Q&gt;VGK^FG_PE(0)&lt;/Q&gt;&lt;R&gt;1&lt;/R&gt;&lt;C&gt;1&lt;/C&gt;&lt;D xsi:type="xsd:double"&gt;14.4366061640765&lt;/D&gt;&lt;/FQL&gt;&lt;FQL&gt;&lt;Q&gt;EWA^FMA_PE(NTMA,0,,,"PORTAGG","MEANR")&lt;/Q&gt;&lt;R&gt;1&lt;/R&gt;&lt;C&gt;1&lt;/C&gt;&lt;D xsi:type="xsd:double"&gt;18.3750634628975&lt;/D&gt;&lt;/FQL&gt;&lt;FQL&gt;&lt;Q&gt;QQQ^FG_TOTAL_RETURNC(0,-3AM)&lt;/Q&gt;&lt;R&gt;1&lt;/R&gt;&lt;C&gt;1&lt;/C&gt;&lt;D xsi:type="xsd:double"&gt;1.0027409&lt;/D&gt;&lt;/FQL&gt;&lt;FQL&gt;&lt;Q&gt;TRYAU10Y-FDS^FG_YIELD(-10AY,0,Y,,"YTM")&lt;/Q&gt;&lt;R&gt;10&lt;/R&gt;&lt;C&gt;1&lt;/C&gt;&lt;D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xsi:type="xsd:double"&gt;3.955&lt;/D&gt;&lt;/FQL&gt;&lt;FQL&gt;&lt;Q&gt;CAGDPY@IT^EE_ACTUAL_ANNUAL(MED,+1)&lt;/Q&gt;&lt;R&gt;1&lt;/R&gt;&lt;C&gt;1&lt;/C&gt;&lt;D xsi:type="xsd:double"&gt;1.1&lt;/D&gt;&lt;/FQL&gt;&lt;FQL&gt;&lt;Q&gt;USDUSD^FG_PRICE_CHANGE(0,-1AY)&lt;/Q&gt;&lt;R&gt;1&lt;/R&gt;&lt;C&gt;1&lt;/C&gt;&lt;D xsi:type="xsd:double"&gt;0&lt;/D&gt;&lt;/FQL&gt;&lt;FQL&gt;&lt;Q&gt;USDCAD^STD(FG_PRICE_CHANGE(0,-1AY,AM))&lt;/Q&gt;&lt;R&gt;1&lt;/R&gt;&lt;C&gt;1&lt;/C&gt;&lt;D xsi:type="xsd:double"&gt;1.31059205313051&lt;/D&gt;&lt;/FQL&gt;&lt;FQL&gt;&lt;Q&gt;EWL^FMA_DIV_YLD(NTMA,-10AY,0,AM,"PORTAGG","MEANR")&lt;/Q&gt;&lt;R&gt;121&lt;/R&gt;&lt;C&gt;1&lt;/C&gt;&lt;D xsi:type="xsd:double"&gt;3.31943085489042&lt;/D&gt;&lt;D xsi:type="xsd:double"&gt;3.42809877505798&lt;/D&gt;&lt;D xsi:type="xsd:double"&gt;3.22526286562279&lt;/D&gt;&lt;D xsi:type="xsd:double"&gt;3.27636596358089&lt;/D&gt;&lt;D xsi:type="xsd:double"&gt;3.42350281583826&lt;/D&gt;&lt;D xsi:type="xsd:double"&gt;3.17730374723743&lt;/D&gt;&lt;D xsi:type="xsd:double"&gt;3.05769728359976&lt;/D&gt;&lt;D xsi:type="xsd:double"&gt;3.03033821513684&lt;/D&gt;&lt;D xsi:type="xsd:double"&gt;3.06826540678127&lt;/D&gt;&lt;D xsi:type="xsd:double"&gt;3.16912348464758&lt;/D&gt;&lt;D xsi:type="xsd:double"&gt;3.11882447869108&lt;/D&gt;&lt;D xsi:type="xsd:double"&gt;3.30792559169902&lt;/D&gt;&lt;D xsi:type="xsd:double"&gt;3.47913379731256&lt;/D&gt;&lt;D xsi:type="xsd:double"&gt;3.27270440395131&lt;/D&gt;&lt;D xsi:type="xsd:double"&gt;3.25390255531264&lt;/D&gt;&lt;D xsi:type="xsd:double"&gt;3.29711384922453&lt;/D&gt;&lt;D xsi:type="xsd:double"&gt;3.52131105903155&lt;/D&gt;&lt;D xsi:type="xsd:double"&gt;3.56518192710416&lt;/D&gt;&lt;D xsi:type="xsd:double"&gt;3.51068490463839&lt;/D&gt;&lt;D xsi:type="xsd:double"&gt;3.46094652630229&lt;/D&gt;&lt;D xsi:type="xsd:double"&gt;3.52138126201538&lt;/D&gt;&lt;D xsi:type="xsd:double"&gt;3.5029232307154&lt;/D&gt;&lt;D xsi:type="xsd:double"&gt;3.49176882075961&lt;/D&gt;&lt;D xsi:type="xsd:double"&gt;3.44034208312028&lt;/D&gt;&lt;D xsi:type="xsd:double"&gt;3.44620334238413&lt;/D&gt;&lt;D xsi:type="xsd:double"&gt;3.56742675198337&lt;/D&gt;&lt;D xsi:type="xsd:double"&gt;3.71570740641548&lt;/D&gt;&lt;D xsi:type="xsd:double"&gt;3.5618394533184&lt;/D&gt;&lt;D xsi:type="xsd:double"&gt;3.53184550798718&lt;/D&gt;&lt;D xsi:type="xsd:double"&gt;3.36724573740573&lt;/D&gt;&lt;D xsi:type="xsd:double"&gt;3.34619116640082&lt;/D&gt;&lt;D xsi:type="xsd:double"&gt;3.45218101166211&lt;/D&gt;&lt;D xsi:type="xsd:double"&gt;3.27656298261614&lt;/D&gt;&lt;D xsi:type="xsd:double"&gt;3.24611374418224&lt;/D&gt;&lt;D xsi:type="xsd:double"&gt;3.28432749165607&lt;/D&gt;&lt;D xsi:type="xsd:double"&gt;3.31233843919441&lt;/D&gt;&lt;D xsi:type="xsd:double"&gt;3.2705985742415&lt;/D&gt;&lt;D xsi:type="xsd:double"&gt;3.25229956448253&lt;/D&gt;&lt;D xsi:type="xsd:double"&gt;3.23329203922791&lt;/D&gt;&lt;D xsi:type="xsd:double"&gt;3.22506496292888&lt;/D&gt;&lt;D xsi:type="xsd:double"&gt;3.15213473616458&lt;/D&gt;&lt;D xsi:type="xsd:double"&gt;3.3646794263665&lt;/D&gt;&lt;D xsi:type="xsd:double"&gt;3.55115945134111&lt;/D&gt;&lt;D xsi:type="xsd:double"&gt;3.479881697562&lt;/D&gt;&lt;D xsi:type="xsd:double"&gt;3.48644100661367&lt;/D&gt;&lt;D xsi:type="xsd:double"&gt;3.56256463707075&lt;/D&gt;&lt;D xsi:type="xsd:double"&gt;3.43185950934022&lt;/D&gt;&lt;D xsi:type="xsd:double"&gt;3.41229334526287&lt;/D&gt;&lt;D xsi:type="xsd:double"&gt;3.40084739441311&lt;/D&gt;&lt;D xsi:type="xsd:double"&gt;3.60442479085584&lt;/D&gt;&lt;D xsi:type="xsd:double"&gt;3.57910934239054&lt;/D&gt;&lt;D xsi:type="xsd:double"&gt;3.71524614199325&lt;/D&gt;&lt;D xsi:type="xsd:double"&gt;3.47726697706074&lt;/D&gt;&lt;D xsi:type="xsd:double"&gt;3.34237465574265&lt;/D&gt;&lt;D xsi:type="xsd:double"&gt;3.37134437736982&lt;/D&gt;&lt;D xsi:type="xsd:double"&gt;3.27769960942285&lt;/D&gt;&lt;D xsi:type="xsd:double"&gt;3.30803333101489&lt;/D&gt;&lt;D xsi:type="xsd:double"&gt;3.21114839362282&lt;/D&gt;&lt;D xsi:type="xsd:double"&gt;3.20329303411653&lt;/D&gt;&lt;D xsi:type="xsd:double"&gt;3.2815174557491&lt;/D&gt;&lt;D xsi:type="xsd:double"&gt;3.21352828103294&lt;/D&gt;&lt;D xsi:type="xsd:double"&gt;3.22026735006385&lt;/D&gt;&lt;D xsi:type="xsd:double"&gt;3.13400554517132&lt;/D&gt;&lt;D xsi:type="xsd:double"&gt;3.02790309696064&lt;/D&gt;&lt;D xsi:type="xsd:double"&gt;2.98420391982804&lt;/D&gt;&lt;D xsi:type="xsd:double"&gt;2.93328552085048&lt;/D&gt;&lt;D xsi:type="xsd:double"&gt;4.02148847100861&lt;/D&gt;&lt;D xsi:type="xsd:double"&gt;3.33761091027287&lt;/D&gt;&lt;D xsi:type="xsd:double"&gt;3.22176443952634&lt;/D&gt;&lt;D xsi:type="xsd:double"&gt;3.03972515988075&lt;/D&gt;&lt;D xsi:type="xsd:double"&gt;2.91633242124383&lt;/D&gt;&lt;D xsi:type="xsd:double"&gt;2.9479147534443&lt;/D&gt;&lt;D xsi:type="xsd:double"&gt;2.94932121212443&lt;/D&gt;&lt;D xsi:type="xsd:double"&gt;2.99660091800946&lt;/D&gt;&lt;D xsi:type="xsd:double"&gt;2.90382079871815&lt;/D&gt;&lt;D xsi:type="xsd:double"&gt;2.8964665312558&lt;/D&gt;&lt;D xsi:type="xsd:double"&gt;2.80361209339616&lt;/D&gt;&lt;D xsi:type="xsd:double"&gt;2.88144650444128&lt;/D&gt;&lt;D xsi:type="xsd:double"&gt;2.79427146080495&lt;/D&gt;&lt;D xsi:type="xsd:double"&gt;2.72936582078992&lt;/D&gt;&lt;D xsi:type="xsd:double"&gt;2.74965272081132&lt;/D&gt;&lt;D xsi:type="xsd:double"&gt;2.63272261911871&lt;/D&gt;&lt;D xsi:type="xsd:double"&gt;2.59995407142352&lt;/D&gt;&lt;D xsi:type="xsd:double"&gt;2.54750467696636&lt;/D&gt;&lt;D xsi:type="xsd:double"&gt;2.66888490149549&lt;/D&gt;&lt;D xsi:type="xsd:double"&gt;2.66963537122671&lt;/D&gt;&lt;D xsi:type="xsd:double"&gt;2.63638178184472&lt;/D&gt;&lt;D xsi:type="xsd:double"&gt;2.55192618966122&lt;/D&gt;&lt;D xsi:type="xsd:double"&gt;2.67405248973328&lt;/D&gt;&lt;D xsi:type="xsd:double"&gt;2.81101786006918&lt;/D&gt;&lt;D xsi:type="xsd:double"&gt;2.8039263065229&lt;/D&gt;&lt;D xsi:type="xsd:double"&gt;2.81059066159738&lt;/D&gt;&lt;D xsi:type="xsd:double"&gt;3.00388594763791&lt;/D&gt;&lt;D xsi:type="xsd:double"&gt;3.27816194594521&lt;/D&gt;&lt;D xsi:type="xsd:double"&gt;3.09245544387824&lt;/D&gt;&lt;D xsi:type="xsd:double"&gt;3.16648735293737&lt;/D&gt;&lt;D xsi:type="xsd:double"&gt;3.46151792578704&lt;/D&gt;&lt;D xsi:type="xsd:double"&gt;3.39462724394836&lt;/D&gt;&lt;D xsi:type="xsd:double"&gt;3.10920782166101&lt;/D&gt;&lt;D xsi:type="xsd:double"&gt;3.22260496392914&lt;/D&gt;&lt;D xsi:type="xsd:double"&gt;3.03675475349592&lt;/D&gt;&lt;D xsi:type="xsd:double"&gt;3.08976504620899&lt;/D&gt;&lt;D xsi:type="xsd:double"&gt;3.25335762218457&lt;/D&gt;&lt;D xsi:type="xsd:double"&gt;3.05691450411157&lt;/D&gt;&lt;D xsi:type="xsd:double"&gt;3.10749936619703&lt;/D&gt;&lt;D xsi:type="xsd:double"&gt;3.19163934912992&lt;/D&gt;&lt;D xsi:type="xsd:double"&gt;3.16521022143009&lt;/D&gt;&lt;D xsi:type="xsd:double"&gt;3.26605851817582&lt;/D&gt;&lt;D xsi:type="xsd:double"&gt;3.32005798751346&lt;/D&gt;&lt;D xsi:type="xsd:double"&gt;3.53790699586923&lt;/D&gt;&lt;D xsi:type="xsd:double"&gt;3.39216839214017&lt;/D&gt;&lt;D xsi:type="xsd:double"&gt;3.28747281889194&lt;/D&gt;&lt;D xsi:type="xsd:double"&gt;3.35444119510023&lt;/D&gt;&lt;D xsi:type="xsd:double"&gt;3.26892208875412&lt;/D&gt;&lt;D xsi:type="xsd:double"&gt;3.27560562313734&lt;/D&gt;&lt;D xsi:type="xsd:double"&gt;3.34068180626872&lt;/D&gt;&lt;D xsi:type="xsd:double"&gt;3.21748050033641&lt;/D&gt;&lt;D xsi:type="xsd:double"&gt;3.21684088248969&lt;/D&gt;&lt;D xsi:type="xsd:double"&gt;3.17704724619996&lt;/D&gt;&lt;D xsi:type="xsd:double"&gt;3.10473394164974&lt;/D&gt;&lt;D xsi:type="xsd:double"&gt;3.19145366107395&lt;/D&gt;&lt;/FQL&gt;&lt;FQL&gt;&lt;Q&gt;WL-FDS^FG_PRICE_CHANGE(0,-1AY)&lt;/Q&gt;&lt;R&gt;1&lt;/R&gt;&lt;C&gt;1&lt;/C&gt;&lt;D xsi:type="xsd:double"&gt;-19.9644225506294&lt;/D&gt;&lt;/FQL&gt;&lt;FQL&gt;&lt;Q&gt;W-FDS^FG_PRICE_MAVG(0,,,,30)&lt;/Q&gt;&lt;R&gt;1&lt;/R&gt;&lt;C&gt;1&lt;/C&gt;&lt;D xsi:type="xsd:double"&gt;5.43575&lt;/D&gt;&lt;/FQL&gt;&lt;FQL&gt;&lt;Q&gt;EWG^FG_PRICE(0)&lt;/Q&gt;&lt;R&gt;1&lt;/R&gt;&lt;C&gt;1&lt;/C&gt;&lt;D xsi:type="xsd:double"&gt;32.8&lt;/D&gt;&lt;/FQL&gt;&lt;FQL&gt;&lt;Q&gt;URTH^FG_TOTAL_RETURNC(0,-12AM)&lt;/Q&gt;&lt;R&gt;1&lt;/R&gt;&lt;C&gt;1&lt;/C&gt;&lt;D xsi:type="xsd:double"&gt;30.54471&lt;/D&gt;&lt;/FQL&gt;&lt;FQL&gt;&lt;Q&gt;EWN^FG_TOTAL_RETURNC(0,-12AM)&lt;/Q&gt;&lt;R&gt;1&lt;/R&gt;&lt;C&gt;1&lt;/C&gt;&lt;D xsi:type="xsd:double"&gt;31.24752&lt;/D&gt;&lt;/FQL&gt;&lt;FQL&gt;&lt;Q&gt;EWG^PERCENT_CHANGE(FMA_EPS(+1,0,,,,"PORTAGG","MEAN"),FMA_EPS(+1,-1AM,,,,"PORTAGG","MEAN"))&lt;/Q&gt;&lt;R&gt;1&lt;/R&gt;&lt;C&gt;1&lt;/C&gt;&lt;D xsi:type="xsd:double"&gt;-2.63839741092258&lt;/D&gt;&lt;/FQL&gt;&lt;FQL&gt;&lt;Q&gt;EWL^FMA_COS_DOWN("EPS","1M",+1,0,,,"PORTAGG","MEANR")&lt;/Q&gt;&lt;R&gt;1&lt;/R&gt;&lt;C&gt;1&lt;/C&gt;&lt;D xsi:type="xsd:double"&gt;25&lt;/D&gt;&lt;/FQL&gt;&lt;FQL&gt;&lt;Q&gt;EWN^FMA_PE(LTM,0,,,"PORTAGG","MEANR")&lt;/Q&gt;&lt;R&gt;1&lt;/R&gt;&lt;C&gt;1&lt;/C&gt;&lt;D xsi:type="xsd:double"&gt;21.6524234249579&lt;/D&gt;&lt;/FQL&gt;&lt;FQL&gt;&lt;Q&gt;QQQ^JULIAN(FMA_DIV_YLD(NTMA,NOW,NOW,M,"PORTAGG","MEANR").DATES)&lt;/Q&gt;&lt;R&gt;1&lt;/R&gt;&lt;C&gt;1&lt;/C&gt;&lt;D xsi:type="xsd:long"&gt;45534&lt;/D&gt;&lt;/FQL&gt;&lt;FQL&gt;&lt;Q&gt;EWJ^FMA_PE(LTM,0,,,"PORTAGG","MEANR")&lt;/Q&gt;&lt;R&gt;1&lt;/R&gt;&lt;C&gt;1&lt;/C&gt;&lt;D xsi:type="xsd:double"&gt;17.0247695277397&lt;/D&gt;&lt;/FQL&gt;&lt;FQL&gt;&lt;Q&gt;TRY10Y-FDS^FG_YIELD(-10AY,0,Y,,"YTM")&lt;/Q&gt;&lt;R&gt;10&lt;/R&gt;&lt;C&gt;1&lt;/C&gt;&lt;D xsi:type="xsd:string"&gt;@NA&lt;/D&gt;&lt;D xsi:type="xsd:string"&gt;@NA&lt;/D&gt;&lt;D xsi:type="xsd:string"</t>
        </r>
      </text>
    </comment>
    <comment ref="A7" authorId="0" shapeId="0" xr:uid="{11DD3217-4836-4DEF-92C0-DA9461BB3931}">
      <text>
        <r>
          <rPr>
            <b/>
            <sz val="9"/>
            <color indexed="81"/>
            <rFont val="Tahoma"/>
            <charset val="1"/>
          </rPr>
          <t>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xsi:type="xsd:string"&gt;@NA&lt;/D&gt;&lt;/FQL&gt;&lt;FQL&gt;&lt;Q&gt;CAGDPY@NZ^EE_ACTUAL_ANNUAL(MED,0)&lt;/Q&gt;&lt;R&gt;1&lt;/R&gt;&lt;C&gt;1&lt;/C&gt;&lt;D xsi:type="xsd:double"&gt;-7.1&lt;/D&gt;&lt;/FQL&gt;&lt;FQL&gt;&lt;Q&gt;USDSEK^FG_PRICE(0)&lt;/Q&gt;&lt;R&gt;1&lt;/R&gt;&lt;C&gt;1&lt;/C&gt;&lt;D xsi:type="xsd:double"&gt;10.18595&lt;/D&gt;&lt;/FQL&gt;&lt;FQL&gt;&lt;Q&gt;USDCHF^FG_PRICE_CHANGE(0,-1AM)&lt;/Q&gt;&lt;R&gt;1&lt;/R&gt;&lt;C&gt;1&lt;/C&gt;&lt;D xsi:type="xsd:double"&gt;-0.094264746&lt;/D&gt;&lt;/FQL&gt;&lt;FQL&gt;&lt;Q&gt;EWD^FMA_EPS(NTMA,-20AY,0,CY,,"PORTAGG","MEANR")&lt;/Q&gt;&lt;R&gt;20&lt;/R&gt;&lt;C&gt;1&lt;/C&gt;&lt;D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xsi:type="xsd:double"&gt;2.51009258677616&lt;/D&gt;&lt;/FQL&gt;&lt;FQL&gt;&lt;Q&gt;EWA^P_PRICE_RETURNS_PR('52W',2,-10AY,0,AM)&lt;/Q&gt;&lt;R&gt;121&lt;/R&gt;&lt;C&gt;1&lt;/C&gt;&lt;D xsi:type="xsd:double"&gt;0.23146868&lt;/D&gt;&lt;D xsi:type="xsd:double"&gt;-4.3720007&lt;/D&gt;&lt;D xsi:type="xsd:double"&gt;-1.9034266&lt;/D&gt;&lt;D xsi:type="xsd:double"&gt;-4.4626894&lt;/D&gt;&lt;D xsi:type="xsd:double"&gt;-1.5502274&lt;/D&gt;&lt;D xsi:type="xsd:double"&gt;-1.6910195&lt;/D&gt;&lt;D xsi:type="xsd:double"&gt;1.6002655&lt;/D&gt;&lt;D xsi:type="xsd:double"&gt;-7.769108&lt;/D&gt;&lt;D xsi:type="xsd:double"&gt;-9.59391&lt;/D&gt;&lt;D xsi:type="xsd:double"&gt;-11.38885&lt;/D&gt;&lt;D xsi:type="xsd:double"&gt;-19.769276&lt;/D&gt;&lt;D xsi:type="xsd:double"&gt;-26.423471&lt;/D&gt;&lt;D xsi:type="xsd:double"&gt;-23.723667&lt;/D&gt;&lt;D xsi:type="xsd:double"&gt;-15.098417&lt;/D&gt;&lt;D xsi:type="xsd:double"&gt;-16.14008&lt;/D&gt;&lt;D xsi:type="xsd:double"&gt;-10.899162&lt;/D&gt;&lt;D xsi:type="xsd:double"&gt;-18.454891&lt;/D&gt;&lt;D xsi:type="xsd:double"&gt;-20.251863&lt;/D&gt;&lt;D xsi:type="xsd:double"&gt;-15.816736&lt;/D&gt;&lt;D xsi:type="xsd:double"&gt;-8.177031&lt;/D&gt;&lt;D xsi:type="xsd:double"&gt;-10.511178&lt;/D&gt;&lt;D xsi:type="xsd:double"&gt;-5.5075703&lt;/D&gt;&lt;D xsi:type="xsd:double"&gt;1.7953396&lt;/D&gt;&lt;D xsi:type="xsd:double"&gt;16.104198&lt;/D&gt;&lt;D xsi:type="xsd:double"&gt;20.095146&lt;/D&gt;&lt;D xsi:type="xsd:double"&gt;12.910318&lt;/D&gt;&lt;D xsi:type="xsd:double"&gt;11.7313385&lt;/D&gt;&lt;D xsi:type="xsd:double"&gt;11.527753&lt;/D&gt;&lt;D xsi:type="xsd:double"&gt;28.45279&lt;/D&gt;&lt;D xsi:type="xsd:double"&gt;31.084991&lt;/D&gt;&lt;D xsi:type="xsd:double"&gt;18.989872&lt;/D&gt;&lt;D xsi:type="xsd:double"&gt;14.3736&lt;/D&gt;&lt;D xsi:type="xsd:double"&gt;17.76569&lt;/D&gt;&lt;D xsi:type="xsd:double"&gt;12.066757&lt;/D&gt;&lt;D xsi:type="xsd:double"&gt;15.507102&lt;/D&gt;&lt;D xsi:type="xsd:double"&gt;13.241839&lt;/D&gt;&lt;D xsi:type="xsd:double"&gt;15.847958&lt;/D&gt;&lt;D xsi:type="xsd:double"&gt;16.269875&lt;/D&gt;&lt;D xsi:type="xsd:double"&gt;17.880833&lt;/D&gt;&lt;D xsi:type="xsd:double"&gt;19.074608&lt;/D&gt;&lt;D xsi:type="xsd:double"&gt;17.09553&lt;/D&gt;&lt;D xsi:type="xsd:double"&gt;8.69404&lt;/D&gt;&lt;D xsi:type="xsd:double"&gt;4.001832&lt;/D&gt;&lt;D xsi:type="xsd:double"&gt;4.0117383&lt;/D&gt;&lt;D xsi:type="xsd:double"&gt;8.836662&lt;/D&gt;&lt;D xsi:type="xsd:double"&gt;11.755884&lt;/D&gt;&lt;D xsi:type="xsd:double"&gt;5.5395126&lt;/D&gt;&lt;D xsi:type="xsd:double"&gt;3.0808806&lt;/D&gt;&lt;D xsi:type="xsd:double"&gt;3.3082247&lt;/D&gt;&lt;D xsi:type="xsd:double"&gt;-6.812525&lt;/D&gt;&lt;D xsi:type="xsd:double"&gt;-6.2808156&lt;/D&gt;&lt;D xsi:type="xsd:double"&gt;-14.629591&lt;/D&gt;&lt;D xsi:type="xsd:double"&gt;-10.07756&lt;/D&gt;&lt;D xsi:type="xsd:double"&gt;-2.1521091&lt;/D&gt;&lt;D xsi:type="xsd:double"&gt;1.4468312&lt;/D&gt;&lt;D xsi:type="xsd:double"&gt;4.935968&lt;/D&gt;&lt;D xsi:type="xsd:double"&gt;2.2072554&lt;/D&gt;&lt;D xsi:type="xsd:double"&gt;5.5072904&lt;/D&gt;&lt;D xsi:type="xsd:double"&gt;6.824386&lt;/D&gt;&lt;D xsi:type="xsd:double"&gt;0.093221664&lt;/D&gt;&lt;D xsi:type="xsd:double"&gt;6.4563036&lt;/D&gt;&lt;D xsi:type="xsd:double"&gt;16.998123&lt;/D&gt;&lt;D xsi:type="xsd:double"&gt;15.7512665&lt;/D&gt;&lt;D xsi:type="xsd:double"&gt;27.802277&lt;/D&gt;&lt;D xsi:type="xsd:double"&gt;21.017027&lt;/D&gt;&lt;D xsi:type="xsd:double"&gt;12.439192&lt;/D&gt;&lt;D xsi:type="xsd:double"&gt;-37.148243&lt;/D&gt;&lt;D xsi:type="xsd:double"&gt;-23.808289&lt;/D&gt;&lt;D xsi:type="xsd:double"&gt;-18.186872&lt;/D&gt;&lt;D xsi:type="xsd:double"&gt;-9.4566345&lt;/D&gt;&lt;D xsi:type="xsd:double"&gt;-8.474171&lt;/D&gt;&lt;D xsi:type="xsd:double"&gt;-0.4047811&lt;/D&gt;&lt;D xsi:type="xsd:double"&gt;-9.519995&lt;/D&gt;&lt;D xsi:type="xsd:double"&gt;-4.4510784&lt;/D&gt;&lt;D xsi:type="xsd:double"&gt;4.890883&lt;/D&gt;&lt;D xsi:type="xsd:double"&gt;8.22289&lt;/D&gt;&lt;D xsi:type="xsd:double"&gt;8.49477&lt;/D&gt;&lt;D xsi:type="xsd:double"&gt;15.3054&lt;/D&gt;&lt;D xsi:type="xsd:double"&gt;95.98575&lt;/D&gt;&lt;D xsi:type="xsd:double"&gt;66.90477&lt;/D&gt;&lt;D xsi:type="xsd:double"&gt;54.959023&lt;/D&gt;&lt;D xsi:type="xsd:double"&gt;37.16134&lt;/D&gt;&lt;D xsi:type="xsd:double"&gt;31.317543&lt;/D&gt;&lt;D xsi:type="xsd:double"&gt;26.973927&lt;/D&gt;&lt;D xsi:type="xsd:double"&gt;33.745193&lt;/D&gt;&lt;D xsi:type="xsd:double"&gt;30.913044&lt;/D&gt;&lt;D xsi:type="xsd:double"&gt;14.895916&lt;/D&gt;&lt;D xsi:type="xsd:double"&gt;8.832991&lt;/D&gt;&lt;D xsi:type="xsd:double"&gt;-1.7044127&lt;/D&gt;&lt;D xsi:type="xsd:double"&gt;-1.6789913&lt;/D&gt;&lt;D xsi:type="xsd:double"&gt;11.2959385&lt;/D&gt;&lt;D xsi:type="xsd:double"&gt;2.5348067&lt;/D&gt;&lt;D xsi:type="xsd:double"&gt;-2.702713&lt;/D&gt;&lt;D xsi:type="xsd:double"&gt;-13.848805&lt;/D&gt;&lt;D xsi:type="xsd:double"&gt;-9.486747&lt;/D&gt;&lt;D xsi:type="xsd:double"&gt;-6.224358&lt;/D&gt;&lt;D xsi:type="xsd:double"&gt;-16.653324&lt;/D&gt;&lt;D xsi:type="xsd:double"&gt;-17.26098&lt;/D&gt;&lt;D xsi:type="xsd:double"&gt;-3.2764137&lt;/D&gt;&lt;D xsi:type="xsd:double"&gt;-5.295616&lt;/D&gt;&lt;D xsi:type="xsd:double"&gt;10.132515&lt;/D&gt;&lt;D xsi:type="xsd:double"&gt;2.477014&lt;/D&gt;&lt;D xsi:type="xsd:double"&gt;-10.862607&lt;/D&gt;&lt;D xsi:type="xsd:double"&gt;-6.970811&lt;/D&gt;&lt;D xsi:type="xsd:double"&gt;-1.8859982&lt;/D&gt;&lt;D xsi:type="xsd:double"&gt;9.31232&lt;/D&gt;&lt;D xsi:type="xsd:double"&gt;10.420359&lt;/D&gt;&lt;D xsi:type="xsd:double"&gt;0.68591833&lt;/D&gt;&lt;D xsi:type="xsd:double"&gt;8.343554&lt;/D&gt;&lt;D xsi:type="xsd:double"&gt;5.161166&lt;/D&gt;&lt;D xsi:type="xsd:double"&gt;1.0180235&lt;/D&gt;&lt;D xsi:type="xsd:double"&gt;14.421439&lt;/D&gt;&lt;D xsi:type="xsd:double"&gt;-0.54287314&lt;/D&gt;&lt;D xsi:type="xsd:double"&gt;6.437838&lt;/D&gt;&lt;D xsi:type="xsd:double"&gt;13.946903&lt;/D&gt;&lt;D xsi:type="xsd:double"&gt;6.717789&lt;/D&gt;&lt;D xsi:type="xsd:double"&gt;12.1365185&lt;/D&gt;&lt;D xsi:type="xsd:double"&gt;9.249294&lt;/D&gt;&lt;D xsi:type="xsd:double"&gt;11.917961&lt;/D&gt;&lt;D xsi:type="xsd:double"&gt;23.90213&lt;/D&gt;&lt;D xsi:type="xsd:double"&gt;27.9698&lt;/D&gt;&lt;/FQL&gt;&lt;FQL&gt;&lt;Q&gt;EWD^FMA_PE(LTMA,-10AY,0,AM,"PORTAGG","MEANR")&lt;/Q&gt;&lt;R&gt;121&lt;/R&gt;&lt;C&gt;1&lt;/C&gt;&lt;D xsi:type="xsd:double"&gt;16.0490449827217&lt;/D&gt;&lt;D xsi:type="xsd:double"&gt;15.8043018439276&lt;/D&gt;&lt;D xsi:type="xsd:double"&gt;17.0656471777609&lt;/D&gt;&lt;D xsi:type="xsd:double"&gt;17.7095340866809&lt;/D&gt;&lt;D xsi:type="xsd:double"&gt;18.3941062652464&lt;/D&gt;&lt;D xsi:type="xsd:double"&gt;20.1704504491646&lt;/D&gt;&lt;D xsi:type="xsd:double"&gt;20.1037749617604&lt;/D&gt;&lt;D xsi:type="xsd:double"&gt;19.6118020158699&lt;/D&gt;&lt;D xsi:type="xsd:double"&gt;19.1508079681224&lt;/D&gt;&lt;D xsi:type="xsd:double"&gt;18.9322833011462&lt;/D&gt;&lt;D xsi:type="xsd:double"&gt;18.6294266427732&lt;/D&gt;&lt;D xsi:type="xsd:double"&gt;17.5910735265738&lt;/D&gt;&lt;D xsi:type="xsd:double"&gt;16.6191115686343&lt;/D&gt;&lt;D xsi:type="xsd:double"&gt;17.3280514789062&lt;/D&gt;&lt;D xsi:type="xsd:double"&gt;16.8860785532806&lt;/D&gt;&lt;D xsi:type="xsd:double"&gt;16.1280622634839&lt;/D&gt;&lt;D xsi:type="xsd:double"&gt;14.952343157576&lt;/D&gt;&lt;D xsi:type="xsd:double"&gt;15.2454233714767&lt;/D&gt;&lt;D xsi:type="xsd:double"&gt;15.5681890563063&lt;/D&gt;&lt;D xsi:type="xsd:double"&gt;15.7739570157585&lt;/D&gt;&lt;D xsi:type="xsd:double"&gt;15.4412712864154&lt;/D&gt;&lt;D xsi:type="xsd:double"&gt;15.5856495692724&lt;/D&gt;&lt;D xsi:type="xsd:double"&gt;15.7270414109909&lt;/D&gt;&lt;D xsi:type="xsd:double"&gt;16.0138015209543&lt;/D&gt;&lt;D xsi:type="xsd:double"&gt;16.4325035033532&lt;/D&gt;&lt;D xsi:type="xsd:double"&gt;17.5740847085732&lt;/D&gt;&lt;D xsi:type="xsd:double"&gt;17.3532290672027&lt;/D&gt;&lt;D xsi:type="xsd:double"&gt;18.2220308462426&lt;/D&gt;&lt;D xsi:type="xsd:double"&gt;17.9893477403466&lt;/D&gt;&lt;D xsi:type="xsd:double"&gt;17.6497686993368&lt;/D&gt;&lt;D xsi:type="xsd:double"&gt;17.4869850259826&lt;/D&gt;&lt;D xsi:type="xsd:double"&gt;17.5565902599816&lt;/D&gt;&lt;D xsi:type="xsd:double"&gt;18.1182227808256&lt;/D&gt;&lt;D xsi:type="xsd:double"&gt;17.6945860838716&lt;/D&gt;&lt;D xsi:type="xsd:double"&gt;17.4393044093537&lt;/D&gt;&lt;D xsi:type="xsd:double"&gt;16.827474955698&lt;/D&gt;&lt;D xsi:type="xsd:double"&gt;17.4023322904538&lt;/D&gt;&lt;D xsi:type="xsd:double"&gt;18.446306921687&lt;/D&gt;&lt;D xsi:type="xsd:double"&gt;18.1062090756629&lt;/D&gt;&lt;D xsi:type="xsd:double"&gt;18.2036149592424&lt;/D&gt;&lt;D xsi:type="xsd:double"&gt;18.6541268913516&lt;/D&gt;&lt;D xsi:type="xsd:double"&gt;16.9440330077518&lt;/D&gt;&lt;D xsi:type="xsd:double"&gt;16.7919084153819&lt;/D&gt;&lt;D xsi:type="xsd:double"&gt;16.865013670855&lt;/D&gt;&lt;D xsi:type="xsd:double"&gt;16.784026687093&lt;/D&gt;&lt;D xsi:type="xsd:double"&gt;16.4384314813809&lt;/D&gt;&lt;D xsi:type="xsd:double"&gt;16.4641627926288&lt;/D&gt;&lt;D xsi:type="xsd:double"&gt;16.7316053379496&lt;/D&gt;&lt;D xsi:type="xsd:double"&gt;16.9310801892151&lt;/D&gt;&lt;D xsi:type="xsd:double"&gt;15.1805628762069&lt;/D&gt;&lt;D xsi:type="xsd:double"&gt;14.6201695321841&lt;/D&gt;&lt;D xsi:type="xsd:double"&gt;13.8185949019786&lt;/D&gt;&lt;D xsi:type="xsd:double"&gt;15.0100007901711&lt;/D&gt;&lt;D xsi:type="xsd:double"&gt;18.3831883941636&lt;/D&gt;&lt;D xsi:type="xsd:double"&gt;17.9553811994804&lt;/D&gt;&lt;D xsi:type="xsd:double"&gt;17.8699108888167&lt;/D&gt;&lt;D xsi:type="xsd:double"&gt;17.2899663252328&lt;/D&gt;&lt;D xsi:type="xsd:double"&gt;17.2613379404405&lt;/D&gt;&lt;D xsi:type="xsd:double"&gt;17.0627754398634&lt;/D&gt;&lt;D xsi:type="xsd:double"&gt;15.6970194280811&lt;/D&gt;&lt;D xsi:type="xsd:double"&gt;16.1082974543826&lt;/D&gt;&lt;D xsi:type="xsd:double"&gt;16.8455312770059&lt;/D&gt;&lt;D xsi:type="xsd:double"&gt;15.9108529183096&lt;/D&gt;&lt;D xsi:type="xsd:double"&gt;16.4537188239423&lt;/D&gt;&lt;D xsi:type="xsd:double"&gt;13.6646950553799&lt;/D&gt;&lt;D xsi:type="xsd:double"&gt;14.334215700756&lt;/D&gt;&lt;D xsi:type="xsd:double"&gt;12.3424778760289&lt;/D&gt;&lt;D xsi:type="xsd:double"&gt;14.2458253653965&lt;/D&gt;&lt;D xsi:type="xsd:double"&gt;15.2134290870127&lt;/D&gt;&lt;D xsi:type="xsd:double"&gt;17.1202644754251&lt;/D&gt;&lt;D xsi:type="xsd:double"&gt;17.2650232343975&lt;/D&gt;&lt;D xsi:type="xsd:double"&gt;16.9028366053456&lt;/D&gt;&lt;D xsi:type="xsd:double"&gt;17.7587606623158&lt;/D&gt;&lt;D xsi:type="xsd:double"&gt;15.7357577725366&lt;/D&gt;&lt;D xsi:type="xsd:double"&gt;16.6646517554848&lt;/D&gt;&lt;D xsi:type="xsd:double"&gt;17.0673801531012&lt;/D&gt;&lt;D xsi:type="xsd:double"&gt;18.3812541526015&lt;/D&gt;&lt;D xsi:type="xsd:double"&gt;17.604051099752&lt;/D&gt;&lt;D xsi:type="xsd:double"&gt;17.997925192331&lt;/D&gt;&lt;D xsi:type="xsd:double"&gt;18.0439375806496&lt;/D&gt;&lt;D xsi:type="xsd:double"&gt;17.561998141167&lt;/D&gt;&lt;D xsi:type="xsd:double"&gt;17.8185425673362&lt;/D&gt;&lt;D xsi:type="xsd:double"&gt;17.881998874173&lt;/D&gt;&lt;D xsi:type="xsd:double"&gt;17.4992976548912&lt;/D&gt;&lt;D xsi:type="xsd:double"&gt;17.3962550545084&lt;/D&gt;&lt;D xsi:type="xsd:double"&gt;17.426124134499&lt;/D&gt;&lt;D xsi:type="xsd:double"&gt;16.4182619374326&lt;/D&gt;&lt;D xsi:type="xsd:double"&gt;16.6227288555667&lt;/D&gt;&lt;D xsi:type="xsd:double"&gt;12.3193515421075&lt;/D&gt;&lt;D xsi:type="xsd:double"&gt;11.6098654970093&lt;/D&gt;&lt;D xsi:type="xsd:double"&gt;12.0169951770508&lt;/D&gt;&lt;D xsi:type="xsd:double"&gt;12.3076107733453&lt;/D&gt;&lt;D xsi:type="xsd:double"&gt;13.5179854081173&lt;/D&gt;&lt;D xsi:type="xsd:double"&gt;13.1736738118473&lt;/D&gt;&lt;D xsi:type="xsd:double"&gt;14.2878957146541&lt;/D&gt;&lt;D xsi:type="xsd:double"&gt;14.6440515379949&lt;/D&gt;&lt;D xsi:type="xsd:double"&gt;14.0933490639262&lt;/D&gt;&lt;D xsi:type="xsd:double"&gt;15.042473480717&lt;/D&gt;&lt;D xsi:type="xsd:double"&gt;14.3044275640115&lt;/D&gt;&lt;D xsi:type="xsd:double"&gt;15.427287545359&lt;/D&gt;&lt;D xsi:type="xsd:double"&gt;23.0774963681482&lt;/D&gt;&lt;D xsi:type="xsd:double"&gt;25.8704914795709&lt;/D&gt;&lt;D xsi:type="xsd:double"&gt;24.6604074678974&lt;/D&gt;&lt;D xsi:type="xsd:double"&gt;23.6480062359028&lt;/D&gt;&lt;D xsi:type="xsd:double"&gt;22.3764930069517&lt;/D&gt;&lt;D xsi:type="xsd:double"&gt;21.0035517559448&lt;/D&gt;&lt;D xsi:type="xsd:double"&gt;19.8423590239749&lt;/D&gt;&lt;D xsi:type="xsd:double"&gt;18.0460357140613&lt;/D&gt;&lt;D xsi:type="xsd:double"&gt;17.0174341466193&lt;/D&gt;&lt;D xsi:type="xsd:double"&gt;16.0784304105889&lt;/D&gt;&lt;D xsi:type="xsd:double"&gt;15.7776844469828&lt;/D&gt;&lt;D xsi:type="xsd:double"&gt;18.0317252905859&lt;/D&gt;&lt;D xsi:type="xsd:double"&gt;14.8036854457295&lt;/D&gt;&lt;D xsi:type="xsd:double"&gt;15.6816941806581&lt;/D&gt;&lt;D xsi:type="xsd:double"&gt;15.9608782723042&lt;/D&gt;&lt;D xsi:type="xsd:double"&gt;15.925231969488&lt;/D&gt;&lt;D xsi:type="xsd:double"&gt;16.1432400335979&lt;/D&gt;&lt;D xsi:type="xsd:double"&gt;16.0285695803673&lt;/D&gt;&lt;D xsi:type="xsd:double"&gt;16.4861354564818&lt;/D&gt;&lt;D xsi:type="xsd:double"&gt;16.6489086638527&lt;/D&gt;&lt;D xsi:type="xsd:double"&gt;17.0252137972726&lt;/D&gt;&lt;/FQL&gt;&lt;FQL&gt;&lt;Q&gt;PLATI-FDS^MAX(FG_PRICE(0,-5AY))&lt;/Q&gt;&lt;R&gt;1&lt;/R&gt;&lt;C&gt;1&lt;/C&gt;&lt;D xsi:type="xsd:double"&gt;1272.59&lt;/D&gt;&lt;/FQL&gt;&lt;FQL&gt;&lt;Q&gt;SPY^FG_PRICE_MAVG(0,,,,200)&lt;/Q&gt;&lt;R&gt;1&lt;/R&gt;&lt;C&gt;1&lt;/C&gt;&lt;D xsi:type="xsd:double"&gt;519.24036&lt;/D&gt;&lt;/FQL&gt;&lt;FQL&gt;&lt;Q&gt;FXI^PERCENT_CHANGE(FMA_EPS(+1,0,,,,"PORTAGG","MEAN"),FMA_EPS(+1,-3AM,,,,"PORTAGG","MEAN"))&lt;/Q&gt;&lt;R&gt;1&lt;/R&gt;&lt;C&gt;1&lt;/C&gt;&lt;D xsi:type="xsd:double"&gt;7.46550326285584&lt;/D&gt;&lt;/FQL&gt;&lt;FQL&gt;&lt;Q&gt;VGK^PERCENT_CHANGE(FMA_EPS(+1,0,,,,"PORTAGG","MEAN"),FMA_EPS(+1,-3AM,,,,"PORTAGG","MEAN"))&lt;/Q&gt;&lt;R&gt;1&lt;/R&gt;&lt;C&gt;1&lt;/C&gt;&lt;D xsi:type="xsd:double"&gt;-2.96965084160821&lt;/D&gt;&lt;/FQL&gt;&lt;FQL&gt;&lt;Q&gt;EWL^FG_TOTAL_RETURNC(0,-3AM)&lt;/Q&gt;&lt;R&gt;1&lt;/R&gt;&lt;C&gt;1&lt;/C&gt;&lt;D xsi:type="xsd:double"&gt;4.970157&lt;/D&gt;&lt;/FQL&gt;&lt;FQL&gt;&lt;Q&gt;ENZL^FG_TOTAL_RETURNC(0,-3AM)&lt;/Q&gt;&lt;R&gt;1&lt;/R&gt;&lt;C&gt;1&lt;/C&gt;&lt;D xsi:type="xsd:double"&gt;8.73301&lt;/D&gt;&lt;/FQL&gt;&lt;FQL&gt;&lt;Q&gt;VGK^FMA_COS_UP("EPS","1M",+1,0,,,"PORTAGG","MEANR")&lt;/Q&gt;&lt;R&gt;1&lt;/R&gt;&lt;C&gt;1&lt;/C&gt;&lt;D xsi:type="xsd:double"&gt;427&lt;/D&gt;&lt;/FQL&gt;&lt;FQL&gt;&lt;Q&gt;EWU^FG_ROE(0)&lt;/Q&gt;&lt;R&gt;1&lt;/R&gt;&lt;C&gt;1&lt;/C&gt;&lt;D xsi:type="xsd:double"&gt;13.8500495801777&lt;/D&gt;&lt;/FQL&gt;&lt;FQL&gt;&lt;Q&gt;REFEUREFI-FDS^(SUBARRAY(NOT_NA(NO_REPEAT_F(FG_YIELD(NOW,-10AY,D))),0,1)-SUBARRAY(NOT_NA(NO_REPEAT_F(FG_YIELD(NOW,-10AY,D))),1,1))*100&lt;/Q&gt;&lt;R&gt;1&lt;/R&gt;&lt;C&gt;1&lt;/C&gt;&lt;D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xsi:type="xsd:double"&gt;-60&lt;/D&gt;&lt;/FQL&gt;&lt;FQL&gt;&lt;Q&gt;REFCATARG-FDS^PROPER_NAME(0,,,"SECURITY","NAME")&lt;/Q&gt;&lt;R&gt;1&lt;/R&gt;&lt;C&gt;1&lt;/C&gt;&lt;D xsi:type="xsd:string"&gt;Canada Target Rate&lt;/D&gt;&lt;/FQL&gt;&lt;FQL&gt;&lt;Q&gt;TRYJP10Y-FDS^PCTCHG(FG_YIELD(0,,,,"YTM"),FG_YIELD(-3AM,,,,"YTM"))&lt;/Q&gt;&lt;R&gt;1&lt;/R&gt;&lt;C&gt;1&lt;/C&gt;&lt;D xsi:type="xsd:double"&gt;-11.867885&lt;/D&gt;&lt;/FQL&gt;&lt;FQL&gt;&lt;Q&gt;VGK^JULIAN(FMA_DIV_YLD(NTMA,NOW,NOW,M,"PORTAGG","MEANR").DATES)&lt;/Q&gt;&lt;R&gt;1&lt;/R&gt;&lt;C&gt;1&lt;/C&gt;&lt;D xsi:type="xsd:long"&gt;45504&lt;/D&gt;&lt;/FQL&gt;&lt;FQL&gt;&lt;Q&gt;QQQ^FG_TOTAL_RETURNC(0,-1AM)&lt;/Q&gt;&lt;R&gt;1&lt;/R&gt;&lt;C&gt;1&lt;/C&gt;&lt;D xsi:type="xsd:double"&gt;0.8785367&lt;/D&gt;&lt;/FQL&gt;&lt;FQL&gt;&lt;Q&gt;TRYPE10Y-FDS^FG_YIELD(-10AY,0,Y,,"YTM")&lt;/Q&gt;&lt;R&gt;10&lt;/R&gt;&lt;C&gt;1&lt;/C&gt;&lt;D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xsi:type="xsd:double"&gt;6.6087&lt;/D&gt;&lt;/FQL&gt;&lt;FQL&gt;&lt;Q&gt;CAGDPY@SE^EE_ACTUAL_ANNUAL(MED,+1)&lt;/Q&gt;&lt;R&gt;1&lt;/R&gt;&lt;C&gt;1&lt;/C&gt;&lt;D xsi:type="xsd:double"&gt;6.15&lt;/D&gt;&lt;/FQL&gt;&lt;FQL&gt;&lt;Q&gt;USDUSD^FG_PRICE(0)&lt;/Q&gt;&lt;R&gt;1&lt;/R&gt;&lt;C&gt;1&lt;/C&gt;&lt;D xsi:type="xsd:double"&gt;1&lt;/D&gt;&lt;/FQL&gt;&lt;FQL&gt;&lt;Q&gt;USDUSD^STD(FG_PRICE_CHANGE(0,-1AY,AM))&lt;/Q&gt;&lt;R&gt;1&lt;/R&gt;&lt;C&gt;1&lt;/C&gt;&lt;D xsi:type="xsd:double"&gt;0&lt;/D&gt;&lt;/FQL&gt;&lt;FQL&gt;&lt;Q&gt;EWA^JULIAN(FMA_EPS(NTMA,-20AY,0,CY,,"PORTAGG","MEANR").DATES)&lt;/Q&gt;&lt;R&gt;20&lt;/R&gt;&lt;C&gt;1&lt;/C&gt;&lt;D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xsi:type="xsd:long"&gt;45289&lt;/D&gt;&lt;/FQL&gt;&lt;FQL&gt;&lt;Q&gt;DDR3512M-FDS^FG_PRICE_CHANGE(0,-1AM)&lt;/Q&gt;&lt;R&gt;1&lt;/R&gt;&lt;C&gt;1&lt;/C&gt;&lt;D xsi:type="xsd:double"&gt;-1.32450135782607&lt;/D&gt;&lt;/FQL&gt;&lt;FQL&gt;&lt;Q&gt;EWJ^FG_PRICE_MAVG(0,,,,200)&lt;/Q&gt;&lt;R&gt;1&lt;/R&gt;&lt;C&gt;1&lt;/C&gt;&lt;D xsi:type="xsd:double"&gt;68.03815&lt;/D&gt;&lt;/FQL&gt;&lt;FQL&gt;&lt;Q&gt;URTH^FG_TOTAL_RETURNC(0,-6AM)&lt;/Q&gt;&lt;R&gt;1&lt;/R&gt;&lt;C&gt;1&lt;/C&gt;&lt;D xsi:type="xsd:double"&gt;8.637691&lt;/D&gt;&lt;/FQL&gt;&lt;FQL&gt;&lt;Q&gt;EWU^FG_TOTAL_RETURNC(0,-12AM)&lt;/Q&gt;&lt;R&gt;1&lt;/R&gt;&lt;C&gt;1&lt;/C&gt;&lt;D xsi:type="xsd:double"&gt;21.85278&lt;/D&gt;&lt;/FQL&gt;&lt;FQL&gt;&lt;Q&gt;EWN^FMA_RBICS_REV_CURRENT(30, LOC, "PORTAGG")&lt;/Q&gt;&lt;R&gt;1&lt;/R&gt;&lt;C&gt;1&lt;/C&gt;&lt;D xsi:type="xsd:double"&gt;25.7118752752457&lt;/D&gt;&lt;/FQL&gt;&lt;FQL&gt;&lt;Q&gt;CC_JP^IMF_IFS_RCPI_Q(0)&lt;/Q&gt;&lt;R&gt;1&lt;/R&gt;&lt;C&gt;1&lt;/C&gt;&lt;D xsi:type="xsd:double"&gt;2.7266946&lt;/D&gt;&lt;/FQL&gt;&lt;FQL&gt;&lt;Q&gt;EWL^FMA_PE(LTM,0,,,"PORTAGG","MEANR")&lt;/Q&gt;&lt;R&gt;1&lt;/R&gt;&lt;C&gt;1&lt;/C&gt;&lt;D xsi:type="xsd:double"&gt;21.6333502640265&lt;/D&gt;&lt;/FQL&gt;&lt;FQL&gt;&lt;Q&gt;EWC^JULIAN(FMA_DIV_YLD(NTMA,NOW,NOW,M,"PORTAGG","MEANR").DATES)&lt;/Q&gt;&lt;R&gt;1&lt;/R&gt;&lt;C&gt;1&lt;/C&gt;&lt;D xsi:type="xsd:long"&gt;45534&lt;/D&gt;&lt;/FQL&gt;&lt;FQL&gt;&lt;Q&gt;GLD^P_PRICE(0)/P_PRICE_HIGH_PR(0,,,USD,,,"PRICE","INTRA","52W")&lt;/Q&gt;&lt;R&gt;1&lt;/R&gt;&lt;C&gt;1&lt;/C&gt;&lt;D xsi:type="xsd:double"&gt;0.9984802&lt;/D&gt;&lt;/FQL&gt;&lt;FQL&gt;&lt;Q&gt;SPY^FMA_DIV_YLD(NTMA,NOW,NOW,M,"PORTAGG","MEANR")&lt;/Q&gt;&lt;R&gt;1&lt;/R&gt;&lt;C&gt;1&lt;/C&gt;&lt;D xsi:type="xsd:double"&gt;1.37400168510707&lt;/D&gt;&lt;/FQL&gt;&lt;FQL&gt;&lt;Q&gt;QQQ^FMA_RBICS_REV_CURRENT(30, LOC, "PORTAGG")&lt;/Q&gt;&lt;R&gt;1&lt;/R&gt;&lt;C&gt;1&lt;/C&gt;&lt;D xsi:type="xsd:double"&gt;0.923896032260943&lt;/D&gt;&lt;/FQL&gt;&lt;FQL&gt;&lt;Q&gt;TRYDE10Y-FDS^PCTCHG(FG_YIELD(0,,,,"YTM"),FG_YIELD(-3AM,,,,"YTM"))&lt;/Q&gt;&lt;R&gt;1&lt;/R&gt;&lt;C&gt;1&lt;/C&gt;&lt;D xsi:type="xsd:double"&gt;-9.041667&lt;/D&gt;&lt;/FQL&gt;&lt;FQL&gt;&lt;Q&gt;EWD^FMA_PE(NTMA,0,,,"PORTAGG","MEANR")&lt;/Q&gt;&lt;R&gt;1&lt;/R&gt;&lt;C&gt;1&lt;/C&gt;&lt;D xsi:type="xsd:double"&gt;15.9514913986572&lt;/D&gt;&lt;/FQL&gt;&lt;FQL&gt;&lt;Q&gt;EWJ^FMA_EVAL_EBITDA(NTMA,0,,,"PORTAGG","MEANR")&lt;/Q&gt;&lt;R&gt;1&lt;/R&gt;&lt;C&gt;1&lt;/C&gt;&lt;D xsi:type="xsd:double"&gt;9.66278446204497&lt;/D&gt;&lt;/FQL&gt;&lt;FQL&gt;&lt;Q&gt;TLT^FG_TOTAL_RETURNC(0,-6AM)&lt;/Q&gt;&lt;R&gt;1&lt;/R&gt;&lt;C&gt;1&lt;/C&gt;&lt;D xsi:type="xsd:double"&gt;6.7396283&lt;/D&gt;&lt;/FQL&gt;&lt;FQL&gt;&lt;Q&gt;USDAUD^FG_COMPANY_NAME&lt;/Q&gt;&lt;R&gt;1&lt;/R&gt;&lt;C&gt;1&lt;/C&gt;&lt;D xsi:type="xsd:string"&gt;Australian Dollar per U.S. Dollar&lt;/D&gt;&lt;/FQL&gt;&lt;FQL&gt;&lt;Q&gt;ENZL^JULIAN(FMA_DIV_YLD(NTMA,-10AY,0,AM,"PORTAGG","MEANR").DATES)&lt;/Q&gt;&lt;R&gt;121&lt;/R&gt;&lt;C&gt;1&lt;/C&gt;&lt;D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xsi:type="xsd:long"&gt;45435&lt;/D&gt;&lt;D xsi:type="xsd:long"&gt;45464&lt;/D&gt;&lt;D xsi:type="xsd:long"&gt;45496&lt;/D&gt;&lt;D xsi:type="xsd:long"&gt;45527&lt;/D&gt;&lt;D xsi:type="xsd:long"&gt;45554&lt;/D&gt;&lt;/FQL&gt;&lt;FQL&gt;&lt;Q&gt;EWN^FG_PRICE(0)&lt;/Q&gt;&lt;R&gt;1&lt;/R&gt;&lt;C&gt;1&lt;/C&gt;&lt;D xsi:type="xsd:double"&gt;49.425&lt;/D&gt;&lt;/FQL&gt;&lt;FQL&gt;&lt;Q&gt;SPY^P_PRICE(0)/P_PRICE_LOW_PR(0,,,,,,"PRICE","INTRA","52W")-1&lt;/Q&gt;&lt;R&gt;1&lt;/R&gt;&lt;C&gt;1&lt;/C&gt;&lt;D xsi:type="xsd:double"&gt;0.3928299&lt;/D&gt;&lt;/FQL&gt;&lt;FQL&gt;&lt;Q&gt;EWQ^PERCENT_CHANGE(FMA_EPS(+1,0,,,,"PORTAGG","MEAN"),FMA_EPS(+1,-1AM,,,,"PORTAGG","MEAN"))&lt;/Q&gt;&lt;R&gt;1&lt;/R&gt;&lt;C&gt;1&lt;/C&gt;&lt;D xsi:type="xsd:double"&gt;-0.89823418080461&lt;/D&gt;&lt;/FQL&gt;&lt;FQL&gt;&lt;Q&gt;ENZL^PERCENT_CHANGE(FMA_EPS(+1,0,,,,"PORTAGG","MEAN"),FMA_EPS(+1,-1AM,,,,"PORTAGG","MEAN"))&lt;/Q&gt;&lt;R&gt;1&lt;/R&gt;&lt;C&gt;1&lt;/C&gt;&lt;D xsi:type="xsd:double"&gt;16.6769937430146&lt;/D&gt;&lt;/FQL&gt;&lt;FQL&gt;&lt;Q&gt;EWC^FMA_COS_DOWN("EPS","1M",+1,0,,,"PORTAGG","MEANR")&lt;/Q&gt;&lt;R&gt;1&lt;/R&gt;&lt;C&gt;1&lt;/C&gt;&lt;D xsi:type="xsd:double"&gt;37&lt;/D&gt;&lt;/FQL&gt;&lt;FQL&gt;&lt;Q&gt;EWJ^FG_FCF_YIELD_NTM(0)&lt;/Q&gt;&lt;R&gt;1&lt;/R&gt;&lt;C&gt;1&lt;/C&gt;&lt;D xsi:type="xsd:double"&gt;4.26273116430504&lt;/D&gt;&lt;/FQL&gt;&lt;FQL&gt;&lt;Q&gt;QQQ^FMA_EVAL_EBIT(LTMA,NOW,NOW,M,"PORTAGG","MEANR")&lt;/Q&gt;&lt;R&gt;1&lt;/R&gt;&lt;C&gt;1&lt;/C&gt;&lt;D xsi:type="xsd:double"&gt;24.7790357957295&lt;/D&gt;&lt;/FQL&gt;&lt;FQL&gt;&lt;Q&gt;QQQ^FMA_DIV_YLD(NTMA,-10AY,0,AM,"PORTAGG","MEANR")&lt;/Q&gt;&lt;R&gt;121&lt;/R&gt;&lt;C&gt;1&lt;/C&gt;&lt;D xsi:type="xsd:double"&gt;1.23940759695717&lt;/D&gt;&lt;D xsi:type="xsd:double"&gt;1.26408873340336&lt;/D&gt;&lt;D xsi:type="xsd:double"&gt;1.21062848824627&lt;/D&gt;&lt;D xsi:type="xsd:double"&gt;1.21489372339736&lt;/D&gt;&lt;D xsi:type="xsd:double"&gt;1.19848806086025&lt;/D&gt;&lt;D xsi:type="xsd:double"&gt;1.21005047428154&lt;/D&gt;&lt;D xsi:type="xsd:double"&gt;1.24168117060113&lt;/D&gt;&lt;D xsi:type="xsd:double"&gt;1.24097685510814&lt;/D&gt;&lt;D xsi:type="xsd:double"&gt;1.23148256787756&lt;/D&gt;&lt;D xsi:type="xsd:double"&gt;1.2317195809511&lt;/D&gt;&lt;D xsi:type="xsd:double"&gt;1.23554076679884&lt;/D&gt;&lt;D xsi:type="xsd:double"&gt;1.38585063306433&lt;/D&gt;&lt;D xsi:type="xsd:double"&gt;1.36771775592847&lt;/D&gt;&lt;D xsi:type="xsd:double"&gt;1.27695309032554&lt;/D&gt;&lt;D xsi:type="xsd:double"&gt;1.27727931885115&lt;/D&gt;&lt;D xsi:type="xsd:double"&gt;1.28738785365186&lt;/D&gt;&lt;D xsi:type="xsd:double"&gt;1.36240067368802&lt;/D&gt;&lt;D xsi:type="xsd:double"&gt;1.425441047372&lt;/D&gt;&lt;D xsi:type="xsd:double"&gt;1.35595576696635&lt;/D&gt;&lt;D xsi:type="xsd:double"&gt;1.34661557217651&lt;/D&gt;&lt;D xsi:type="xsd:double"&gt;1.39230833136218&lt;/D&gt;&lt;D xsi:type="xsd:double"&gt;1.34686153834582&lt;/D&gt;&lt;D xsi:type="xsd:double"&gt;1.30699291338042&lt;/D&gt;&lt;D xsi:type="xsd:double"&gt;1.27406928008847&lt;/D&gt;&lt;D xsi:type="xsd:double"&gt;1.26241115140254&lt;/D&gt;&lt;D xsi:type="xsd:double"&gt;1.26438502357683&lt;/D&gt;&lt;D xsi:type="xsd:double"&gt;1.28308332718408&lt;/D&gt;&lt;D xsi:type="xsd:double"&gt;1.28091086044344&lt;/D&gt;&lt;D xsi:type="xsd:double"&gt;1.25485025150218&lt;/D&gt;&lt;D xsi:type="xsd:double"&gt;1.22197417942546&lt;/D&gt;&lt;D xsi:type="xsd:double"&gt;1.22174800988413&lt;/D&gt;&lt;D xsi:type="xsd:double"&gt;1.21399718521173&lt;/D&gt;&lt;D xsi:type="xsd:double"&gt;1.17322924909297&lt;/D&gt;&lt;D xsi:type="xsd:double"&gt;1.16417135680229&lt;/D&gt;&lt;D xsi:type="xsd:double"&gt;1.16400040363875&lt;/D&gt;&lt;D xsi:type="xsd:double"&gt;1.18703149893712&lt;/D&gt;&lt;D xsi:type="xsd:double"&gt;1.17107527413456&lt;/D&gt;&lt;D xsi:type="xsd:double"&gt;1.14553288432851&lt;/D&gt;&lt;D xsi:type="xsd:double"&gt;1.09889663909758&lt;/D&gt;&lt;D xsi:type="xsd:double"&gt;1.08796092737411&lt;/D&gt;&lt;D xsi:type="xsd:double"&gt;1.01746114947841&lt;/D&gt;&lt;D xsi:type="xsd:double"&gt;1.05702814471135&lt;/D&gt;&lt;D xsi:type="xsd:double"&gt;1.13264336829064&lt;/D&gt;&lt;D xsi:type="xsd:double"&gt;1.12015049723755&lt;/D&gt;&lt;D xsi:type="xsd:double"&gt;1.08476799818296&lt;/D&gt;&lt;D xsi:type="xsd:double"&gt;1.04945030023212&lt;/D&gt;&lt;D xsi:type="xsd:double"&gt;1.07875784066345&lt;/D&gt;&lt;D xsi:type="xsd:double"&gt;1.08018051704684&lt;/D&gt;&lt;D xsi:type="xsd:double"&gt;1.07475794369408&lt;/D&gt;&lt;D xsi:type="xsd:double"&gt;1.14792955182738&lt;/D&gt;&lt;D xsi:type="xsd:double"&gt;1.26431400119854&lt;/D&gt;&lt;D xsi:type="xsd:double"&gt;1.39748880191207&lt;/D&gt;&lt;D xsi:type="xsd:double"&gt;1.26193159797959&lt;/D&gt;&lt;D xsi:type="xsd:double"&gt;1.17767236754566&lt;/D&gt;&lt;D xsi:type="xsd:double"&gt;1.14547062817947&lt;/D&gt;&lt;D xsi:type="xsd:double"&gt;1.08448997124381&lt;/D&gt;&lt;D xsi:type="xsd:double"&gt;1.16645324909931&lt;/D&gt;&lt;D xsi:type="xsd:double"&gt;1.10433306809019&lt;/D&gt;&lt;D xsi:type="xsd:double"&gt;1.08019063932059&lt;/D&gt;&lt;D xsi:type="xsd:double"&gt;1.15089641283393&lt;/D&gt;&lt;D xsi:type="xsd:double"&gt;1.12498020962716&lt;/D&gt;&lt;D xsi:type="xsd:double"&gt;1.12763478056804&lt;/D&gt;&lt;D xsi:type="xsd:double"&gt;1.10727072013221&lt;/D&gt;&lt;D xsi:type="xsd:double"&gt;1.07141720426024&lt;/D&gt;&lt;D xsi:type="xsd:double"&gt;1.01718353499363&lt;/D&gt;&lt;D xsi:type="xsd:double"&gt;0.998642401548778&lt;/D&gt;&lt;D xsi:type="xsd:double"&gt;1.35350815539984&lt;/D&gt;&lt;D xsi:type="xsd:double"&gt;1.08976936472297&lt;/D&gt;&lt;D xsi:type="xsd:double"&gt;0.984234588338472&lt;/D&gt;&lt;D xsi:type="xsd:double"&gt;0.907267730936994&lt;/D&gt;&lt;D xsi:type="xsd:double"&gt;0.878131771161437&lt;/D&gt;&lt;D xsi:type="xsd:double"&gt;0.809545168619004&lt;/D&gt;&lt;D xsi:type="xsd:double"&gt;0.861997589657909&lt;/D&gt;&lt;D xsi:type="xsd:double"&gt;0.810897196174418&lt;/D&gt;&lt;D xsi:type="xsd:double"&gt;0.795931252295098&lt;/D&gt;&lt;D xsi:type="xsd:double"&gt;0.79315196348243&lt;/D&gt;&lt;D xsi:type="xsd:double"&gt;0.757755164522341&lt;/D&gt;&lt;D xsi:type="xsd:double"&gt;0.773459099350442&lt;/D&gt;&lt;D xsi:type="xsd:double"&gt;0.787485205006175&lt;/D&gt;&lt;D xsi:type="xsd:double"&gt;0.739264397685642&lt;/D&gt;&lt;D xsi:type="xsd:double"&gt;0.770482710047831&lt;/D&gt;&lt;D xsi:type="xsd:double"&gt;0.731970351875911&lt;/D&gt;&lt;D xsi:type="xsd:double"&gt;0.708964444525916&lt;/D&gt;&lt;D xsi:type="xsd:double"&gt;0.705732806369841&lt;/D&gt;&lt;D xsi:type="xsd:double"&gt;0.709709010542376&lt;/D&gt;&lt;D xsi:type="xsd:double"&gt;0.713171437676535&lt;/D&gt;&lt;D xsi:type="xsd:double"&gt;0.682229001803949&lt;/D&gt;&lt;D xsi:type="xsd:double"&gt;0.686977117167344&lt;/D&gt;&lt;D xsi:type="xsd:double"&gt;0.781284399271616&lt;/D&gt;&lt;D xsi:type="xsd:double"&gt;0.853434292912858&lt;/D&gt;&lt;D xsi:type="xsd:double"&gt;0.801239329098592&lt;/D&gt;&lt;D xsi:type="xsd:double"&gt;0.872077879401461&lt;/D&gt;&lt;D xsi:type="xsd:double"&gt;0.972125401978932&lt;/D&gt;&lt;D xsi:type="xsd:double"&gt;1.00643350927207&lt;/D&gt;&lt;D xsi:type="xsd:double"&gt;0.959027384359578&lt;/D&gt;&lt;D xsi:type="xsd:double"&gt;0.927133992467116&lt;/D&gt;&lt;D xsi:type="xsd:double"&gt;1.06527435716752&lt;/D&gt;&lt;D xsi:type="xsd:double"&gt;1.073361755684&lt;/D&gt;&lt;D xsi:type="xsd:double"&gt;1.03047030578744&lt;/D&gt;&lt;D xsi:type="xsd:double"&gt;1.06175993279683&lt;/D&gt;&lt;D xsi:type="xsd:double"&gt;0.989589094677383&lt;/D&gt;&lt;D xsi:type="xsd:double"&gt;0.976596383675945&lt;/D&gt;&lt;D xsi:type="xsd:double"&gt;0.939658888086286&lt;/D&gt;&lt;D xsi:type="xsd:double"&gt;0.921964097780112&lt;/D&gt;&lt;D xsi:type="xsd:double"&gt;0.863592033996625&lt;/D&gt;&lt;D xsi:type="xsd:double"&gt;0.799210313312053&lt;/D&gt;&lt;D xsi:type="xsd:double"&gt;0.776568156888908&lt;/D&gt;&lt;D xsi:type="xsd:double"&gt;0.920882740196183&lt;/D&gt;&lt;D xsi:type="xsd:double"&gt;0.962988954652042&lt;/D&gt;&lt;D xsi:type="xsd:double"&gt;0.987863700460511&lt;/D&gt;&lt;D xsi:type="xsd:double"&gt;0.913103361003738&lt;/D&gt;&lt;D xsi:type="xsd:double"&gt;0.946772052031637&lt;/D&gt;&lt;D xsi:type="xsd:double"&gt;0.914441692225138&lt;/D&gt;&lt;D xsi:type="xsd:double"&gt;0.914786747744002&lt;/D&gt;&lt;D xsi:type="xsd:double"&gt;0.903621381794945&lt;/D&gt;&lt;D xsi:type="xsd:double"&gt;0.954343176235495&lt;/D&gt;&lt;D xsi:type="xsd:double"&gt;0.91702118294474&lt;/D&gt;&lt;D xsi:type="xsd:double"&gt;0.869642750861688&lt;/D&gt;&lt;D xsi:type="xsd:double"&gt;0.831576358356738&lt;/D&gt;&lt;D xsi:type="xsd:double"&gt;0.826289861670953&lt;/D&gt;&lt;D xsi:type="xsd:double"&gt;0.826475163137351&lt;/D&gt;&lt;/FQL&gt;&lt;FQL&gt;&lt;Q&gt;EWC^FG_TOTAL_RETURNC(0,-12AM)&lt;/Q&gt;&lt;R&gt;1&lt;/R&gt;&lt;C&gt;1&lt;/C&gt;&lt;D xsi:type="xsd:double"&gt;24.56491&lt;/D&gt;&lt;/FQL&gt;&lt;FQL&gt;&lt;Q&gt;TRYDE10Y-FDS^FG_YIELD_NAME&lt;/Q&gt;&lt;R&gt;1&lt;/R&gt;&lt;C&gt;1&lt;/C&gt;&lt;D xsi:type="xsd:string"&gt;Germany Benchmark Bond - 10 Year&lt;/D&gt;&lt;/FQL&gt;&lt;FQL&gt;&lt;Q&gt;USO^FG_TOTAL_RETURNC(0,-6AM)&lt;/Q&gt;&lt;R&gt;1&lt;/R&gt;&lt;C&gt;1&lt;/C&gt;&lt;D xsi:type="xsd:double"&gt;-5.7381334&lt;/D&gt;&lt;/FQL&gt;&lt;FQL&gt;&lt;Q&gt;EWL^P_PRICE(0)/P_PRICE_HIGH_PR(0,,,,,,"PRICE","INTRA","52W")&lt;/Q&gt;&lt;R&gt;1&lt;/R&gt;&lt;C&gt;1&lt;/C&gt;&lt;D xsi:type="xsd:double"&gt;0.9618141&lt;/D&gt;&lt;/FQL&gt;&lt;FQL&gt;&lt;Q&gt;EWA^FMA_COS_DOWN("EPS","1M",+1,0,,,"PORTAGG","MEANR")&lt;/Q&gt;&lt;R&gt;1&lt;/R&gt;&lt;C&gt;1&lt;/C&gt;&lt;D xsi:type="xsd:double"&gt;19&lt;/D&gt;&lt;/FQL&gt;&lt;FQL&gt;&lt;Q&gt;TRYPH10Y-FDS^FG_YIELD(-10AY,0,Y,,"YTM")&lt;/Q&gt;&lt;R&gt;10&lt;/R&gt;&lt;C&gt;1&lt;/C&gt;&lt;D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xsi:type="xsd:double"&gt;6.0028777&lt;/D&gt;&lt;/FQL&gt;&lt;FQL&gt;&lt;Q&gt;WL-FDS^FG_PRICE(0)&lt;/Q&gt;&lt;R&gt;1&lt;/R&gt;&lt;C&gt;1&lt;/C&gt;&lt;D xsi:type="xsd:double"&gt;584.9&lt;/D&gt;&lt;/FQL&gt;&lt;FQL&gt;&lt;Q&gt;EWD^FG_TOTAL_RETURNC(0,-3AM)&lt;/Q&gt;&lt;R&gt;1&lt;/R&gt;&lt;C&gt;1&lt;/C&gt;&lt;D xsi:type="xsd:double"&gt;5.3128123&lt;/D&gt;&lt;/FQL&gt;&lt;FQL&gt;&lt;Q&gt;EWQ^FMA_COS_DOWN("EPS","1M",+1,0,,,"PORTAGG","MEANR")&lt;/Q&gt;&lt;R&gt;1&lt;/R&gt;&lt;C&gt;1&lt;/C&gt;&lt;D xsi:type="xsd:double"&gt;23&lt;/D&gt;&lt;/FQL&gt;&lt;FQL&gt;&lt;Q&gt;REFNZOCR-FDS^FG_YIELD(NOW,,,0)&lt;/Q&gt;&lt;R&gt;1&lt;/R&gt;&lt;C&gt;1&lt;/C&gt;&lt;D xsi:type="xsd:double"&gt;5.25&lt;/D&gt;&lt;/FQL&gt;&lt;FQL&gt;&lt;Q&gt;EWN^FMA_EVAL_EBIT(LTMA,NOW,NOW,M,"PORTAGG","MEANR")&lt;/Q&gt;&lt;R&gt;1&lt;/R&gt;&lt;C&gt;1&lt;/C&gt;&lt;D xsi:type="xsd:double"&gt;21.3452483802701&lt;/D&gt;&lt;/FQL&gt;&lt;FQL&gt;&lt;Q&gt;EWJ^JULIAN(FMA_DIV_YLD(NTMA,NOW,NOW,M,"PORTAGG","MEANR").DATES)&lt;/Q&gt;&lt;R&gt;1&lt;/R&gt;&lt;C&gt;1&lt;/C&gt;&lt;D xsi:type="xsd:long"&gt;45534&lt;/D&gt;&lt;/FQL&gt;&lt;FQL&gt;&lt;Q&gt;USO^FG_TOTAL_RETURNC(0,-3AM)&lt;/Q&gt;&lt;R&gt;1&lt;/R&gt;&lt;C&gt;1&lt;/C&gt;&lt;D xsi:type="xsd:double"&gt;-8.0991745&lt;/D&gt;&lt;/FQL&gt;&lt;FQL&gt;&lt;Q&gt;USDANG^FG_PRICE_CHANGE(0,-6AM)&lt;/Q&gt;&lt;R&gt;1&lt;/R&gt;&lt;C&gt;1&lt;/C&gt;&lt;D xsi:type="xsd:double"&gt;0&lt;/D&gt;&lt;/FQL&gt;&lt;FQL&gt;&lt;Q&gt;FXI^FMA_COS_DOWN("EPS","1M",+1,0,,,"PORTAGG","MEANR")&lt;/Q&gt;&lt;R&gt;1&lt;/R&gt;&lt;C&gt;1&lt;/C&gt;&lt;D xsi:type="xsd:double"&gt;19&lt;/D&gt;&lt;/FQL&gt;&lt;FQL&gt;&lt;Q&gt;TRYDE10Y-FDS^FG_YIELD(0,,,,"YTM")&lt;/Q&gt;&lt;R&gt;1&lt;/R&gt;&lt;C&gt;1&lt;/C&gt;&lt;D xsi:type="xsd:double"&gt;2.183&lt;/D&gt;&lt;/FQL&gt;&lt;FQL&gt;&lt;Q&gt;EWU^P_PRICE_RETURNS_PR('52W',2,-10AY,0,AM)&lt;/Q&gt;&lt;R&gt;121&lt;/R&gt;&lt;C&gt;1&lt;/C&gt;&lt;D xsi:type="xsd:double"&gt;6.049764&lt;/D&gt;&lt;D xsi:type="xsd:double"&gt;-2.8243184&lt;/D&gt;&lt;D xsi:type="xsd:double"&gt;-0.4356444&lt;/D&gt;&lt;D xsi:type="xsd:double"&gt;-4.1040063&lt;/D&gt;&lt;D xsi:type="xsd:double"&gt;-7.4962435&lt;/D&gt;&lt;D xsi:type="xsd:double"&gt;-3.9969504&lt;/D&gt;&lt;D xsi:type="xsd:double"&gt;-0.012552738&lt;/D&gt;&lt;D xsi:type="xsd:double"&gt;-2.5197983&lt;/D&gt;&lt;D xsi:type="xsd:double"&gt;-3.2727063&lt;/D&gt;&lt;D xsi:type="xsd:double"&gt;-5.4005327&lt;/D&gt;&lt;D xsi:type="xsd:double"&gt;-9.227467&lt;/D&gt;&lt;D xsi:type="xsd:double"&gt;-12.428183&lt;/D&gt;&lt;D xsi:type="xsd:double"&gt;-14.120543&lt;/D&gt;&lt;D xsi:type="xsd:double"&gt;-1.244986&lt;/D&gt;&lt;D xsi:type="xsd:double"&gt;-7.752788&lt;/D&gt;&lt;D xsi:type="xsd:double"&gt;-6.8487167&lt;/D&gt;&lt;D xsi:type="xsd:double"&gt;-15.507233&lt;/D&gt;&lt;D xsi:type="xsd:double"&gt;-19.64131&lt;/D&gt;&lt;D xsi:type="xsd:double"&gt;-14.932001&lt;/D&gt;&lt;D xsi:type="xsd:double"&gt;-11.253566&lt;/D&gt;&lt;D xsi:type="xsd:double"&gt;-16.177385&lt;/D&gt;&lt;D xsi:type="xsd:double"&gt;-9.541571&lt;/D&gt;&lt;D xsi:type="xsd:double"&gt;-12.8112135&lt;/D&gt;&lt;D xsi:type="xsd:double"&gt;-2.725625&lt;/D&gt;&lt;D xsi:type="xsd:double"&gt;0.93619823&lt;/D&gt;&lt;D xsi:type="xsd:double"&gt;-8.797873&lt;/D&gt;&lt;D xsi:type="xsd:double"&gt;-7.507843&lt;/D&gt;&lt;D xsi:type="xsd:double"&gt;-3.4477532&lt;/D&gt;&lt;D xsi:type="xsd:double"&gt;9.78601&lt;/D&gt;&lt;D xsi:type="xsd:double"&gt;13.647938&lt;/D&gt;&lt;D xsi:type="xsd:double"&gt;9.504771&lt;/D&gt;&lt;D xsi:type="xsd:double"&gt;3.470993&lt;/D&gt;&lt;D xsi:type="xsd:double"&gt;13.458479&lt;/D&gt;&lt;D xsi:type="xsd:double"&gt;3.4709573&lt;/D&gt;&lt;D xsi:type="xsd:double"&gt;13.602865&lt;/D&gt;&lt;D xsi:type="xsd:double"&gt;8.261585&lt;/D&gt;&lt;D xsi:type="xsd:double"&gt;13.283372&lt;/D&gt;&lt;D xsi:type="xsd:double"&gt;18.890762&lt;/D&gt;&lt;D xsi:type="xsd:double"&gt;19.87593&lt;/D&gt;&lt;D xsi:type="xsd:double"&gt;21.228622&lt;/D&gt;&lt;D xsi:type="xsd:double"&gt;24.711811&lt;/D&gt;&lt;D xsi:type="xsd:double"&gt;14.705491&lt;/D&gt;&lt;D xsi:type="xsd:double"&gt;8.559561&lt;/D&gt;&lt;D xsi:type="xsd:double"&gt;16.661776&lt;/D&gt;&lt;D xsi:type="xsd:double"&gt;10.264051&lt;/D&gt;&lt;D xsi:type="xsd:double"&gt;11.089933&lt;/D&gt;&lt;D xsi:type="xsd:double"&gt;6.5266013&lt;/D&gt;&lt;D xsi:type="xsd:double"&gt;4.9689174&lt;/D&gt;&lt;D xsi:type="xsd:double"&gt;2.6301146&lt;/D&gt;&lt;D xsi:type="xsd:double"&gt;-4.656249&lt;/D&gt;&lt;D xsi:type="xsd:double"&gt;-6.4800024&lt;/D&gt;&lt;D xsi:type="xsd:double"&gt;-14.369422&lt;/D&gt;&lt;D xsi:type="xsd:double"&gt;-14.361602&lt;/D&gt;&lt;D xsi:type="xsd:double"&gt;-3.5541832&lt;/D&gt;&lt;D xsi:type="xsd:double"&gt;1.2677073&lt;/D&gt;&lt;D xsi:type="xsd:double"&gt;-2.2808135&lt;/D&gt;&lt;D xsi:type="xsd:double"&gt;-8.816141&lt;/D&gt;&lt;D xsi:type="xsd:double"&gt;-2.3589551&lt;/D&gt;&lt;D xsi:type="xsd:double"&gt;-2.5417447&lt;/D&gt;&lt;D xsi:type="xsd:double"&gt;-7.1037173&lt;/D&gt;&lt;D xsi:type="xsd:double"&gt;-3.293866&lt;/D&gt;&lt;D xsi:type="xsd:double"&gt;6.484604&lt;/D&gt;&lt;D xsi:type="xsd:double"&gt;7.886195&lt;/D&gt;&lt;D xsi:type="xsd:double"&gt;21.671152&lt;/D&gt;&lt;D xsi:type="xsd:double"&gt;14.215755&lt;/D&gt;&lt;D xsi:type="xsd:double"&gt;5.458498&lt;/D&gt;&lt;D xsi:type="xsd:double"&gt;-37.7501&lt;/D&gt;&lt;D xsi:type="xsd:double"&gt;-25.041836&lt;/D&gt;&lt;D xsi:type="xsd:double"&gt;-19.565695&lt;/D&gt;&lt;D xsi:type="xsd:double"&gt;-15.116489&lt;/D&gt;&lt;D xsi:type="xsd:double"&gt;-15.461195&lt;/D&gt;&lt;D xsi:type="xsd:double"&gt;-8.875155&lt;/D&gt;&lt;D xsi:type="xsd:double"&gt;-17.719513&lt;/D&gt;&lt;D xsi:type="xsd:double"&gt;-17.843687&lt;/D&gt;&lt;D xsi:type="xsd:double"&gt;-9.285808&lt;/D&gt;&lt;D xsi:type="xsd:double"&gt;-10.247606&lt;/D&gt;&lt;D xsi:type="xsd:double"&gt;-7.1736217&lt;/D&gt;&lt;D xsi:type="xsd:double"&gt;-1.5287042&lt;/D&gt;&lt;D xsi:type="xsd:double"&gt;61.225784&lt;/D&gt;&lt;D xsi:type="xsd:double"&gt;37.04599&lt;/D&gt;&lt;D xsi:type="xsd:double"&gt;37.884308&lt;/D&gt;&lt;D xsi:type="xsd:double"&gt;28.510082&lt;/D&gt;&lt;D xsi:type="xsd:double"&gt;26.530493&lt;/D&gt;&lt;D xsi:type="xsd:double"&gt;27.724611&lt;/D&gt;&lt;D xsi:type="xsd:double"&gt;34.653725&lt;/D&gt;&lt;D xsi:type="xsd:double"&gt;36.03766&lt;/D&gt;&lt;D xsi:type="xsd:double"&gt;19.380533&lt;/D&gt;&lt;D xsi:type="xsd:double"&gt;17.047714&lt;/D&gt;&lt;D xsi:type="xsd:double"&gt;13.883662&lt;/D&gt;&lt;D xsi:type="xsd:double"&gt;13.618565&lt;/D&gt;&lt;D xsi:type="xsd:double"&gt;13.255751&lt;/D&gt;</t>
        </r>
      </text>
    </comment>
    <comment ref="A8" authorId="0" shapeId="0" xr:uid="{078F1FFF-12C2-4D71-908E-D6D90781CE8C}">
      <text>
        <r>
          <rPr>
            <b/>
            <sz val="9"/>
            <color indexed="81"/>
            <rFont val="Tahoma"/>
            <charset val="1"/>
          </rPr>
          <t>&lt;D xsi:type="xsd:double"&gt;6.8211555&lt;/D&gt;&lt;D xsi:type="xsd:double"&gt;1.1194825&lt;/D&gt;&lt;D xsi:type="xsd:double"&gt;-6.677234&lt;/D&gt;&lt;D xsi:type="xsd:double"&gt;-3.559947&lt;/D&gt;&lt;D xsi:type="xsd:double"&gt;-3.5613656&lt;/D&gt;&lt;D xsi:type="xsd:double"&gt;-16.409481&lt;/D&gt;&lt;D xsi:type="xsd:double"&gt;-15.624392&lt;/D&gt;&lt;D xsi:type="xsd:double"&gt;-2.288264&lt;/D&gt;&lt;D xsi:type="xsd:double"&gt;-3.2063007&lt;/D&gt;&lt;D xsi:type="xsd:double"&gt;0.47667027&lt;/D&gt;&lt;D xsi:type="xsd:double"&gt;-1.3687551&lt;/D&gt;&lt;D xsi:type="xsd:double"&gt;-3.467095&lt;/D&gt;&lt;D xsi:type="xsd:double"&gt;3.5435677&lt;/D&gt;&lt;D xsi:type="xsd:double"&gt;4.2444825&lt;/D&gt;&lt;D xsi:type="xsd:double"&gt;12.429953&lt;/D&gt;&lt;D xsi:type="xsd:double"&gt;15.900755&lt;/D&gt;&lt;D xsi:type="xsd:double"&gt;7.730758&lt;/D&gt;&lt;D xsi:type="xsd:double"&gt;19.394648&lt;/D&gt;&lt;D xsi:type="xsd:double"&gt;17.31943&lt;/D&gt;&lt;D xsi:type="xsd:double"&gt;8.507692&lt;/D&gt;&lt;D xsi:type="xsd:double"&gt;12.123036&lt;/D&gt;&lt;D xsi:type="xsd:double"&gt;1.8700242&lt;/D&gt;&lt;D xsi:type="xsd:double"&gt;5.795741&lt;/D&gt;&lt;D xsi:type="xsd:double"&gt;12.342286&lt;/D&gt;&lt;D xsi:type="xsd:double"&gt;5.770898&lt;/D&gt;&lt;D xsi:type="xsd:double"&gt;14.120876&lt;/D&gt;&lt;D xsi:type="xsd:double"&gt;12.716806&lt;/D&gt;&lt;D xsi:type="xsd:double"&gt;11.200786&lt;/D&gt;&lt;D xsi:type="xsd:double"&gt;23.489368&lt;/D&gt;&lt;D xsi:type="xsd:double"&gt;21.85278&lt;/D&gt;&lt;/FQL&gt;&lt;FQL&gt;&lt;Q&gt;EWG^FMA_DIV_YLD(NTMA,-10AY,0,AM,"PORTAGG","MEANR")&lt;/Q&gt;&lt;R&gt;121&lt;/R&gt;&lt;C&gt;1&lt;/C&gt;&lt;D xsi:type="xsd:double"&gt;3.14640337288628&lt;/D&gt;&lt;D xsi:type="xsd:double"&gt;3.36229890261424&lt;/D&gt;&lt;D xsi:type="xsd:double"&gt;3.19844048766093&lt;/D&gt;&lt;D xsi:type="xsd:double"&gt;3.15032254496174&lt;/D&gt;&lt;D xsi:type="xsd:double"&gt;2.94341215261388&lt;/D&gt;&lt;D xsi:type="xsd:double"&gt;2.83331642530999&lt;/D&gt;&lt;D xsi:type="xsd:double"&gt;2.69147859269853&lt;/D&gt;&lt;D xsi:type="xsd:double"&gt;2.76572154508831&lt;/D&gt;&lt;D xsi:type="xsd:double"&gt;2.82898315427654&lt;/D&gt;&lt;D xsi:type="xsd:double"&gt;2.92897248633833&lt;/D&gt;&lt;D xsi:type="xsd:double"&gt;2.96255711371598&lt;/D&gt;&lt;D xsi:type="xsd:double"&gt;3.36551240069974&lt;/D&gt;&lt;D xsi:type="xsd:double"&gt;3.50877289130666&lt;/D&gt;&lt;D xsi:type="xsd:double"&gt;3.11243056028536&lt;/D&gt;&lt;D xsi:type="xsd:double"&gt;2.92906064960166&lt;/D&gt;&lt;D xsi:type="xsd:double"&gt;3.04009766148995&lt;/D&gt;&lt;D xsi:type="xsd:double"&gt;3.35249567644693&lt;/D&gt;&lt;D xsi:type="xsd:double"&gt;3.49409758213559&lt;/D&gt;&lt;D xsi:type="xsd:double"&gt;3.2732594003527&lt;/D&gt;&lt;D xsi:type="xsd:double"&gt;3.17785525156956&lt;/D&gt;&lt;D xsi:type="xsd:double"&gt;3.3978199631533&lt;/D&gt;&lt;D xsi:type="xsd:double"&gt;3.30105634928929&lt;/D&gt;&lt;D xsi:type="xsd:double"&gt;3.32339518737217&lt;/D&gt;&lt;D xsi:type="xsd:double"&gt;3.1783257225157&lt;/D&gt;&lt;D xsi:type="xsd:double"&gt;3.16835697616139&lt;/D&gt;&lt;D xsi:type="xsd:double"&gt;3.12450638729058&lt;/D&gt;&lt;D xsi:type="xsd:double"&gt;3.18281282471216&lt;/D&gt;&lt;D xsi:type="xsd:double"&gt;2.9775400117846&lt;/D&gt;&lt;D xsi:type="xsd:double"&gt;2.96449182624086&lt;/D&gt;&lt;D xsi:type="xsd:double"&gt;2.91945932959571&lt;/D&gt;&lt;D xsi:type="xsd:double"&gt;2.96412925046937&lt;/D&gt;&lt;D xsi:type="xsd:double"&gt;2.96816310433191&lt;/D&gt;&lt;D xsi:type="xsd:double"&gt;2.92027259935925&lt;/D&gt;&lt;D xsi:type="xsd:double"&gt;2.93618971609135&lt;/D&gt;&lt;D xsi:type="xsd:double"&gt;3.05916421411205&lt;/D&gt;&lt;D xsi:type="xsd:double"&gt;3.11905065048037&lt;/D&gt;&lt;D xsi:type="xsd:double"&gt;3.04076402848787&lt;/D&gt;&lt;D xsi:type="xsd:double"&gt;2.95859605575382&lt;/D&gt;&lt;D xsi:type="xsd:double"&gt;2.95026141477307&lt;/D&gt;&lt;D xsi:type="xsd:double"&gt;2.91609283028431&lt;/D&gt;&lt;D xsi:type="xsd:double"&gt;2.84419696899396&lt;/D&gt;&lt;D xsi:type="xsd:double"&gt;3.11070563934691&lt;/D&gt;&lt;D xsi:type="xsd:double"&gt;3.2866878651389&lt;/D&gt;&lt;D xsi:type="xsd:double"&gt;3.15923677958238&lt;/D&gt;&lt;D xsi:type="xsd:double"&gt;3.1158724560587&lt;/D&gt;&lt;D xsi:type="xsd:double"&gt;3.19455285111632&lt;/D&gt;&lt;D xsi:type="xsd:double"&gt;3.2147599022371&lt;/D&gt;&lt;D xsi:type="xsd:double"&gt;3.25539518425738&lt;/D&gt;&lt;D xsi:type="xsd:double"&gt;3.26177569699965&lt;/D&gt;&lt;D xsi:type="xsd:double"&gt;3.61757504090714&lt;/D&gt;&lt;D xsi:type="xsd:double"&gt;3.69753513004705&lt;/D&gt;&lt;D xsi:type="xsd:double"&gt;3.93256124433979&lt;/D&gt;&lt;D xsi:type="xsd:double"&gt;3.7443115836549&lt;/D&gt;&lt;D xsi:type="xsd:double"&gt;3.63341990005276&lt;/D&gt;&lt;D xsi:type="xsd:double"&gt;3.6404810190384&lt;/D&gt;&lt;D xsi:type="xsd:double"&gt;3.41170100306964&lt;/D&gt;&lt;D xsi:type="xsd:double"&gt;3.60817247689816&lt;/D&gt;&lt;D xsi:type="xsd:double"&gt;3.50370111573569&lt;/D&gt;&lt;D xsi:type="xsd:double"&gt;3.42542756553582&lt;/D&gt;&lt;D xsi:type="xsd:double"&gt;3.615404987904&lt;/D&gt;&lt;D xsi:type="xsd:double"&gt;3.42129946715336&lt;/D&gt;&lt;D xsi:type="xsd:double"&gt;3.29368490754192&lt;/D&gt;&lt;D xsi:type="xsd:double"&gt;3.12559396560792&lt;/D&gt;&lt;D xsi:type="xsd:double"&gt;3.08176883892478&lt;/D&gt;&lt;D xsi:type="xsd:double"&gt;3.06689775418573&lt;/D&gt;&lt;D xsi:type="xsd:double"&gt;3.02421537096313&lt;/D&gt;&lt;D xsi:type="xsd:double"&gt;4.54675041858608&lt;/D&gt;&lt;D xsi:type="xsd:double"&gt;3.4893817035157&lt;/D&gt;&lt;D xsi:type="xsd:double"&gt;3.26811865576862&lt;/D&gt;&lt;D xsi:type="xsd:double"&gt;2.87041173953816&lt;/D&gt;&lt;D xsi:type="xsd:double"&gt;2.76190672647439&lt;/D&gt;&lt;D xsi:type="xsd:double"&gt;2.84015226071304&lt;/D&gt;&lt;D xsi:type="xsd:double"&gt;2.9165946268515&lt;/D&gt;&lt;D xsi:type="xsd:double"&gt;2.89638639964351&lt;/D&gt;&lt;D xsi:type="xsd:double"&gt;2.84498975683597&lt;/D&gt;&lt;D xsi:type="xsd:double"&gt;2.73936212356689&lt;/D&gt;&lt;D xsi:type="xsd:double"&gt;2.71548886824709&lt;/D&gt;&lt;D xsi:type="xsd:double"&gt;2.81681681235032&lt;/D&gt;&lt;D xsi:type="xsd:double"&gt;2.75273318222764&lt;/D&gt;&lt;D xsi:type="xsd:double"&gt;2.72808797730961&lt;/D&gt;&lt;D xsi:type="xsd:double"&gt;2.83719666605161&lt;/D&gt;&lt;D xsi:type="xsd:double"&gt;2.82475399162317&lt;/D&gt;&lt;D xsi:type="xsd:double"&gt;2.81002176265227&lt;/D&gt;&lt;D xsi:type="xsd:double"&gt;2.84435079804641&lt;/D&gt;&lt;D xsi:type="xsd:double"&gt;2.90260030354737&lt;/D&gt;&lt;D xsi:type="xsd:double"&gt;2.96511489617368&lt;/D&gt;&lt;D xsi:type="xsd:double"&gt;2.99582999858234&lt;/D&gt;&lt;D xsi:type="xsd:double"&gt;3.05342821279997&lt;/D&gt;&lt;D xsi:type="xsd:double"&gt;3.1329072371453&lt;/D&gt;&lt;D xsi:type="xsd:double"&gt;3.40544385641836&lt;/D&gt;&lt;D xsi:type="xsd:double"&gt;3.55192330381109&lt;/D&gt;&lt;D xsi:type="xsd:double"&gt;3.62385513728979&lt;/D&gt;&lt;D xsi:type="xsd:double"&gt;3.81537105624064&lt;/D&gt;&lt;D xsi:type="xsd:double"&gt;4.1788015966128&lt;/D&gt;&lt;D xsi:type="xsd:double"&gt;4.06792784556491&lt;/D&gt;&lt;D xsi:type="xsd:double"&gt;4.11004156722868&lt;/D&gt;&lt;D xsi:type="xsd:double"&gt;4.42264781664765&lt;/D&gt;&lt;D xsi:type="xsd:double"&gt;4.26517176167652&lt;/D&gt;&lt;D xsi:type="xsd:double"&gt;3.76010898676819&lt;/D&gt;&lt;D xsi:type="xsd:double"&gt;3.85450879259953&lt;/D&gt;&lt;D xsi:type="xsd:double"&gt;3.52314008483491&lt;/D&gt;&lt;D xsi:type="xsd:double"&gt;3.47406816454692&lt;/D&gt;&lt;D xsi:type="xsd:double"&gt;3.61668416437538&lt;/D&gt;&lt;D xsi:type="xsd:double"&gt;3.49929240766813&lt;/D&gt;&lt;D xsi:type="xsd:double"&gt;3.57022181112005&lt;/D&gt;&lt;D xsi:type="xsd:double"&gt;3.68306577476742&lt;/D&gt;&lt;D xsi:type="xsd:double"&gt;3.64830813296986&lt;/D&gt;&lt;D xsi:type="xsd:double"&gt;3.74729424431461&lt;/D&gt;&lt;D xsi:type="xsd:double"&gt;3.79053643673213&lt;/D&gt;&lt;D xsi:type="xsd:double"&gt;4.03459417554795&lt;/D&gt;&lt;D xsi:type="xsd:double"&gt;3.70712320258166&lt;/D&gt;&lt;D xsi:type="xsd:double"&gt;3.56062028429475&lt;/D&gt;&lt;D xsi:type="xsd:double"&gt;3.6090863432766&lt;/D&gt;&lt;D xsi:type="xsd:double"&gt;3.41473336818524&lt;/D&gt;&lt;D xsi:type="xsd:double"&gt;3.29362977123278&lt;/D&gt;&lt;D xsi:type="xsd:double"&gt;3.33547076870742&lt;/D&gt;&lt;D xsi:type="xsd:double"&gt;3.33735448348515&lt;/D&gt;&lt;D xsi:type="xsd:double"&gt;3.45113976389122&lt;/D&gt;&lt;D xsi:type="xsd:double"&gt;3.37826512181874&lt;/D&gt;&lt;D xsi:type="xsd:double"&gt;3.38764620684482&lt;/D&gt;&lt;D xsi:type="xsd:double"&gt;3.32235390015967&lt;/D&gt;&lt;/FQL&gt;&lt;FQL&gt;&lt;Q&gt;CPALM-FDS^FG_PRICE_CHANGE(0,-1AM)&lt;/Q&gt;&lt;R&gt;1&lt;/R&gt;&lt;C&gt;1&lt;/C&gt;&lt;D xsi:type="xsd:double"&gt;1.28269617706238&lt;/D&gt;&lt;/FQL&gt;&lt;FQL&gt;&lt;Q&gt;EWD^FG_TOTAL_RETURNC(0,-1AM)&lt;/Q&gt;&lt;R&gt;1&lt;/R&gt;&lt;C&gt;1&lt;/C&gt;&lt;D xsi:type="xsd:double"&gt;1.1203766&lt;/D&gt;&lt;/FQL&gt;&lt;FQL&gt;&lt;Q&gt;EWQ^FMA_COS_UP("EPS","1M",+1,0,,,"PORTAGG","MEANR")&lt;/Q&gt;&lt;R&gt;1&lt;/R&gt;&lt;C&gt;1&lt;/C&gt;&lt;D xsi:type="xsd:double"&gt;21&lt;/D&gt;&lt;/FQL&gt;&lt;FQL&gt;&lt;Q&gt;EWN^FMA_EVAL_EBITDA(NTMA,0,,,"PORTAGG","MEANR")&lt;/Q&gt;&lt;R&gt;1&lt;/R&gt;&lt;C&gt;1&lt;/C&gt;&lt;D xsi:type="xsd:double"&gt;11.9766225211053&lt;/D&gt;&lt;/FQL&gt;&lt;FQL&gt;&lt;Q&gt;ENZL^FMA_PE(LTM,0,,,"PORTAGG","MEANR")&lt;/Q&gt;&lt;R&gt;1&lt;/R&gt;&lt;C&gt;1&lt;/C&gt;&lt;D xsi:type="xsd:double"&gt;49.9402680213677&lt;/D&gt;&lt;/FQL&gt;&lt;FQL&gt;&lt;Q&gt;EWQ^FMA_ROE(NTMA,-20AY,NOW,FY,"PORTAGG","MEANR")&lt;/Q&gt;&lt;R&gt;20&lt;/R&gt;&lt;C&gt;1&lt;/C&gt;&lt;D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xsi:type="xsd:double"&gt;10.9140096450728&lt;/D&gt;&lt;D xsi:type="xsd:double"&gt;8.94223448409826&lt;/D&gt;&lt;D xsi:type="xsd:double"&gt;12.253955548111&lt;/D&gt;&lt;D xsi:type="xsd:double"&gt;13.1534194530092&lt;/D&gt;&lt;D xsi:type="xsd:double"&gt;13.2312741384504&lt;/D&gt;&lt;/FQL&gt;&lt;FQL&gt;&lt;Q&gt;SPY^FG_PRICE_MAVG(0,,,,30)&lt;/Q&gt;&lt;R&gt;1&lt;/R&gt;&lt;C&gt;1&lt;/C&gt;&lt;D xsi:type="xsd:double"&gt;556.22064&lt;/D&gt;&lt;/FQL&gt;&lt;FQL&gt;&lt;Q&gt;SPY^P_PRICE(0)/P_PRICE_HIGH_PR(0,,,,,,"PRICE","INTRA","52W")&lt;/Q&gt;&lt;R&gt;1&lt;/R&gt;&lt;C&gt;1&lt;/C&gt;&lt;D xsi:type="xsd:double"&gt;0.9949028&lt;/D&gt;&lt;/FQL&gt;&lt;FQL&gt;&lt;Q&gt;ENZL^FMA_RBICS_REV_CURRENT(30, LOC, "PORTAGG")&lt;/Q&gt;&lt;R&gt;1&lt;/R&gt;&lt;C&gt;1&lt;/C&gt;&lt;D xsi:type="xsd:double"&gt;14.6363346162214&lt;/D&gt;&lt;/FQL&gt;&lt;FQL&gt;&lt;Q&gt;TRYAE10Y-FDS^FG_YIELD(-10AY,0,Y,,"YTM")&lt;/Q&gt;&lt;R&gt;10&lt;/R&gt;&lt;C&gt;1&lt;/C&gt;&lt;D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xsi:type="xsd:string"&gt;@NA&lt;/D&gt;&lt;/FQL&gt;&lt;FQL&gt;&lt;Q&gt;CAGDPY@CH^EE_ACTUAL_ANNUAL(MED,0)&lt;/Q&gt;&lt;R&gt;1&lt;/R&gt;&lt;C&gt;1&lt;/C&gt;&lt;D xsi:type="xsd:double"&gt;6.51381088906606&lt;/D&gt;&lt;/FQL&gt;&lt;FQL&gt;&lt;Q&gt;USDITL^FG_COMPANY_NAME&lt;/Q&gt;&lt;R&gt;1&lt;/R&gt;&lt;C&gt;1&lt;/C&gt;&lt;D xsi:type="xsd:string"&gt;Italian Lira per U.S. Dollar&lt;/D&gt;&lt;/FQL&gt;&lt;FQL&gt;&lt;Q&gt;USDAUD^FG_PRICE_CHANGE(0,-3AM)&lt;/Q&gt;&lt;R&gt;1&lt;/R&gt;&lt;C&gt;1&lt;/C&gt;&lt;D xsi:type="xsd:double"&gt;-3.11656&lt;/D&gt;&lt;/FQL&gt;&lt;FQL&gt;&lt;Q&gt;EWG^FG_TOTAL_RETURNC(-10AY,0,AM)&lt;/Q&gt;&lt;R&gt;121&lt;/R&gt;&lt;C&gt;1&lt;/C&gt;&lt;D xsi:type="xsd:double"&gt;-0.7986069&lt;/D&gt;&lt;D xsi:type="xsd:double"&gt;-7.0703564&lt;/D&gt;&lt;D xsi:type="xsd:double"&gt;5.3672314&lt;/D&gt;&lt;D xsi:type="xsd:double"&gt;0.16086102&lt;/D&gt;&lt;D xsi:type="xsd:double"&gt;-0.9279072&lt;/D&gt;&lt;D xsi:type="xsd:double"&gt;5.979824&lt;/D&gt;&lt;D xsi:type="xsd:double"&gt;2.6852489&lt;/D&gt;&lt;D xsi:type="xsd:double"&gt;-1.9198954&lt;/D&gt;&lt;D xsi:type="xsd:double"&gt;1.8562317&lt;/D&gt;&lt;D xsi:type="xsd:double"&gt;-0.92777014&lt;/D&gt;&lt;D xsi:type="xsd:double"&gt;-2.483672&lt;/D&gt;&lt;D xsi:type="xsd:double"&gt;-9.246338&lt;/D&gt;&lt;D xsi:type="xsd:double"&gt;-5.3825436&lt;/D&gt;&lt;D xsi:type="xsd:double"&gt;10.524178&lt;/D&gt;&lt;D xsi:type="xsd:double"&gt;-1.7647088&lt;/D&gt;&lt;D xsi:type="xsd:double"&gt;0.26198626&lt;/D&gt;&lt;D xsi:type="xsd:double"&gt;-9.742445&lt;/D&gt;&lt;D xsi:type="xsd:double"&gt;-1.9851089&lt;/D&gt;&lt;D xsi:type="xsd:double"&gt;7.299578&lt;/D&gt;&lt;D xsi:type="xsd:double"&gt;4.3256044&lt;/D&gt;&lt;D xsi:type="xsd:double"&gt;-5.0885797&lt;/D&gt;&lt;D xsi:type="xsd:double"&gt;5.9283733&lt;/D&gt;&lt;D xsi:type="xsd:double"&gt;-4.838711&lt;/D&gt;&lt;D xsi:type="xsd:double"&gt;7.2235584&lt;/D&gt;&lt;D xsi:type="xsd:double"&gt;-0.4892707&lt;/D&gt;&lt;D xsi:type="xsd:double"&gt;-2.2692919&lt;/D&gt;&lt;D xsi:type="xsd:double"&gt;-3.9860725&lt;/D&gt;&lt;D xsi:type="xsd:double"&gt;6.08238&lt;/D&gt;&lt;D xsi:type="xsd:double"&gt;3.9528728&lt;/D&gt;&lt;D xsi:type="xsd:double"&gt;1.6453385&lt;/D&gt;&lt;D xsi:type="xsd:double"&gt;2.050364&lt;/D&gt;&lt;D xsi:type="xsd:double"&gt;-0.10575056&lt;/D&gt;&lt;D xsi:type="xsd:double"&gt;9.3154545&lt;/D&gt;&lt;D xsi:type="xsd:double"&gt;0.49957037&lt;/D&gt;&lt;D xsi:type="xsd:double"&gt;0.39292574&lt;/D&gt;&lt;D xsi:type="xsd:double"&gt;0.71754456&lt;/D&gt;&lt;D xsi:type="xsd:double"&gt;4.2422295&lt;/D&gt;&lt;D xsi:type="xsd:double"&gt;1.0562301&lt;/D&gt;&lt;D xsi:type="xsd:double"&gt;0.89148283&lt;/D&gt;&lt;D xsi:type="xsd:double"&gt;1.1076927&lt;/D&gt;&lt;D xsi:type="xsd:double"&gt;7.703936&lt;/D&gt;&lt;D xsi:type="xsd:double"&gt;-7.0687237&lt;/D&gt;&lt;D xsi:type="xsd:double"&gt;-5.493516&lt;/D&gt;&lt;D xsi:type="xsd:double"&gt;4.8866153&lt;/D&gt;&lt;D xsi:type="xsd:double"&gt;-0.94397664&lt;/D&gt;&lt;D xsi:type="xsd:double"&gt;-3.567332&lt;/D&gt;&lt;D xsi:type="xsd:double"&gt;0.5550146&lt;/D&gt;&lt;D xsi:type="xsd:double"&gt;-2.4999976&lt;/D&gt;&lt;D xsi:type="xsd:double"&gt;1.8314958&lt;/D&gt;&lt;D xsi:type="xsd:double"&gt;-10.529757&lt;/D&gt;&lt;D xsi:type="xsd:double"&gt;-2.9239833&lt;/D&gt;&lt;D xsi:type="xsd:double"&gt;-6.0617447&lt;/D&gt;&lt;D xsi:type="xsd:double"&gt;5.7314515&lt;/D&gt;&lt;D xsi:type="xsd:double"&gt;2.4639964&lt;/D&gt;&lt;D xsi:type="xsd:double"&gt;-1.0728836&lt;/D&gt;&lt;D xsi:type="xsd:double"&gt;6.918478&lt;/D&gt;&lt;D xsi:type="xsd:double"&gt;-3.8125217&lt;/D&gt;&lt;D xsi:type="xsd:double"&gt;3.712082&lt;/D&gt;&lt;D xsi:type="xsd:double"&gt;-0.072050095&lt;/D&gt;&lt;D xsi:type="xsd:double"&gt;-7.390046&lt;/D&gt;&lt;D xsi:type="xsd:double"&gt;5.1771164&lt;/D&gt;&lt;D xsi:type="xsd:double"&gt;5.1073194&lt;/D&gt;&lt;D xsi:type="xsd:double"&gt;1.6549349&lt;/D&gt;&lt;D xsi:type="xsd:double"&gt;1.5933514&lt;/D&gt;&lt;D xsi:type="xsd:double"&gt;1.0228395&lt;/D&gt;&lt;D xsi:type="xsd:double"&gt;-1.6537309&lt;/D&gt;&lt;D xsi:type="xsd:double"&gt;-36.20453&lt;/D&gt;&lt;D xsi:type="xsd:double"&gt;19.580412&lt;/D&gt;&lt;D xsi:type="xsd:double"&gt;8.996857&lt;/D&gt;&lt;D xsi:type="xsd:double"&gt;14.720976&lt;/D&gt;&lt;D xsi:type="xsd:double"&gt;6.6884756&lt;/D&gt;&lt;D xsi:type="xsd:double"&gt;0.4088521&lt;/D&gt;&lt;D xsi:type="xsd:double"&gt;-3.155744&lt;/D&gt;&lt;D xsi:type="xsd:double"&gt;3.0133128&lt;/D&gt;&lt;D xsi:type="xsd:double"&gt;2.4829865&lt;/D&gt;&lt;D xsi:type="xsd:double"&gt;6.7715287&lt;/D&gt;&lt;D xsi:type="xsd:double"&gt;2.4551392&lt;/D&gt;&lt;D xsi:type="xsd:double"&gt;-0.552994&lt;/D&gt;&lt;D xsi:type="xsd:double"&gt;2.2551775&lt;/D&gt;&lt;D xsi:type="xsd:double"&gt;6.163144&lt;/D&gt;&lt;D xsi:type="xsd:double"&gt;1.2236834&lt;/D&gt;&lt;D xsi:type="xsd:double"&gt;-1.0742426&lt;/D&gt;&lt;D xsi:type="xsd:double"&gt;-0.028896332&lt;/D&gt;&lt;D xsi:type="xsd:double"&gt;0.80947876&lt;/D&gt;&lt;D xsi:type="xsd:double"&gt;-1.577282&lt;/D&gt;&lt;D xsi:type="xsd:double"&gt;-1.5734315&lt;/D&gt;&lt;D xsi:type="xsd:double"&gt;-1.4505565&lt;/D&gt;&lt;D xsi:type="xsd:double"&gt;-1.1830807&lt;/D&gt;&lt;D xsi:type="xsd:double"&gt;-1.5452921&lt;/D&gt;&lt;D xsi:type="xsd:double"&gt;-6.6023054&lt;/D&gt;&lt;D xsi:type="xsd:double"&gt;-6.1353803&lt;/D&gt;&lt;D xsi:type="xsd:double"&gt;-3.7655413&lt;/D&gt;&lt;D xsi:type="xsd:double"&gt;-1.4765561&lt;/D&gt;&lt;D xsi:type="xsd:double"&gt;-9.731704&lt;/D&gt;&lt;D xsi:type="xsd:double"&gt;-1.9255459&lt;/D&gt;&lt;D xsi:type="xsd:double"&gt;-3.403145&lt;/D&gt;&lt;D xsi:type="xsd:double"&gt;-9.394759&lt;/D&gt;&lt;D xsi:type="xsd:double"&gt;5.633104&lt;/D&gt;&lt;D xsi:type="xsd:double"&gt;18.310524&lt;/D&gt;&lt;D xsi:type="xsd:double"&gt;-1.3230562&lt;/D&gt;&lt;D xsi:type="xsd:double"&gt;12.697136&lt;/D&gt;&lt;D xsi:type="xsd:double"&gt;-0.28704405&lt;/D&gt;&lt;D xsi:type="xsd:double"&gt;-1.2954295&lt;/D&gt;&lt;D xsi:type="xsd:double"&gt;6.671524&lt;/D&gt;&lt;D xsi:type="xsd:double"&gt;-1.4695823&lt;/D&gt;&lt;D xsi:type="xsd:double"&gt;-0.46158433&lt;/D&gt;&lt;D xsi:type="xsd:double"&gt;4.18905&lt;/D&gt;&lt;D xsi:type="xsd:double"&gt;-4.9828234&lt;/D&gt;&lt;D xsi:type="xsd:double"&gt;-3.3996403&lt;/D&gt;&lt;D xsi:type="xsd:double"&gt;-5.3537965&lt;/D&gt;&lt;D xsi:type="xsd:double"&gt;10.561705&lt;/D&gt;&lt;D xsi:type="xsd:double"&gt;5.622709&lt;/D&gt;&lt;D xsi:type="xsd:double"&gt;-2.2696495&lt;/D&gt;&lt;D xsi:type="xsd:double"&gt;4.748702&lt;/D&gt;&lt;D xsi:type="xsd:double"&gt;3.5407066&lt;/D&gt;&lt;D xsi:type="xsd:double"&gt;-1.1505306&lt;/D&gt;&lt;D xsi:type="xsd:double"&gt;3.233111&lt;/D&gt;&lt;D xsi:type="xsd:double"&gt;-3.1493306&lt;/D&gt;&lt;D xsi:type="xsd:double"&gt;4.042411&lt;/D&gt;&lt;D xsi:type="xsd:double"&gt;3.2484055&lt;/D&gt;&lt;D xsi:type="xsd:double"&gt;1.1721134&lt;/D&gt;&lt;/FQL&gt;&lt;FQL&gt;&lt;Q&gt;EWC^FMA_PE(NTMA,-10AY,0,AM,"PORTAGG","MEANR")&lt;/Q&gt;&lt;R&gt;121&lt;/R&gt;&lt;C&gt;1&lt;/C&gt;&lt;D xsi:type="xsd:double"&gt;14.7384880432478&lt;/D&gt;&lt;D xsi:type="xsd:double"&gt;14.0770788786538&lt;/D&gt;&lt;D xsi:type="xsd:double"&gt;14.9097226459368&lt;/D&gt;&lt;D xsi:type="xsd:double"&gt;15.4145161409413&lt;/D&gt;&lt;D xsi:type="xsd:double"&gt;16.198011432055&lt;/D&gt;&lt;D xsi:type="xsd:double"&gt;17.3553387261796&lt;/D&gt;&lt;D xsi:type="xsd:double"&gt;17.1604536041529&lt;/D&gt;&lt;D xsi:type="xsd:double"&gt;17.4885863378113&lt;/D&gt;&lt;D xsi:type="xsd:double"&gt;16.8629949323082&lt;/D&gt;&lt;D xsi:type="xsd:double"&gt;16.3180044253922&lt;/D&gt;&lt;D xsi:type="xsd:double"&gt;15.4138149611383&lt;/D&gt;&lt;D xsi:type="xsd:double"&gt;14.5116568782717&lt;/D&gt;&lt;D xsi:type="xsd:double"&gt;14.5181454074966&lt;/D&gt;&lt;D xsi:type="xsd:double"&gt;15.1741318664483&lt;/D&gt;&lt;D xsi:type="xsd:double"&gt;14.5560967694354&lt;/D&gt;&lt;D xsi:type="xsd:double"&gt;14.5994564524527&lt;/D&gt;&lt;D xsi:type="xsd:double"&gt;13.781079198278&lt;/D&gt;&lt;D xsi:type="xsd:double"&gt;14.6398327799699&lt;/D&gt;&lt;D xsi:type="xsd:double"&gt;15.9653606361658&lt;/D&gt;&lt;D xsi:type="xsd:double"&gt;16.5418056654156&lt;/D&gt;&lt;D xsi:type="xsd:double"&gt;16.4377149800991&lt;/D&gt;&lt;D xsi:type="xsd:double"&gt;16.5092418185697&lt;/D&gt;&lt;D xsi:type="xsd:double"&gt;16.5673955072589&lt;/D&gt;&lt;D xsi:type="xsd:double"&gt;16.5043496570276&lt;/D&gt;&lt;D xsi:type="xsd:double"&gt;16.1204736548394&lt;/D&gt;&lt;D xsi:type="xsd:double"&gt;16.1693333867502&lt;/D&gt;&lt;D xsi:type="xsd:double"&gt;16.0800022826998&lt;/D&gt;&lt;D xsi:type="xsd:double"&gt;15.9075514760737&lt;/D&gt;&lt;D xsi:type="xsd:double"&gt;16.0943292383586&lt;/D&gt;&lt;D xsi:type="xsd:double"&gt;16.2453480196153&lt;/D&gt;&lt;D xsi:type="xsd:double"&gt;15.7447612966719&lt;/D&gt;&lt;D xsi:type="xsd:double"&gt;15.80233094217&lt;/D&gt;&lt;D xsi:type="xsd:double"&gt;15.847657228574&lt;/D&gt;&lt;D xsi:type="xsd:double"&gt;15.3044740185266&lt;/D&gt;&lt;D xsi:type="xsd:double"&gt;15.563501222778&lt;/D&gt;&lt;D xsi:type="xsd:double"&gt;15.4538740242757&lt;/D&gt;&lt;D xsi:type="xsd:double"&gt;15.5964376115876&lt;/D&gt;&lt;D xsi:type="xsd:double"&gt;15.7896879393327&lt;/D&gt;&lt;D xsi:type="xsd:double"&gt;15.8833741874835&lt;/D&gt;&lt;D xsi:type="xsd:double"&gt;15.900746152555&lt;/D&gt;&lt;D xsi:type="xsd:double"&gt;15.6754766944202&lt;/D&gt;&lt;D xsi:type="xsd:double"&gt;14.6588809610878&lt;/D&gt;&lt;D xsi:type="xsd:double"&gt;14.044741174313&lt;/D&gt;&lt;D xsi:type="xsd:double"&gt;14.1659262132662&lt;/D&gt;&lt;D xsi:type="xsd:double"&gt;14.2579665878161&lt;/D&gt;&lt;D xsi:type="xsd:double"&gt;14.4652626258837&lt;/D&gt;&lt;D xsi:type="xsd:double"&gt;14.2075865760465&lt;/D&gt;&lt;D xsi:type="xsd:double"&gt;13.9351628191198&lt;/D&gt;&lt;D xsi:type="xsd:double"&gt;13.7207618508399&lt;/D&gt;&lt;D xsi:type="xsd:double"&gt;12.7426601774289&lt;/D&gt;&lt;D xsi:type="xsd:double"&gt;12.5308820458717&lt;/D&gt;&lt;D xsi:type="xsd:double"&gt;11.777730421635&lt;/D&gt;&lt;D xsi:type="xsd:double"&gt;13.2175166225524&lt;/D&gt;&lt;D xsi:type="xsd:double"&gt;14.0843250953956&lt;/D&gt;&lt;D xsi:type="xsd:double"&gt;14.0886551733518&lt;/D&gt;&lt;D xsi:type="xsd:double"&gt;14.0347121030382&lt;/D&gt;&lt;D xsi:type="xsd:double"&gt;13.4210841547231&lt;/D&gt;&lt;D xsi:type="xsd:double"&gt;13.776076846073&lt;/D&gt;&lt;D xsi:type="xsd:double"&gt;13.7741267887502&lt;/D&gt;&lt;D xsi:type="xsd:double"&gt;13.3483678185895&lt;/D&gt;&lt;D xsi:type="xsd:double"&gt;14.0783390280819&lt;/D&gt;&lt;D xsi:type="xsd:double"&gt;13.7968446659873&lt;/D&gt;&lt;D xsi:type="xsd:double"&gt;14.3034005410953&lt;/D&gt;&lt;D xsi:type="xsd:double"&gt;14.5013781665422&lt;/D&gt;&lt;D xsi:type="xsd:double"&gt;14.745763953248&lt;/D&gt;&lt;D xsi:type="xsd:double"&gt;15.0150760367&lt;/D&gt;&lt;D xsi:type="xsd:double"&gt;10.6945424326529&lt;/D&gt;&lt;D xsi:type="xsd:double"&gt;15.4990227447815&lt;/D&gt;&lt;D xsi:type="xsd:double"&gt;18.2105016177085&lt;/D&gt;&lt;D xsi:type="xsd:double"&gt;17.8231141585043&lt;/D&gt;&lt;D xsi:type="xsd:double"&gt;17.3995099089857&lt;/D&gt;&lt;D xsi:type="xsd:double"&gt;17.3550290785434&lt;/D&gt;&lt;D xsi:type="xsd:double"&gt;16.0301446812514&lt;/D&gt;&lt;D xsi:type="xsd:double"&gt;16.0064922020159&lt;/D&gt;&lt;D xsi:type="xsd:double"&gt;16.0986270913604&lt;/D&gt;&lt;D xsi:type="xsd:double"&gt;16.0103986458701&lt;/D&gt;&lt;D xsi:type="xsd:double"&gt;15.9238664627306&lt;/D&gt;&lt;D xsi:type="xsd:double"&gt;15.7853848663873&lt;/D&gt;&lt;D xsi:type="xsd:double"&gt;15.3147840757233&lt;/D&gt;&lt;D xsi:type="xsd:double"&gt;15.4384198321527&lt;/D&gt;&lt;D xsi:type="xsd:double"&gt;15.3447925811567&lt;/D&gt;&lt;D xsi:type="xsd:double"&gt;15.6414716288187&lt;/D&gt;&lt;D xsi:type="xsd:double"&gt;15.204274636939&lt;/D&gt;&lt;D xsi:type="xsd:double"&gt;14.9379198839923&lt;/D&gt;&lt;D xsi:type="xsd:double"&gt;14.6589510714864&lt;/D&gt;&lt;D xsi:type="xsd:double"&gt;15.1005343221129&lt;/D&gt;&lt;D xsi:type="xsd:double"&gt;14.7847500082537&lt;/D&gt;&lt;D xsi:type="xsd:double"&gt;14.4383437840623&lt;/D&gt;&lt;D xsi:type="xsd:double"&gt;13.8455440890379&lt;/D&gt;&lt;D xsi:type="xsd:double"&gt;13.6802730409986&lt;/D&gt;&lt;D xsi:type="xsd:double"&gt;13.8087740773179&lt;/D&gt;&lt;D xsi:type="xsd:double"&gt;12.9286148172029&lt;/D&gt;&lt;D xsi:type="xsd:double"&gt;12.1946397847009&lt;/D&gt;&lt;D xsi:type="xsd:double"&gt;11.0955441842647&lt;/D&gt;&lt;D xsi:type="xsd:double"&gt;11.1675090680483&lt;/D&gt;&lt;D xsi:type="xsd:double"&gt;11.7635047247073&lt;/D&gt;&lt;D xsi:type="xsd:double"&gt;10.7852846910174&lt;/D&gt;&lt;D xsi:type="xsd:double"&gt;11.1460467915048&lt;/D&gt;&lt;D xsi:type="xsd:double"&gt;12.1018277823195&lt;/D&gt;&lt;D xsi:type="xsd:double"&gt;11.9828535896314&lt;/D&gt;&lt;D xsi:type="xsd:double"&gt;12.9713778095164&lt;/D&gt;&lt;D xsi:type="xsd:double"&gt;12.6673713841661&lt;/D&gt;&lt;D xsi:type="xsd:double"&gt;12.2698598155588&lt;/D&gt;&lt;D xsi:type="xsd:double"&gt;13.161545020883&lt;/D&gt;&lt;D xsi:type="xsd:double"&gt;12.8780260842854&lt;/D&gt;&lt;D xsi:type="xsd:double"&gt;12.5557080992037&lt;/D&gt;&lt;D xsi:type="xsd:double"&gt;13.4866112497064&lt;/D&gt;&lt;D xsi:type="xsd:double"&gt;12.9027281603378&lt;/D&gt;&lt;D xsi:type="xsd:double"&gt;12.7505201672855&lt;/D&gt;&lt;D xsi:type="xsd:double"&gt;12.2110242417732&lt;/D&gt;&lt;D xsi:type="xsd:double"&gt;12.7917702136335&lt;/D&gt;&lt;D xsi:type="xsd:double"&gt;13.6147429808904&lt;/D&gt;&lt;D xsi:type="xsd:double"&gt;13.8019281997821&lt;/D&gt;&lt;D xsi:type="xsd:double"&gt;14.190069681965&lt;/D&gt;&lt;D xsi:type="xsd:double"&gt;14.5799683507741&lt;/D&gt;&lt;D xsi:type="xsd:double"&gt;14.3297914891131&lt;/D&gt;&lt;D xsi:type="xsd:double"&gt;14.3099106924294&lt;/D&gt;&lt;D xsi:type="xsd:double"&gt;13.7537245325511&lt;/D&gt;&lt;D xsi:type="xsd:double"&gt;14.3900131500244&lt;/D&gt;&lt;D xsi:type="xsd:double"&gt;14.5668703197216&lt;/D&gt;&lt;D xsi:type="xsd:double"&gt;15.0616032268471&lt;/D&gt;&lt;/FQL&gt;&lt;FQL&gt;&lt;Q&gt;PLATI-FDS^FG_PRICE(0)/MAX(FG_PRICE(0,-1AY))&lt;/Q&gt;&lt;R&gt;1&lt;/R&gt;&lt;C&gt;1&lt;/C&gt;&lt;D xsi:type="xsd:double"&gt;0.927970065481759&lt;/D&gt;&lt;/FQL&gt;&lt;FQL&gt;&lt;Q&gt;BRENT-FDS^FG_PRICE_MAVG(0,,,,30)&lt;/Q&gt;&lt;R&gt;1&lt;/R&gt;&lt;C&gt;1&lt;/C&gt;&lt;D xsi:type="xsd:double"&gt;85.86&lt;/D&gt;&lt;/FQL&gt;&lt;FQL&gt;&lt;Q&gt;EWN^FG_PRICE_MAVG(0,,,,200)&lt;/Q&gt;&lt;R&gt;1&lt;/R&gt;&lt;C&gt;1&lt;/C&gt;&lt;D xsi:type="xsd:double"&gt;48.356335&lt;/D&gt;&lt;/FQL&gt;&lt;FQL&gt;&lt;Q&gt;FXI^PERCENT_CHANGE(FMA_EPS(+1,0,,,,"PORTAGG","MEAN"),FMA_EPS(+1,-1AM,,,,"PORTAGG","MEAN"))&lt;/Q&gt;&lt;R&gt;1&lt;/R&gt;&lt;C&gt;1&lt;/C&gt;&lt;D xsi:type="xsd:double"&gt;1.53169903192664&lt;/D&gt;&lt;/FQL&gt;&lt;FQL&gt;&lt;Q&gt;EWQ^FG_TOTAL_RETURNC(0,-3AM)&lt;/Q&gt;&lt;R&gt;1&lt;/R&gt;&lt;C&gt;1&lt;/C&gt;&lt;D xsi:type="xsd:double"&gt;3.1266332&lt;/D&gt;&lt;/FQL&gt;&lt;FQL&gt;&lt;Q&gt;ENZL^P_PRICE(0)/P_PRICE_LOW_PR(0,,,,,,"PRICE","INTRA","52W")-1&lt;/Q&gt;&lt;R&gt;1&lt;/R&gt;&lt;C&gt;1&lt;/C&gt;&lt;D xsi:type="xsd:double"&gt;0.20896602&lt;/D&gt;&lt;/FQL&gt;&lt;FQL&gt;&lt;Q&gt;EWI^SIZE(FG_CONSTITUENTS)&lt;/Q&gt;&lt;R&gt;1&lt;/R&gt;&lt;C&gt;1&lt;/C&gt;&lt;D xsi:type="xsd:long"&gt;26&lt;/D&gt;&lt;/FQL&gt;&lt;FQL&gt;&lt;Q&gt;EWG^FMA_COS_DOWN("EPS","1M",+1,0,,,"PORTAGG","MEANR")&lt;/Q&gt;&lt;R&gt;1&lt;/R&gt;&lt;C&gt;1&lt;/C&gt;&lt;D xsi:type="xsd:double"&gt;27&lt;/D&gt;&lt;/FQL&gt;&lt;FQL&gt;&lt;Q&gt;TRYIT10Y-FDS^FG_YIELD_NAME&lt;/Q&gt;&lt;R&gt;1&lt;/R&gt;&lt;C&gt;1&lt;/C&gt;&lt;D xsi:type="xsd:string"&gt;Italy Benchmark Bond - 10 Year&lt;/D&gt;&lt;/FQL&gt;&lt;FQL&gt;&lt;Q&gt;REFJPTON-FDS^FG_YIELD(NOW,,,0)&lt;/Q&gt;&lt;R&gt;1&lt;/R&gt;&lt;C&gt;1&lt;/C&gt;&lt;D xsi:type="xsd:double"&gt;0.25&lt;/D&gt;&lt;/FQL&gt;&lt;FQL&gt;&lt;Q&gt;TRYUS10Y-FDS^PCTCHG(FG_YIELD(0,,,,"YTM"),FG_YIELD(-1AM,,,,"YTM"))&lt;/Q&gt;&lt;R&gt;0&lt;/R&gt;&lt;C&gt;0&lt;/C&gt;&lt;/FQL&gt;&lt;FQL&gt;&lt;Q&gt;TRYGB10Y-FDS^FG_YIELD(0,,,,"YTM")&lt;/Q&gt;&lt;R&gt;1&lt;/R&gt;&lt;C&gt;1&lt;/C&gt;&lt;D xsi:type="xsd:double"&gt;3.934&lt;/D&gt;&lt;/FQL&gt;&lt;FQL&gt;&lt;Q&gt;EWI^JULIAN(FMA_DIV_YLD(NTMA,NOW,NOW,M,"PORTAGG","MEANR").DATES)&lt;/Q&gt;&lt;R&gt;1&lt;/R&gt;&lt;C&gt;1&lt;/C&gt;&lt;D xsi:type="xsd:long"&gt;45534&lt;/D&gt;&lt;/FQL&gt;&lt;FQL&gt;&lt;Q&gt;CC_AU^IMF_IFS_RCPI_Q(0)&lt;/Q&gt;&lt;R&gt;1&lt;/R&gt;&lt;C&gt;1&lt;/C&gt;&lt;D xsi:type="xsd:double"&gt;3.81451&lt;/D&gt;&lt;/FQL&gt;&lt;FQL&gt;&lt;Q&gt;EWA^FG_FCF_YIELD_NTM(0)&lt;/Q&gt;&lt;R&gt;1&lt;/R&gt;&lt;C&gt;1&lt;/C&gt;&lt;D xsi:type="xsd:double"&gt;4.61949828668378&lt;/D&gt;&lt;/FQL&gt;&lt;FQL&gt;&lt;Q&gt;TRYQA10Y-FDS^FG_YIELD(-10AY,0,Y,,"YTM")&lt;/Q&gt;&lt;R&gt;10&lt;/R&gt;&lt;C&gt;1&lt;/C&gt;&lt;D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xsi:type="xsd:string"&gt;@NA&lt;/D&gt;&lt;/FQL&gt;&lt;FQL&gt;&lt;Q&gt;CAGDPY@DE^EE_ACTUAL_ANNUAL(MED,+1)&lt;/Q&gt;&lt;R&gt;1&lt;/R&gt;&lt;C&gt;1&lt;/C&gt;&lt;D xsi:type="xsd:double"&gt;6.6&lt;/D&gt;&lt;/FQL&gt;&lt;FQL&gt;&lt;Q&gt;USDSEK^FG_COMPANY_NAME&lt;/Q&gt;&lt;R&gt;1&lt;/R&gt;&lt;C&gt;1&lt;/C&gt;&lt;D xsi:type="xsd:string"&gt;Swedish Krona per U.S. Dollar&lt;/D&gt;&lt;/FQL&gt;&lt;FQL&gt;&lt;Q&gt;USDJPY^FG_PRICE_CHANGE(0,-6AM)&lt;/Q&gt;&lt;R&gt;1&lt;/R&gt;&lt;C&gt;1&lt;/C&gt;&lt;D xsi:type="xsd:double"&gt;-5.027914&lt;/D&gt;&lt;/FQL&gt;&lt;FQL&gt;&lt;Q&gt;ENZL^FG_TOTAL_RETURNC(-10AY,0,AM)&lt;/Q&gt;&lt;R&gt;121&lt;/R&gt;&lt;C&gt;1&lt;/C&gt;&lt;D xsi:type="xsd:double"&gt;-2.6108325&lt;/D&gt;&lt;D xsi:type="xsd:double"&gt;-1.3151228&lt;/D&gt;&lt;D xsi:type="xsd:double"&gt;4.792416&lt;/D&gt;&lt;D xsi:type="xsd:double"&gt;-1.1923075&lt;/D&gt;&lt;D xsi:type="xsd:double"&gt;-0.5089104&lt;/D&gt;&lt;D xsi:type="xsd:double"&gt;1.8414378&lt;/D&gt;&lt;D xsi:type="xsd:double"&gt;4.118526&lt;/D&gt;&lt;D xsi:type="xsd:double"&gt;-2.9184759&lt;/D&gt;&lt;D xsi:type="xsd:double"&gt;-2.9813707&lt;/D&gt;&lt;D xsi:type="xsd:double"&gt;-7.042253&lt;/D&gt;&lt;D xsi:type="xsd:double"&gt;-1.4539242&lt;/D&gt;&lt;D xsi:type="xsd:double"&gt;-2.3802638&lt;/D&gt;&lt;D xsi:type="xsd:double"&gt;-6.7567587&lt;/D&gt;&lt;D xsi:type="xsd:double"&gt;14.366734&lt;/D&gt;&lt;D xsi:type="xsd:double"&gt;-2.6721716&lt;/D&gt;&lt;D xsi:type="xsd:double"&gt;6.5417886&lt;/D&gt;&lt;D xsi:type="xsd:double"&gt;-5.3201556&lt;/D&gt;&lt;D xsi:type="xsd:double"&gt;3.6602736&lt;/D&gt;&lt;D xsi:type="xsd:double"&gt;8.2482815&lt;/D&gt;&lt;D xsi:type="xsd:double"&gt;5.708456&lt;/D&gt;&lt;D xsi:type="xsd:double"&gt;-1.0125339&lt;/D&gt;&lt;D xsi:type="xsd:double"&gt;7.096207&lt;/D&gt;&lt;D xsi:type="xsd:double"&gt;2.3721814&lt;/D&gt;&lt;D xsi:type="xsd:double"&gt;7.5140595&lt;/D&gt;&lt;D xsi:type="xsd:double"&gt;-4.059434&lt;/D&gt;&lt;D xsi:type="xsd:double"&gt;-6.019628&lt;/D&gt;&lt;D xsi:type="xsd:double"&gt;-3.45788&lt;/D&gt;&lt;D xsi:type="xsd:double"&gt;-1.8175483&lt;/D&gt;&lt;D xsi:type="xsd:double"&gt;8.814585&lt;/D&gt;&lt;D xsi:type="xsd:double"&gt;-0.30260086&lt;/D&gt;&lt;D xsi:type="xsd:double"&gt;-3.6656618&lt;/D&gt;&lt;D xsi:type="xsd:double"&gt;2.8599143&lt;/D&gt;&lt;D xsi:type="xsd:double"&gt;2.8746486&lt;/D&gt;&lt;D xsi:type="xsd:double"&gt;6.41731&lt;/D&gt;&lt;D xsi:type="xsd:double"&gt;3.5079956&lt;/D&gt;&lt;D xsi:type="xsd:double"&gt;-0.42364&lt;/D&gt;&lt;D xsi:type="xsd:double"&gt;0.7232547&lt;/D&gt;&lt;D xsi:type="xsd:double"&gt;-2.1119297&lt;/D&gt;&lt;D xsi:type="xsd:double"&gt;-1.9417405&lt;/D&gt;&lt;D xsi:type="xsd:double"&gt;5.9686065&lt;/D&gt;&lt;D xsi:type="xsd:double"&gt;3.4387946&lt;/D&gt;&lt;D xsi:type="xsd:double"&gt;-0.08183718&lt;/D&gt;&lt;D xsi:type="xsd:double"&gt;1.3103962&lt;/D&gt;&lt;D xsi:type="xsd:double"&gt;-3.819722&lt;/D&gt;&lt;D xsi:type="xsd:double"&gt;0.4622817&lt;/D&gt;&lt;D xsi:type="xsd:double"&gt;5.766797&lt;/D&gt;&lt;D xsi:type="xsd:double"&gt;-4.28313&lt;/D&gt;&lt;D xsi:type="xsd:double"&gt;1.575625&lt;/D&gt;&lt;D xsi:type="xsd:double"&gt;2.109623&lt;/D&gt;&lt;D xsi:type="xsd:double"&gt;-8.871782&lt;/D&gt;&lt;D xsi:type="xsd:double"&gt;3.7614942&lt;/D&gt;&lt;D xsi:type="xsd:double"&gt;-2.000767&lt;/D&gt;&lt;D xsi:type="xsd:double"&gt;7.821548&lt;/D&gt;&lt;D xsi:type="xsd:double"&gt;2.672577&lt;/D&gt;&lt;D xsi:type="xsd:double"&gt;1.6683459&lt;/D&gt;&lt;D xsi:type="xsd:double"&gt;2.7876616&lt;/D&gt;&lt;D xsi:type="xsd:double"&gt;-0.11540651&lt;/D&gt;&lt;D xsi:type="xsd:double"&gt;0.9058714&lt;/D&gt;&lt;D xsi:type="xsd:double"&gt;7.884538&lt;/D&gt;&lt;D xsi:type="xsd:double"&gt;-7.9727054&lt;/D&gt;&lt;D xsi:type="xsd:double"&gt;1.7170787&lt;/D&gt;&lt;D xsi:type="xsd:double"&gt;1.3427973&lt;/D&gt;&lt;D xsi:type="xsd:double"&gt;1.6846418&lt;/D&gt;&lt;D xsi:type="xsd:double"&gt;8.937323&lt;/D&gt;&lt;D xsi:type="xsd:double"&gt;2.779758&lt;/D&gt;&lt;D xsi:type="xsd:double"&gt;-2.3809314&lt;/D&gt;&lt;D xsi:type="xsd:double"&gt;-35.31117&lt;/D&gt;&lt;D xsi:type="xsd:double"&gt;29.239857&lt;/D&gt;&lt;D xsi:type="xsd:double"&gt;3.579998&lt;/D&gt;&lt;D xsi:type="xsd:double"&gt;10.961533&lt;/D&gt;&lt;D xsi:type="xsd:double"&gt;6.2329173&lt;/D&gt;&lt;D xsi:type="xsd:double"&gt;0.77199936&lt;/D&gt;&lt;D xsi:type="xsd:double"&gt;-4.2049704&lt;/D&gt;&lt;D xsi:type="xsd:double"&gt;10.341394&lt;/D&gt;&lt;D xsi:type="xsd:double"&gt;3.6252737&lt;/D&gt;&lt;D xsi:type="xsd:double"&gt;5.101049&lt;/D&gt;&lt;D xsi:type="xsd:double"&gt;2.9917717&lt;/D&gt;&lt;D xsi:type="xsd:double"&gt;-5.954975&lt;/D&gt;&lt;D xsi:type="xsd:double"&gt;-4.6486435&lt;/D&gt;&lt;D xsi:type="xsd:double"&gt;4.5351505&lt;/D&gt;&lt;D xsi:type="xsd:double"&gt;-2.928418&lt;/D&gt;&lt;D xsi:type="xsd:double"&gt;-1.9296825&lt;/D&gt;&lt;D xsi:type="xsd:double"&gt;1.5930414&lt;/D&gt;&lt;D xsi:type="xsd:double"&gt;-0.48496723&lt;/D&gt;&lt;D xsi:type="xsd:double"&gt;4.5971394&lt;/D&gt;&lt;D xsi:type="xsd:double"&gt;-0.8075774&lt;/D&gt;&lt;D xsi:type="xsd:double"&gt;-6.4819155&lt;/D&gt;&lt;D xsi:type="xsd:double"&gt;-0.15120506&lt;/D&gt;&lt;D xsi:type="xsd:double"&gt;-6.741577&lt;/D&gt;&lt;D xsi:type="xsd:double"&gt;-0.4289925&lt;/D&gt;&lt;D xsi:type="xsd:double"&gt;2.3283482&lt;/D&gt;&lt;D xsi:type="xsd:double"&gt;-7.7667294&lt;/D&gt;&lt;D xsi:type="xsd:double"&gt;-6.235427&lt;/D&gt;&lt;D xsi:type="xsd:double"&gt;-6.477028&lt;/D&gt;&lt;D xsi:type="xsd:double"&gt;3.6530733&lt;/D&gt;&lt;D xsi:type="xsd:double"&gt;3.3513546&lt;/D&gt;&lt;D xsi:type="xsd:double"&gt;-9.895396&lt;/D&gt;&lt;D xsi:type="xsd:double"&gt;-3.5888076&lt;/D&gt;&lt;D xsi:type="xsd:double"&gt;12.584686&lt;/D&gt;&lt;D xsi:type="xsd:double"&gt;4.2678237&lt;/D&gt;&lt;D xsi:type="xsd:double"&gt;6.9470286&lt;/D&gt;&lt;D xsi:type="xsd:double"&gt;-4.0092525&lt;/D&gt;&lt;D xsi:type="xsd:double"&gt;-2.4698794&lt;/D&gt;&lt;D xsi:type="xsd:double"&gt;0.8853197&lt;/D&gt;&lt;D xsi:type="xsd:double"&gt;1.7959237&lt;/D&gt;&lt;D xsi:type="xsd:double"&gt;-2.846253&lt;/D&gt;&lt;D xsi:type="xsd:double"&gt;2.3551464&lt;/D&gt;&lt;D xsi:type="xsd:double"&gt;-6.7807016&lt;/D&gt;&lt;D xsi:type="xsd:double"&gt;-2.4901688&lt;/D&gt;&lt;D xsi:type="xsd:double"&gt;-5.8243694&lt;/D&gt;&lt;D xsi:type="xsd:double"&gt;5.2568913&lt;/D&gt;&lt;D xsi:type="xsd:double"&gt;10.005272&lt;/D&gt;&lt;D xsi:type="xsd:double"&gt;-2.862537&lt;/D&gt;&lt;D xsi:type="xsd:double"&gt;-0.94991326&lt;/D&gt;&lt;D xsi:type="xsd:double"&gt;-1.2859643&lt;/D&gt;&lt;D xsi:type="xsd:double"&gt;-2.759993&lt;/D&gt;&lt;D xsi:type="xsd:double"&gt;2.4977207&lt;/D&gt;&lt;D xsi:type="xsd:double"&gt;1.8377781&lt;/D&gt;&lt;D xsi:type="xsd:double"&gt;2.1701097&lt;/D&gt;&lt;D xsi:type="xsd:double"&gt;6.0931087&lt;/D&gt;&lt;D xsi:type="xsd:double"&gt;0.31142235&lt;/D&gt;&lt;/FQL&gt;&lt;FQL&gt;&lt;Q&gt;COPP-FDS^FG_PRICE(0)/MAX(FG_PRICE(0,-1AY))&lt;/Q&gt;&lt;R&gt;1&lt;/R&gt;&lt;C&gt;1&lt;/C&gt;&lt;D xsi:type="xsd:double"&gt;0.83639382691932&lt;/D&gt;&lt;/FQL&gt;&lt;FQL&gt;&lt;Q&gt;REFSEREPO-FDS^PROPER_NAME(0,,,"SECURITY","NAME")&lt;/Q&gt;&lt;R&gt;1&lt;/R&gt;&lt;C&gt;1&lt;/C&gt;&lt;D xsi:type="xsd:string"&gt;Sweden Repo Rate&lt;/D&gt;&lt;/FQL&gt;&lt;FQL&gt;&lt;Q&gt;EWQ^P_PRICE_RETURNS_PR('52W',2,-10AY,0,AM)&lt;/Q&gt;&lt;R&gt;121&lt;/R&gt;&lt;C&gt;1&lt;/C&gt;&lt;D xsi:type="xsd:double"&gt;1.789844&lt;/D&gt;&lt;D xsi:type="xsd:double"&gt;-8.176345&lt;/D&gt;&lt;D xsi:type="xsd:double"&gt;-3.5247743&lt;/D&gt;&lt;D xsi:type="xsd:double"&gt;-6.221348&lt;/D&gt;&lt;D xsi:type="xsd:double"&gt;-8.643478&lt;/D&gt;&lt;D xsi:type="xsd:double"&gt;-5.2282333&lt;/D&gt;&lt;D xsi:type="xsd:double"&gt;-4.2821465&lt;/D&gt;&lt;D xsi:type="xsd:double"&gt;-6.009799&lt;/D&gt;&lt;D xsi:type="xsd:double"&gt;-4.677993&lt;/D&gt;&lt;D xsi:type="xsd:double"&gt;-5.676955&lt;/D&gt;&lt;D xsi:type="xsd:double"&gt;-3.173095&lt;/D&gt;&lt;D xsi:type="xsd:double"&gt;-5.4529905&lt;/D&gt;&lt;D xsi:type="xsd:double"&gt;-8.61721&lt;/D&gt;&lt;D xsi:type="xsd:double"&gt;6.7935467&lt;/D&gt;&lt;D xsi:type="xsd:double"&gt;-1.0505497&lt;/D&gt;&lt;D xsi:type="xsd:double"&gt;-0.14725327&lt;/D&gt;&lt;D xsi:type="xsd:double"&gt;-7.3798537&lt;/D&gt;&lt;D xsi:type="xsd:double"&gt;-12.887728&lt;/D&gt;&lt;D xsi:type="xsd:double"&gt;-7.8566017&lt;/D&gt;&lt;D xsi:type="xsd:double"&gt;-5.705142&lt;/D&gt;&lt;D xsi:type="xsd:double"&gt;-11.344504&lt;/D&gt;&lt;D xsi:type="xsd:double"&gt;-6.3415823&lt;/D&gt;&lt;D xsi:type="xsd:double"&gt;-10.333085&lt;/D&gt;&lt;D xsi:type="xsd:double"&gt;-1.3899028&lt;/D&gt;&lt;D xsi:type="xsd:double"&gt;4.416704&lt;/D&gt;&lt;D xsi:type="xsd:double"&gt;-3.5389483&lt;/D&gt;&lt;D xsi:type="xsd:double"&gt;-4.3055477&lt;/D&gt;&lt;D xsi:type="xsd:double"&gt;1.9278288&lt;/D&gt;&lt;D xsi:type="xsd:double"&gt;14.073933&lt;/D&gt;&lt;D xsi:type="xsd:double"&gt;14.193296&lt;/D&gt;&lt;D xsi:type="xsd:double"&gt;12.69623&lt;/D&gt;&lt;D xsi:type="xsd:double"&gt;9.014833&lt;/D&gt;&lt;D xsi:type="xsd:double"&gt;26.426125&lt;/D&gt;&lt;D xsi:type="xsd:double"&gt;19.330751&lt;/D&gt;&lt;D xsi:type="xsd:double"&gt;29.390192&lt;/D&gt;&lt;D xsi:type="xsd:double"&gt;25.66787&lt;/D&gt;&lt;D xsi:type="xsd:double"&gt;29.397917&lt;/D&gt;&lt;D xsi:type="xsd:double"&gt;32.257877&lt;/D&gt;&lt;D xsi:type="xsd:double"&gt;34.836113&lt;/D&gt;&lt;D xsi:type="xsd:double"&gt;30.593754&lt;/D&gt;&lt;D xsi:type="xsd:double"&gt;34.971954&lt;/D&gt;&lt;D xsi:type="xsd:double"&gt;30.96521&lt;/D&gt;&lt;D xsi:type="xsd:double"&gt;19.575954&lt;/D&gt;&lt;D xsi:type="xsd:double"&gt;26.185762&lt;/D&gt;&lt;D xsi:type="xsd:double"&gt;12.901378&lt;/D&gt;&lt;D xsi:type="xsd:double"&gt;9.731364&lt;/D&gt;&lt;D xsi:type="xsd:double"&gt;8.392096&lt;/D&gt;&lt;D xsi:type="xsd:double"&gt;6.717801&lt;/D&gt;&lt;D xsi:type="xsd:double"&gt;5.759418&lt;/D&gt;&lt;D xsi:type="xsd:double"&gt;-5.759573&lt;/D&gt;&lt;D xsi:type="xsd:double"&gt;-8.761901&lt;/D&gt;&lt;D xsi:type="xsd:double"&gt;-14.660543&lt;/D&gt;&lt;D xsi:type="xsd:double"&gt;-16.563612&lt;/D&gt;&lt;D xsi:type="xsd:double"&gt;-6.834936&lt;/D&gt;&lt;D xsi:type="xsd:double"&gt;-3.4295857&lt;/D&gt;&lt;D xsi:type="xsd:double"&gt;-3.407848&lt;/D&gt;&lt;D xsi:type="xsd:double"&gt;-7.7509284&lt;/D&gt;&lt;D xsi:type="xsd:double"&gt;2.9508471&lt;/D&gt;&lt;D xsi:type="xsd:double"&gt;1.4286041&lt;/D&gt;&lt;D xsi:type="xsd:double"&gt;-4.114723&lt;/D&gt;&lt;D xsi:type="xsd:double"&gt;-2.1659374&lt;/D&gt;&lt;D xsi:type="xsd:double"&gt;10.781324&lt;/D&gt;&lt;D xsi:type="xsd:double"&gt;16.97284&lt;/D&gt;&lt;D xsi:type="xsd:double"&gt;28.481018&lt;/D&gt;&lt;D xsi:type="xsd:double"&gt;22.639502&lt;/D&gt;&lt;D xsi:type="xsd:double"&gt;13.915407&lt;/D&gt;&lt;D xsi:type="xsd:double"&gt;-28.051727&lt;/D&gt;&lt;D xsi:type="xsd:double"&gt;-22.308905&lt;/D&gt;&lt;D xsi:type="xsd:double"&gt;-16.484451&lt;/D&gt;&lt;D xsi:type="xsd:double"&gt;-8.633113&lt;/D&gt;&lt;D xsi:type="xsd:double"&gt;-5.5496397&lt;/D&gt;&lt;D xsi:type="xsd:double"&gt;-0.9900093&lt;/D&gt;&lt;D xsi:type="xsd:double"&gt;-8.247441&lt;/D&gt;&lt;D xsi:type="xsd:double"&gt;-4.5535207&lt;/D&gt;&lt;D xsi:type="xsd:double"&gt;2.8723478&lt;/D&gt;&lt;D xsi:type="xsd:double"&gt;3.5488248&lt;/D&gt;&lt;D xsi:type="xsd:double"&gt;4.2979717&lt;/D&gt;&lt;D xsi:type="xsd:double"&gt;8.968854&lt;/D&gt;&lt;D xsi:type="xsd:double"&gt;70.35016&lt;/D&gt;&lt;D xsi:type="xsd:double"&gt;61.312233&lt;/D&gt;&lt;D xsi:type="xsd:double"&gt;61.212967&lt;/D&gt;&lt;D xsi:type="xsd:double"&gt;40.38688&lt;/D&gt;&lt;D xsi:type="xsd:double"&gt;33.696114&lt;/D&gt;&lt;D xsi:type="xsd:double"&gt;35.407684&lt;/D&gt;&lt;D xsi:type="xsd:double"&gt;43.69937&lt;/D&gt;&lt;D xsi:type="xsd:double"&gt;38.172935&lt;/D&gt;&lt;D xsi:type="xsd:double"&gt;23.430931&lt;/D&gt;&lt;D xsi:type="xsd:double"&gt;20.410622&lt;/D&gt;&lt;D xsi:type="xsd:double"&gt;17.296743&lt;/D&gt;&lt;D xsi:type="xsd:double"&gt;9.324944&lt;/D&gt;&lt;D xsi:type="xsd:double"&gt;4.3970585&lt;/D&gt;&lt;D xsi:type="xsd:double"&gt;-3.5121918&lt;/D&gt;&lt;D xsi:type="xsd:double"&gt;-9.558571&lt;/D&gt;&lt;D xsi:type="xsd:double"&gt;-16.871334&lt;/D&gt;&lt;D xsi:type="xsd:double"&gt;-13.685465&lt;/D&gt;&lt;D xsi:type="xsd:double"&gt;-15.692967&lt;/D&gt;&lt;D xsi:type="xsd:double"&gt;-26.49163&lt;/D&gt;&lt;D xsi:type="xsd:double"&gt;-21.130705&lt;/D&gt;&lt;D xsi:type="xsd:double"&gt;-10.44786&lt;/D&gt;&lt;D xsi:type="xsd:double"&gt;-11.2630005&lt;/D&gt;&lt;D xsi:type="xsd:double"&gt;-0.4815936&lt;/D&gt;&lt;D xsi:type="xsd:double"&gt;5.3947806&lt;/D&gt;&lt;D xsi:type="xsd:double"&gt;8.845366&lt;/D&gt;&lt;D xsi:type="xsd:double"&gt;18.40911&lt;/D&gt;&lt;D xsi:type="xsd:double"&gt;17.97073&lt;/D&gt;&lt;D xsi:type="xsd:double"&gt;26.988352&lt;/D&gt;&lt;D xsi:type="xsd:double"&gt;32.21214&lt;/D&gt;&lt;D xsi:type="xsd:double"&gt;25.670241999999998&lt;/D&gt;&lt;D xsi:type="xsd:double"&gt;31.466425&lt;/D&gt;&lt;D xsi:type="xsd:double"&gt;22.185385&lt;/D&gt;&lt;D xsi:type="xsd:double"&gt;16.403353&lt;/D&gt;&lt;D xsi:type="xsd:double"&gt;21.50079&lt;/D&gt;&lt;D xsi:type="xsd:double"&gt;6.0469627&lt;/D&gt;&lt;D xsi:type="xsd:double"&gt;11.888063&lt;/D&gt;&lt;D xsi:type="xsd:double"&gt;15.993441&lt;/D&gt;&lt;D xsi:type="xsd:double"&gt;5.3373456&lt;/D&gt;&lt;D xsi:type="xsd:double"&gt;12.175322&lt;/D&gt;&lt;D xsi:type="xsd:double"&gt;4.5144796&lt;/D&gt;&lt;D xsi:type="xsd:double"&gt;0.8999467&lt;/D&gt;&lt;D xsi:type="xsd:double"&gt;10.253536&lt;/D&gt;&lt;D xsi:type="xsd:double"&gt;13.136983&lt;/D&gt;&lt;/FQL&gt;&lt;FQL&gt;&lt;Q&gt;CPALM-FDS^FG_PRICE_CHANGE(0,-1AY)&lt;/Q&gt;&lt;R&gt;1&lt;/R&gt;&lt;C&gt;1&lt;/C&gt;&lt;D xsi:type="xsd:double"&gt;10.4195228955306&lt;/D&gt;&lt;/FQL&gt;&lt;FQL&gt;&lt;Q&gt;EWC^FG_PRICE_MAVG(0,,,,200)&lt;/Q&gt;&lt;R&gt;1&lt;/R&gt;&lt;C&gt;1&lt;/C&gt;&lt;D xsi:type="xsd:double"&gt;37.6147&lt;/D&gt;&lt;/FQL&gt;&lt;FQL&gt;&lt;Q&gt;VWO^FG_TOTAL_RETURNC(0,-12AM)&lt;/Q&gt;&lt;R&gt;1&lt;/R&gt;&lt;C&gt;1&lt;/C&gt;&lt;D xsi:type="xsd:double"&gt;18.785048&lt;/D&gt;&lt;/FQL&gt;&lt;FQL&gt;&lt;Q&gt;EWU^PERCENT_CHANGE(FMA_EPS(+1,0,,,,"PORTAGG","MEAN"),FMA_EPS(+1,-1AM,,,,"PORTAGG","MEAN"))&lt;/Q&gt;&lt;R&gt;1&lt;/R&gt;&lt;C&gt;1&lt;/C&gt;&lt;D xsi:type="xsd:double"&gt;-0.250751318887491&lt;/D&gt;&lt;/FQL&gt;&lt;FQL&gt;&lt;Q&gt;EWG^FMA_PCT_ABOVE_MAVG(200,0,,,,"PORTAGG")&lt;/Q&gt;&lt;R&gt;1&lt;/R&gt;&lt;C&gt;1&lt;/C&gt;&lt;D xsi:type="xsd:double"&gt;59.6491228070175&lt;/D&gt;&lt;/FQL&gt;&lt;FQL&gt;&lt;Q&gt;EWN^FMA_COS_UP("EPS","1M",+1,0,,,"PORTAGG","MEANR")&lt;/Q&gt;&lt;R&gt;1&lt;/R&gt;&lt;C&gt;1&lt;/C&gt;&lt;D xsi:type="xsd:double"&gt;16&lt;/D&gt;&lt;/FQL&gt;&lt;FQL&gt;&lt;Q&gt;EWU^FMA_RBICS_REV_CURRENT(30, LOC, "PORTAGG")&lt;/Q&gt;&lt;R&gt;1&lt;/R&gt;&lt;C&gt;1&lt;/C&gt;&lt;D xsi:type="xsd:double"&gt;19.2590072352383&lt;/D&gt;&lt;/FQL&gt;&lt;FQL&gt;&lt;Q&gt;TRYJP10Y-FDS^FG_YIELD_NAME&lt;/Q&gt;&lt;R&gt;1&lt;/R&gt;&lt;C&gt;1&lt;/C&gt;&lt;D xsi:type="xsd:string"&gt;Japan Benchmark Bond - 10 Year&lt;/D&gt;&lt;/FQL&gt;&lt;FQL&gt;&lt;Q&gt;TRYDE10Y-FDS^PCTCHG(FG_YIELD(0,,,,"YTM"),FG_YIELD(-1AM,,,,"YTM"))&lt;/Q&gt;&lt;R&gt;1&lt;/R&gt;&lt;C&gt;1&lt;/C&gt;&lt;D xsi:type="xsd:double"&gt;-1.9757481&lt;/D&gt;&lt;/FQL&gt;&lt;FQL&gt;&lt;Q&gt;CC_NZ^IMF_IFS_RCPI_Q(0)&lt;/Q&gt;&lt;R&gt;1&lt;/R&gt;&lt;C&gt;1&lt;/C&gt;&lt;D xsi:type="xsd:double"&gt;3.330626&lt;/D&gt;&lt;/FQL&gt;&lt;FQL&gt;&lt;Q&gt;EWD</t>
        </r>
      </text>
    </comment>
    <comment ref="A9" authorId="0" shapeId="0" xr:uid="{A3B054AC-1469-436D-BF06-A20F4C227318}">
      <text>
        <r>
          <rPr>
            <b/>
            <sz val="9"/>
            <color indexed="81"/>
            <rFont val="Tahoma"/>
            <charset val="1"/>
          </rPr>
          <t>^FMA_PE(LTM,0,,,"PORTAGG","MEANR")&lt;/Q&gt;&lt;R&gt;1&lt;/R&gt;&lt;C&gt;1&lt;/C&gt;&lt;D xsi:type="xsd:double"&gt;14.6854875100226&lt;/D&gt;&lt;/FQL&gt;&lt;FQL&gt;&lt;Q&gt;ENZL^FG_FCF_YIELD_NTM(0)&lt;/Q&gt;&lt;R&gt;1&lt;/R&gt;&lt;C&gt;1&lt;/C&gt;&lt;D xsi:type="xsd:double"&gt;1.77036641598697&lt;/D&gt;&lt;/FQL&gt;&lt;FQL&gt;&lt;Q&gt;EWN^FMA_PE(LTMA,-10AY,0,AM,"PORTAGG","MEANR")&lt;/Q&gt;&lt;R&gt;121&lt;/R&gt;&lt;C&gt;1&lt;/C&gt;&lt;D xsi:type="xsd:double"&gt;16.7180312913737&lt;/D&gt;&lt;D xsi:type="xsd:double"&gt;16.0396985035343&lt;/D&gt;&lt;D xsi:type="xsd:double"&gt;17.4715111028698&lt;/D&gt;&lt;D xsi:type="xsd:double"&gt;17.7159810770875&lt;/D&gt;&lt;D xsi:type="xsd:double"&gt;18.7983510358836&lt;/D&gt;&lt;D xsi:type="xsd:double"&gt;19.8428585512652&lt;/D&gt;&lt;D xsi:type="xsd:double"&gt;20.0479891044218&lt;/D&gt;&lt;D xsi:type="xsd:double"&gt;19.8534517377826&lt;/D&gt;&lt;D xsi:type="xsd:double"&gt;19.6328178002545&lt;/D&gt;&lt;D xsi:type="xsd:double"&gt;19.2929075578897&lt;/D&gt;&lt;D xsi:type="xsd:double"&gt;19.1753141879084&lt;/D&gt;&lt;D xsi:type="xsd:double"&gt;17.5481571611308&lt;/D&gt;&lt;D xsi:type="xsd:double"&gt;16.6608260507027&lt;/D&gt;&lt;D xsi:type="xsd:double"&gt;17.6691638541351&lt;/D&gt;&lt;D xsi:type="xsd:double"&gt;18.0426935539794&lt;/D&gt;&lt;D xsi:type="xsd:double"&gt;17.2221291176761&lt;/D&gt;&lt;D xsi:type="xsd:double"&gt;16.0217744843524&lt;/D&gt;&lt;D xsi:type="xsd:double"&gt;16.1702143848043&lt;/D&gt;&lt;D xsi:type="xsd:double"&gt;16.4263118691358&lt;/D&gt;&lt;D xsi:type="xsd:double"&gt;16.3555687707288&lt;/D&gt;&lt;D xsi:type="xsd:double"&gt;16.1065567877608&lt;/D&gt;&lt;D xsi:type="xsd:double"&gt;16.1208441697208&lt;/D&gt;&lt;D xsi:type="xsd:double"&gt;16.1101877080358&lt;/D&gt;&lt;D xsi:type="xsd:double"&gt;16.1423005522003&lt;/D&gt;&lt;D xsi:type="xsd:double"&gt;16.1965169690987&lt;/D&gt;&lt;D xsi:type="xsd:double"&gt;16.0136134366619&lt;/D&gt;&lt;D xsi:type="xsd:double"&gt;15.6228567067845&lt;/D&gt;&lt;D xsi:type="xsd:double"&gt;16.3215544818008&lt;/D&gt;&lt;D xsi:type="xsd:double"&gt;16.2265468951658&lt;/D&gt;&lt;D xsi:type="xsd:double"&gt;16.5241080049077&lt;/D&gt;&lt;D xsi:type="xsd:double"&gt;16.4820094673146&lt;/D&gt;&lt;D xsi:type="xsd:double"&gt;16.5682531792339&lt;/D&gt;&lt;D xsi:type="xsd:double"&gt;16.7248664985718&lt;/D&gt;&lt;D xsi:type="xsd:double"&gt;16.6473793083222&lt;/D&gt;&lt;D xsi:type="xsd:double"&gt;16.6358583319115&lt;/D&gt;&lt;D xsi:type="xsd:double"&gt;16.6106148375724&lt;/D&gt;&lt;D xsi:type="xsd:double"&gt;16.800788396124&lt;/D&gt;&lt;D xsi:type="xsd:double"&gt;17.2490727671261&lt;/D&gt;&lt;D xsi:type="xsd:double"&gt;17.2244866428997&lt;/D&gt;&lt;D xsi:type="xsd:double"&gt;17.3250440149597&lt;/D&gt;&lt;D xsi:type="xsd:double"&gt;17.5503130743538&lt;/D&gt;&lt;D xsi:type="xsd:double"&gt;16.6896262537923&lt;/D&gt;&lt;D xsi:type="xsd:double"&gt;16.5372507736678&lt;/D&gt;&lt;D xsi:type="xsd:double"&gt;16.5536932272922&lt;/D&gt;&lt;D xsi:type="xsd:double"&gt;16.6622953809004&lt;/D&gt;&lt;D xsi:type="xsd:double"&gt;16.6653187208655&lt;/D&gt;&lt;D xsi:type="xsd:double"&gt;16.7939157825949&lt;/D&gt;&lt;D xsi:type="xsd:double"&gt;16.580567068613&lt;/D&gt;&lt;D xsi:type="xsd:double"&gt;16.4566534785286&lt;/D&gt;&lt;D xsi:type="xsd:double"&gt;15.3372613742436&lt;/D&gt;&lt;D xsi:type="xsd:double"&gt;15.3071705413021&lt;/D&gt;&lt;D xsi:type="xsd:double"&gt;14.215783463118&lt;/D&gt;&lt;D xsi:type="xsd:double"&gt;14.9072803755937&lt;/D&gt;&lt;D xsi:type="xsd:double"&gt;16.1486179784136&lt;/D&gt;&lt;D xsi:type="xsd:double"&gt;16.1269385289183&lt;/D&gt;&lt;D xsi:type="xsd:double"&gt;16.3211574706312&lt;/D&gt;&lt;D xsi:type="xsd:double"&gt;16.0381209739636&lt;/D&gt;&lt;D xsi:type="xsd:double"&gt;16.358442128978&lt;/D&gt;&lt;D xsi:type="xsd:double"&gt;16.7509911404803&lt;/D&gt;&lt;D xsi:type="xsd:double"&gt;16.2296712619922&lt;/D&gt;&lt;D xsi:type="xsd:double"&gt;17.0584178135333&lt;/D&gt;&lt;D xsi:type="xsd:double"&gt;17.2262934985813&lt;/D&gt;&lt;D xsi:type="xsd:double"&gt;17.8471789375877&lt;/D&gt;&lt;D xsi:type="xsd:double"&gt;18.7385015271258&lt;/D&gt;&lt;D xsi:type="xsd:double"&gt;18.5328331346624&lt;/D&gt;&lt;D xsi:type="xsd:double"&gt;19.6334351978064&lt;/D&gt;&lt;D xsi:type="xsd:double"&gt;16.5056048486814&lt;/D&gt;&lt;D xsi:type="xsd:double"&gt;17.5937400023354&lt;/D&gt;&lt;D xsi:type="xsd:double"&gt;18.2736441166474&lt;/D&gt;&lt;D xsi:type="xsd:double"&gt;19.6733259362321&lt;/D&gt;&lt;D xsi:type="xsd:double"&gt;20.5767839043371&lt;/D&gt;&lt;D xsi:type="xsd:double"&gt;20.8908628593531&lt;/D&gt;&lt;D xsi:type="xsd:double"&gt;21.4679326132325&lt;/D&gt;&lt;D xsi:type="xsd:double"&gt;22.2701337592203&lt;/D&gt;&lt;D xsi:type="xsd:double"&gt;24.6680982588031&lt;/D&gt;&lt;D xsi:type="xsd:double"&gt;26.8635158515265&lt;/D&gt;&lt;D xsi:type="xsd:double"&gt;28.0768819388731&lt;/D&gt;&lt;D xsi:type="xsd:double"&gt;29.7095950161988&lt;/D&gt;&lt;D xsi:type="xsd:double"&gt;28.5666221867272&lt;/D&gt;&lt;D xsi:type="xsd:double"&gt;28.1965636178033&lt;/D&gt;&lt;D xsi:type="xsd:double"&gt;27.2351595278043&lt;/D&gt;&lt;D xsi:type="xsd:double"&gt;26.6181251334543&lt;/D&gt;&lt;D xsi:type="xsd:double"&gt;26.4518424796999&lt;/D&gt;&lt;D xsi:type="xsd:double"&gt;26.0096184614339&lt;/D&gt;&lt;D xsi:type="xsd:double"&gt;25.4948202902526&lt;/D&gt;&lt;D xsi:type="xsd:double"&gt;24.8360831953333&lt;/D&gt;&lt;D xsi:type="xsd:double"&gt;23.5872103341057&lt;/D&gt;&lt;D xsi:type="xsd:double"&gt;22.7155727823048&lt;/D&gt;&lt;D xsi:type="xsd:double"&gt;20.9823815272595&lt;/D&gt;&lt;D xsi:type="xsd:double"&gt;18.2636584605972&lt;/D&gt;&lt;D xsi:type="xsd:double"&gt;18.4269861780401&lt;/D&gt;&lt;D xsi:type="xsd:double"&gt;18.4595948238725&lt;/D&gt;&lt;D xsi:type="xsd:double"&gt;18.3519724050157&lt;/D&gt;&lt;D xsi:type="xsd:double"&gt;17.6759803647015&lt;/D&gt;&lt;D xsi:type="xsd:double"&gt;19.26761082898&lt;/D&gt;&lt;D xsi:type="xsd:double"&gt;19.1102001604479&lt;/D&gt;&lt;D xsi:type="xsd:double"&gt;17.4126241431946&lt;/D&gt;&lt;D xsi:type="xsd:double"&gt;17.4719362051396&lt;/D&gt;&lt;D xsi:type="xsd:double"&gt;18.6908688608732&lt;/D&gt;&lt;D xsi:type="xsd:double"&gt;17.8940024396959&lt;/D&gt;&lt;D xsi:type="xsd:double"&gt;19.5552563958692&lt;/D&gt;&lt;D xsi:type="xsd:double"&gt;20.9364865265424&lt;/D&gt;&lt;D xsi:type="xsd:double"&gt;20.3615899243482&lt;/D&gt;&lt;D xsi:type="xsd:double"&gt;20.0067767917302&lt;/D&gt;&lt;D xsi:type="xsd:double"&gt;19.5839953209623&lt;/D&gt;&lt;D xsi:type="xsd:double"&gt;19.0702451643367&lt;/D&gt;&lt;D xsi:type="xsd:double"&gt;19.030101436978&lt;/D&gt;&lt;D xsi:type="xsd:double"&gt;17.8893987592338&lt;/D&gt;&lt;D xsi:type="xsd:double"&gt;16.9184653635246&lt;/D&gt;&lt;D xsi:type="xsd:double"&gt;15.8165413933521&lt;/D&gt;&lt;D xsi:type="xsd:double"&gt;16.4706036724311&lt;/D&gt;&lt;D xsi:type="xsd:double"&gt;16.6541916987872&lt;/D&gt;&lt;D xsi:type="xsd:double"&gt;16.6668384979887&lt;/D&gt;&lt;D xsi:type="xsd:double"&gt;17.790158197552&lt;/D&gt;&lt;D xsi:type="xsd:double"&gt;18.4616551676821&lt;/D&gt;&lt;D xsi:type="xsd:double"&gt;18.1939458608173&lt;/D&gt;&lt;D xsi:type="xsd:double"&gt;18.3433378255192&lt;/D&gt;&lt;D xsi:type="xsd:double"&gt;18.4039167918351&lt;/D&gt;&lt;D xsi:type="xsd:double"&gt;18.1878463532798&lt;/D&gt;&lt;D xsi:type="xsd:double"&gt;17.6875043003024&lt;/D&gt;&lt;D xsi:type="xsd:double"&gt;17.6777536963946&lt;/D&gt;&lt;/FQL&gt;&lt;FQL&gt;&lt;Q&gt;COPP-FDS^FG_PRICE_CHANGE(0,-1AY)&lt;/Q&gt;&lt;R&gt;1&lt;/R&gt;&lt;C&gt;1&lt;/C&gt;&lt;D xsi:type="xsd:double"&gt;16.8053471559132&lt;/D&gt;&lt;/FQL&gt;&lt;FQL&gt;&lt;Q&gt;EWQ^FMA_PCT_ABOVE_MAVG(200,0,,,,"PORTAGG")&lt;/Q&gt;&lt;R&gt;1&lt;/R&gt;&lt;C&gt;1&lt;/C&gt;&lt;D xsi:type="xsd:double"&gt;54.0983606557377&lt;/D&gt;&lt;/FQL&gt;&lt;FQL&gt;&lt;Q&gt;ENZL^FMA_PCT_ABOVE_MAVG(200,0,,,,"PORTAGG")&lt;/Q&gt;&lt;R&gt;1&lt;/R&gt;&lt;C&gt;1&lt;/C&gt;&lt;D xsi:type="xsd:double"&gt;50&lt;/D&gt;&lt;/FQL&gt;&lt;FQL&gt;&lt;Q&gt;REFAUCASH-FDS^(SUBARRAY(NOT_NA(NO_REPEAT_F(FG_YIELD(NOW,-10AY,D))),0,1)-SUBARRAY(NOT_NA(NO_REPEAT_F(FG_YIELD(NOW,-10AY,D))),1,1))*100&lt;/Q&gt;&lt;R&gt;1&lt;/R&gt;&lt;C&gt;1&lt;/C&gt;&lt;D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xsi:type="xsd:double"&gt;25&lt;/D&gt;&lt;/FQL&gt;&lt;FQL&gt;&lt;Q&gt;CPALM-FDS^FG_PRICE_CHANGE(0,-6AM)&lt;/Q&gt;&lt;R&gt;1&lt;/R&gt;&lt;C&gt;1&lt;/C&gt;&lt;D xsi:type="xsd:double"&gt;-6.50104481077316&lt;/D&gt;&lt;/FQL&gt;&lt;FQL&gt;&lt;Q&gt;EWD^P_PRICE(0)/P_PRICE_LOW_PR(0,,,,,,"PRICE","INTRA","52W")-1&lt;/Q&gt;&lt;R&gt;1&lt;/R&gt;&lt;C&gt;1&lt;/C&gt;&lt;D xsi:type="xsd:double"&gt;0.38243437&lt;/D&gt;&lt;/FQL&gt;&lt;FQL&gt;&lt;Q&gt;EWQ^SIZE(FG_CONSTITUENTS)&lt;/Q&gt;&lt;R&gt;1&lt;/R&gt;&lt;C&gt;1&lt;/C&gt;&lt;D xsi:type="xsd:long"&gt;61&lt;/D&gt;&lt;/FQL&gt;&lt;FQL&gt;&lt;Q&gt;EWL^FMA_RBICS_REV_CURRENT(30, LOC, "PORTAGG")&lt;/Q&gt;&lt;R&gt;1&lt;/R&gt;&lt;C&gt;1&lt;/C&gt;&lt;D xsi:type="xsd:double"&gt;17.5284373745121&lt;/D&gt;&lt;/FQL&gt;&lt;FQL&gt;&lt;Q&gt;TRYCA10Y-FDS^PCTCHG(FG_YIELD(0,,,,"YTM"),FG_YIELD(-3AM,,,,"YTM"))&lt;/Q&gt;&lt;R&gt;0&lt;/R&gt;&lt;C&gt;0&lt;/C&gt;&lt;/FQL&gt;&lt;FQL&gt;&lt;Q&gt;VWO^FMA_EVAL_EBIT(LTMA,NOW,NOW,M,"PORTAGG","MEANR")&lt;/Q&gt;&lt;R&gt;1&lt;/R&gt;&lt;C&gt;1&lt;/C&gt;&lt;D xsi:type="xsd:double"&gt;14.4138647873049&lt;/D&gt;&lt;/FQL&gt;&lt;FQL&gt;&lt;Q&gt;USDANG^STD(FG_PRICE_CHANGE(0,-1AY,AM))&lt;/Q&gt;&lt;R&gt;1&lt;/R&gt;&lt;C&gt;1&lt;/C&gt;&lt;D xsi:type="xsd:double"&gt;0&lt;/D&gt;&lt;/FQL&gt;&lt;FQL&gt;&lt;Q&gt;USDNZD^STD(FG_PRICE_CHANGE(0,-1AY,AM))&lt;/Q&gt;&lt;R&gt;1&lt;/R&gt;&lt;C&gt;1&lt;/C&gt;&lt;D xsi:type="xsd:double"&gt;2.86264473861504&lt;/D&gt;&lt;/FQL&gt;&lt;FQL&gt;&lt;Q&gt;COPP-FDS^FG_PRICE_CHANGE(0,-6AM)&lt;/Q&gt;&lt;R&gt;1&lt;/R&gt;&lt;C&gt;1&lt;/C&gt;&lt;D xsi:type="xsd:double"&gt;7.14464464464466&lt;/D&gt;&lt;/FQL&gt;&lt;FQL&gt;&lt;Q&gt;EWA^FG_PRICE_MAVG(0,,,,200)&lt;/Q&gt;&lt;R&gt;1&lt;/R&gt;&lt;C&gt;1&lt;/C&gt;&lt;D xsi:type="xsd:double"&gt;24.384275&lt;/D&gt;&lt;/FQL&gt;&lt;FQL&gt;&lt;Q&gt;SPY^FG_TOTAL_RETURNC(0,-12AM)&lt;/Q&gt;&lt;R&gt;1&lt;/R&gt;&lt;C&gt;1&lt;/C&gt;&lt;D xsi:type="xsd:double"&gt;34.21507&lt;/D&gt;&lt;/FQL&gt;&lt;FQL&gt;&lt;Q&gt;FXI^SIZE(FG_CONSTITUENTS)&lt;/Q&gt;&lt;R&gt;1&lt;/R&gt;&lt;C&gt;1&lt;/C&gt;&lt;D xsi:type="xsd:long"&gt;52&lt;/D&gt;&lt;/FQL&gt;&lt;FQL&gt;&lt;Q&gt;USDEUR^STD(FG_PRICE_CHANGE(0,-1AY,AM))&lt;/Q&gt;&lt;R&gt;1&lt;/R&gt;&lt;C&gt;1&lt;/C&gt;&lt;D xsi:type="xsd:double"&gt;1.54825053496841&lt;/D&gt;&lt;/FQL&gt;&lt;FQL&gt;&lt;Q&gt;QQQ^P_PRICE_RETURNS_PR('52W',2,-10AY,0,AM)&lt;/Q&gt;&lt;R&gt;121&lt;/R&gt;&lt;C&gt;1&lt;/C&gt;&lt;D xsi:type="xsd:double"&gt;27.154505&lt;/D&gt;&lt;D xsi:type="xsd:double"&gt;21.124792&lt;/D&gt;&lt;D xsi:type="xsd:double"&gt;26.168215&lt;/D&gt;&lt;D xsi:type="xsd:double"&gt;21.04429&lt;/D&gt;&lt;D xsi:type="xsd:double"&gt;19.637882&lt;/D&gt;&lt;D xsi:type="xsd:double"&gt;22.518385&lt;/D&gt;&lt;D xsi:type="xsd:double"&gt;23.05913&lt;/D&gt;&lt;D xsi:type="xsd:double"&gt;27.098703&lt;/D&gt;&lt;D xsi:type="xsd:double"&gt;25.178194&lt;/D&gt;&lt;D xsi:type="xsd:double"&gt;20.679462&lt;/D&gt;&lt;D xsi:type="xsd:double"&gt;16.637957&lt;/D&gt;&lt;D xsi:type="xsd:double"&gt;4.6496034&lt;/D&gt;&lt;D xsi:type="xsd:double"&gt;6.607592&lt;/D&gt;&lt;D xsi:type="xsd:double"&gt;16.540586&lt;/D&gt;&lt;D xsi:type="xsd:double"&gt;11.085808&lt;/D&gt;&lt;D xsi:type="xsd:double"&gt;9.165287&lt;/D&gt;&lt;D xsi:type="xsd:double"&gt;0.7697463&lt;/D&gt;&lt;D xsi:type="xsd:double"&gt;-5.4382744&lt;/D&gt;&lt;D xsi:type="xsd:double"&gt;0.07293224&lt;/D&gt;&lt;D xsi:type="xsd:double"&gt;1.3972163&lt;/D&gt;&lt;D xsi:type="xsd:double"&gt;-2.6982963&lt;/D&gt;&lt;D xsi:type="xsd:double"&gt;-0.7154465&lt;/D&gt;&lt;D xsi:type="xsd:double"&gt;2.0533085&lt;/D&gt;&lt;D xsi:type="xsd:double"&gt;16.100157&lt;/D&gt;&lt;D xsi:type="xsd:double"&gt;14.868212&lt;/D&gt;&lt;D xsi:type="xsd:double"&gt;11.1306305&lt;/D&gt;&lt;D xsi:type="xsd:double"&gt;4.9152136&lt;/D&gt;&lt;D xsi:type="xsd:double"&gt;7.932508&lt;/D&gt;&lt;D xsi:type="xsd:double"&gt;20.19658&lt;/D&gt;&lt;D xsi:type="xsd:double"&gt;29.417587&lt;/D&gt;&lt;D xsi:type="xsd:double"&gt;22.820938&lt;/D&gt;&lt;D xsi:type="xsd:double"&gt;21.033455&lt;/D&gt;&lt;D xsi:type="xsd:double"&gt;32.202755&lt;/D&gt;&lt;D xsi:type="xsd:double"&gt;31.193865&lt;/D&gt;&lt;D xsi:type="xsd:double"&gt;28.643942&lt;/D&gt;&lt;D xsi:type="xsd:double"&gt;22.630596&lt;/D&gt;&lt;D xsi:type="xsd:double"&gt;22.399961&lt;/D&gt;&lt;D xsi:type="xsd:double"&gt;26.29739&lt;/D&gt;&lt;D xsi:type="xsd:double"&gt;32.254017&lt;/D&gt;&lt;D xsi:type="xsd:double"&gt;32.20582&lt;/D&gt;&lt;D xsi:type="xsd:double"&gt;38.675606&lt;/D&gt;&lt;D xsi:type="xsd:double"&gt;30.53162&lt;/D&gt;&lt;D xsi:type="xsd:double"&gt;22.651041&lt;/D&gt;&lt;D xsi:type="xsd:double"&gt;23.187447&lt;/D&gt;&lt;D xsi:type="xsd:double"&gt;22.95121&lt;/D&gt;&lt;D xsi:type="xsd:double"&gt;25.614082&lt;/D&gt;&lt;D xsi:type="xsd:double"&gt;25.60774&lt;/D&gt;&lt;D xsi:type="xsd:double"&gt;27.733791&lt;/D&gt;&lt;D xsi:type="xsd:double"&gt;27.918743&lt;/D&gt;&lt;D xsi:type="xsd:double"&gt;18.182278&lt;/D&gt;&lt;D xsi:type="xsd:double"&gt;3.0473113&lt;/D&gt;&lt;D xsi:type="xsd:double"&gt;-5.809766&lt;/D&gt;&lt;D xsi:type="xsd:double"&gt;-3.524077&lt;/D&gt;&lt;D xsi:type="xsd:double"&gt;5.8059216&lt;/D&gt;&lt;D xsi:type="xsd:double"&gt;10.636198&lt;/D&gt;&lt;D xsi:type="xsd:double"&gt;18.579351&lt;/D&gt;&lt;D xsi:type="xsd:double"&gt;6.0159326&lt;/D&gt;&lt;D xsi:type="xsd:double"&gt;8.022345&lt;/D&gt;&lt;D xsi:type="xsd:double"&gt;8.872307&lt;/D&gt;&lt;D xsi:type="xsd:double"&gt;1.5864134&lt;/D&gt;&lt;D xsi:type="xsd:double"&gt;4.8172355&lt;/D&gt;&lt;D xsi:type="xsd:double"&gt;11.935449&lt;/D&gt;&lt;D xsi:type="xsd:double"&gt;26.985764&lt;/D&gt;&lt;D xsi:type="xsd:double"&gt;45.137&lt;/D&gt;&lt;D xsi:type="xsd:double"&gt;39.647175&lt;/D&gt;&lt;D xsi:type="xsd:double"&gt;35.27831&lt;/D&gt;&lt;D xsi:type="xsd:double"&gt;-3.720951&lt;/D&gt;&lt;D xsi:type="xsd:double"&gt;11.564291&lt;/D&gt;&lt;D xsi:type="xsd:double"&gt;27.953518&lt;/D&gt;&lt;D xsi:type="xsd:double"&gt;33.317493&lt;/D&gt;&lt;D xsi:type="xsd:double"&gt;34.21054&lt;/D&gt;&lt;D xsi:type="xsd:double"&gt;50.632786&lt;/D&gt;&lt;D xsi:type="xsd:double"&gt;39.70388&lt;/D&gt;&lt;D xsi:type="xsd:double"&gt;49.240364&lt;/D&gt;&lt;D xsi:type="xsd:double"&gt;44.954716&lt;/D&gt;&lt;D xsi:type="xsd:double"&gt;46.545887&lt;/D&gt;&lt;D xsi:type="xsd:double"&gt;46.398224&lt;/D&gt;&lt;D xsi:type="xsd:double"&gt;40.606056&lt;/D&gt;&lt;D xsi:type="xsd:double"&gt;87.25789&lt;/D&gt;&lt;D xsi:type="xsd:double"&gt;62.23557&lt;/D&gt;&lt;D xsi:type="xsd:double"&gt;43.77197&lt;/D&gt;&lt;D xsi:type="xsd:double"&gt;40.536953&lt;/D&gt;&lt;D xsi:type="xsd:double"&gt;43.516994&lt;/D&gt;&lt;D xsi:type="xsd:double"&gt;33.16307&lt;/D&gt;&lt;D xsi:type="xsd:double"&gt;41.95019&lt;/D&gt;&lt;D xsi:type="xsd:double"&gt;32.34627&lt;/D&gt;&lt;D xsi:type="xsd:double"&gt;37.61035&lt;/D&gt;&lt;D xsi:type="xsd:double"&gt;29.40756&lt;/D&gt;&lt;D xsi:type="xsd:double"&gt;8.28104&lt;/D&gt;&lt;D xsi:type="xsd:double"&gt;2.963984&lt;/D&gt;&lt;D xsi:type="xsd:double"&gt;11.44526&lt;/D&gt;&lt;D xsi:type="xsd:double"&gt;-2.455479&lt;/D&gt;&lt;D xsi:type="xsd:double"&gt;-9.820711&lt;/D&gt;&lt;D xsi:type="xsd:double"&gt;-17.630785&lt;/D&gt;&lt;D xsi:type="xsd:double"&gt;-16.56388&lt;/D&gt;&lt;D xsi:type="xsd:double"&gt;-15.375775&lt;/D&gt;&lt;D xsi:type="xsd:double"&gt;-25.674646&lt;/D&gt;&lt;D xsi:type="xsd:double"&gt;-26.54382&lt;/D&gt;&lt;D xsi:type="xsd:double"&gt;-26.886576&lt;/D&gt;&lt;D xsi:type="xsd:double"&gt;-32.1465&lt;/D&gt;&lt;D xsi:type="xsd:double"&gt;-17.233128&lt;/D&gt;&lt;D xsi:type="xsd:double"&gt;-9.234243&lt;/D&gt;&lt;D xsi:type="xsd:double"&gt;-11.286574&lt;/D&gt;&lt;D xsi:type="xsd:double"&gt;-4.52404&lt;/D&gt;&lt;D xsi:type="xsd:double"&gt;14.457917&lt;/D&gt;&lt;D xsi:type="xsd:double"&gt;28.18364&lt;/D&gt;&lt;D xsi:type="xsd:double"&gt;23.077179&lt;/D&gt;&lt;D xsi:type="xsd:double"&gt;18.35339&lt;/D&gt;&lt;D xsi:type="xsd:double"&gt;28.66311&lt;/D&gt;&lt;D xsi:type="xsd:double"&gt;30.01653&lt;/D&gt;&lt;D xsi:type="xsd:double"&gt;37.337173&lt;/D&gt;&lt;D xsi:type="xsd:double"&gt;54.06289&lt;/D&gt;&lt;D xsi:type="xsd:double"&gt;47.56292&lt;/D&gt;&lt;D xsi:type="xsd:double"&gt;48.167038&lt;/D&gt;&lt;D xsi:type="xsd:double"&gt;46.789253&lt;/D&gt;&lt;D xsi:type="xsd:double"&gt;35.150314&lt;/D&gt;&lt;D xsi:type="xsd:double"&gt;36.992954&lt;/D&gt;&lt;D xsi:type="xsd:double"&gt;33.383022&lt;/D&gt;&lt;D xsi:type="xsd:double"&gt;28.832031&lt;/D&gt;&lt;D xsi:type="xsd:double"&gt;30.938625&lt;/D&gt;&lt;D xsi:type="xsd:double"&gt;36.042667&lt;/D&gt;&lt;/FQL&gt;&lt;FQL&gt;&lt;Q&gt;EWJ^FMA_DIV_YLD(NTMA,-10AY,0,AM,"PORTAGG","MEANR")&lt;/Q&gt;&lt;R&gt;121&lt;/R&gt;&lt;C&gt;1&lt;/C&gt;&lt;D xsi:type="xsd:double"&gt;2.00776166763945&lt;/D&gt;&lt;D xsi:type="xsd:double"&gt;2.19368275829234&lt;/D&gt;&lt;D xsi:type="xsd:double"&gt;1.94976065748657&lt;/D&gt;&lt;D xsi:type="xsd:double"&gt;1.96802157074983&lt;/D&gt;&lt;D xsi:type="xsd:double"&gt;2.00771248221451&lt;/D&gt;&lt;D xsi:type="xsd:double"&gt;1.90318810664184&lt;/D&gt;&lt;D xsi:type="xsd:double"&gt;1.81554511007332&lt;/D&gt;&lt;D xsi:type="xsd:double"&gt;1.80721524352469&lt;/D&gt;&lt;D xsi:type="xsd:double"&gt;1.84435843928273&lt;/D&gt;&lt;D xsi:type="xsd:double"&gt;1.85818706185179&lt;/D&gt;&lt;D xsi:type="xsd:double"&gt;1.89718659432196&lt;/D&gt;&lt;D xsi:type="xsd:double"&gt;2.02094644491183&lt;/D&gt;&lt;D xsi:type="xsd:double"&gt;2.18624044110408&lt;/D&gt;&lt;D xsi:type="xsd:double"&gt;2.06285878862186&lt;/D&gt;&lt;D xsi:type="xsd:double"&gt;2.00106854984423&lt;/D&gt;&lt;D xsi:type="xsd:double"&gt;2.10782520318156&lt;/D&gt;&lt;D xsi:type="xsd:double"&gt;2.36879979437636&lt;/D&gt;&lt;D xsi:type="xsd:double"&gt;2.50645660979274&lt;/D&gt;&lt;D xsi:type="xsd:double"&gt;2.3704082934341&lt;/D&gt;&lt;D xsi:type="xsd:double"&gt;2.27952908265617&lt;/D&gt;&lt;D xsi:type="xsd:double"&gt;2.38879356556345&lt;/D&gt;&lt;D xsi:type="xsd:double"&gt;2.42726494512101&lt;/D&gt;&lt;D xsi:type="xsd:double"&gt;2.36869272279196&lt;/D&gt;&lt;D xsi:type="xsd:double"&gt;2.42307299555185&lt;/D&gt;&lt;D xsi:type="xsd:double"&gt;2.35984600700542&lt;/D&gt;&lt;D xsi:type="xsd:double"&gt;2.34279797821504&lt;/D&gt;&lt;D xsi:type="xsd:double"&gt;2.22290808574794&lt;/D&gt;&lt;D xsi:type="xsd:double"&gt;2.08698233178538&lt;/D&gt;&lt;D xsi:type="xsd:double"&gt;2.14860805614424&lt;/D&gt;&lt;D xsi:type="xsd:double"&gt;2.12810910956098&lt;/D&gt;&lt;D xsi:type="xsd:double"&gt;2.18991276590186&lt;/D&gt;&lt;D xsi:type="xsd:double"&gt;2.27189414492703&lt;/D&gt;&lt;D xsi:type="xsd:double"&gt;2.1971251071921&lt;/D&gt;&lt;D xsi:type="xsd:double"&gt;2.16624471528429&lt;/D&gt;&lt;D xsi:type="xsd:double"&gt;2.15624643917012&lt;/D&gt;&lt;D xsi:type="xsd:double"&gt;2.21905425665889&lt;/D&gt;&lt;D xsi:type="xsd:double"&gt;2.15795933060494&lt;/D&gt;&lt;D xsi:type="xsd:double"&gt;2.07804850591592&lt;/D&gt;&lt;D xsi:type="xsd:double"&gt;2.08281887768792&lt;/D&gt;&lt;D xsi:type="xsd:double"&gt;2.04195598077454&lt;/D&gt;&lt;D xsi:type="xsd:double"&gt;1.96412164421131&lt;/D&gt;&lt;D xsi:type="xsd:double"&gt;2.1894076071601&lt;/D&gt;&lt;D xsi:type="xsd:double"&gt;2.33308642914188&lt;/D&gt;&lt;D xsi:type="xsd:double"&gt;2.23357919978666&lt;/D&gt;&lt;D xsi:type="xsd:double"&gt;2.20955825889431&lt;/D&gt;&lt;D xsi:type="xsd:double"&gt;2.28163305710934&lt;/D&gt;&lt;D xsi:type="xsd:double"&gt;2.29237746925346&lt;/D&gt;&lt;D xsi:type="xsd:double"&gt;2.35984605892023&lt;/D&gt;&lt;D xsi:type="xsd:double"&gt;2.23243756132627&lt;/D&gt;&lt;D xsi:type="xsd:double"&gt;2.44640853341638&lt;/D&gt;&lt;D xsi:type="xsd:double"&gt;2.51662295380119&lt;/D&gt;&lt;D xsi:type="xsd:double"&gt;2.7298021243985&lt;/D&gt;&lt;D xsi:type="xsd:double"&gt;2.66517319116349&lt;/D&gt;&lt;D xsi:type="xsd:double"&gt;2.56274569609128&lt;/D&gt;&lt;D xsi:type="xsd:double"&gt;2.55339356065113&lt;/D&gt;&lt;D xsi:type="xsd:double"&gt;2.5558577904411&lt;/D&gt;&lt;D xsi:type="xsd:double"&gt;2.68401614852896&lt;/D&gt;&lt;D xsi:type="xsd:double"&gt;2.69250649322584&lt;/D&gt;&lt;D xsi:type="xsd:double"&gt;2.66013124363921&lt;/D&gt;&lt;D xsi:type="xsd:double"&gt;2.77571870990978&lt;/D&gt;&lt;D xsi:type="xsd:double"&gt;2.57632854342987&lt;/D&gt;&lt;D xsi:type="xsd:double"&gt;2.55237773941883&lt;/D&gt;&lt;D xsi:type="xsd:double"&gt;2.48020963027095&lt;/D&gt;&lt;D xsi:type="xsd:double"&gt;2.42849376462719&lt;/D&gt;&lt;D xsi:type="xsd:double"&gt;2.43604275156064&lt;/D&gt;&lt;D xsi:type="xsd:double"&gt;2.50116738057611&lt;/D&gt;&lt;D xsi:type="xsd:double"&gt;3.25786229114857&lt;/D&gt;&lt;D xsi:type="xsd:double"&gt;2.87891357175765&lt;/D&gt;&lt;D xsi:type="xsd:double"&gt;2.75102749961058&lt;/D&gt;&lt;D xsi:type="xsd:double"&gt;2.46597746068386&lt;/D&gt;&lt;D xsi:type="xsd:double"&gt;2.48196879150319&lt;/D&gt;&lt;D xsi:type="xsd:double"&gt;2.41522807099991&lt;/D&gt;&lt;D xsi:type="xsd:double"&gt;2.34980751055003&lt;/D&gt;&lt;D xsi:type="xsd:double"&gt;2.39057851127558&lt;/D&gt;&lt;D xsi:type="xsd:double"&gt;2.24593865998339&lt;/D&gt;&lt;D xsi:type="xsd:double"&gt;2.18645611068569&lt;/D&gt;&lt;D xsi:type="xsd:double"&gt;2.08684400170346&lt;/D&gt;&lt;D xsi:type="xsd:double"&gt;2.03483367248344&lt;/D&gt;&lt;D xsi:type="xsd:double"&gt;2.05375449442152&lt;/D&gt;&lt;D xsi:type="xsd:double"&gt;2.12986523064858&lt;/D&gt;&lt;D xsi:type="xsd:double"&gt;2.18971912520075&lt;/D&gt;&lt;D xsi:type="xsd:double"&gt;2.17882382847015&lt;/D&gt;&lt;D xsi:type="xsd:double"&gt;2.26021371428444&lt;/D&gt;&lt;D xsi:type="xsd:double"&gt;2.28444176830848&lt;/D&gt;&lt;D xsi:type="xsd:double"&gt;2.18602373941515&lt;/D&gt;&lt;D xsi:type="xsd:double"&gt;2.23796741409954&lt;/D&gt;&lt;D xsi:type="xsd:double"&gt;2.22980398922764&lt;/D&gt;&lt;D xsi:type="xsd:double"&gt;2.310698747306&lt;/D&gt;&lt;D xsi:type="xsd:double"&gt;2.41700529299493&lt;/D&gt;&lt;D xsi:type="xsd:double"&gt;2.53757176921373&lt;/D&gt;&lt;D xsi:type="xsd:double"&gt;2.47147133877065&lt;/D&gt;&lt;D xsi:type="xsd:double"&gt;2.58163851511198&lt;/D&gt;&lt;D xsi:type="xsd:double"&gt;2.61748244241108&lt;/D&gt;&lt;D xsi:type="xsd:double"&gt;2.72145283929189&lt;/D&gt;&lt;D xsi:type="xsd:double"&gt;2.58893901946181&lt;/D&gt;&lt;D xsi:type="xsd:double"&gt;2.57844334427558&lt;/D&gt;&lt;D xsi:type="xsd:double"&gt;2.68651919428491&lt;/D&gt;&lt;D xsi:type="xsd:double"&gt;2.74311717032981&lt;/D&gt;&lt;D xsi:type="xsd:double"&gt;2.58267830847699&lt;/D&gt;&lt;D xsi:type="xsd:double"&gt;2.74261322255005&lt;/D&gt;&lt;D xsi:type="xsd:double"&gt;2.66612473580084&lt;/D&gt;&lt;D xsi:type="xsd:double"&gt;2.64049582577763&lt;/D&gt;&lt;D xsi:type="xsd:double"&gt;2.6772107429855&lt;/D&gt;&lt;D xsi:type="xsd:double"&gt;2.58186221309626&lt;/D&gt;&lt;D xsi:type="xsd:double"&gt;2.45672742657646&lt;/D&gt;&lt;D xsi:type="xsd:double"&gt;2.3532612316172&lt;/D&gt;&lt;D xsi:type="xsd:double"&gt;2.37765722169099&lt;/D&gt;&lt;D xsi:type="xsd:double"&gt;2.40594968247553&lt;/D&gt;&lt;D xsi:type="xsd:double"&gt;2.32655897651758&lt;/D&gt;&lt;D xsi:type="xsd:double"&gt;2.48618217860472&lt;/D&gt;&lt;D xsi:type="xsd:double"&gt;2.37290677754395&lt;/D&gt;&lt;D xsi:type="xsd:double"&gt;2.45098040489043&lt;/D&gt;&lt;D xsi:type="xsd:double"&gt;2.26016729112154&lt;/D&gt;&lt;D xsi:type="xsd:double"&gt;2.20040034385893&lt;/D&gt;&lt;D xsi:type="xsd:double"&gt;2.10630751808849&lt;/D&gt;&lt;D xsi:type="xsd:double"&gt;2.26191499609509&lt;/D&gt;&lt;D xsi:type="xsd:double"&gt;2.21623403130271&lt;/D&gt;&lt;D xsi:type="xsd:double"&gt;2.3035515895115&lt;/D&gt;&lt;D xsi:type="xsd:double"&gt;2.23852919597286&lt;/D&gt;&lt;D xsi:type="xsd:double"&gt;2.39330439345684&lt;/D&gt;&lt;D xsi:type="xsd:double"&gt;2.5387188651753&lt;/D&gt;&lt;/FQL&gt;&lt;FQL&gt;&lt;Q&gt;CPALM-FDS^FG_PRICE_CHANGE(0,-3AM)&lt;/Q&gt;&lt;R&gt;1&lt;/R&gt;&lt;C&gt;1&lt;/C&gt;&lt;D xsi:type="xsd:double"&gt;2.46819338422393&lt;/D&gt;&lt;/FQL&gt;&lt;FQL&gt;&lt;Q&gt;EWC^FG_TOTAL_RETURNC(0,-6AM)&lt;/Q&gt;&lt;R&gt;1&lt;/R&gt;&lt;C&gt;1&lt;/C&gt;&lt;D xsi:type="xsd:double"&gt;10.344685&lt;/D&gt;&lt;/FQL&gt;&lt;FQL&gt;&lt;Q&gt;EWJ^FMA_RBICS_REV_CURRENT(30, LOC, "PORTAGG")&lt;/Q&gt;&lt;R&gt;1&lt;/R&gt;&lt;C&gt;1&lt;/C&gt;&lt;D xsi:type="xsd:double"&gt;18.4737986742213&lt;/D&gt;&lt;/FQL&gt;&lt;FQL&gt;&lt;Q&gt;QQQ^FMA_DIV_YLD(NTMA,NOW,NOW,M,"PORTAGG","MEANR")&lt;/Q&gt;&lt;R&gt;1&lt;/R&gt;&lt;C&gt;1&lt;/C&gt;&lt;D xsi:type="xsd:double"&gt;0.835811934474652&lt;/D&gt;&lt;/FQL&gt;&lt;FQL&gt;&lt;Q&gt;USDNZD^FG_PRICE_CHANGE(0,-6AM)&lt;/Q&gt;&lt;R&gt;1&lt;/R&gt;&lt;C&gt;1&lt;/C&gt;&lt;D xsi:type="xsd:double"&gt;-4.346788&lt;/D&gt;&lt;/FQL&gt;&lt;FQL&gt;&lt;Q&gt;SPY^FG_PRICE_MAVG(0,,,,60)&lt;/Q&gt;&lt;R&gt;1&lt;/R&gt;&lt;C&gt;1&lt;/C&gt;&lt;D xsi:type="xsd:double"&gt;551.2163&lt;/D&gt;&lt;/FQL&gt;&lt;FQL&gt;&lt;Q&gt;VWO^PERCENT_CHANGE(FMA_EPS(+1,0,,,,"PORTAGG","MEAN"),FMA_EPS(+1,-3AM,,,,"PORTAGG","MEAN"))&lt;/Q&gt;&lt;R&gt;1&lt;/R&gt;&lt;C&gt;1&lt;/C&gt;&lt;D xsi:type="xsd:double"&gt;-1.45195615350656&lt;/D&gt;&lt;/FQL&gt;&lt;FQL&gt;&lt;Q&gt;EWL^FG_TOTAL_RETURNC(0,-1AM)&lt;/Q&gt;&lt;R&gt;1&lt;/R&gt;&lt;C&gt;1&lt;/C&gt;&lt;D xsi:type="xsd:double"&gt;-2.8661132&lt;/D&gt;&lt;/FQL&gt;&lt;FQL&gt;&lt;Q&gt;EWA^FMA_COS_UP("EPS","1M",+1,0,,,"PORTAGG","MEANR")&lt;/Q&gt;&lt;R&gt;1&lt;/R&gt;&lt;C&gt;1&lt;/C&gt;&lt;D xsi:type="xsd:double"&gt;25&lt;/D&gt;&lt;/FQL&gt;&lt;FQL&gt;&lt;Q&gt;USDEUR^FG_PRICE_CHANGE(0,-6AM)&lt;/Q&gt;&lt;R&gt;1&lt;/R&gt;&lt;C&gt;1&lt;/C&gt;&lt;D xsi:type="xsd:double"&gt;-2.8386593&lt;/D&gt;&lt;/FQL&gt;&lt;FQL&gt;&lt;Q&gt;EWC^FG_TOTAL_RETURNC(0,-3AM)&lt;/Q&gt;&lt;R&gt;1&lt;/R&gt;&lt;C&gt;1&lt;/C&gt;&lt;D xsi:type="xsd:double"&gt;13.263905&lt;/D&gt;&lt;/FQL&gt;&lt;FQL&gt;&lt;Q&gt;QQQ^FMA_PE(NTMA,0,,,"PORTAGG","MEANR")&lt;/Q&gt;&lt;R&gt;1&lt;/R&gt;&lt;C&gt;1&lt;/C&gt;&lt;D xsi:type="xsd:double"&gt;26.2381129367776&lt;/D&gt;&lt;/FQL&gt;&lt;FQL&gt;&lt;Q&gt;USO^FG_TOTAL_RETURNC(0,-1AM)&lt;/Q&gt;&lt;R&gt;1&lt;/R&gt;&lt;C&gt;1&lt;/C&gt;&lt;D xsi:type="xsd:double"&gt;-4.328263&lt;/D&gt;&lt;/FQL&gt;&lt;FQL&gt;&lt;Q&gt;CC_JP^FG_COMPANY_NAME&lt;/Q&gt;&lt;R&gt;1&lt;/R&gt;&lt;C&gt;1&lt;/C&gt;&lt;D xsi:type="xsd:string"&gt;Japan&lt;/D&gt;&lt;/FQL&gt;&lt;FQL&gt;&lt;Q&gt;USDANG^FG_PRICE_CHANGE(0,-1AY)&lt;/Q&gt;&lt;R&gt;1&lt;/R&gt;&lt;C&gt;1&lt;/C&gt;&lt;D xsi:type="xsd:double"&gt;0&lt;/D&gt;&lt;/FQL&gt;&lt;FQL&gt;&lt;Q&gt;EWL^FMA_PE(LTMA,-10AY,0,AM,"PORTAGG","MEANR")&lt;/Q&gt;&lt;R&gt;121&lt;/R&gt;&lt;C&gt;1&lt;/C&gt;&lt;D xsi:type="xsd:double"&gt;17.3283258438694&lt;/D&gt;&lt;D xsi:type="xsd:double"&gt;16.9142972820595&lt;/D&gt;&lt;D xsi:type="xsd:double"&gt;17.7146325569223&lt;/D&gt;&lt;D xsi:type="xsd:double"&gt;17.3680417147262&lt;/D&gt;&lt;D xsi:type="xsd:double"&gt;16.4668403451274&lt;/D&gt;&lt;D xsi:type="xsd:double"&gt;17.9281923320445&lt;/D&gt;&lt;D xsi:type="xsd:double"&gt;18.1177356517756&lt;/D&gt;&lt;D xsi:type="xsd:double"&gt;18.2105490894282&lt;/D&gt;&lt;D xsi:type="xsd:double"&gt;18.1619419566448&lt;/D&gt;&lt;D xsi:type="xsd:double"&gt;18.0125780207173&lt;/D&gt;&lt;D xsi:type="xsd:double"&gt;18.2046632431152&lt;/D&gt;&lt;D xsi:type="xsd:double"&gt;17.4562018374396&lt;/D&gt;&lt;D xsi:type="xsd:double"&gt;16.9028484686408&lt;/D&gt;&lt;D xsi:type="xsd:double"&gt;17.7672682015824&lt;/D&gt;&lt;D xsi:type="xsd:double"&gt;17.5149727096906&lt;/D&gt;&lt;D xsi:type="xsd:double"&gt;17.317219220056&lt;/D&gt;&lt;D xsi:type="xsd:double"&gt;16.4783893433203&lt;/D&gt;&lt;D xsi:type="xsd:double"&gt;16.4569870429387&lt;/D&gt;&lt;D xsi:type="xsd:double"&gt;16.6565877949849&lt;/D&gt;&lt;D xsi:type="xsd:double"&gt;16.8554743561801&lt;/D&gt;&lt;D xsi:type="xsd:double"&gt;16.9639365050542&lt;/D&gt;&lt;D xsi:type="xsd:double"&gt;17.1317909965447&lt;/D&gt;&lt;D xsi:type="xsd:double"&gt;17.4339392869737&lt;/D&gt;&lt;D xsi:type="xsd:double"&gt;17.9029430106282&lt;/D&gt;&lt;D xsi:type="xsd:double"&gt;18.1506020704389&lt;/D&gt;&lt;D xsi:type="xsd:double"&gt;17.8424162090338&lt;/D&gt;&lt;D xsi:type="xsd:double"&gt;17.2832345401015&lt;/D&gt;&lt;D xsi:type="xsd:double"&gt;18.1541870789835&lt;/D&gt;&lt;D xsi:type="xsd:double"&gt;18.3394611126929&lt;/D&gt;&lt;D xsi:type="xsd:double"&gt;19.7256651391709&lt;/D&gt;&lt;D xsi:type="xsd:double"&gt;19.5811143870377&lt;/D&gt;&lt;D xsi:type="xsd:double"&gt;19.3266187132155&lt;/D&gt;&lt;D xsi:type="xsd:double"&gt;19.576355447249&lt;/D&gt;&lt;D xsi:type="xsd:double"&gt;19.477418535365&lt;/D&gt;&lt;D xsi:type="xsd:double"&gt;19.3587444553294&lt;/D&gt;&lt;D xsi:type="xsd:double"&gt;19.1908674119386&lt;/D&gt;&lt;D xsi:type="xsd:double"&gt;19.3845666971113&lt;/D&gt;&lt;D xsi:type="xsd:double"&gt;20.1892459024221&lt;/D&gt;&lt;D xsi:type="xsd:double"&gt;20.4124459411111&lt;/D&gt;&lt;D xsi:type="xsd:double"&gt;20.6159838787104&lt;/D&gt;&lt;D xsi:type="xsd:double"&gt;22.2901633320433&lt;/D&gt;&lt;D xsi:type="xsd:double"&gt;21.4814352051632&lt;/D&gt;&lt;D xsi:type="xsd:double"&gt;20.7485630246859&lt;/D&gt;&lt;D xsi:type="xsd:double"&gt;20.3755867332667&lt;/D&gt;&lt;D xsi:type="xsd:double"&gt;19.9541318511115&lt;/D&gt;&lt;D xsi:type="xsd:double"&gt;19.3846619986334&lt;/D&gt;&lt;D xsi:type="xsd:double"&gt;19.2964887138845&lt;/D&gt;&lt;D xsi:type="xsd:double"&gt;18.8919122184091&lt;/D&gt;&lt;D xsi:type="xsd:double"&gt;18.6228279071752&lt;/D&gt;&lt;D xsi:type="xsd:double"&gt;17.5989077895404&lt;/D&gt;&lt;D xsi:type="xsd:double"&gt;17.5154244808814&lt;/D&gt;&lt;D xsi:type="xsd:double"&gt;16.3196747627285&lt;/D&gt;&lt;D xsi:type="xsd:double"&gt;17.4390293186324&lt;/D&gt;&lt;D xsi:type="xsd:double"&gt;18.2390617666882&lt;/D&gt;&lt;D xsi:type="xsd:double"&gt;18.241294402523&lt;/D&gt;&lt;D xsi:type="xsd:double"&gt;18.2967406662414&lt;/D&gt;&lt;D xsi:type="xsd:double"&gt;18.1286147496918&lt;/D&gt;&lt;D xsi:type="xsd:double"&gt;18.3609518973544&lt;/D&gt;&lt;D xsi:type="xsd:double"&gt;18.3922551634318&lt;/D&gt;&lt;D xsi:type="xsd:double"&gt;18.1522009510701&lt;/D&gt;&lt;D xsi:type="xsd:double"&gt;18.3714050552259&lt;/D&gt;&lt;D xsi:type="xsd:double"&gt;18.3775883409803&lt;/D&gt;&lt;D xsi:type="xsd:double"&gt;18.8931824523657&lt;/D&gt;&lt;D xsi:type="xsd:double"&gt;19.7030684876299&lt;/D&gt;&lt;D xsi:type="xsd:double"&gt;20.0552003348434&lt;/D&gt;&lt;D xsi:type="xsd:double"&gt;20.2612675676509&lt;/D&gt;&lt;D xsi:type="xsd:double"&gt;17.2879230917593&lt;/D&gt;&lt;D xsi:type="xsd:double"&gt;18.4166921103674&lt;/D&gt;&lt;D xsi:type="xsd:double"&gt;18.930381478785&lt;/D&gt;&lt;D xsi:type="xsd:double"&gt;19.6563655063347&lt;/D&gt;&lt;D xsi:type="xsd:double"&gt;20.2097746657721&lt;/D&gt;&lt;D xsi:type="xsd:double"&gt;20.4634910160168&lt;/D&gt;&lt;D xsi:type="xsd:double"&gt;20.6943550657799&lt;/D&gt;&lt;D xsi:type="xsd:double"&gt;20.5592662553326&lt;/D&gt;&lt;D xsi:type="xsd:double"&gt;21.1829805356173&lt;/D&gt;&lt;D xsi:type="xsd:double"&gt;21.3845874520517&lt;/D&gt;&lt;D xsi:type="xsd:double"&gt;21.9368350677789&lt;/D&gt;&lt;D xsi:type="xsd:double"&gt;20.7410514320629&lt;/D&gt;&lt;D xsi:type="xsd:double"&gt;20.4917858305564&lt;/D&gt;&lt;D xsi:type="xsd:double"&gt;20.309290141115&lt;/D&gt;&lt;D xsi:type="xsd:double"&gt;20.4961917243677&lt;/D&gt;&lt;D xsi:type="xsd:double"&gt;20.8776030348605&lt;/D&gt;&lt;D xsi:type="xsd:double"&gt;20.9154672442503&lt;/D&gt;&lt;D xsi:type="xsd:double"&gt;21.2401094906368&lt;/D&gt;&lt;D xsi:type="xsd:double"&gt;20.5756469797592&lt;/D&gt;&lt;D xsi:type="xsd:double"&gt;20.6629654382465&lt;/D&gt;&lt;D xsi:type="xsd:double"&gt;20.6138647950136&lt;/D&gt;&lt;D xsi:type="xsd:double"&gt;21.4214549815714&lt;/D&gt;&lt;D xsi:type="xsd:double"&gt;20.4695887153855&lt;/D&gt;&lt;D xsi:type="xsd:double"&gt;18.3152669421244&lt;/D&gt;&lt;D xsi:type="xsd:double"&gt;18.5346942806227&lt;/D&gt;&lt;D xsi:type="xsd:double"&gt;18.5936450258361&lt;/D&gt;&lt;D xsi:type="xsd:double"&gt;18.1200927507986&lt;/D&gt;&lt;D xsi:type="xsd:double"&gt;17.391706679513&lt;/D&gt;&lt;D xsi:type="xsd:double"&gt;17.914026182959&lt;/D&gt;&lt;D xsi:type="xsd:double"&gt;18.014062457159&lt;/D&gt;&lt;D xsi:type="xsd:double"&gt;16.9019772573981&lt;/D&gt;&lt;D xsi:type="xsd:double"&gt;17.2248937172319&lt;/D&gt;&lt;D xsi:type="xsd:double"&gt;19.8654112152973&lt;/D&gt;&lt;D xsi:type="xsd:double"&gt;20.1016253030926&lt;/D&gt;&lt;D xsi:type="xsd:double"&gt;21.3380323405885&lt;/D&gt;&lt;D xsi:type="xsd:double"&gt;21.23662646556&lt;/D&gt;&lt;D xsi:type="xsd:double"&gt;20.3838164666914&lt;/D&gt;&lt;D xsi:type="xsd:double"&gt;20.4216356332082&lt;/D&gt;&lt;D xsi:type="xsd:double"&gt;20.0286785638913&lt;/D&gt;&lt;D xsi:type="xsd:double"&gt;19.3094289456169&lt;/D&gt;&lt;D xsi:type="xsd:double"&gt;19.2051840996599&lt;/D&gt;&lt;D xsi:type="xsd:double"&gt;18.7184934759796&lt;/D&gt;&lt;D xsi:type="xsd:double"&gt;18.5793732971695&lt;/D&gt;&lt;D xsi:type="xsd:double"&gt;17.6302097192639&lt;/D&gt;&lt;D xsi:type="xsd:double"&gt;18.0046809880797&lt;/D&gt;&lt;D xsi:type="xsd:double"&gt;18.3893159286402&lt;/D&gt;&lt;D xsi:type="xsd:double"&gt;18.1583572038401&lt;/D&gt;&lt;D xsi:type="xsd:double"&gt;19.3820185463403&lt;/D&gt;&lt;D xsi:type="xsd:double"&gt;19.1654618706496&lt;/D&gt;&lt;D xsi:type="xsd:double"&gt;18.9111101210353&lt;/D&gt;&lt;D xsi:type="xsd:double"&gt;18.8911328741007&lt;/D&gt;&lt;D xsi:type="xsd:double"&gt;18.8328346076301&lt;/D&gt;&lt;D xsi:type="xsd:double"&gt;18.8939423622494&lt;/D&gt;&lt;D xsi:type="xsd:double"&gt;18.9787643056199&lt;/D&gt;&lt;D xsi:type="xsd:double"&gt;18.5857140538566&lt;/D&gt;&lt;/FQL&gt;&lt;FQL&gt;&lt;Q&gt;PASP-FDS^FG_PRICE_CHANGE(0,-3AM)&lt;/Q&gt;&lt;R&gt;1&lt;/R&gt;&lt;C&gt;1&lt;/C&gt;&lt;D xsi:type="xsd:double"&gt;6.96517412935322&lt;/D&gt;&lt;/FQL&gt;&lt;FQL&gt;&lt;Q&gt;ENZL^FMA_COS_UP("EPS","1M",+1,0,,,"PORTAGG","MEANR")&lt;/Q&gt;&lt;R&gt;1&lt;/R&gt;&lt;C&gt;1&lt;/C&gt;&lt;D xsi:type="xsd:double"&gt;8&lt;/D&gt;&lt;/FQL&gt;&lt;FQL&gt;&lt;Q&gt;TRYIT10Y-FDS^PCTCHG(FG_YIELD(0,,,,"YTM"),FG_YIELD(-3AM,,,,"YTM"))&lt;/Q&gt;&lt;R&gt;1&lt;/R&gt;&lt;C&gt;1&lt;/C&gt;&lt;D xsi:type="xsd:double"&gt;-10.584958&lt;/D&gt;&lt;/FQL&gt;&lt;FQL&gt;&lt;Q&gt;TRYTW10Y-FDS^FG_YIELD(-10AY,0,Y,,"YTM")&lt;/Q&gt;&lt;R&gt;10&lt;/R&gt;&lt;C&gt;1&lt;/C&gt;&lt;D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xsi:type="xsd:double"&gt;1.211&lt;/D&gt;&lt;/FQL&gt;&lt;FQL&gt;&lt;Q&gt;EWI^P_PRICE_RETURNS_PR('52W',2,-10AY,0,AM)&lt;/Q&gt;&lt;R&gt;121&lt;/R&gt;&lt;C&gt;1&lt;/C&gt;&lt;D xsi:type="xsd:double"&gt;10.7109785&lt;/D&gt;&lt;D xsi:type="xsd:double"&gt;-3.9180338&lt;/D&gt;&lt;D xsi:type="xsd:double"&gt;-0.62915087&lt;/D&gt;&lt;D xsi:type="xsd:double"&gt;-6.280339&lt;/D&gt;&lt;D xsi:type="xsd:double"&gt;-13.612824&lt;/D&gt;&lt;D xsi:type="xsd:double"&gt;-8.418965&lt;/D&gt;&lt;D xsi:type="xsd:double"&gt;-9.615517&lt;/D&gt;&lt;D xsi:type="xsd:double"&gt;-14.112621&lt;/D&gt;&lt;D xsi:type="xsd:double"&gt;-3.1716228&lt;/D&gt;&lt;D xsi:type="xsd:double"&gt;-8.5733529999999991&lt;/D&gt;&lt;D xsi:type="xsd:double"&gt;-5.3614674&lt;/D&gt;&lt;D xsi:type="xsd:double"&gt;-5.003375&lt;/D&gt;&lt;D xsi:type="xsd:double"&gt;-7.4431124&lt;/D&gt;&lt;D xsi:type="xsd:double"&gt;5.8309436&lt;/D&gt;&lt;D xsi:type="xsd:double"&gt;-2.1036446&lt;/D&gt;&lt;D xsi:type="xsd:double"&gt;3.092146&lt;/D&gt;&lt;D xsi:type="xsd:double"&gt;-10.12355&lt;/D&gt;&lt;D xsi:type="xsd:double"&gt;-23.173672&lt;/D&gt;&lt;D xsi:type="xsd:double"&gt;-16.76169&lt;/D&gt;&lt;D xsi:type="xsd:double"&gt;-14.532357&lt;/D&gt;&lt;D xsi:type="xsd:double"&gt;-23.8038&lt;/D&gt;&lt;D xsi:type="xsd:double"&gt;-20.201445&lt;/D&gt;&lt;D xsi:type="xsd:double"&gt;-27.028322&lt;/D&gt;&lt;D xsi:type="xsd:double"&gt;-20.477926&lt;/D&gt;&lt;D xsi:type="xsd:double"&gt;-19.374275&lt;/D&gt;&lt;D xsi:type="xsd:double"&gt;-23.263227&lt;/D&gt;&lt;D xsi:type="xsd:double"&gt;-22.356247&lt;/D&gt;&lt;D xsi:type="xsd:double"&gt;-11.171997&lt;/D&gt;&lt;D xsi:type="xsd:double"&gt;3.9668202&lt;/D&gt;&lt;D xsi:type="xsd:double"&gt;8.663738&lt;/D&gt;&lt;D xsi:type="xsd:double"&gt;8.562696&lt;/D&gt;&lt;D xsi:type="xsd:double"&gt;3.4668326&lt;/D&gt;&lt;D xsi:type="xsd:double"&gt;26.35535&lt;/D&gt;&lt;D xsi:type="xsd:double"&gt;16.185057&lt;/D&gt;&lt;D xsi:type="xsd:double"&gt;36.418987&lt;/D&gt;&lt;D xsi:type="xsd:double"&gt;36.76964&lt;/D&gt;&lt;D xsi:type="xsd:double"&gt;45.06966&lt;/D&gt;&lt;D xsi:type="xsd:double"&gt;40.25172&lt;/D&gt;&lt;D xsi:type="xsd:double"&gt;48.147095&lt;/D&gt;&lt;D xsi:type="xsd:double"&gt;31.971205&lt;/D&gt;&lt;D xsi:type="xsd:double"&gt;41.11754&lt;/D&gt;&lt;D xsi:type="xsd:double"&gt;41.63183&lt;/D&gt;&lt;D xsi:type="xsd:double"&gt;26.813866&lt;/D&gt;&lt;D xsi:type="xsd:double"&gt;39.924576&lt;/D&gt;&lt;D xsi:type="xsd:double"&gt;12.984133&lt;/D&gt;&lt;D xsi:type="xsd:double"&gt;9.498572&lt;/D&gt;&lt;D xsi:type="xsd:double"&gt;3.1917334&lt;/D&gt;&lt;D xsi:type="xsd:double"&gt;-5.5204153&lt;/D&gt;&lt;D xsi:type="xsd:double"&gt;-4.3923974&lt;/D&gt;&lt;D xsi:type="xsd:double"&gt;-14.399367&lt;/D&gt;&lt;D xsi:type="xsd:double"&gt;-16.982126&lt;/D&gt;&lt;D xsi:type="xsd:double"&gt;-18.98328&lt;/D&gt;&lt;D xsi:type="xsd:double"&gt;-21.706373&lt;/D&gt;&lt;D xsi:type="xsd:double"&gt;-13.2368145&lt;/D&gt;&lt;D xsi:type="xsd:double"&gt;-9.347135&lt;/D&gt;&lt;D xsi:type="xsd:double"&gt;-13.572269&lt;/D&gt;&lt;D xsi:type="xsd:double"&gt;-12.694019&lt;/D&gt;&lt;D xsi:type="xsd:double"&gt;0.6480336&lt;/D&gt;&lt;D xsi:type="xsd:double"&gt;1.1945724&lt;/D&gt;&lt;D xsi:type="xsd:double"&gt;-1.5424788&lt;/D&gt;&lt;D xsi:type="xsd:double"&gt;-0.6776273&lt;/D&gt;&lt;D xsi:type="xsd:double"&gt;17.292463&lt;/D&gt;&lt;D xsi:type="xsd:double"&gt;22.958935&lt;/D&gt;&lt;D xsi:type="xsd:double"&gt;29.758953&lt;/D&gt;&lt;D xsi:type="xsd:double"&gt;19.81411&lt;/D&gt;&lt;D xsi:type="xsd:double"&gt;16.861689&lt;/D&gt;&lt;D xsi:type="xsd:double"&gt;-28.792637&lt;/D&gt;&lt;D xsi:type="xsd:double"&gt;-27.052385&lt;/D&gt;&lt;D xsi:type="xsd:double"&gt;-19.51313&lt;/D&gt;&lt;D xsi:type="xsd:double"&gt;-9.412551&lt;/D&gt;&lt;D xsi:type="xsd:double"&gt;-6.121832&lt;/D&gt;&lt;D xsi:type="xsd:double"&gt;-0.7678807&lt;/D&gt;&lt;D xsi:type="xsd:double"&gt;-11.102873&lt;/D&gt;&lt;D xsi:type="xsd:double"&gt;-10.412902&lt;/D&gt;&lt;D xsi:type="xsd:double"&gt;-1.7793834&lt;/D&gt;&lt;D xsi:type="xsd:double"&gt;1.0918021&lt;/D&gt;&lt;D xsi:type="xsd:double"&gt;1.7071605&lt;/D&gt;&lt;D xsi:type="xsd:double"&gt;3.8347602&lt;/D&gt;&lt;D xsi:type="xsd:double"&gt;67.43745&lt;/D&gt;&lt;D xsi:type="xsd:double"&gt;65.2995&lt;/D&gt;&lt;D xsi:type="xsd:double"&gt;63.216187&lt;/D&gt;&lt;D xsi:type="xsd:double"&gt;34.800957&lt;/D&gt;&lt;D xsi:type="xsd:double"&gt;26.188923&lt;/D&gt;&lt;D xsi:type="xsd:double"&gt;31.054592&lt;/D&gt;&lt;D xsi:type="xsd:double"&gt;38.90034&lt;/D&gt;&lt;D xsi:type="xsd:double"&gt;38.00423&lt;/D&gt;&lt;D xsi:type="xsd:double"&gt;19.590927&lt;/D&gt;&lt;D xsi:type="xsd:double"&gt;13.146055&lt;/D&gt;&lt;D xsi:type="xsd:double"&gt;11.726928&lt;/D&gt;&lt;D xsi:type="xsd:double"&gt;5.7786345&lt;/D&gt;&lt;D xsi:type="xsd:double"&gt;-5.4049373&lt;/D&gt;&lt;D xsi:type="xsd:double"&gt;-8.480674&lt;/D&gt;&lt;D xsi:type="xsd:double"&gt;-12.616146&lt;/D&gt;&lt;D xsi:type="xsd:double"&gt;-21.33972&lt;/D&gt;&lt;D xsi:type="xsd:double"&gt;-23.823154&lt;/D&gt;&lt;D xsi:type="xsd:double"&gt;-23.932611&lt;/D&gt;&lt;D xsi:type="xsd:double"&gt;-30.053335&lt;/D&gt;&lt;D xsi:type="xsd:double"&gt;-27.777815&lt;/D&gt;&lt;D xsi:type="xsd:double"&gt;-12.758833&lt;/D&gt;&lt;D xsi:type="xsd:double"&gt;-13.064199&lt;/D&gt;&lt;D xsi:type="xsd:double"&gt;-4.4513645&lt;/D&gt;&lt;D xsi:type="xsd:double"&gt;0.8649349&lt;/D&gt;&lt;D xsi:type="xsd:double"&gt;7.7762246&lt;/D&gt;&lt;D xsi:type="xsd:double"&gt;14.7589445&lt;/D&gt;&lt;D xsi:type="xsd:double"&gt;14.636028&lt;/D&gt;&lt;D xsi:type="xsd:double"&gt;30.077993&lt;/D&gt;&lt;D xsi:type="xsd:double"&gt;47.998833&lt;/D&gt;&lt;D xsi:type="xsd:double"&gt;37.18214&lt;/D&gt;&lt;D xsi:type="xsd:double"&gt;40.31769&lt;/D&gt;&lt;D xsi:type="xsd:double"&gt;34.352337&lt;/D&gt;&lt;D xsi:type="xsd:double"&gt;23.24828&lt;/D&gt;&lt;D xsi:type="xsd:double"&gt;30.55321&lt;/D&gt;&lt;D xsi:type="xsd:double"&gt;15.873396&lt;/D&gt;&lt;D xsi:type="xsd:double"&gt;23.157776&lt;/D&gt;&lt;D xsi:type="xsd:double"&gt;31.806778&lt;/D&gt;&lt;D xsi:type="xsd:double"&gt;23.127102&lt;/D&gt;&lt;D xsi:type="xsd:double"&gt;28.490961&lt;/D&gt;&lt;D xsi:type="xsd:double"&gt;19.384516&lt;/D&gt;&lt;D xsi:type="xsd:double"&gt;19.007374&lt;/D&gt;&lt;D xsi:type="xsd:double"&gt;26.31079&lt;/D&gt;&lt;D xsi:type="xsd:double"&gt;28.574348&lt;/D&gt;&lt;/FQL&gt;&lt;FQL&gt;&lt;Q&gt;DDR3512M-FDS^FG_PRICE_MAVG(0,,,,30)&lt;/Q&gt;&lt;R&gt;1&lt;/R&gt;&lt;C&gt;1&lt;/C&gt;&lt;D xsi:type="xsd:double"&gt;0.8877712&lt;/D&gt;&lt;/FQL&gt;&lt;FQL&gt;&lt;Q&gt;EWJ^FG_PRICE_MAVG(0,,,,60)&lt;/Q&gt;&lt;R&gt;1&lt;/R&gt;&lt;C&gt;1&lt;/C&gt;&lt;D xsi:type="xsd:double"&gt;69.38617&lt;/D&gt;&lt;/FQL&gt;&lt;FQL&gt;&lt;Q&gt;URTH^FG_TOTAL_RETURNC(0,-3AM)&lt;/Q&gt;&lt;R&gt;1&lt;/R&gt;&lt;C&gt;1&lt;/C&gt;&lt;D xsi:type="xsd:double"&gt;5.688381&lt;/D&gt;&lt;/FQL&gt;&lt;FQL&gt;&lt;Q&gt;EWI^PERCENT_CHANGE(FMA_EPS(+1,0,,,,"PORTAGG","MEAN"),FMA_EPS(+1,-3AM,,,,"PORTAGG","MEAN"))&lt;/Q&gt;&lt;R&gt;1&lt;/R&gt;&lt;C&gt;1&lt;/C&gt;&lt;D xsi:type="xsd:double"&gt;-0.0782712639659131&lt;/D&gt;&lt;/FQL&gt;&lt;FQL&gt;&lt;Q&gt;EWU^P_PRICE(0)/P_PRICE_LOW_PR(0,,,,,,"PRICE","INTRA","52W")-1&lt;/Q&gt;&lt;R&gt;1&lt;/R&gt;&lt;C&gt;1&lt;/C&gt;&lt;D xsi:type="xsd:double"&gt;0.24071002&lt;/D&gt;&lt;/FQL&gt;&lt;FQL&gt;&lt;Q&gt;EWG^FG_TOTAL_RETURNC(0,-6AM)&lt;/Q&gt;&lt;R&gt;1&lt;/R&gt;&lt;C&gt;1&lt;/C&gt;&lt;D xsi:type="xsd:double"&gt;7.411444&lt;/D&gt;&lt;/FQL&gt;&lt;FQL&gt;&lt;Q&gt;EWQ^FMA_RBICS_REV_CURRENT(30, LOC, "PORTAGG")&lt;/Q&gt;&lt;R&gt;1&lt;/R&gt;&lt;C&gt;1&lt;/C&gt;&lt;D xsi:type="xsd:double"&gt;11.5988441524133&lt;/D&gt;&lt;/FQL&gt;&lt;FQL&gt;&lt;Q&gt;CC_DE^IMF_IFS_RCPI_Q(0)&lt;/Q&gt;&lt;R&gt;1&lt;/R&gt;&lt;C&gt;1&lt;/C&gt;&lt;D xsi:type="xsd:double"&gt;2.2863681&lt;/D&gt;&lt;/FQL&gt;&lt;FQL&gt;&lt;Q&gt;EWL^JULIAN(FMA_DIV_YLD(NTMA,NOW,NOW,M,"PORTAGG","MEANR").DATES)&lt;/Q&gt;&lt;R&gt;1&lt;/R&gt;&lt;C&gt;1&lt;/C&gt;&lt;D xsi:type="xsd:long"&gt;45534&lt;/D&gt;&lt;/FQL&gt;&lt;FQL&gt;&lt;Q&gt;EWA^FMA_EVAL_EBIT(LTMA,NOW,NOW,M,"PORTAGG","MEANR")&lt;/Q&gt;&lt;R&gt;1&lt;/R&gt;&lt;C&gt;1&lt;/C&gt;&lt;D xsi:type="xsd:double"&gt;12.8696001492493&lt;/D&gt;&lt;/FQL&gt;&lt;FQL&gt;&lt;Q&gt;GLD^FG_TOTAL_RETURNC(0,-1AM)&lt;/Q&gt;&lt;R&gt;1&lt;/R&gt;&lt;C&gt;1&lt;/C&gt;&lt;D xsi:type="xsd:double"&gt;4.771137&lt;/D&gt;&lt;/FQL&gt;&lt;FQL&gt;&lt;Q&gt;TRYMY10Y-FDS^FG_YIELD(-10AY,0,Y,,"YTM")&lt;/Q&gt;&lt;R&gt;10&lt;/R&gt;&lt;C&gt;1&lt;/C&gt;&lt;D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xsi:type="xsd:double"&gt;3.727505&lt;/D&gt;&lt;/FQL&gt;&lt;FQL&gt;&lt;Q&gt;CAGDPY@JP^EE_ACTUAL_ANNUAL(MED,+1)&lt;/Q&gt;&lt;R&gt;1&lt;/R&gt;&lt;C&gt;1&lt;/C&gt;&lt;D xsi:type="xsd:double"&gt;4&lt;/D&gt;&lt;/FQL&gt;&lt;FQL&gt;&lt;Q&gt;USDSEK^STD(FG_PRICE_CHANGE(0,-3AY,M))&lt;/Q&gt;&lt;R&gt;1&lt;/R&gt;&lt;C&gt;1&lt;/C&gt;&lt;D xsi:type="xsd:double"&gt;3.08926120822716&lt;/D&gt;&lt;/FQL&gt;&lt;FQL&gt;&lt;Q&gt;USDUSD^FG_COMPANY_NAME&lt;/Q&gt;&lt;R&gt;1&lt;/R&gt;&lt;C&gt;1&lt;/C&gt;&lt;D xsi:type="xsd:string"&gt;U.S. Dollar per U.S. Dollar&lt;/D&gt;&lt;/FQL&gt;&lt;FQL&gt;&lt;Q&gt;USDJPY^STD(FG_PRICE_CHANGE(0,-3AY,M))&lt;/Q&gt;&lt;R&gt;1&lt;/R&gt;&lt;C&gt;1&lt;/C&gt;&lt;D xsi:type="xsd:double"&gt;3.35240877850283&lt;/D&gt;&lt;/FQL&gt;&lt;FQL&gt;&lt;Q&gt;USDAUD^FG_PRICE_CHANGE(0,-1AM)&lt;/Q&gt;&lt;R&gt;1&lt;/R&gt;&lt;C&gt;1&lt;/C&gt;&lt;D xsi:type="xsd:d</t>
        </r>
      </text>
    </comment>
    <comment ref="A10" authorId="0" shapeId="0" xr:uid="{A20109E1-C03D-4557-A94D-6151A4FB332F}">
      <text>
        <r>
          <rPr>
            <b/>
            <sz val="9"/>
            <color indexed="81"/>
            <rFont val="Tahoma"/>
            <charset val="1"/>
          </rPr>
          <t>ouble"&gt;-1.1532009&lt;/D&gt;&lt;/FQL&gt;&lt;FQL&gt;&lt;Q&gt;EWC^FG_TOTAL_RETURNC(-10AY,0,AM)&lt;/Q&gt;&lt;R&gt;121&lt;/R&gt;&lt;C&gt;1&lt;/C&gt;&lt;D xsi:type="xsd:double"&gt;-3.02096&lt;/D&gt;&lt;D xsi:type="xsd:double"&gt;-5.7851257&lt;/D&gt;&lt;D xsi:type="xsd:double"&gt;4.68961&lt;/D&gt;&lt;D xsi:type="xsd:double"&gt;-6.1989727&lt;/D&gt;&lt;D xsi:type="xsd:double"&gt;-5.050498&lt;/D&gt;&lt;D xsi:type="xsd:double"&gt;1.6507626&lt;/D&gt;&lt;D xsi:type="xsd:double"&gt;-0.4330516&lt;/D&gt;&lt;D xsi:type="xsd:double"&gt;6.270385&lt;/D&gt;&lt;D xsi:type="xsd:double"&gt;-2.864939&lt;/D&gt;&lt;D xsi:type="xsd:double"&gt;-2.2120774&lt;/D&gt;&lt;D xsi:type="xsd:double"&gt;-9.07197&lt;/D&gt;&lt;D xsi:type="xsd:double"&gt;-6.446475&lt;/D&gt;&lt;D xsi:type="xsd:double"&gt;-1.9566178&lt;/D&gt;&lt;D xsi:type="xsd:double"&gt;5.9869885&lt;/D&gt;&lt;D xsi:type="xsd:double"&gt;-5.566931&lt;/D&gt;&lt;D xsi:type="xsd:double"&gt;-3.6943793&lt;/D&gt;&lt;D xsi:type="xsd:double"&gt;-8.713502&lt;/D&gt;&lt;D xsi:type="xsd:double"&gt;5.8470726&lt;/D&gt;&lt;D xsi:type="xsd:double"&gt;9.537304&lt;/D&gt;&lt;D xsi:type="xsd:double"&gt;8.01723&lt;/D&gt;&lt;D xsi:type="xsd:double"&gt;-3.7509918&lt;/D&gt;&lt;D xsi:type="xsd:double"&gt;4.680431&lt;/D&gt;&lt;D xsi:type="xsd:double"&gt;0.23952723&lt;/D&gt;&lt;D xsi:type="xsd:double"&gt;3.305459&lt;/D&gt;&lt;D xsi:type="xsd:double"&gt;-1.9660771&lt;/D&gt;&lt;D xsi:type="xsd:double"&gt;1.0617375&lt;/D&gt;&lt;D xsi:type="xsd:double"&gt;0.8949399&lt;/D&gt;&lt;D xsi:type="xsd:double"&gt;1.5444756&lt;/D&gt;&lt;D xsi:type="xsd:double"&gt;2.8768659&lt;/D&gt;&lt;D xsi:type="xsd:double"&gt;2.9082775&lt;/D&gt;&lt;D xsi:type="xsd:double"&gt;-3.7318885&lt;/D&gt;&lt;D xsi:type="xsd:double"&gt;0&lt;/D&gt;&lt;D xsi:type="xsd:double"&gt;-0.6774545&lt;/D&gt;&lt;D xsi:type="xsd:double"&gt;0.71014166&lt;/D&gt;&lt;D xsi:type="xsd:double"&gt;5.4628134&lt;/D&gt;&lt;D xsi:type="xsd:double"&gt;-0.7913649&lt;/D&gt;&lt;D xsi:type="xsd:double"&gt;4.4597507&lt;/D&gt;&lt;D xsi:type="xsd:double"&gt;0.76363087&lt;/D&gt;&lt;D xsi:type="xsd:double"&gt;1.2400866&lt;/D&gt;&lt;D xsi:type="xsd:double"&gt;0.5225897&lt;/D&gt;&lt;D xsi:type="xsd:double"&gt;3.9766908&lt;/D&gt;&lt;D xsi:type="xsd:double"&gt;-6.1655164&lt;/D&gt;&lt;D xsi:type="xsd:double"&gt;-4.462397&lt;/D&gt;&lt;D xsi:type="xsd:double"&gt;2.7583718&lt;/D&gt;&lt;D xsi:type="xsd:double"&gt;4.402292&lt;/D&gt;&lt;D xsi:type="xsd:double"&gt;-1.4866054&lt;/D&gt;&lt;D xsi:type="xsd:double"&gt;0.94703436&lt;/D&gt;&lt;D xsi:type="xsd:double"&gt;0.2084732&lt;/D&gt;&lt;D xsi:type="xsd:double"&gt;0.7281542&lt;/D&gt;&lt;D xsi:type="xsd:double"&gt;-7.332182&lt;/D&gt;&lt;D xsi:type="xsd:double"&gt;-2.82318&lt;/D&gt;&lt;D xsi:type="xsd:double"&gt;-8.936149&lt;/D&gt;&lt;D xsi:type="xsd:double"&gt;11.4383335&lt;/D&gt;&lt;D xsi:type="xsd:double"&gt;6.855607&lt;/D&gt;&lt;D xsi:type="xsd:double"&gt;-1.6845882&lt;/D&gt;&lt;D xsi:type="xsd:double"&gt;4.484141&lt;/D&gt;&lt;D xsi:type="xsd:double"&gt;-3.6287487&lt;/D&gt;&lt;D xsi:type="xsd:double"&gt;4.452455&lt;/D&gt;&lt;D xsi:type="xsd:double"&gt;0.839448&lt;/D&gt;&lt;D xsi:type="xsd:double"&gt;-4.89074&lt;/D&gt;&lt;D xsi:type="xsd:double"&gt;6.309259&lt;/D&gt;&lt;D xsi:type="xsd:double"&gt;-1.3722122&lt;/D&gt;&lt;D xsi:type="xsd:double"&gt;2.3304343&lt;/D&gt;&lt;D xsi:type="xsd:double"&gt;2.0581722&lt;/D&gt;&lt;D xsi:type="xsd:double"&gt;3.104961&lt;/D&gt;&lt;D xsi:type="xsd:double"&gt;0.26186705&lt;/D&gt;&lt;D xsi:type="xsd:double"&gt;-42.376755&lt;/D&gt;&lt;D xsi:type="xsd:double"&gt;30.934847&lt;/D&gt;&lt;D xsi:type="xsd:double"&gt;5.538726&lt;/D&gt;&lt;D xsi:type="xsd:double"&gt;7.7569127&lt;/D&gt;&lt;D xsi:type="xsd:double"&gt;3.8816333&lt;/D&gt;&lt;D xsi:type="xsd:double"&gt;5.1424265&lt;/D&gt;&lt;D xsi:type="xsd:double"&gt;-5.3835335&lt;/D&gt;&lt;D xsi:type="xsd:double"&gt;4.53701&lt;/D&gt;&lt;D xsi:type="xsd:double"&gt;6.047666&lt;/D&gt;&lt;D xsi:type="xsd:double"&gt;5.021727&lt;/D&gt;&lt;D xsi:type="xsd:double"&gt;2.3285866&lt;/D&gt;&lt;D xsi:type="xsd:double"&gt;4.4879913&lt;/D&gt;&lt;D xsi:type="xsd:double"&gt;2.4198413&lt;/D&gt;&lt;D xsi:type="xsd:double"&gt;3.4554005&lt;/D&gt;&lt;D xsi:type="xsd:double"&gt;6.4516187&lt;/D&gt;&lt;D xsi:type="xsd:double"&gt;1.236105&lt;/D&gt;&lt;D xsi:type="xsd:double"&gt;-1.5724957&lt;/D&gt;&lt;D xsi:type="xsd:double"&gt;0.78526735&lt;/D&gt;&lt;D xsi:type="xsd:double"&gt;-0.40301085&lt;/D&gt;&lt;D xsi:type="xsd:double"&gt;6.717026&lt;/D&gt;&lt;D xsi:type="xsd:double"&gt;-1.1375129&lt;/D&gt;&lt;D xsi:type="xsd:double"&gt;-1.7099798&lt;/D&gt;&lt;D xsi:type="xsd:double"&gt;-0.9222746&lt;/D&gt;&lt;D xsi:type="xsd:double"&gt;-0.8510649&lt;/D&gt;&lt;D xsi:type="xsd:double"&gt;7.4570894&lt;/D&gt;&lt;D xsi:type="xsd:double"&gt;-4.6929655&lt;/D&gt;&lt;D xsi:type="xsd:double"&gt;-3.5096884&lt;/D&gt;&lt;D xsi:type="xsd:double"&gt;-9.591633&lt;/D&gt;&lt;D xsi:type="xsd:double"&gt;2.0266175&lt;/D&gt;&lt;D xsi:type="xsd:double"&gt;5.069673&lt;/D&gt;&lt;D xsi:type="xsd:double"&gt;-11.681711&lt;/D&gt;&lt;D xsi:type="xsd:double"&gt;2.1086216&lt;/D&gt;&lt;D xsi:type="xsd:double"&gt;10.0438&lt;/D&gt;&lt;D xsi:type="xsd:double"&gt;-5.235511&lt;/D&gt;&lt;D xsi:type="xsd:double"&gt;7.5494766&lt;/D&gt;&lt;D xsi:type="xsd:double"&gt;-3.1135082&lt;/D&gt;&lt;D xsi:type="xsd:double"&gt;-4.8495474&lt;/D&gt;&lt;D xsi:type="xsd:double"&gt;8.136332&lt;/D&gt;&lt;D xsi:type="xsd:double"&gt;-2.243048&lt;/D&gt;&lt;D xsi:type="xsd:double"&gt;-0.80580115&lt;/D&gt;&lt;D xsi:type="xsd:double"&gt;5.8858275&lt;/D&gt;&lt;D xsi:type="xsd:double"&gt;-5.446929&lt;/D&gt;&lt;D xsi:type="xsd:double"&gt;0.29542446&lt;/D&gt;&lt;D xsi:type="xsd:double"&gt;-4.536086&lt;/D&gt;&lt;D xsi:type="xsd:double"&gt;6.20178&lt;/D&gt;&lt;D xsi:type="xsd:double"&gt;7.2817206&lt;/D&gt;&lt;D xsi:type="xsd:double"&gt;-0.6588042&lt;/D&gt;&lt;D xsi:type="xsd:double"&gt;2.2105694&lt;/D&gt;&lt;D xsi:type="xsd:double"&gt;2.216816&lt;/D&gt;&lt;D xsi:type="xsd:double"&gt;-0.29093027&lt;/D&gt;&lt;D xsi:type="xsd:double"&gt;0.3448248&lt;/D&gt;&lt;D xsi:type="xsd:double"&gt;-2.6288629&lt;/D&gt;&lt;D xsi:type="xsd:double"&gt;5.206895&lt;/D&gt;&lt;D xsi:type="xsd:double"&gt;4.7408223&lt;/D&gt;&lt;D xsi:type="xsd:double"&gt;2.7978063&lt;/D&gt;&lt;/FQL&gt;&lt;FQL&gt;&lt;Q&gt;EWA^FMA_PE(NTMA,-10AY,0,AM,"PORTAGG","MEANR")&lt;/Q&gt;&lt;R&gt;121&lt;/R&gt;&lt;C&gt;1&lt;/C&gt;&lt;D xsi:type="xsd:double"&gt;14.1626293353104&lt;/D&gt;&lt;D xsi:type="xsd:double"&gt;14.2362326222044&lt;/D&gt;&lt;D xsi:type="xsd:double"&gt;13.9994835425048&lt;/D&gt;&lt;D xsi:type="xsd:double"&gt;14.3040981944457&lt;/D&gt;&lt;D xsi:type="xsd:double"&gt;14.9853749461294&lt;/D&gt;&lt;D xsi:type="xsd:double"&gt;16.1919531002234&lt;/D&gt;&lt;D xsi:type="xsd:double"&gt;16.4867071768248&lt;/D&gt;&lt;D xsi:type="xsd:double"&gt;16.3260568868928&lt;/D&gt;&lt;D xsi:type="xsd:double"&gt;15.7496141920746&lt;/D&gt;&lt;D xsi:type="xsd:double"&gt;15.7209329088763&lt;/D&gt;&lt;D xsi:type="xsd:double"&gt;15.348603944119&lt;/D&gt;&lt;D xsi:type="xsd:double"&gt;14.5894904070623&lt;/D&gt;&lt;D xsi:type="xsd:double"&gt;14.0483514964491&lt;/D&gt;&lt;D xsi:type="xsd:double"&gt;15.2978789509563&lt;/D&gt;&lt;D xsi:type="xsd:double"&gt;15.2983842897003&lt;/D&gt;&lt;D xsi:type="xsd:double"&gt;15.2083028791079&lt;/D&gt;&lt;D xsi:type="xsd:double"&gt;14.7935572035383&lt;/D&gt;&lt;D xsi:type="xsd:double"&gt;15.4481640445096&lt;/D&gt;&lt;D xsi:type="xsd:double"&gt;15.9761538017174&lt;/D&gt;&lt;D xsi:type="xsd:double"&gt;16.2002591481092&lt;/D&gt;&lt;D xsi:type="xsd:double"&gt;16.2850837834885&lt;/D&gt;&lt;D xsi:type="xsd:double"&gt;16.2001000519167&lt;/D&gt;&lt;D xsi:type="xsd:double"&gt;16.6430383244201&lt;/D&gt;&lt;D xsi:type="xsd:double"&gt;16.8766099365399&lt;/D&gt;&lt;D xsi:type="xsd:double"&gt;16.3533507131047&lt;/D&gt;&lt;D xsi:type="xsd:double"&gt;16.0934565203967&lt;/D&gt;&lt;D xsi:type="xsd:double"&gt;16.0870453935148&lt;/D&gt;&lt;D xsi:type="xsd:double"&gt;15.7168049140357&lt;/D&gt;&lt;D xsi:type="xsd:double"&gt;15.6082579904206&lt;/D&gt;&lt;D xsi:type="xsd:double"&gt;16.0104086104948&lt;/D&gt;&lt;D xsi:type="xsd:double"&gt;15.4524620753708&lt;/D&gt;&lt;D xsi:type="xsd:double"&gt;15.7787387112847&lt;/D&gt;&lt;D xsi:type="xsd:double"&gt;15.43690906618&lt;/D&gt;&lt;D xsi:type="xsd:double"&gt;15.3242946701167&lt;/D&gt;&lt;D xsi:type="xsd:double"&gt;15.6694384113566&lt;/D&gt;&lt;D xsi:type="xsd:double"&gt;15.7576968685099&lt;/D&gt;&lt;D xsi:type="xsd:double"&gt;15.4993262661426&lt;/D&gt;&lt;D xsi:type="xsd:double"&gt;15.8446620368635&lt;/D&gt;&lt;D xsi:type="xsd:double"&gt;15.9462527591099&lt;/D&gt;&lt;D xsi:type="xsd:double"&gt;15.9715876300558&lt;/D&gt;&lt;D xsi:type="xsd:double"&gt;15.7644192690399&lt;/D&gt;&lt;D xsi:type="xsd:double"&gt;15.5316928494443&lt;/D&gt;&lt;D xsi:type="xsd:double"&gt;14.9194763258254&lt;/D&gt;&lt;D xsi:type="xsd:double"&gt;14.9962198750777&lt;/D&gt;&lt;D xsi:type="xsd:double"&gt;15.3006924175959&lt;/D&gt;&lt;D xsi:type="xsd:double"&gt;15.5485338196957&lt;/D&gt;&lt;D xsi:type="xsd:double"&gt;15.4938949510851&lt;/D&gt;&lt;D xsi:type="xsd:double"&gt;15.4912075153321&lt;/D&gt;&lt;D xsi:type="xsd:double"&gt;15.3045452767697&lt;/D&gt;&lt;D xsi:type="xsd:double"&gt;14.26265109943&lt;/D&gt;&lt;D xsi:type="xsd:double"&gt;14.214151402688&lt;/D&gt;&lt;D xsi:type="xsd:double"&gt;13.5409468919636&lt;/D&gt;&lt;D xsi:type="xsd:double"&gt;14.6029569561587&lt;/D&gt;&lt;D xsi:type="xsd:double"&gt;15.3067712799279&lt;/D&gt;&lt;D xsi:type="xsd:double"&gt;15.3461953723653&lt;/D&gt;&lt;D xsi:type="xsd:double"&gt;15.4124317416366&lt;/D&gt;&lt;D xsi:type="xsd:double"&gt;15.802418014312&lt;/D&gt;&lt;D xsi:type="xsd:double"&gt;16.2282143411021&lt;/D&gt;&lt;D xsi:type="xsd:double"&gt;16.2991821473461&lt;/D&gt;&lt;D xsi:type="xsd:double"&gt;16.0301238262163&lt;/D&gt;&lt;D xsi:type="xsd:double"&gt;16.7156604260466&lt;/D&gt;&lt;D xsi:type="xsd:double"&gt;16.8056696240902&lt;/D&gt;&lt;D xsi:type="xsd:double"&gt;17.0441715912589&lt;/D&gt;&lt;D xsi:type="xsd:double"&gt;17.3755854011318&lt;/D&gt;&lt;D xsi:type="xsd:double"&gt;18.1367371737575&lt;/D&gt;&lt;D xsi:type="xsd:double"&gt;18.3467351579122&lt;/D&gt;&lt;D xsi:type="xsd:double"&gt;12.087260282592&lt;/D&gt;&lt;D xsi:type="xsd:double"&gt;16.0471328546996&lt;/D&gt;&lt;D xsi:type="xsd:double"&gt;17.5851452996353&lt;/D&gt;&lt;D xsi:type="xsd:double"&gt;19.1041364989933&lt;/D&gt;&lt;D xsi:type="xsd:double"&gt;19.5536589552781&lt;/D&gt;&lt;D xsi:type="xsd:double"&gt;19.6689511888856&lt;/D&gt;&lt;D xsi:type="xsd:double"&gt;18.3943611956534&lt;/D&gt;&lt;D xsi:type="xsd:double"&gt;18.5751747666353&lt;/D&gt;&lt;D xsi:type="xsd:double"&gt;19.5036483142256&lt;/D&gt;&lt;D xsi:type="xsd:double"&gt;19.1919179904295&lt;/D&gt;&lt;D xsi:type="xsd:double"&gt;19.2609074847039&lt;/D&gt;&lt;D xsi:type="xsd:double"&gt;18.5135092202992&lt;/D&gt;&lt;D xsi:type="xsd:double"&gt;17.6449615971048&lt;/D&gt;&lt;D xsi:type="xsd:double"&gt;18.1016990466837&lt;/D&gt;&lt;D xsi:type="xsd:double"&gt;17.7460265104356&lt;/D&gt;&lt;D xsi:type="xsd:double"&gt;17.7562862885218&lt;/D&gt;&lt;D xsi:type="xsd:double"&gt;16.8480891642408&lt;/D&gt;&lt;D xsi:type="xsd:double"&gt;16.9497501054907&lt;/D&gt;&lt;D xsi:type="xsd:double"&gt;17.1283214972482&lt;/D&gt;&lt;D xsi:type="xsd:double"&gt;17.5464736418226&lt;/D&gt;&lt;D xsi:type="xsd:double"&gt;17.2831175797586&lt;/D&gt;&lt;D xsi:type="xsd:double"&gt;17.4037187717023&lt;/D&gt;&lt;D xsi:type="xsd:double"&gt;16.6328277171471&lt;/D&gt;&lt;D xsi:type="xsd:double"&gt;15.8298711995886&lt;/D&gt;&lt;D xsi:type="xsd:double"&gt;16.2360898095989&lt;/D&gt;&lt;D xsi:type="xsd:double"&gt;15.308674226832&lt;/D&gt;&lt;D xsi:type="xsd:double"&gt;14.3677125623375&lt;/D&gt;&lt;D xsi:type="xsd:double"&gt;12.5936715057608&lt;/D&gt;&lt;D xsi:type="xsd:double"&gt;13.4841922119836&lt;/D&gt;&lt;D xsi:type="xsd:double"&gt;13.8676269407412&lt;/D&gt;&lt;D xsi:type="xsd:double"&gt;12.8234377476783&lt;/D&gt;&lt;D xsi:type="xsd:double"&gt;12.8840816548399&lt;/D&gt;&lt;D xsi:type="xsd:double"&gt;14.4429606522779&lt;/D&gt;&lt;D xsi:type="xsd:double"&gt;14.2224203348997&lt;/D&gt;&lt;D xsi:type="xsd:double"&gt;14.8877011988751&lt;/D&gt;&lt;D xsi:type="xsd:double"&gt;14.5785948621312&lt;/D&gt;&lt;D xsi:type="xsd:double"&gt;13.9114740783757&lt;/D&gt;&lt;D xsi:type="xsd:double"&gt;14.6409581142968&lt;/D&gt;&lt;D xsi:type="xsd:double"&gt;14.5329686258693&lt;/D&gt;&lt;D xsi:type="xsd:double"&gt;14.6665093295755&lt;/D&gt;&lt;D xsi:type="xsd:double"&gt;15.4266016489569&lt;/D&gt;&lt;D xsi:type="xsd:double"&gt;15.0838105112194&lt;/D&gt;&lt;D xsi:type="xsd:double"&gt;15.0168876258897&lt;/D&gt;&lt;D xsi:type="xsd:double"&gt;14.3454734298979&lt;/D&gt;&lt;D xsi:type="xsd:double"&gt;15.1716803446113&lt;/D&gt;&lt;D xsi:type="xsd:double"&gt;16.2620364508875&lt;/D&gt;&lt;D xsi:type="xsd:double"&gt;16.1320963515242&lt;/D&gt;&lt;D xsi:type="xsd:double"&gt;16.5292585540432&lt;/D&gt;&lt;D xsi:type="xsd:double"&gt;16.6007169324987&lt;/D&gt;&lt;D xsi:type="xsd:double"&gt;16.4579324598602&lt;/D&gt;&lt;D xsi:type="xsd:double"&gt;16.8271147964684&lt;/D&gt;&lt;D xsi:type="xsd:double"&gt;16.8593890131395&lt;/D&gt;&lt;D xsi:type="xsd:double"&gt;17.268569501356&lt;/D&gt;&lt;D xsi:type="xsd:double"&gt;17.6774621973255&lt;/D&gt;&lt;D xsi:type="xsd:double"&gt;18.3750634628975&lt;/D&gt;&lt;/FQL&gt;&lt;FQL&gt;&lt;Q&gt;PLATI-FDS^FG_PRICE_CHANGE(0,-6AM)&lt;/Q&gt;&lt;R&gt;1&lt;/R&gt;&lt;C&gt;1&lt;/C&gt;&lt;D xsi:type="xsd:double"&gt;9.010989010989&lt;/D&gt;&lt;/FQL&gt;&lt;FQL&gt;&lt;Q&gt;BRENT-FDS^FG_PRICE(0)&lt;/Q&gt;&lt;R&gt;1&lt;/R&gt;&lt;C&gt;1&lt;/C&gt;&lt;D xsi:type="xsd:double"&gt;85.86&lt;/D&gt;&lt;/FQL&gt;&lt;FQL&gt;&lt;Q&gt;EWN^FG_PRICE_MAVG(0,,,,60)&lt;/Q&gt;&lt;R&gt;1&lt;/R&gt;&lt;C&gt;1&lt;/C&gt;&lt;D xsi:type="xsd:double"&gt;49.580082&lt;/D&gt;&lt;/FQL&gt;&lt;FQL&gt;&lt;Q&gt;FXI^FMA_PCT_ABOVE_MAVG(200,0,,,,"PORTAGG")&lt;/Q&gt;&lt;R&gt;1&lt;/R&gt;&lt;C&gt;1&lt;/C&gt;&lt;D xsi:type="xsd:double"&gt;49.0196078431373&lt;/D&gt;&lt;/FQL&gt;&lt;FQL&gt;&lt;Q&gt;EWQ^FG_TOTAL_RETURNC(0,-1AM)&lt;/Q&gt;&lt;R&gt;1&lt;/R&gt;&lt;C&gt;1&lt;/C&gt;&lt;D xsi:type="xsd:double"&gt;-1.2228549&lt;/D&gt;&lt;/FQL&gt;&lt;FQL&gt;&lt;Q&gt;ENZL^P_PRICE(0)/P_PRICE_HIGH_PR(0,,,,,,"PRICE","INTRA","52W")&lt;/Q&gt;&lt;R&gt;1&lt;/R&gt;&lt;C&gt;1&lt;/C&gt;&lt;D xsi:type="xsd:double"&gt;0.9840111&lt;/D&gt;&lt;/FQL&gt;&lt;FQL&gt;&lt;Q&gt;EWI^FMA_COS_DOWN("EPS","1M",+1,0,,,"PORTAGG","MEANR")&lt;/Q&gt;&lt;R&gt;1&lt;/R&gt;&lt;C&gt;1&lt;/C&gt;&lt;D xsi:type="xsd:double"&gt;9&lt;/D&gt;&lt;/FQL&gt;&lt;FQL&gt;&lt;Q&gt;EWG^FMA_COS_UP("EPS","1M",+1,0,,,"PORTAGG","MEANR")&lt;/Q&gt;&lt;R&gt;1&lt;/R&gt;&lt;C&gt;1&lt;/C&gt;&lt;D xsi:type="xsd:double"&gt;22&lt;/D&gt;&lt;/FQL&gt;&lt;FQL&gt;&lt;Q&gt;TRYSE10Y-FDS^FG_YIELD_NAME&lt;/Q&gt;&lt;R&gt;1&lt;/R&gt;&lt;C&gt;1&lt;/C&gt;&lt;D xsi:type="xsd:string"&gt;Sweden Benchmark Bond - 10 Year&lt;/D&gt;&lt;/FQL&gt;&lt;FQL&gt;&lt;Q&gt;REFSEREPO-FDS^(SUBARRAY(NOT_NA(NO_REPEAT_F(FG_YIELD(NOW,-10AY,D))),0,1)-SUBARRAY(NOT_NA(NO_REPEAT_F(FG_YIELD(NOW,-10AY,D))),1,1))*100&lt;/Q&gt;&lt;R&gt;1&lt;/R&gt;&lt;C&gt;1&lt;/C&gt;&lt;D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xsi:type="xsd:double"&gt;-25&lt;/D&gt;&lt;/FQL&gt;&lt;FQL&gt;&lt;Q&gt;REFJPTON-FDS^PROPER_NAME(0,,,"SECURITY","NAME")&lt;/Q&gt;&lt;R&gt;1&lt;/R&gt;&lt;C&gt;1&lt;/C&gt;&lt;D xsi:type="xsd:string"&gt;Japan Policy Rate&lt;/D&gt;&lt;/FQL&gt;&lt;FQL&gt;&lt;Q&gt;TRYGB10Y-FDS^PCTCHG(FG_YIELD(0,,,,"YTM"),FG_YIELD(-3AM,,,,"YTM"))&lt;/Q&gt;&lt;R&gt;1&lt;/R&gt;&lt;C&gt;1&lt;/C&gt;&lt;D xsi:type="xsd:double"&gt;-3.5784292&lt;/D&gt;&lt;/FQL&gt;&lt;FQL&gt;&lt;Q&gt;EWD^FMA_EVAL_EBIT(LTMA,NOW,NOW,M,"PORTAGG","MEANR")&lt;/Q&gt;&lt;R&gt;1&lt;/R&gt;&lt;C&gt;1&lt;/C&gt;&lt;D xsi:type="xsd:double"&gt;16.3772212878241&lt;/D&gt;&lt;/FQL&gt;&lt;FQL&gt;&lt;Q&gt;SPY^FMA_PE(NTMA,0,,,"PORTAGG","MEANR")&lt;/Q&gt;&lt;R&gt;1&lt;/R&gt;&lt;C&gt;1&lt;/C&gt;&lt;D xsi:type="xsd:double"&gt;21.394503014714&lt;/D&gt;&lt;/FQL&gt;&lt;FQL&gt;&lt;Q&gt;TRYPL10Y-FDS^FG_YIELD(-10AY,0,Y,,"YTM")&lt;/Q&gt;&lt;R&gt;10&lt;/R&gt;&lt;C&gt;1&lt;/C&gt;&lt;D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xsi:type="xsd:double"&gt;5.1912&lt;/D&gt;&lt;/FQL&gt;&lt;FQL&gt;&lt;Q&gt;EWD^P_PRICE_RETURNS_PR('52W',2,-10AY,0,AM)&lt;/Q&gt;&lt;R&gt;121&lt;/R&gt;&lt;C&gt;1&lt;/C&gt;&lt;D xsi:type="xsd:double"&gt;-0.57570934&lt;/D&gt;&lt;D xsi:type="xsd:double"&gt;-5.551547&lt;/D&gt;&lt;D xsi:type="xsd:double"&gt;2.028811&lt;/D&gt;&lt;D xsi:type="xsd:double"&gt;-4.124421&lt;/D&gt;&lt;D xsi:type="xsd:double"&gt;-9.582895&lt;/D&gt;&lt;D xsi:type="xsd:double"&gt;-0.3734827&lt;/D&gt;&lt;D xsi:type="xsd:double"&gt;-1.1660397&lt;/D&gt;&lt;D xsi:type="xsd:double"&gt;-1.1319339&lt;/D&gt;&lt;D xsi:type="xsd:double"&gt;-3.7867188&lt;/D&gt;&lt;D xsi:type="xsd:double"&gt;-2.0143926&lt;/D&gt;&lt;D xsi:type="xsd:double"&gt;-3.8737655&lt;/D&gt;&lt;D xsi:type="xsd:double"&gt;-8.551968&lt;/D&gt;&lt;D xsi:type="xsd:double"&gt;-10.463166&lt;/D&gt;&lt;D xsi:type="xsd:double"&gt;-1.0473788&lt;/D&gt;&lt;D xsi:type="xsd:double"&gt;-6.19961&lt;/D&gt;&lt;D xsi:type="xsd:double"&gt;-4.1435122&lt;/D&gt;&lt;D xsi:type="xsd:double"&gt;-11.135369&lt;/D&gt;&lt;D xsi:type="xsd:double"&gt;-15.996557&lt;/D&gt;&lt;D xsi:type="xsd:double"&gt;-12.58542&lt;/D&gt;&lt;D xsi:type="xsd:double"&gt;-7.818079&lt;/D&gt;&lt;D xsi:type="xsd:double"&gt;-13.628107&lt;/D&gt;&lt;D xsi:type="xsd:double"&gt;-9.904337&lt;/D&gt;&lt;D xsi:type="xsd:double"&gt;-10.965061&lt;/D&gt;&lt;D xsi:type="xsd:double"&gt;-0.39029717&lt;/D&gt;&lt;D xsi:type="xsd:double"&gt;4.7005296&lt;/D&gt;&lt;D xsi:type="xsd:double"&gt;-1.0098636&lt;/D&gt;&lt;D xsi:type="xsd:double"&gt;-4.186207&lt;/D&gt;&lt;D xsi:type="xsd:double"&gt;-0.123399496&lt;/D&gt;&lt;D xsi:type="xsd:double"&gt;13.041449&lt;/D&gt;&lt;D xsi:type="xsd:double"&gt;15.979898&lt;/D&gt;&lt;D xsi:type="xsd:double"&gt;12.926065&lt;/D&gt;&lt;D xsi:type="xsd:double"&gt;6.1112165&lt;/D&gt;&lt;D xsi:type="xsd:double"&gt;23.068678&lt;/D&gt;&lt;D xsi:type="xsd:double"&gt;17.790068&lt;/D&gt;&lt;D xsi:type="xsd:double"&gt;26.376045&lt;/D&gt;&lt;D xsi:type="xsd:double"&gt;20.709753&lt;/D&gt;&lt;D xsi:type="xsd:double"&gt;25.11276&lt;/D&gt;&lt;D xsi:type="xsd:double"&gt;30.060911&lt;/D&gt;&lt;D xsi:type="xsd:double"&gt;27.906895&lt;/D&gt;&lt;D xsi:type="xsd:double"&gt;24.02674&lt;/D&gt;&lt;D xsi:type="xsd:double"&gt;27.06524&lt;/D&gt;&lt;D xsi:type="xsd:double"&gt;15.85598&lt;/D&gt;&lt;D xsi:type="xsd:double"&gt;7.7659607&lt;/D&gt;&lt;D xsi:type="xsd:double"&gt;12.232601&lt;/D&gt;&lt;D xsi:type="xsd:double"&gt;2.1135092&lt;/D&gt;&lt;D xsi:type="xsd:double"&gt;-1.7251849&lt;/D&gt;&lt;D xsi:type="xsd:double"&gt;-2.8701782&lt;/D&gt;&lt;D xsi:type="xsd:double"&gt;-2.4049222&lt;/D&gt;&lt;D xsi:type="xsd:double"&gt;-1.4743268&lt;/D&gt;&lt;D xsi:type="xsd:double"&gt;-13.522827&lt;/D&gt;&lt;D xsi:type="xsd:double"&gt;-13.542676&lt;/D&gt;&lt;D xsi:type="xsd:double"&gt;-16.03073&lt;/D&gt;&lt;D xsi:type="xsd:double"&gt;-16.273827&lt;/D&gt;&lt;D xsi:type="xsd:double"&gt;-8.583999&lt;/D&gt;&lt;D xsi:type="xsd:double"&gt;-3.702575&lt;/D&gt;&lt;D xsi:type="xsd:double"&gt;0.26009083&lt;/D&gt;&lt;D xsi:type="xsd:double"&gt;-7.7661276&lt;/D&gt;&lt;D xsi:type="xsd:double"&gt;3.3981323&lt;/D&gt;&lt;D xsi:type="xsd:double"&gt;0.04851818&lt;/D&gt;&lt;D xsi:type="xsd:double"&gt;-9.382618&lt;/D&gt;&lt;D xsi:type="xsd:double"&gt;-7.436365&lt;/D&gt;&lt;D xsi:type="xsd:double"&gt;9.7390175&lt;/D&gt;&lt;D xsi:type="xsd:double"&gt;14.6605015&lt;/D&gt;&lt;D xsi:type="xsd:double"&gt;27.246643&lt;/D&gt;&lt;D xsi:type="xsd:double"&gt;18.098557&lt;/D&gt;&lt;D xsi:type="xsd:double"&gt;17.627144&lt;/D&gt;&lt;D xsi:type="xsd:double"&gt;-25.86326&lt;/D&gt;&lt;D xsi:type="xsd:double"&gt;-16.03179&lt;/D&gt;&lt;D xsi:type="xsd:double"&gt;-3.2004535&lt;/D&gt;&lt;D xsi:type="xsd:double"&gt;3.7590623&lt;/D&gt;&lt;D xsi:type="xsd:double"&gt;15.492237&lt;/D&gt;&lt;D xsi:type="xsd:double"&gt;25.65111&lt;/D&gt;&lt;D xsi:type="xsd:double"&gt;16.964663&lt;/D&gt;&lt;D xsi:type="xsd:double"&gt;18.484318&lt;/D&gt;&lt;D xsi:type="xsd:double"&gt;24.841415&lt;/D&gt;&lt;D xsi:type="xsd:double"&gt;21.088945&lt;/D&gt;&lt;D xsi:type="xsd:double"&gt;28.279709&lt;/D&gt;&lt;D xsi:type="xsd:double"&gt;29.137146&lt;/D&gt;&lt;D xsi:type="xsd:double"&gt;107.77383&lt;/D&gt;&lt;D xsi:type="xsd:double"&gt;83.67765&lt;/D&gt;&lt;D xsi:type="xsd:double"&gt;72.496056&lt;/D&gt;&lt;D xsi:type="xsd:double"&gt;52.15583&lt;/D&gt;&lt;D xsi:type="xsd:double"&gt;43.07786&lt;/D&gt;&lt;D xsi:type="xsd:double"&gt;40.65864&lt;/D&gt;&lt;D xsi:type="xsd:double"&gt;42.232548&lt;/D&gt;&lt;D xsi:type="xsd:double"&gt;38.644386&lt;/D&gt;&lt;D xsi:type="xsd:double"&gt;23.184072&lt;/D&gt;&lt;D xsi:type="xsd:double"&gt;21.19168&lt;/D&gt;&lt;D xsi:type="xsd:double"&gt;5.8457613&lt;/D&gt;&lt;D xsi:type="xsd:double"&gt;-5.7659626&lt;/D&gt;&lt;D xsi:type="xsd:double"&gt;-6.5183935&lt;/D&gt;&lt;D xsi:type="xsd:double"&gt;-14.718431&lt;/D&gt;&lt;D xsi:type="xsd:double"&gt;-21.499031&lt;/D&gt;&lt;D xsi:type="xsd:double"&gt;-29.67559&lt;/D&gt;&lt;D xsi:type="xsd:double"&gt;-27.850538&lt;/D&gt;&lt;D xsi:type="xsd:double"&gt;-30.635803&lt;/D&gt;&lt;D xsi:type="xsd:double"&gt;-39.55008&lt;/D&gt;&lt;D xsi:type="xsd:double"&gt;-37.448647&lt;/D&gt;&lt;D xsi:type="xsd:double"&gt;-23.492682&lt;/D&gt;&lt;D xsi:type="xsd:double"&gt;-26.43826&lt;/D&gt;&lt;D xsi:type="xsd:double"&gt;-12.022537&lt;/D&gt;&lt;D xsi:type="xsd:double"&gt;-3.7545204&lt;/D&gt;&lt;D xsi:type="xsd:double"&gt;-10.42775&lt;/D&gt;&lt;D xsi:type="xsd:double"&gt;-1.7357349&lt;/D&gt;&lt;D xsi:type="xsd:double"&gt;2.3831606&lt;/D&gt;&lt;D xsi:type="xsd:double"&gt;12.560153&lt;/D&gt;&lt;D xsi:type="xsd:double"&gt;10.412931&lt;/D&gt;&lt;D xsi:type="xsd:double"&gt;6.774652&lt;/D&gt;&lt;D xsi:type="xsd:double"&gt;17.665636&lt;/D&gt;&lt;D xsi:type="xsd:double"&gt;11.900234&lt;/D&gt;&lt;D xsi:type="xsd:double"&gt;9.580862&lt;/D&gt;&lt;D xsi:type="xsd:double"&gt;25.088846&lt;/D&gt;&lt;D xsi:type="xsd:double"&gt;4.744637&lt;/D&gt;&lt;D xsi:type="xsd:double"&gt;13.25115&lt;/D&gt;&lt;D xsi:type="xsd:double"&gt;22.927057&lt;/D&gt;&lt;D xsi:type="xsd:double"&gt;10.772467&lt;/D&gt;&lt;D xsi:type="xsd:double"&gt;19.673168&lt;/D&gt;&lt;D xsi:type="xsd:double"&gt;19.793678&lt;/D&gt;&lt;D xsi:type="xsd:double"&gt;16.513788&lt;/D&gt;&lt;D xsi:type="xsd:double"&gt;32.159103&lt;/D&gt;&lt;D xsi:type="xsd:double"&gt;35.943188&lt;/D&gt;&lt;/FQL&gt;&lt;FQL&gt;&lt;Q&gt;WL-FDS^FG_PRICE_CHANGE(0,-6AM)&lt;/Q&gt;&lt;R&gt;1&lt;/R&gt;&lt;C&gt;1&lt;/C&gt;&lt;D xsi:type="xsd:double"&gt;-8.45202692127094&lt;/D&gt;&lt;/FQL&gt;&lt;FQL&gt;&lt;Q&gt;EWJ^FG_PRICE_MAVG(0,,,,30)&lt;/Q&gt;&lt;R&gt;1&lt;/R&gt;&lt;C&gt;1&lt;/C&gt;&lt;D xsi:type="xsd:double"&gt;70.07567&lt;/D&gt;&lt;/FQL&gt;&lt;FQL&gt;&lt;Q&gt;URTH^FG_TOTAL_RETURNC(0,-1AM)&lt;/Q&gt;&lt;R&gt;1&lt;/R&gt;&lt;C&gt;1&lt;/C&gt;&lt;D xsi:type="xsd:double"&gt;1.1735916&lt;/D&gt;&lt;/FQL&gt;&lt;FQL&gt;&lt;Q&gt;EWI^PERCENT_CHANGE(FMA_EPS(+1,0,,,,"PORTAGG","MEAN"),FMA_EPS(+1,-1AM,,,,"PORTAGG","MEAN"))&lt;/Q&gt;&lt;R&gt;1&lt;/R&gt;&lt;C&gt;1&lt;/C&gt;&lt;D xsi:type="xsd:double"&gt;-1.79899026570502&lt;/D&gt;&lt;/FQL&gt;&lt;FQL&gt;&lt;Q&gt;EWU^P_PRICE(0)/P_PRICE_HIGH_PR(0,,,,,,"PRICE","INTRA","52W")&lt;/Q&gt;&lt;R&gt;1&lt;/R&gt;&lt;C&gt;1&lt;/C&gt;&lt;D xsi:type="xsd:double"&gt;0.9924363&lt;/D&gt;&lt;/FQL&gt;&lt;FQL&gt;&lt;Q&gt;EWG^FG_TOTAL_RETURNC(0,-3AM)&lt;/Q&gt;&lt;R&gt;1&lt;/R&gt;&lt;C&gt;1&lt;/C&gt;&lt;D xsi:type="xsd:double"&gt;8.681238&lt;/D&gt;&lt;/FQL&gt;&lt;FQL&gt;&lt;Q&gt;SPY^FMA_RBICS_REV_CURRENT(30, LOC, "PORTAGG")&lt;/Q&gt;&lt;R&gt;1&lt;/R&gt;&lt;C&gt;1&lt;/C&gt;&lt;D xsi:type="xsd:double"&gt;12.8044634335908&lt;/D&gt;&lt;/FQL&gt;&lt;FQL&gt;&lt;Q&gt;CC_CA^IMF_IFS_RCPI_Q(0)&lt;/Q&gt;&lt;R&gt;1&lt;/R&gt;&lt;C&gt;1&lt;/C&gt;&lt;D xsi:type="xsd:double"&gt;2.7411842&lt;/D&gt;&lt;/FQL&gt;&lt;FQL&gt;&lt;Q&gt;EWJ^FMA_EVAL_EBIT(LTMA,NOW,NOW,M,"PORTAGG","MEANR")&lt;/Q&gt;&lt;R&gt;1&lt;/R&gt;&lt;C&gt;1&lt;/C&gt;&lt;D xsi:type="xsd:double"&gt;17.0940352465206&lt;/D&gt;&lt;/FQL&gt;&lt;FQL&gt;&lt;Q&gt;EWA^FMA_EVAL_EBITDA(NTMA,0,,,"PORTAGG","MEANR")&lt;/Q&gt;&lt;R&gt;1&lt;/R&gt;&lt;C&gt;1&lt;/C&gt;&lt;D xsi:type="xsd:double"&gt;8.99924277694515&lt;/D&gt;&lt;/FQL&gt;&lt;FQL&gt;&lt;Q&gt;SPY^P_PRICE(0)/P_PRICE_HIGH_PR(0,,,USD,,,"PRICE","INTRA","52W")&lt;/Q&gt;&lt;R&gt;1&lt;/R&gt;&lt;C&gt;1&lt;/C&gt;&lt;D xsi:type="xsd:double"&gt;0.99474585&lt;/D&gt;&lt;/FQL&gt;&lt;FQL&gt;&lt;Q&gt;TRYMX10Y-FDS^FG_YIELD(-10AY,0,Y,,"YTM")&lt;/Q&gt;&lt;R&gt;10&lt;/R&gt;&lt;C&gt;1&lt;/C&gt;&lt;D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xsi:type="xsd:double"&gt;8.95&lt;/D&gt;&lt;/FQL&gt;&lt;FQL&gt;&lt;Q&gt;CAGDPY@JP^EE_ACTUAL_ANNUAL(MED,0)&lt;/Q&gt;&lt;R&gt;1&lt;/R&gt;&lt;C&gt;1&lt;/C&gt;&lt;D xsi:type="xsd:double"&gt;3.60658196299853&lt;/D&gt;&lt;/FQL&gt;&lt;FQL&gt;&lt;Q&gt;USDSEK^STD(FG_PRICE_CHANGE(0,-1AY,AM))&lt;/Q&gt;&lt;R&gt;1&lt;/R&gt;&lt;C&gt;1&lt;/C&gt;&lt;D xsi:type="xsd:double"&gt;3.1557454961319&lt;/D&gt;&lt;/FQL&gt;&lt;FQL&gt;&lt;Q&gt;USDJPY^STD(FG_PRICE_CHANGE(0,-1AY,AM))&lt;/Q&gt;&lt;R&gt;1&lt;/R&gt;&lt;C&gt;1&lt;/C&gt;&lt;D xsi:type="xsd:double"&gt;3.08687482116291&lt;/D&gt;&lt;/FQL&gt;&lt;FQL&gt;&lt;Q&gt;USDAUD^FG_PRICE_CHANGE(0,-1AY)&lt;/Q&gt;&lt;R&gt;1&lt;/R&gt;&lt;C&gt;1&lt;/C&gt;&lt;D xsi:type="xsd:double"&gt;-5.693012&lt;/D&gt;&lt;/FQL&gt;&lt;FQL&gt;&lt;Q&gt;EWA^FG_TOTAL_RETURNC(-10AY,0,AM)&lt;/Q&gt;&lt;R&gt;121&lt;/R&gt;&lt;C&gt;1&lt;/C&gt;&lt;D xsi:type="xsd:double"&gt;-8.240539&lt;/D&gt;&lt;D xsi:type="xsd:double"&gt;-0.28316975&lt;/D&gt;&lt;D xsi:type="xsd:double"&gt;-1.6227186&lt;/D&gt;&lt;D xsi:type="xsd:double"&gt;-5.8194757&lt;/D&gt;&lt;D xsi:type="xsd:double"&gt;-0.54249763&lt;/D&gt;&lt;D xsi:type="xsd:double"&gt;6.6363573&lt;/D&gt;&lt;D xsi:type="xsd:double"&gt;2.728057&lt;/D&gt;&lt;D xsi:type="xsd:double"&gt;-2.90457&lt;/D&gt;&lt;D xsi:type="xsd:double"&gt;-2.8632462&lt;/D&gt;&lt;D xsi:type="xsd:double"&gt;-0.5719304&lt;/D&gt;&lt;D xsi:type="xsd:double"&gt;-6.8219066&lt;/D&gt;&lt;D xsi:type="xsd:double"&gt;-8.4630375&lt;/D&gt;&lt;D xsi:type="xsd:double"&gt;-5.2603602&lt;/D&gt;&lt;D xsi:type="xsd:double"&gt;10.992718&lt;/D&gt;&lt;D xsi:type="xsd:double"&gt;-2.8297186&lt;/D&gt;&lt;D xsi:type="xsd:double"&gt;0.06644726&lt;/D&gt;&lt;D xsi:type="xsd:double"&gt;-8.066243&lt;/D&gt;&lt;D xsi:type="xsd:double"&gt;3.2539248&lt;/D&gt;&lt;D xsi:type="xsd:double"&gt;8.441198&lt;/D&gt;&lt;D xsi:type="xsd:double"&gt;5.137515&lt;/D&gt;&lt;D xsi:type="xsd:double"&gt;-4.639685&lt;/D&gt;&lt;D xsi:type="xsd:double"&gt;4.9874187&lt;/D&gt;&lt;D xsi:type="xsd:double"&gt;1.6000032&lt;/D&gt;&lt;D xsi:type="xsd:double"&gt;3.1496048&lt;/D&gt;&lt;D xsi:type="xsd:double"&gt;-2.0038068&lt;/D&gt;&lt;D xsi:type="xsd:double"&gt;0.9250164&lt;/D&gt;&lt;D xsi:type="xsd:double"&gt;-0.5788684&lt;/D&gt;&lt;D xsi:type="xsd:double"&gt;-0.11588335&lt;/D&gt;&lt;D xsi:type="xsd:double"&gt;5.885291&lt;/D&gt;&lt;D xsi:type="xsd:double"&gt;5.3697705&lt;/D&gt;&lt;D xsi:type="xsd:double"&gt;-1.5645981&lt;/D&gt;&lt;D xsi:type="xsd:double"&gt;1.407814&lt;/D&gt;&lt;D xsi:type="xsd:double"&gt;-2.14957&lt;/D&gt;&lt;D xsi:type="xsd:double"&gt;-0.09315014&lt;/D&gt;&lt;D xsi:type="xsd:double"&gt;4.8220873&lt;/D&gt;&lt;D xsi:type="xsd:double"&gt;1.0272503&lt;/D&gt;&lt;D xsi:type="xsd:double"&gt;0.39787292&lt;/D&gt;&lt;D xsi:type="xsd:double"&gt;1.1448741&lt;/D&gt;&lt;D xsi:type="xsd:double"&gt;-0.13059974&lt;/D&gt;&lt;D xsi:type="xsd:double"&gt;2.596283&lt;/D&gt;&lt;D xsi:type="xsd:double"&gt;3.352201&lt;/D&gt;&lt;D xsi:type="xsd:double"&gt;-2.1903992&lt;/D&gt;&lt;D xsi:type="xsd:double"&gt;-5.8139443&lt;/D&gt;&lt;D xsi:type="xsd:double"&gt;1.41747&lt;/D&gt;&lt;D xsi:type="xsd:double"&gt;2.3895383&lt;/D&gt;&lt;D xsi:type="xsd:double"&gt;1.8661499&lt;/D&gt;&lt;D xsi:type="xsd:double"&gt;-0.30850172&lt;/D&gt;&lt;D xsi:type="xsd:double"&gt;-1.326263&lt;/D&gt;&lt;D xsi:type="xsd:double"&gt;-0.08960962&lt;/D&gt;&lt;D xsi:type="xsd:double"&gt;-8.1165905&lt;/D&gt;&lt;D xsi:type="xsd:double"&gt;0.43923855&lt;/D&gt;&lt;D xsi:type="xsd:double"&gt;-6.990838&lt;/D&gt;&lt;D xsi:type="xsd:double"&gt;9.386862&lt;/D&gt;&lt;D xsi:type="xsd:double"&gt;5.605161&lt;/D&gt;&lt;D xsi:type="xsd:double"&gt;-0.28182864&lt;/D&gt;&lt;D xsi:type="xsd:double"&gt;3.5327315&lt;/D&gt;&lt;D xsi:type="xsd:double"&gt;-0.2729714&lt;/D&gt;&lt;D xsi:type="xsd:double"&gt;3.6721587&lt;/D&gt;&lt;D xsi:type="xsd:double"&gt;2.3798823&lt;/D&gt;&lt;D xsi:type="xsd:double"&gt;-7.5438557&lt;/D&gt;&lt;D xsi:type="xsd:double"&gt;6.2618613&lt;/D&gt;&lt;D xsi:type="xsd:double"&gt;0.9821534&lt;/D&gt;&lt;D xsi:type="xsd:double"&gt;-0.48629642&lt;/D&gt;&lt;D xsi:type="xsd:double"&gt;2.5429845&lt;/D&gt;&lt;D xsi:type="xsd:double"&gt;3.5793304&lt;/D&gt;&lt;D xsi:type="xsd:double"&gt;-2.9863536&lt;/D&gt;&lt;D xsi:type="xsd:double"&gt;-43.623573&lt;/D&gt;&lt;D xsi:type="xsd:double"&gt;25.50702&lt;/D&gt;&lt;D xsi:type="xsd:double"&gt;7.768798&lt;/D&gt;&lt;D xsi:type="xsd:double"&gt;14.006842&lt;/D&gt;&lt;D xsi:type="xsd:double"&gt;3.490758&lt;/D&gt;&lt;D xsi:type="xsd:double"&gt;2.1825433&lt;/D&gt;&lt;D xsi:type="xsd:double"&gt;-4.951459&lt;/D&gt;&lt;D xsi:type="xsd:double"&gt;6.639421&lt;/D&gt;&lt;D xsi:type="xsd:double"&gt;9.243298&lt;/D&gt;&lt;D xsi:type="xsd:double"&gt;5.800402&lt;/D&gt;&lt;D xsi:type="xsd:double"&gt;3.928125&lt;/D&gt;&lt;D xsi:type="xsd:double"&gt;3.015685&lt;/D&gt;&lt;D xsi:type="xsd:double"&gt;-4.1764317&lt;/D&gt;&lt;D xsi:type="xsd:double"&gt;6.8839073&lt;/D&gt;&lt;D xsi:type="xsd:double"&gt;0.22865534&lt;/D&gt;&lt;D xsi:type="xsd:double"&gt;0.73839426&lt;/D&gt;&lt;D xsi:type="xsd:double"&gt;-0.91848373&lt;/D&gt;&lt;D xsi:type="xsd:double"&gt;-1.1973739&lt;/D&gt;&lt;D xsi:type="xsd:double"&gt;0.1172781&lt;/D&gt;&lt;D xsi:type="xsd:double"&gt;3.6313891&lt;/D&gt;&lt;D xsi:type="xsd:double"&gt;-3.428793&lt;/D&gt;&lt;D xsi:type="xsd:double"&gt;0.21743774&lt;/D&gt;&lt;D xsi:type="xsd:double"&gt;-5.4172754&lt;/D&gt;&lt;D xsi:type="xsd:double"&gt;2.2610903&lt;/D&gt;&lt;D xsi:type="xsd:double"&gt;8.468925&lt;/D&gt;&lt;D xsi:type="xsd:double"&gt;-2.730763&lt;/D&gt;&lt;D xsi:type="xsd:double"&gt;-3.716886&lt;/D&gt;&lt;D xsi:type="xsd:double"&gt;-10.801899&lt;/D&gt;&lt;D xsi:type="xsd:double"&gt;3.374517&lt;/D&gt;&lt;D xsi:type="xsd:double"&gt;3.0804634&lt;/D&gt;&lt;D xsi:type="xsd:double"&gt;-11.016947&lt;/D&gt;&lt;D xsi:type="xsd:double"&gt;2.2556305&lt;/D&gt;&lt;D xsi:type="xsd:double"&gt;13.578439&lt;/D&gt;&lt;D xsi:type="xsd:double"&gt;-1.8747032&lt;/D&gt;&lt;D xsi:type="xsd:double"&gt;9.991037&lt;/D&gt;&lt;D xsi:type="xsd:double"&gt;-4.847246&lt;/D&gt;&lt;D xsi:type="xsd:double"&gt;-5.6506815&lt;/D&gt;&lt;D xsi:type="xsd:double"&gt;5.490017&lt;/D&gt;&lt;D xsi:type="xsd:double"&gt;-2.2795737&lt;/D&gt;&lt;D xsi:type="xsd:double"&gt;-0.62120557&lt;/D&gt;&lt;D xsi:type="xsd:double"&gt;4.4223785&lt;/D&gt;&lt;D xsi:type="xsd:double"&gt;-6.006914&lt;/D&gt;&lt;D xsi:type="xsd:double"&gt;-0.5057514&lt;/D&gt;&lt;D xsi:type="xsd:double"&gt;-4.482436&lt;/D&gt;&lt;D xsi:type="xsd:double"&gt;7.643926&lt;/D&gt;&lt;D xsi:type="xsd:double"&gt;11.188423&lt;/D&gt;&lt;D xsi:type="xsd:double"&gt;-3.1353116&lt;/D&gt;&lt;D xsi:type="xsd:double"&gt;1.8313527&lt;/D&gt;&lt;D xsi:type="xsd:double"&gt;1.4638186&lt;/D&gt;&lt;D xsi:type="xsd:double"&gt;-1.6488016&lt;/D&gt;&lt;D xsi:type="xsd:double"&gt;2.6823163&lt;/D&gt;&lt;D xsi:type="xsd:double"&gt;1.4076471&lt;/D&gt;&lt;D xsi:type="xsd:double"&gt;2.1337628&lt;/D&gt;&lt;D xsi:type="xsd:double"&gt;4.0578604&lt;/D&gt;&lt;D xsi:type="xsd:double"&gt;2.760613&lt;/D&gt;&lt;/FQL&gt;&lt;FQL&gt;&lt;Q&gt;ENZL^FMA_PE(NTMA,-10AY,0,AM,"PORTAGG","MEANR")&lt;/Q&gt;&lt;R&gt;121&lt;/R&gt;&lt;C&gt;1&lt;/C&gt;&lt;D xsi:type="xsd:double"&gt;17.2215667992032&lt;/D&gt;&lt;D xsi:type="xsd:double"&gt;17.3558943589787&lt;/D&gt;&lt;D xsi:type="xsd:double"&gt;18.0855320076884&lt;/D&gt;&lt;D xsi:type="xsd:double"&gt;18.1888318838711&lt;/D&gt;&lt;D xsi:type="xsd:double"&gt;18.7406298994844&lt;/D&gt;&lt;D xsi:type="xsd:double"&gt;19.0040389434544&lt;/D&gt;&lt;D xsi:type="xsd:double"&gt;18.1240234129203&lt;/D&gt;&lt;D xsi:type="xsd:double"&gt;18.0708974979723&lt;/D&gt;&lt;D xsi:type="xsd:double"&gt;18.2077280484513&lt;/D&gt;&lt;D xsi:type="xsd:double"&gt;17.8754716836032&lt;/D&gt;&lt;D xsi:type="xsd:double"&gt;18.3080474333662&lt;/D&gt;&lt;D xsi:type="xsd:double"&gt;17.8051467743184&lt;/D&gt;&lt;D xsi:type="xsd:double"&gt;17.3039914878066&lt;/D&gt;&lt;D xsi:type="xsd:double"&gt;18.0899186695333&lt;/D&gt;&lt;D xsi:type="xsd:double"&gt;18.1012462282804&lt;/D&gt;&lt;D xsi:type="xsd:double"&gt;18.141576771405&lt;/D&gt;&lt;D xsi:type="xsd:double"&gt;17.5213662871065&lt;/D&gt;&lt;D xsi:type="xsd:double"&gt;17.4872464190849&lt;/D&gt;&lt;D xsi:type="xsd:double"&gt;17.9973332875368&lt;/D&gt;&lt;D xsi:type="xsd:double"&gt;18.9641728752031&lt;/D&gt;&lt;D xsi:type="xsd:double"&gt;19.164490741841&lt;/D&gt;&lt;D xsi:type="xsd:double"&gt;18.8137068764411&lt;/D&gt;&lt;D xsi:type="xsd:double"&gt;19.9811057491191&lt;/D&gt;&lt;D xsi:type="xsd:double"&gt;20.6415716103557&lt;/D&gt;&lt;D xsi:type="xsd:double"&gt;20.1635071054617&lt;/D&gt;&lt;D xsi:type="xsd:double"&gt;19.1220858178548&lt;/D&gt;&lt;D xsi:type="xsd:double"&gt;18.7045334574963&lt;/D&gt;&lt;D xsi:type="xsd:double"&gt;18.541877820876&lt;/D&gt;&lt;D xsi:type="xsd:double"&gt;18.9330988491226&lt;/D&gt;&lt;D xsi:type="xsd:double"&gt;18.776569374161&lt;/D&gt;&lt;D xsi:type="xsd:double"&gt;18.6642362368739&lt;/D&gt;&lt;D xsi:type="xsd:double"&gt;19.0068523513775&lt;/D&gt;&lt;D xsi:type="xsd:double"&gt;19.4180456982316&lt;/D&gt;&lt;D xsi:type="xsd:double"&gt;19.5858796825282&lt;/D&gt;&lt;D xsi:type="xsd:double"&gt;19.7137817939963&lt;/D&gt;&lt;D xsi:type="xsd:double"&gt;20.1227567171351&lt;/D&gt;&lt;D xsi:type="xsd:double"&gt;19.7226419370774&lt;/D&gt;&lt;D xsi:type="xsd:double"&gt;20.0996729959305&lt;/D&gt;&lt;D xsi:type="xsd:double"&gt;20.1493998155909&lt;/D&gt;&lt;D xsi:type="xsd:double"&gt;20.9530535861254&lt;/D&gt;&lt;D xsi:type="xsd:double"&gt;20.579951543714&lt;/D&gt;&lt;D xsi:type="xsd:double"&gt;20.568589851558&lt;/D&gt;&lt;D xsi:type="xsd:double"&gt;20.5343851599302&lt;/D&gt;&lt;D xsi:type="xsd:double"&gt;19.8084682641098&lt;/D&gt;&lt;D xsi:type="xsd:double"&gt;20.2638159088805&lt;/D&gt;&lt;D xsi:type="xsd:double"&gt;21.3214520844847&lt;/D&gt;&lt;D xsi:type="xsd:double"&gt;20.8159651325713&lt;/D&gt;&lt;D xsi:type="xsd:double"&gt;21.6622089970632&lt;/D&gt;&lt;D xsi:type="xsd:double"&gt;21.734816553579&lt;/D&gt;&lt;D xsi:type="xsd:double"&gt;19.8666731916633&lt;/D&gt;&lt;D xsi:type="xsd:double"&gt;19.7436591402546&lt;/D&gt;&lt;D xsi:type="xsd:double"&gt;19.8541641247753&lt;/D&gt;&lt;D xsi:type="xsd:double"&gt;20.6359267975762&lt;/D&gt;&lt;D xsi:type="xsd:double"&gt;21.4765046801037&lt;/D&gt;&lt;D xsi:type="xsd:double"&gt;21.6537497781988&lt;/D&gt;&lt;D xsi:type="xsd:double"&gt;22.687559553242&lt;/D&gt;&lt;D xsi:type="xsd:double"&gt;23.415530217791&lt;/D&gt;&lt;D xsi:type="xsd:double"&gt;23.2083366496416&lt;/D&gt;&lt;D xsi:type="xsd:double"&gt;24.6366393641373&lt;/D&gt;&lt;D xsi:type="xsd:double"&gt;25.6585354689815&lt;/D&gt;&lt;D xsi:type="xsd:double"&gt;25.5717848664324&lt;/D&gt;&lt;D xsi:type="xsd:double"&gt;24.8832668293333&lt;/D&gt;&lt;D xsi:type="xsd:double"&gt;25.1079564888717&lt;/D&gt;&lt;D xsi:type="xsd:double"&gt;26.0461588637489&lt;/D&gt;&lt;D xsi:type="xsd:double"&gt;26.6756329623937&lt;/D&gt;&lt;D xsi:type="xsd:double"&gt;27.4450754740487&lt;/D&gt;&lt;D xsi:type="xsd:double"&gt;21.1911917616111&lt;/D&gt;&lt;D xsi:type="xsd:double"&gt;28.4697519363489&lt;/D&gt;&lt;D xsi:type="xsd:double"&gt;31.023060230784&lt;/D&gt;&lt;D xsi:type="xsd:double"&gt;30.2016731711355&lt;/D&gt;&lt;D xsi:type="xsd:double"&gt;32.2903827835496&lt;/D&gt;&lt;D xsi:type="xsd:double"&gt;32.5514963066558&lt;/D&gt;&lt;D xsi:type="xsd:double"&gt;31.3731279244263&lt;/D&gt;&lt;D xsi:type="xsd:double"&gt;33.1887624298003&lt;/D&gt;&lt;D xsi:type="xsd:double"&gt;32.1393399631852&lt;/D&gt;&lt;D xsi:type="xsd:double"&gt;34.3341563620744&lt;/D&gt;&lt;D xsi:type="xsd:double"&gt;34.0306238869411&lt;/D&gt;&lt;D xsi:type="xsd:double"&gt;31.388664117469&lt;/D&gt;&lt;D xsi:type="xsd:double"&gt;32.0490555322225&lt;/D&gt;&lt;D xsi:type="xsd:double"&gt;32.2302880639057&lt;/D&gt;&lt;D xsi:type="xsd:double"&gt;32.5951864597289&lt;/D&gt;&lt;D xsi:type="xsd:double"&gt;33.5171319634386&lt;/D&gt;&lt;D xsi:type="xsd:double"&gt;34.2755721746504&lt;/D&gt;&lt;D xsi:type="xsd:double"&gt;34.6794948304236&lt;/D&gt;&lt;D xsi:type="xsd:double"&gt;34.963488364947&lt;/D&gt;&lt;D xsi:type="xsd:double"&gt;33.7262449130849&lt;/D&gt;&lt;D xsi:type="xsd:double"&gt;32.4555197070119&lt;/D&gt;&lt;D xsi:type="xsd:double"&gt;32.1893442352948&lt;/D&gt;&lt;D xsi:type="xsd:double"&gt;30.2241382397446&lt;/D&gt;&lt;D xsi:type="xsd:double"&gt;29.3588166423693&lt;/D&gt;&lt;D xsi:type="xsd:double"&gt;29.4732412276309&lt;/D&gt;&lt;D xsi:type="xsd:double"&gt;28.527885107988&lt;/D&gt;&lt;D xsi:type="xsd:double"&gt;27.3877416856404&lt;/D&gt;&lt;D xsi:type="xsd:double"&gt;25.6053587758448&lt;/D&gt;&lt;D xsi:type="xsd:double"&gt;26.0016635893255&lt;/D&gt;&lt;D xsi:type="xsd:double"&gt;27.3086350004454&lt;/D&gt;&lt;D xsi:type="xsd:double"&gt;25.0518697407108&lt;/D&gt;&lt;D xsi:type="xsd:double"&gt;23.0898226672598&lt;/D&gt;&lt;D xsi:type="xsd:double"&gt;23.5220408569802&lt;/D&gt;&lt;D xsi:type="xsd:double"&gt;23.1998378509902&lt;/D&gt;&lt;D xsi:type="xsd:double"&gt;23.8910705765925&lt;/D&gt;&lt;D xsi:type="xsd:double"&gt;24.0185954055259&lt;/D&gt;&lt;D xsi:type="xsd:double"&gt;22.5720306065986&lt;/D&gt;&lt;D xsi:type="xsd:double"&gt;23.2967538989609&lt;/D&gt;&lt;D xsi:type="xsd:double"&gt;23.494549613041&lt;/D&gt;&lt;D xsi:type="xsd:double"&gt;20.7166167156714&lt;/D&gt;&lt;D xsi:type="xsd:double"&gt;20.9055429901282&lt;/D&gt;&lt;D xsi:type="xsd:double"&gt;20.0598702825205&lt;/D&gt;&lt;D xsi:type="xsd:double"&gt;20.3149390929353&lt;/D&gt;&lt;D xsi:type="xsd:double"&gt;19.2735630275934&lt;/D&gt;&lt;D xsi:type="xsd:double"&gt;20.1819065798651&lt;/D&gt;&lt;D xsi:type="xsd:double"&gt;22.6421708900348&lt;/D&gt;&lt;D xsi:type="xsd:double"&gt;22.3364893708978&lt;/D&gt;&lt;D xsi:type="xsd:double"&gt;22.3468708516345&lt;/D&gt;&lt;D xsi:type="xsd:double"&gt;25.2207317725135&lt;/D&gt;&lt;D xsi:type="xsd:double"&gt;25.0182435772868&lt;/D&gt;&lt;D xsi:type="xsd:double"&gt;25.2295838444533&lt;/D&gt;&lt;D xsi:type="xsd:double"&gt;24.2951091813326&lt;/D&gt;&lt;D xsi:type="xsd:double"&gt;25.5469310609226&lt;/D&gt;&lt;D xsi:type="xsd:double"&gt;26.8893995401767&lt;/D&gt;&lt;D xsi:type="xsd:double"&gt;24.0531553004444&lt;/D&gt;&lt;/FQL&gt;&lt;FQL&gt;&lt;Q&gt;COPP-FDS^MAX(FG_PRICE(0,-5AY))&lt;/Q&gt;&lt;R&gt;1&lt;/R&gt;&lt;C&gt;1&lt;/C&gt;&lt;D xsi:type="xsd:double"&gt;5.119&lt;/D&gt;&lt;/FQL&gt;&lt;FQL&gt;&lt;Q&gt;EWN^FG_PRICE_MAVG(0,,,,30)&lt;/Q&gt;&lt;R&gt;1&lt;/R&gt;&lt;C&gt;1&lt;/C&gt;&lt;D xsi:type="xsd:double"&gt;49.448166&lt;/D&gt;&lt;/FQL&gt;&lt;FQL&gt;&lt;Q&gt;EWQ^PERCENT_CHANGE(FMA_EPS(+1,0,,,,"PORTAGG","MEAN"),FMA_EPS(+1,-3AM,,,,"PORTAGG","MEAN"))&lt;/Q&gt;&lt;R&gt;1&lt;/R&gt;&lt;C&gt;1&lt;/C&gt;&lt;D xsi:type="xsd:double"&gt;0.482719348242559&lt;/D&gt;&lt;/FQL&gt;&lt;FQL&gt;&lt;Q&gt;ENZL^FG_TOTAL_RETURNC(0,-1AM)&lt;/Q&gt;&lt;R&gt;1&lt;/R&gt;&lt;C&gt;1&lt;/C&gt;&lt;D xsi:type="xsd:double"&gt;0.31142235&lt;/D&gt;&lt;/FQL&gt;&lt;FQL&gt;&lt;Q&gt;EWI^FMA_COS_UP("EPS","1M",+1,0,,,"PORTAGG","MEANR")&lt;/Q&gt;&lt;R&gt;1&lt;/R&gt;&lt;C&gt;1&lt;/C&gt;&lt;D xsi:type="xsd:double"&gt;7&lt;/D&gt;&lt;/FQL&gt;&lt;FQL&gt;&lt;Q&gt;EWC^SIZE(FG_CONSTITUENTS)&lt;/Q&gt;&lt;R&gt;1&lt;/R&gt;&lt;C&gt;1&lt;/C&gt;&lt;D xsi:type="xsd:long"&gt;86&lt;/D&gt;&lt;/FQL&gt;&lt;FQL&gt;&lt;Q&gt;REFSEREPO-FDS^FG_YIELD(NOW,,,0)&lt;/Q&gt;&lt;R&gt;1&lt;/R&gt;&lt;C&gt;1&lt;/C&gt;&lt;D xsi:type="xsd:double"&gt;3.5&lt;/D&gt;&lt;/FQL&gt;&lt;FQL&gt;&lt;Q&gt;TRYCH10Y-FDS^FG_YIELD(0,,,,"YTM")&lt;/Q&gt;&lt;R&gt;0&lt;/R&gt;&lt;C&gt;0&lt;/C&gt;&lt;/FQL&gt;&lt;FQL&gt;&lt;Q&gt;EWD^FMA_EVAL_EBITDA(NTMA,0,,,"PORTAGG","MEANR")&lt;/Q&gt;&lt;R&gt;1&lt;/R&gt;&lt;C&gt;1&lt;/C&gt;&lt;D xsi:type="xsd:double"&gt;10.8068361658501&lt;/D&gt;&lt;/FQL&gt;&lt;FQL&gt;&lt;Q&gt;SPY^FMA_PE(LTM,0,,,"PORTAGG","MEANR")&lt;/Q&gt;&lt;R&gt;1&lt;/R&gt;&lt;C&gt;1&lt;/C&gt;&lt;D xsi:type="xsd:double"&gt;26.6466814025123&lt;/D&gt;&lt;/FQL&gt;&lt;FQL&gt;&lt;Q&gt;TRYZA10Y-FDS^FG_YIELD(-10AY,0,Y,,"YTM")&lt;/Q&gt;&lt;R&gt;10&lt;/R&gt;&lt;C&gt;1&lt;/C&gt;&lt;D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xsi:type="xsd:double"&gt;11.358896&lt;/D&gt;&lt;/FQL&gt;&lt;FQL&gt;&lt;Q&gt;EWN^P_PRICE_RETURNS_PR('52W',2,-10AY,0,AM)&lt;/Q&gt;&lt;R&gt;121&lt;/R&gt;&lt;C&gt;1&lt;/C&gt;&lt;D xsi:type="xsd:double"&gt;3.453827&lt;/D&gt;&lt;D xsi:type="xsd:double"&gt;-6.2069893&lt;/D&gt;&lt;D xsi:type="xsd:double"&gt;-0.44095516&lt;/D&gt;&lt;D xsi:type="xsd:double"&gt;-1.5759826&lt;/D&gt;&lt;D xsi:type="xsd:double"&gt;-6.3326&lt;/D&gt;&lt;D xsi:type="xsd:double"&gt;1.7068267&lt;/D&gt;&lt;D xsi:type="xsd:double"&gt;6.3046575&lt;/D&gt;&lt;D xsi:type="xsd:double"&gt;5.3094506&lt;/D&gt;&lt;D xsi:type="xsd:double"&gt;7.4510694&lt;/D&gt;&lt;D xsi:type="xsd:double"&gt;6.01722&lt;/D&gt;&lt;D xsi:type="xsd:double"&gt;9.219933&lt;/D&gt;&lt;D xsi:type="xsd:double"&gt;1.1093259&lt;/D&gt;&lt;D xsi:type="xsd:double"&gt;-4.003626&lt;/D&gt;&lt;D xsi:type="xsd:double"&gt;11.262679&lt;/D&gt;&lt;D xsi:type="xsd:double"&gt;2.4006963&lt;/D&gt;&lt;D xsi:type="xsd:double"&gt;1.0679483&lt;/D&gt;&lt;D xsi:type="xsd:double"&gt;-3.158456&lt;/D&gt;&lt;D xsi:type="xsd:double"&gt;-9.915245&lt;/D&gt;&lt;D xsi:type="xsd:double"&gt;-4.8771563&lt;/D&gt;&lt;D xsi:type="xsd:double"&gt;-3.5331428&lt;/D&gt;&lt;D xsi:type="xsd:double"&gt;-8.629238&lt;/D&gt;&lt;D xsi:type="xsd:double"&gt;-6.171674&lt;/D&gt;&lt;D xsi:type="xsd:double"&gt;-8.929467&lt;/D&gt;&lt;D xsi:type="xsd:double"&gt;4.12122&lt;/D&gt;&lt;D xsi:type="xsd:double"&gt;10.104668&lt;/D&gt;&lt;D xsi:type="xsd:double"&gt;0.73405504&lt;/D&gt;&lt;D xsi:type="xsd:double"&gt;-2.1328628&lt;/D&gt;&lt;D xsi:type="xsd:double"&gt;2.4340272&lt;/D&gt;&lt;D xsi:type="xsd:double"&gt;11.252129&lt;/D&gt;&lt;D xsi:type="xsd:double"&gt;16.252827&lt;/D&gt;&lt;D xsi:type="xsd:double"&gt;13.003075&lt;/D&gt;&lt;D xsi:type="xsd:double"&gt;11.846268&lt;/D&gt;&lt;D xsi:type="xsd:double"&gt;25.19046&lt;/D&gt;&lt;D xsi:type="xsd:double"&gt;20.381618&lt;/D&gt;&lt;D xsi:type="xsd:double"&gt;31.713057&lt;/D&gt;&lt;D xsi:type="xsd:double"&gt;26.153135&lt;/D&gt;&lt;D xsi:type="xsd:double"&gt;27.855587&lt;/D&gt;&lt;D xsi:type="xsd:double"&gt;31.938278&lt;/D&gt;&lt;D xsi:type="xsd:double"&gt;35.37109&lt;/D&gt;&lt;D xsi:type="xsd:double"&gt;34.407627&lt;/D&gt;&lt;D xsi:type="xsd:double"&gt;39.243065&lt;/D&gt;&lt;D xsi:type="xsd:double"&gt;29.35524&lt;/D&gt;&lt;D xsi:type="xsd:double"&gt;19.202316&lt;/D&gt;&lt;D xsi:type="xsd:double"&gt;21.473957&lt;/D&gt;&lt;D xsi:type="xsd:double"&gt;10.610366&lt;/D&gt;&lt;D xsi:type="xsd:double"</t>
        </r>
      </text>
    </comment>
    <comment ref="A11" authorId="0" shapeId="0" xr:uid="{36F8D4DC-B86A-4E3B-B08E-37C403AFE050}">
      <text>
        <r>
          <rPr>
            <b/>
            <sz val="9"/>
            <color indexed="81"/>
            <rFont val="Tahoma"/>
            <charset val="1"/>
          </rPr>
          <t>&gt;10.109472&lt;/D&gt;&lt;D xsi:type="xsd:double"&gt;7.1885467&lt;/D&gt;&lt;D xsi:type="xsd:double"&gt;2.8360486&lt;/D&gt;&lt;D xsi:type="xsd:double"&gt;0.92476606&lt;/D&gt;&lt;D xsi:type="xsd:double"&gt;-9.17226&lt;/D&gt;&lt;D xsi:type="xsd:double"&gt;-8.893955&lt;/D&gt;&lt;D xsi:type="xsd:double"&gt;-16.659344&lt;/D&gt;&lt;D xsi:type="xsd:double"&gt;-17.076237&lt;/D&gt;&lt;D xsi:type="xsd:double"&gt;-5.9987903&lt;/D&gt;&lt;D xsi:type="xsd:double"&gt;-4.502577&lt;/D&gt;&lt;D xsi:type="xsd:double"&gt;-1.2681007&lt;/D&gt;&lt;D xsi:type="xsd:double"&gt;-4.3602047&lt;/D&gt;&lt;D xsi:type="xsd:double"&gt;2.6864529&lt;/D&gt;&lt;D xsi:type="xsd:double"&gt;2.3070931&lt;/D&gt;&lt;D xsi:type="xsd:double"&gt;-0.7571876&lt;/D&gt;&lt;D xsi:type="xsd:double"&gt;5.0916195&lt;/D&gt;&lt;D xsi:type="xsd:double"&gt;16.746532&lt;/D&gt;&lt;D xsi:type="xsd:double"&gt;18.903519&lt;/D&gt;&lt;D xsi:type="xsd:double"&gt;34.15736&lt;/D&gt;&lt;D xsi:type="xsd:double"&gt;25.94421&lt;/D&gt;&lt;D xsi:type="xsd:double"&gt;18.452084&lt;/D&gt;&lt;D xsi:type="xsd:double"&gt;-19.621342&lt;/D&gt;&lt;D xsi:type="xsd:double"&gt;-10.00306&lt;/D&gt;&lt;D xsi:type="xsd:double"&gt;-0.20388961&lt;/D&gt;&lt;D xsi:type="xsd:double"&gt;9.1187&lt;/D&gt;&lt;D xsi:type="xsd:double"&gt;11.55945&lt;/D&gt;&lt;D xsi:type="xsd:double"&gt;16.39788&lt;/D&gt;&lt;D xsi:type="xsd:double"&gt;9.134781&lt;/D&gt;&lt;D xsi:type="xsd:double"&gt;14.663542&lt;/D&gt;&lt;D xsi:type="xsd:double"&gt;19.796276&lt;/D&gt;&lt;D xsi:type="xsd:double"&gt;23.678375&lt;/D&gt;&lt;D xsi:type="xsd:double"&gt;32.136154&lt;/D&gt;&lt;D xsi:type="xsd:double"&gt;33.799232&lt;/D&gt;&lt;D xsi:type="xsd:double"&gt;94.95852&lt;/D&gt;&lt;D xsi:type="xsd:double"&gt;81.45871&lt;/D&gt;&lt;D xsi:type="xsd:double"&gt;66.76495&lt;/D&gt;&lt;D xsi:type="xsd:double"&gt;46.913147&lt;/D&gt;&lt;D xsi:type="xsd:double"&gt;43.16993&lt;/D&gt;&lt;D xsi:type="xsd:double"&gt;49.43129&lt;/D&gt;&lt;D xsi:type="xsd:double"&gt;57.54651&lt;/D&gt;&lt;D xsi:type="xsd:double"&gt;47.550846&lt;/D&gt;&lt;D xsi:type="xsd:double"&gt;33.2109&lt;/D&gt;&lt;D xsi:type="xsd:double"&gt;21.975018&lt;/D&gt;&lt;D xsi:type="xsd:double"&gt;6.6034555&lt;/D&gt;&lt;D xsi:type="xsd:double"&gt;-2.9388964&lt;/D&gt;&lt;D xsi:type="xsd:double"&gt;-4.893035&lt;/D&gt;&lt;D xsi:type="xsd:double"&gt;-15.550852&lt;/D&gt;&lt;D xsi:type="xsd:double"&gt;-20.765066&lt;/D&gt;&lt;D xsi:type="xsd:double"&gt;-27.713663&lt;/D&gt;&lt;D xsi:type="xsd:double"&gt;-23.589653&lt;/D&gt;&lt;D xsi:type="xsd:double"&gt;-29.936737&lt;/D&gt;&lt;D xsi:type="xsd:double"&gt;-40.68299&lt;/D&gt;&lt;D xsi:type="xsd:double"&gt;-37.135117&lt;/D&gt;&lt;D xsi:type="xsd:double"&gt;-22.968567&lt;/D&gt;&lt;D xsi:type="xsd:double"&gt;-23.059654&lt;/D&gt;&lt;D xsi:type="xsd:double"&gt;-7.903588&lt;/D&gt;&lt;D xsi:type="xsd:double"&gt;-2.2845864&lt;/D&gt;&lt;D xsi:type="xsd:double"&gt;-0.48767328&lt;/D&gt;&lt;D xsi:type="xsd:double"&gt;5.179155&lt;/D&gt;&lt;D xsi:type="xsd:double"&gt;13.344896&lt;/D&gt;&lt;D xsi:type="xsd:double"&gt;23.999273&lt;/D&gt;&lt;D xsi:type="xsd:double"&gt;20.9306&lt;/D&gt;&lt;D xsi:type="xsd:double"&gt;18.343925&lt;/D&gt;&lt;D xsi:type="xsd:double"&gt;21.926367&lt;/D&gt;&lt;D xsi:type="xsd:double"&gt;16.586601&lt;/D&gt;&lt;D xsi:type="xsd:double"&gt;12.1455555&lt;/D&gt;&lt;D xsi:type="xsd:double"&gt;20.062197&lt;/D&gt;&lt;D xsi:type="xsd:double"&gt;6.281638&lt;/D&gt;&lt;D xsi:type="xsd:double"&gt;16.986216&lt;/D&gt;&lt;D xsi:type="xsd:double"&gt;23.143482&lt;/D&gt;&lt;D xsi:type="xsd:double"&gt;17.096973&lt;/D&gt;&lt;D xsi:type="xsd:double"&gt;22.509659&lt;/D&gt;&lt;D xsi:type="xsd:double"&gt;22.182465&lt;/D&gt;&lt;D xsi:type="xsd:double"&gt;16.021465&lt;/D&gt;&lt;D xsi:type="xsd:double"&gt;24.506199&lt;/D&gt;&lt;D xsi:type="xsd:double"&gt;31.24752&lt;/D&gt;&lt;/FQL&gt;&lt;FQL&gt;&lt;Q&gt;WL-FDS^FG_PRICE_CHANGE(0,-3AM)&lt;/Q&gt;&lt;R&gt;1&lt;/R&gt;&lt;C&gt;1&lt;/C&gt;&lt;D xsi:type="xsd:double"&gt;4.7832318165532&lt;/D&gt;&lt;/FQL&gt;&lt;FQL&gt;&lt;Q&gt;CPALM-FDS^FG_PRICE(0)/MAX(FG_PRICE(0,-1AY))&lt;/Q&gt;&lt;R&gt;1&lt;/R&gt;&lt;C&gt;1&lt;/C&gt;&lt;D xsi:type="xsd:double"&gt;0.879449661498144&lt;/D&gt;&lt;/FQL&gt;&lt;FQL&gt;&lt;Q&gt;EWG^FG_PRICE_MAVG(0,,,,60)&lt;/Q&gt;&lt;R&gt;1&lt;/R&gt;&lt;C&gt;1&lt;/C&gt;&lt;D xsi:type="xsd:double"&gt;31.44&lt;/D&gt;&lt;/FQL&gt;&lt;FQL&gt;&lt;Q&gt;URTH^FMA_PCT_ABOVE_MAVG(200,0,,,,"PORTAGG")&lt;/Q&gt;&lt;R&gt;1&lt;/R&gt;&lt;C&gt;1&lt;/C&gt;&lt;D xsi:type="xsd:double"&gt;64.818763326226&lt;/D&gt;&lt;/FQL&gt;&lt;FQL&gt;&lt;Q&gt;EWI^FMA_PCT_ABOVE_MAVG(200,0,,,,"PORTAGG")&lt;/Q&gt;&lt;R&gt;1&lt;/R&gt;&lt;C&gt;1&lt;/C&gt;&lt;D xsi:type="xsd:double"&gt;72&lt;/D&gt;&lt;/FQL&gt;&lt;FQL&gt;&lt;Q&gt;EWU^FG_TOTAL_RETURNC(0,-6AM)&lt;/Q&gt;&lt;R&gt;1&lt;/R&gt;&lt;C&gt;1&lt;/C&gt;&lt;D xsi:type="xsd:double"&gt;12.469971&lt;/D&gt;&lt;/FQL&gt;&lt;FQL&gt;&lt;Q&gt;EWG^FG_TOTAL_RETURNC(0,-1AM)&lt;/Q&gt;&lt;R&gt;1&lt;/R&gt;&lt;C&gt;1&lt;/C&gt;&lt;D xsi:type="xsd:double"&gt;1.1721134&lt;/D&gt;&lt;/FQL&gt;&lt;FQL&gt;&lt;Q&gt;EWN^FMA_COS_DOWN("EPS","1M",+1,0,,,"PORTAGG","MEANR")&lt;/Q&gt;&lt;R&gt;1&lt;/R&gt;&lt;C&gt;1&lt;/C&gt;&lt;D xsi:type="xsd:double"&gt;21&lt;/D&gt;&lt;/FQL&gt;&lt;FQL&gt;&lt;Q&gt;REFCATARG-FDS^(SUBARRAY(NOT_NA(NO_REPEAT_F(FG_YIELD(NOW,-10AY,D))),0,1)-SUBARRAY(NOT_NA(NO_REPEAT_F(FG_YIELD(NOW,-10AY,D))),1,1))*100&lt;/Q&gt;&lt;R&gt;1&lt;/R&gt;&lt;C&gt;1&lt;/C&gt;&lt;D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xsi:type="xsd:double"&gt;-25&lt;/D&gt;&lt;/FQL&gt;&lt;FQL&gt;&lt;Q&gt;SPY^JULIAN(FMA_DIV_YLD(NTMA,NOW,NOW,M,"PORTAGG","MEANR").DATES)&lt;/Q&gt;&lt;R&gt;1&lt;/R&gt;&lt;C&gt;1&lt;/C&gt;&lt;D xsi:type="xsd:long"&gt;45534&lt;/D&gt;&lt;/FQL&gt;&lt;FQL&gt;&lt;Q&gt;WL-FDS^FG_PRICE_CHANGE(0,-1AM)&lt;/Q&gt;&lt;R&gt;1&lt;/R&gt;&lt;C&gt;1&lt;/C&gt;&lt;D xsi:type="xsd:double"&gt;11.2611755754232&lt;/D&gt;&lt;/FQL&gt;&lt;FQL&gt;&lt;Q&gt;EWD^FG_TOTAL_RETURNC(0,-12AM)&lt;/Q&gt;&lt;R&gt;1&lt;/R&gt;&lt;C&gt;1&lt;/C&gt;&lt;D xsi:type="xsd:double"&gt;35.943188&lt;/D&gt;&lt;/FQL&gt;&lt;FQL&gt;&lt;Q&gt;TLT^FG_TOTAL_RETURNC(0,-3AM)&lt;/Q&gt;&lt;R&gt;1&lt;/R&gt;&lt;C&gt;1&lt;/C&gt;&lt;D xsi:type="xsd:double"&gt;5.6790113&lt;/D&gt;&lt;/FQL&gt;&lt;FQL&gt;&lt;Q&gt;CAGDPY@CA^EE_ACTUAL_ANNUAL(MED,+1)&lt;/Q&gt;&lt;R&gt;1&lt;/R&gt;&lt;C&gt;1&lt;/C&gt;&lt;D xsi:type="xsd:double"&gt;-1&lt;/D&gt;&lt;/FQL&gt;&lt;FQL&gt;&lt;Q&gt;USDANG^STD(FG_PRICE_CHANGE(0,-3AY,M))&lt;/Q&gt;&lt;R&gt;1&lt;/R&gt;&lt;C&gt;1&lt;/C&gt;&lt;D xsi:type="xsd:double"&gt;0.0594600681310969&lt;/D&gt;&lt;/FQL&gt;&lt;FQL&gt;&lt;Q&gt;USDNZD^STD(FG_PRICE_CHANGE(0,-3AY,M))&lt;/Q&gt;&lt;R&gt;1&lt;/R&gt;&lt;C&gt;1&lt;/C&gt;&lt;D xsi:type="xsd:double"&gt;3.59611459976247&lt;/D&gt;&lt;/FQL&gt;&lt;FQL&gt;&lt;Q&gt;EWQ^FG_PRICE_MAVG(0,,,,60)&lt;/Q&gt;&lt;R&gt;1&lt;/R&gt;&lt;C&gt;1&lt;/C&gt;&lt;D xsi:type="xsd:double"&gt;38.765335&lt;/D&gt;&lt;/FQL&gt;&lt;FQL&gt;&lt;Q&gt;EWA^SIZE(FG_CONSTITUENTS)&lt;/Q&gt;&lt;R&gt;1&lt;/R&gt;&lt;C&gt;1&lt;/C&gt;&lt;D xsi:type="xsd:long"&gt;58&lt;/D&gt;&lt;/FQL&gt;&lt;FQL&gt;&lt;Q&gt;TRYJP10Y-FDS^FG_YIELD(0,,,,"YTM")&lt;/Q&gt;&lt;R&gt;1&lt;/R&gt;&lt;C&gt;1&lt;/C&gt;&lt;D xsi:type="xsd:double"&gt;0.8592&lt;/D&gt;&lt;/FQL&gt;&lt;FQL&gt;&lt;Q&gt;USDEUR^STD(FG_PRICE_CHANGE(0,-3AY,M))&lt;/Q&gt;&lt;R&gt;1&lt;/R&gt;&lt;C&gt;1&lt;/C&gt;&lt;D xsi:type="xsd:double"&gt;2.18410832220464&lt;/D&gt;&lt;/FQL&gt;&lt;FQL&gt;&lt;Q&gt;SPY^P_PRICE_RETURNS_PR('52W',2,-10AY,0,AM)&lt;/Q&gt;&lt;R&gt;121&lt;/R&gt;&lt;C&gt;1&lt;/C&gt;&lt;D xsi:type="xsd:double"&gt;18.78822&lt;/D&gt;&lt;D xsi:type="xsd:double"&gt;13.832259&lt;/D&gt;&lt;D xsi:type="xsd:double"&gt;17.11147&lt;/D&gt;&lt;D xsi:type="xsd:double"&gt;16.039192&lt;/D&gt;&lt;D xsi:type="xsd:double"&gt;14.32358&lt;/D&gt;&lt;D xsi:type="xsd:double"&gt;17.098736&lt;/D&gt;&lt;D xsi:type="xsd:double"&gt;14.983475&lt;/D&gt;&lt;D xsi:type="xsd:double"&gt;14.847636&lt;/D&gt;&lt;D xsi:type="xsd:double"&gt;14.535368&lt;/D&gt;&lt;D xsi:type="xsd:double"&gt;10.374605&lt;/D&gt;&lt;D xsi:type="xsd:double"&gt;7.8862786&lt;/D&gt;&lt;D xsi:type="xsd:double"&gt;1.0070086&lt;/D&gt;&lt;D xsi:type="xsd:double"&gt;-0.24779439&lt;/D&gt;&lt;D xsi:type="xsd:double"&gt;8.608699&lt;/D&gt;&lt;D xsi:type="xsd:double"&gt;3.2042265&lt;/D&gt;&lt;D xsi:type="xsd:double"&gt;1.2313843&lt;/D&gt;&lt;D xsi:type="xsd:double"&gt;-5.635345&lt;/D&gt;&lt;D xsi:type="xsd:double"&gt;-7.047987&lt;/D&gt;&lt;D xsi:type="xsd:double"&gt;-1.1495948&lt;/D&gt;&lt;D xsi:type="xsd:double"&gt;1.3486743&lt;/D&gt;&lt;D xsi:type="xsd:double"&gt;-1.5776515&lt;/D&gt;&lt;D xsi:type="xsd:double"&gt;1.5951395&lt;/D&gt;&lt;D xsi:type="xsd:double"&gt;5.025792&lt;/D&gt;&lt;D xsi:type="xsd:double"&gt;13.222111&lt;/D&gt;&lt;D xsi:type="xsd:double"&gt;13.981509&lt;/D&gt;&lt;D xsi:type="xsd:double"&gt;8.305502&lt;/D&gt;&lt;D xsi:type="xsd:double"&gt;7.849157&lt;/D&gt;&lt;D xsi:type="xsd:double"&gt;11.9133835&lt;/D&gt;&lt;D xsi:type="xsd:double"&gt;21.254147&lt;/D&gt;&lt;D xsi:type="xsd:double"&gt;25.584816&lt;/D&gt;&lt;D xsi:type="xsd:double"&gt;17.55278&lt;/D&gt;&lt;D xsi:type="xsd:double"&gt;14.585662&lt;/D&gt;&lt;D xsi:type="xsd:double"&gt;19.400978&lt;/D&gt;&lt;D xsi:type="xsd:double"&gt;17.679989&lt;/D&gt;&lt;D xsi:type="xsd:double"&gt;16.480946&lt;/D&gt;&lt;D xsi:type="xsd:double"&gt;13.960945&lt;/D&gt;&lt;D xsi:type="xsd:double"&gt;17.179321&lt;/D&gt;&lt;D xsi:type="xsd:double"&gt;22.111916&lt;/D&gt;&lt;D xsi:type="xsd:double"&gt;20.146406&lt;/D&gt;&lt;D xsi:type="xsd:double"&gt;20.995378&lt;/D&gt;&lt;D xsi:type="xsd:double"&gt;27.69643&lt;/D&gt;&lt;D xsi:type="xsd:double"&gt;18.439781&lt;/D&gt;&lt;D xsi:type="xsd:double"&gt;12.362469&lt;/D&gt;&lt;D xsi:type="xsd:double"&gt;15.795267&lt;/D&gt;&lt;D xsi:type="xsd:double"&gt;16.043865&lt;/D&gt;&lt;D xsi:type="xsd:double"&gt;15.245974&lt;/D&gt;&lt;D xsi:type="xsd:double"&gt;15.612912&lt;/D&gt;&lt;D xsi:type="xsd:double"&gt;19.038033&lt;/D&gt;&lt;D xsi:type="xsd:double"&gt;19.214594&lt;/D&gt;&lt;D xsi:type="xsd:double"&gt;8.779216&lt;/D&gt;&lt;D xsi:type="xsd:double"&gt;3.1897545&lt;/D&gt;&lt;D xsi:type="xsd:double"&gt;-8.325476&lt;/D&gt;&lt;D xsi:type="xsd:double"&gt;-5.2395287&lt;/D&gt;&lt;D xsi:type="xsd:double"&gt;5.206275&lt;/D&gt;&lt;D xsi:type="xsd:double"&gt;7.97534&lt;/D&gt;&lt;D xsi:type="xsd:double"&gt;12.013542&lt;/D&gt;&lt;D xsi:type="xsd:double"&gt;5.225706&lt;/D&gt;&lt;D xsi:type="xsd:double"&gt;9.337902&lt;/D&gt;&lt;D xsi:type="xsd:double"&gt;9.207069&lt;/D&gt;&lt;D xsi:type="xsd:double"&gt;1.6537428&lt;/D&gt;&lt;D xsi:type="xsd:double"&gt;4.1731&lt;/D&gt;&lt;D xsi:type="xsd:double"&gt;11.793577&lt;/D&gt;&lt;D xsi:type="xsd:double"&gt;19.68156&lt;/D&gt;&lt;D xsi:type="xsd:double"&gt;35.97728&lt;/D&gt;&lt;D xsi:type="xsd:double"&gt;28.315533&lt;/D&gt;&lt;D xsi:type="xsd:double"&gt;22.481882&lt;/D&gt;&lt;D xsi:type="xsd:double"&gt;-18.508112&lt;/D&gt;&lt;D xsi:type="xsd:double"&gt;-2.7389228&lt;/D&gt;&lt;D xsi:type="xsd:double"&gt;5.576086&lt;/D&gt;&lt;D xsi:type="xsd:double"&gt;8.289289&lt;/D&gt;&lt;D xsi:type="xsd:double"&gt;9.822834&lt;/D&gt;&lt;D xsi:type="xsd:double"&gt;18.43258&lt;/D&gt;&lt;D xsi:type="xsd:double"&gt;10.318971&lt;/D&gt;&lt;D xsi:type="xsd:double"&gt;17.572712&lt;/D&gt;&lt;D xsi:type="xsd:double"&gt;17.213356&lt;/D&gt;&lt;D xsi:type="xsd:double"&gt;16.607285&lt;/D&gt;&lt;D xsi:type="xsd:double"&gt;17.754364&lt;/D&gt;&lt;D xsi:type="xsd:double"&gt;18.410456&lt;/D&gt;&lt;D xsi:type="xsd:double"&gt;77.52148&lt;/D&gt;&lt;D xsi:type="xsd:double"&gt;51.73557&lt;/D&gt;&lt;D xsi:type="xsd:double"&gt;42.98512&lt;/D&gt;&lt;D xsi:type="xsd:double"&gt;37.459816&lt;/D&gt;&lt;D xsi:type="xsd:double"&gt;38.265907&lt;/D&gt;&lt;D xsi:type="xsd:double"&gt;33.72613&lt;/D&gt;&lt;D xsi:type="xsd:double"&gt;39.309193&lt;/D&gt;&lt;D xsi:type="xsd:double"&gt;33.353127&lt;/D&gt;&lt;D xsi:type="xsd:double"&gt;32.834995&lt;/D&gt;&lt;D xsi:type="xsd:double"&gt;29.753077&lt;/D&gt;&lt;D xsi:type="xsd:double"&gt;15.520096&lt;/D&gt;&lt;D xsi:type="xsd:double"&gt;10.35577&lt;/D&gt;&lt;D xsi:type="xsd:double"&gt;15.450454&lt;/D&gt;&lt;D xsi:type="xsd:double"&gt;4.7091246&lt;/D&gt;&lt;D xsi:type="xsd:double"&gt;-3.0755103&lt;/D&gt;&lt;D xsi:type="xsd:double"&gt;-9.264517&lt;/D&gt;&lt;D xsi:type="xsd:double"&gt;-7.977581&lt;/D&gt;&lt;D xsi:type="xsd:double"&gt;-6.4913454&lt;/D&gt;&lt;D xsi:type="xsd:double"&gt;-15.715801&lt;/D&gt;&lt;D xsi:type="xsd:double"&gt;-16.231209&lt;/D&gt;&lt;D xsi:type="xsd:double"&gt;-12.7440815&lt;/D&gt;&lt;D xsi:type="xsd:double"&gt;-17.30991&lt;/D&gt;&lt;D xsi:type="xsd:double"&gt;-7.0396185&lt;/D&gt;&lt;D xsi:type="xsd:double"&gt;-3.5008073&lt;/D&gt;&lt;D xsi:type="xsd:double"&gt;-9.896153&lt;/D&gt;&lt;D xsi:type="xsd:double"&gt;-4.297203&lt;/D&gt;&lt;D xsi:type="xsd:double"&gt;6.106484&lt;/D&gt;&lt;D xsi:type="xsd:double"&gt;16.47594&lt;/D&gt;&lt;D xsi:type="xsd:double"&gt;15.2565365&lt;/D&gt;&lt;D xsi:type="xsd:double"&gt;9.2108135&lt;/D&gt;&lt;D xsi:type="xsd:double"&gt;16.84699&lt;/D&gt;&lt;D xsi:type="xsd:double"&gt;14.121771&lt;/D&gt;&lt;D xsi:type="xsd:double"&gt;15.592897&lt;/D&gt;&lt;D xsi:type="xsd:double"&gt;26.31365&lt;/D&gt;&lt;D xsi:type="xsd:double"&gt;22.877193&lt;/D&gt;&lt;D xsi:type="xsd:double"&gt;28.693878&lt;/D&gt;&lt;D xsi:type="xsd:double"&gt;34.86079&lt;/D&gt;&lt;D xsi:type="xsd:double"&gt;24.458004&lt;/D&gt;&lt;D xsi:type="xsd:double"&gt;28.866148&lt;/D&gt;&lt;D xsi:type="xsd:double"&gt;26.952707&lt;/D&gt;&lt;D xsi:type="xsd:double"&gt;24.191368&lt;/D&gt;&lt;D xsi:type="xsd:double"&gt;28.667568&lt;/D&gt;&lt;D xsi:type="xsd:double"&gt;34.21507&lt;/D&gt;&lt;/FQL&gt;&lt;FQL&gt;&lt;Q&gt;WL-FDS^FG_PRICE_MAVG(0,,,,30)&lt;/Q&gt;&lt;R&gt;1&lt;/R&gt;&lt;C&gt;1&lt;/C&gt;&lt;D xsi:type="xsd:double"&gt;534.53&lt;/D&gt;&lt;/FQL&gt;&lt;FQL&gt;&lt;Q&gt;EWD^JULIAN(FMA_DIV_YLD(NTMA,NOW,NOW,M,"PORTAGG","MEANR").DATES)&lt;/Q&gt;&lt;R&gt;1&lt;/R&gt;&lt;C&gt;1&lt;/C&gt;&lt;D xsi:type="xsd:long"&gt;45534&lt;/D&gt;&lt;/FQL&gt;&lt;FQL&gt;&lt;Q&gt;EWJ^FMA_DIV_YLD(NTMA,NOW,NOW,M,"PORTAGG","MEANR")&lt;/Q&gt;&lt;R&gt;1&lt;/R&gt;&lt;C&gt;1&lt;/C&gt;&lt;D xsi:type="xsd:double"&gt;2.37520994994013&lt;/D&gt;&lt;/FQL&gt;&lt;FQL&gt;&lt;Q&gt;ENZL^FMA_DIV_YLD(NTMA,NOW,NOW,M,"PORTAGG","MEANR")&lt;/Q&gt;&lt;R&gt;1&lt;/R&gt;&lt;C&gt;1&lt;/C&gt;&lt;D xsi:type="xsd:double"&gt;2.51392724535129&lt;/D&gt;&lt;/FQL&gt;&lt;FQL&gt;&lt;Q&gt;CAGDPY@CA^EE_ACTUAL_ANNUAL(MED,0)&lt;/Q&gt;&lt;R&gt;1&lt;/R&gt;&lt;C&gt;1&lt;/C&gt;&lt;D xsi:type="xsd:double"&gt;-0.725414399026327&lt;/D&gt;&lt;/FQL&gt;&lt;FQL&gt;&lt;Q&gt;EWQ^FMA_PE(LTMA,-10AY,0,AM,"PORTAGG","MEANR")&lt;/Q&gt;&lt;R&gt;121&lt;/R&gt;&lt;C&gt;1&lt;/C&gt;&lt;D xsi:type="xsd:double"&gt;15.2872203774836&lt;/D&gt;&lt;D xsi:type="xsd:double"&gt;14.7669832403424&lt;/D&gt;&lt;D xsi:type="xsd:double"&gt;15.2886691033137&lt;/D&gt;&lt;D xsi:type="xsd:double"&gt;15.1955717392066&lt;/D&gt;&lt;D xsi:type="xsd:double"&gt;16.2579426270356&lt;/D&gt;&lt;D xsi:type="xsd:double"&gt;17.2517627733555&lt;/D&gt;&lt;D xsi:type="xsd:double"&gt;17.579077959195&lt;/D&gt;&lt;D xsi:type="xsd:double"&gt;17.6253265924543&lt;/D&gt;&lt;D xsi:type="xsd:double"&gt;17.5732086936137&lt;/D&gt;&lt;D xsi:type="xsd:double"&gt;17.4192307601672&lt;/D&gt;&lt;D xsi:type="xsd:double"&gt;17.3519958153382&lt;/D&gt;&lt;D xsi:type="xsd:double"&gt;16.1766589408084&lt;/D&gt;&lt;D xsi:type="xsd:double"&gt;15.5153285047365&lt;/D&gt;&lt;D xsi:type="xsd:double"&gt;16.4895952231028&lt;/D&gt;&lt;D xsi:type="xsd:double"&gt;16.2732823288469&lt;/D&gt;&lt;D xsi:type="xsd:double"&gt;15.5395555471804&lt;/D&gt;&lt;D xsi:type="xsd:double"&gt;14.4227489500986&lt;/D&gt;&lt;D xsi:type="xsd:double"&gt;14.7829560862568&lt;/D&gt;&lt;D xsi:type="xsd:double"&gt;15.1686415085508&lt;/D&gt;&lt;D xsi:type="xsd:double"&gt;15.3116158091976&lt;/D&gt;&lt;D xsi:type="xsd:double"&gt;15.0478356849484&lt;/D&gt;&lt;D xsi:type="xsd:double"&gt;15.1782463986209&lt;/D&gt;&lt;D xsi:type="xsd:double"&gt;15.0154388935205&lt;/D&gt;&lt;D xsi:type="xsd:double"&gt;14.9149296332996&lt;/D&gt;&lt;D xsi:type="xsd:double"&gt;14.985675333262&lt;/D&gt;&lt;D xsi:type="xsd:double"&gt;15.0726012245269&lt;/D&gt;&lt;D xsi:type="xsd:double"&gt;14.8340902854348&lt;/D&gt;&lt;D xsi:type="xsd:double"&gt;15.6855725147825&lt;/D&gt;&lt;D xsi:type="xsd:double"&gt;15.7099947361415&lt;/D&gt;&lt;D xsi:type="xsd:double"&gt;15.7315777741611&lt;/D&gt;&lt;D xsi:type="xsd:double"&gt;15.6276427006167&lt;/D&gt;&lt;D xsi:type="xsd:double"&gt;15.5827654365435&lt;/D&gt;&lt;D xsi:type="xsd:double"&gt;15.8067046207954&lt;/D&gt;&lt;D xsi:type="xsd:double"&gt;15.71910726249&lt;/D&gt;&lt;D xsi:type="xsd:double"&gt;15.5900005055858&lt;/D&gt;&lt;D xsi:type="xsd:double"&gt;15.4846383465004&lt;/D&gt;&lt;D xsi:type="xsd:double"&gt;15.8479945251538&lt;/D&gt;&lt;D xsi:type="xsd:double"&gt;16.1179670917536&lt;/D&gt;&lt;D xsi:type="xsd:double"&gt;15.95821282073&lt;/D&gt;&lt;D xsi:type="xsd:double"&gt;16.0968014338417&lt;/D&gt;&lt;D xsi:type="xsd:double"&gt;16.6631341284383&lt;/D&gt;&lt;D xsi:type="xsd:double"&gt;15.6508114592205&lt;/D&gt;&lt;D xsi:type="xsd:double"&gt;15.4427028491414&lt;/D&gt;&lt;D xsi:type="xsd:double"&gt;15.5763385320595&lt;/D&gt;&lt;D xsi:type="xsd:double"&gt;15.5783066081373&lt;/D&gt;&lt;D xsi:type="xsd:double"&gt;15.2569471997246&lt;/D&gt;&lt;D xsi:type="xsd:double"&gt;15.202039434081&lt;/D&gt;&lt;D xsi:type="xsd:double"&gt;15.0660055027772&lt;/D&gt;&lt;D xsi:type="xsd:double"&gt;15.1459028549283&lt;/D&gt;&lt;D xsi:type="xsd:double"&gt;13.9314884204307&lt;/D&gt;&lt;D xsi:type="xsd:double"&gt;13.6779318101848&lt;/D&gt;&lt;D xsi:type="xsd:double"&gt;12.9039449751081&lt;/D&gt;&lt;D xsi:type="xsd:double"&gt;13.3453699870919&lt;/D&gt;&lt;D xsi:type="xsd:double"&gt;14.4565142043661&lt;/D&gt;&lt;D xsi:type="xsd:double"&gt;14.5186595332092&lt;/D&gt;&lt;D xsi:type="xsd:double"&gt;14.6819711272356&lt;/D&gt;&lt;D xsi:type="xsd:double"&gt;14.3974932881722&lt;/D&gt;&lt;D xsi:type="xsd:double"&gt;13.6782161478527&lt;/D&gt;&lt;D xsi:type="xsd:double"&gt;14.9042826633658&lt;/D&gt;&lt;D xsi:type="xsd:double"&gt;14.5182940323191&lt;/D&gt;&lt;D xsi:type="xsd:double"&gt;15.0921282782535&lt;/D&gt;&lt;D xsi:type="xsd:double"&gt;15.3763649443968&lt;/D&gt;&lt;D xsi:type="xsd:double"&gt;16.0152041671349&lt;/D&gt;&lt;D xsi:type="xsd:double"&gt;16.5524697071124&lt;/D&gt;&lt;D xsi:type="xsd:double"&gt;16.4841271835202&lt;/D&gt;&lt;D xsi:type="xsd:double"&gt;16.5709115068037&lt;/D&gt;&lt;D xsi:type="xsd:double"&gt;13.9519336846463&lt;/D&gt;&lt;D xsi:type="xsd:double"&gt;15.431603984658&lt;/D&gt;&lt;D xsi:type="xsd:double"&gt;16.2781555166835&lt;/D&gt;&lt;D xsi:type="xsd:double"&gt;18.406466736987&lt;/D&gt;&lt;D xsi:type="xsd:double"&gt;20.3394593049604&lt;/D&gt;&lt;D xsi:type="xsd:double"&gt;21.9643015377837&lt;/D&gt;&lt;D xsi:type="xsd:double"&gt;22.7340496253697&lt;/D&gt;&lt;D xsi:type="xsd:double"&gt;24.2342078693388&lt;/D&gt;&lt;D xsi:type="xsd:double"&gt;27.5212172883396&lt;/D&gt;&lt;D xsi:type="xsd:double"&gt;28.4188788301396&lt;/D&gt;&lt;D xsi:type="xsd:double"&gt;28.4986019061957&lt;/D&gt;&lt;D xsi:type="xsd:double"&gt;27.24652547259&lt;/D&gt;&lt;D xsi:type="xsd:double"&gt;26.4662569057418&lt;/D&gt;&lt;D xsi:type="xsd:double"&gt;25.7081323847298&lt;/D&gt;&lt;D xsi:type="xsd:double"&gt;24.8032633590426&lt;/D&gt;&lt;D xsi:type="xsd:double"&gt;23.9877953590231&lt;/D&gt;&lt;D xsi:type="xsd:double"&gt;22.7837533756483&lt;/D&gt;&lt;D xsi:type="xsd:double"&gt;21.2972931304647&lt;/D&gt;&lt;D xsi:type="xsd:double"&gt;20.2752459349638&lt;/D&gt;&lt;D xsi:type="xsd:double"&gt;19.0267750500504&lt;/D&gt;&lt;D xsi:type="xsd:double"&gt;18.0883330800899&lt;/D&gt;&lt;D xsi:type="xsd:double"&gt;17.3396724386419&lt;/D&gt;&lt;D xsi:type="xsd:double"&gt;16.7187100656139&lt;/D&gt;&lt;D xsi:type="xsd:double"&gt;15.7538885189698&lt;/D&gt;&lt;D xsi:type="xsd:double"&gt;15.2740797759586&lt;/D&gt;&lt;D xsi:type="xsd:double"&gt;15.0180528827504&lt;/D&gt;&lt;D xsi:type="xsd:double"&gt;14.3916531605656&lt;/D&gt;&lt;D xsi:type="xsd:double"&gt;13.6320816011508&lt;/D&gt;&lt;D xsi:type="xsd:double"&gt;13.4570222750396&lt;/D&gt;&lt;D xsi:type="xsd:double"&gt;12.8589263754555&lt;/D&gt;&lt;D xsi:type="xsd:double"&gt;11.658970743717&lt;/D&gt;&lt;D xsi:type="xsd:double"&gt;11.5847442436986&lt;/D&gt;&lt;D xsi:type="xsd:double"&gt;12.1918329035408&lt;/D&gt;&lt;D xsi:type="xsd:double"&gt;11.6409717987705&lt;/D&gt;&lt;D xsi:type="xsd:double"&gt;12.7330875208387&lt;/D&gt;&lt;D xsi:type="xsd:double"&gt;12.9683823411821&lt;/D&gt;&lt;D xsi:type="xsd:double"&gt;12.9038878002782&lt;/D&gt;&lt;D xsi:type="xsd:double"&gt;13.2336646789455&lt;/D&gt;&lt;D xsi:type="xsd:double"&gt;13.1497826587672&lt;/D&gt;&lt;D xsi:type="xsd:double"&gt;13.0905301688566&lt;/D&gt;&lt;D xsi:type="xsd:double"&gt;13.4437606707936&lt;/D&gt;&lt;D xsi:type="xsd:double"&gt;13.1912403665005&lt;/D&gt;&lt;D xsi:type="xsd:double"&gt;13.0803119844365&lt;/D&gt;&lt;D xsi:type="xsd:double"&gt;12.5468541354874&lt;/D&gt;&lt;D xsi:type="xsd:double"&gt;13.2821141651393&lt;/D&gt;&lt;D xsi:type="xsd:double"&gt;14.0692734898953&lt;/D&gt;&lt;D xsi:type="xsd:double"&gt;13.9669089248886&lt;/D&gt;&lt;D xsi:type="xsd:double"&gt;15.5701510735123&lt;/D&gt;&lt;D xsi:type="xsd:double"&gt;15.5081600354237&lt;/D&gt;&lt;D xsi:type="xsd:double"&gt;15.448654867236&lt;/D&gt;&lt;D xsi:type="xsd:double"&gt;15.4347931170181&lt;/D&gt;&lt;D xsi:type="xsd:double"&gt;14.9995387012439&lt;/D&gt;&lt;D xsi:type="xsd:double"&gt;14.9431515483897&lt;/D&gt;&lt;D xsi:type="xsd:double"&gt;15.0234750309394&lt;/D&gt;&lt;D xsi:type="xsd:double"&gt;14.8160993104804&lt;/D&gt;&lt;/FQL&gt;&lt;FQL&gt;&lt;Q&gt;EWQ^FG_PRICE_MAVG(0,,,,30)&lt;/Q&gt;&lt;R&gt;1&lt;/R&gt;&lt;C&gt;1&lt;/C&gt;&lt;D xsi:type="xsd:double"&gt;39.203&lt;/D&gt;&lt;/FQL&gt;&lt;FQL&gt;&lt;Q&gt;VWO^FG_TOTAL_RETURNC(0,-1AM)&lt;/Q&gt;&lt;R&gt;1&lt;/R&gt;&lt;C&gt;1&lt;/C&gt;&lt;D xsi:type="xsd:double"&gt;1.7988801&lt;/D&gt;&lt;/FQL&gt;&lt;FQL&gt;&lt;Q&gt;TRYAU10Y-FDS^PCTCHG(FG_YIELD(0,,,,"YTM"),FG_YIELD(-1AM,,,,"YTM"))&lt;/Q&gt;&lt;R&gt;1&lt;/R&gt;&lt;C&gt;1&lt;/C&gt;&lt;D xsi:type="xsd:double"&gt;1.2248048&lt;/D&gt;&lt;/FQL&gt;&lt;FQL&gt;&lt;Q&gt;VWO^FMA_EVAL_EBITDA(NTMA,0,,,"PORTAGG","MEANR")&lt;/Q&gt;&lt;R&gt;1&lt;/R&gt;&lt;C&gt;1&lt;/C&gt;&lt;D xsi:type="xsd:double"&gt;8.95050924824355&lt;/D&gt;&lt;/FQL&gt;&lt;FQL&gt;&lt;Q&gt;ENZL^FMA_PE(NTMA,0,,,"PORTAGG","MEANR")&lt;/Q&gt;&lt;R&gt;1&lt;/R&gt;&lt;C&gt;1&lt;/C&gt;&lt;D xsi:type="xsd:double"&gt;24.0531553004444&lt;/D&gt;&lt;/FQL&gt;&lt;FQL&gt;&lt;Q&gt;EWI^FMA_ROE(NTMA,-20AY,NOW,FY,"PORTAGG","MEANR")&lt;/Q&gt;&lt;R&gt;20&lt;/R&gt;&lt;C&gt;1&lt;/C&gt;&lt;D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xsi:type="xsd:double"&gt;13.3572149047324&lt;/D&gt;&lt;/FQL&gt;&lt;FQL&gt;&lt;Q&gt;CC_CH^FG_COMPANY_NAME&lt;/Q&gt;&lt;R&gt;1&lt;/R&gt;&lt;C&gt;1&lt;/C&gt;&lt;D xsi:type="xsd:string"&gt;Switzerland&lt;/D&gt;&lt;/FQL&gt;&lt;FQL&gt;&lt;Q&gt;SPY^FMA_PE(LTMA,-10AY,0,AM,"PORTAGG","MEANR")&lt;/Q&gt;&lt;R&gt;121&lt;/R&gt;&lt;C&gt;1&lt;/C&gt;&lt;D xsi:type="xsd:double"&gt;16.4345268522967&lt;/D&gt;&lt;D xsi:type="xsd:double"&gt;16.2847213810128&lt;/D&gt;&lt;D xsi:type="xsd:double"&gt;17.0730053542918&lt;/D&gt;&lt;D xsi:type="xsd:double"&gt;17.4620475768743&lt;/D&gt;&lt;D xsi:type="xsd:double"&gt;17.2512198041125&lt;/D&gt;&lt;D xsi:type="xsd:double"&gt;17.6339769142956&lt;/D&gt;&lt;D xsi:type="xsd:double"&gt;17.5772668027922&lt;/D&gt;&lt;D xsi:type="xsd:double"&gt;17.6032849514474&lt;/D&gt;&lt;D xsi:type="xsd:double"&gt;17.5806708583959&lt;/D&gt;&lt;D xsi:type="xsd:double"&gt;17.5706818403479&lt;/D&gt;&lt;D xsi:type="xsd:double"&gt;17.5203853291244&lt;/D&gt;&lt;D xsi:type="xsd:double"&gt;16.8354731646229&lt;/D&gt;&lt;D xsi:type="xsd:double"&gt;16.5690850552948&lt;/D&gt;&lt;D xsi:type="xsd:double"&gt;17.456419977711&lt;/D&gt;&lt;D xsi:type="xsd:double"&gt;17.4701879814495&lt;/D&gt;&lt;D xsi:type="xsd:double"&gt;17.2961596835281&lt;/D&gt;&lt;D xsi:type="xsd:double"&gt;16.0079553312653&lt;/D&gt;&lt;D xsi:type="xsd:double"&gt;16.2966838906097&lt;/D&gt;&lt;D xsi:type="xsd:double"&gt;16.18819342752&lt;/D&gt;&lt;D xsi:type="xsd:double"&gt;16.4452153070474&lt;/D&gt;&lt;D xsi:type="xsd:double"&gt;16.565182572191&lt;/D&gt;&lt;D xsi:type="xsd:double"&gt;16.920365789873&lt;/D&gt;&lt;D xsi:type="xsd:double"&gt;17.345129976865&lt;/D&gt;&lt;D xsi:type="xsd:double"&gt;17.5937947992977&lt;/D&gt;&lt;D xsi:type="xsd:double"&gt;17.6870690628645&lt;/D&gt;&lt;D xsi:type="xsd:double"&gt;17.6343437190018&lt;/D&gt;&lt;D xsi:type="xsd:double"&gt;18.2617173626348&lt;/D&gt;&lt;D xsi:type="xsd:double"&gt;18.9474406770002&lt;/D&gt;&lt;D xsi:type="xsd:double"&gt;18.8727748178001&lt;/D&gt;&lt;D xsi:type="xsd:double"&gt;19.5148510330435&lt;/D&gt;&lt;D xsi:type="xsd:double"&gt;19.3580294665989&lt;/D&gt;&lt;D xsi:type="xsd:double"&gt;19.1994278616709&lt;/D&gt;&lt;D xsi:type="xsd:double"&gt;19.15090477685&lt;/D&gt;&lt;D xsi:type="xsd:double"&gt;19.1613029243237&lt;/D&gt;&lt;D xsi:type="xsd:double"&gt;19.2438984719265&lt;/D&gt;&lt;D xsi:type="xsd:double"&gt;18.9660050178945&lt;/D&gt;&lt;D xsi:type="xsd:double"&gt;19.2299887389055&lt;/D&gt;&lt;D xsi:type="xsd:double"&gt;19.6470074902989&lt;/D&gt;&lt;D xsi:type="xsd:double"&gt;19.6875200140582&lt;/D&gt;&lt;D xsi:type="xsd:double"&gt;20.3039062527346&lt;/D&gt;&lt;D xsi:type="xsd:double"&gt;21.2614735516799&lt;/D&gt;&lt;D xsi:type="xsd:double"&gt;20.077322290439&lt;/D&gt;&lt;D xsi:type="xsd:double"&gt;19.4269140707588&lt;/D&gt;&lt;D xsi:type="xsd:double"&gt;19.2362307108823&lt;/D&gt;&lt;D xsi:type="xsd:double"&gt;19.0001524972793&lt;/D&gt;&lt;D xsi:type="xsd:double"&gt;18.7890038283372&lt;/D&gt;&lt;D xsi:type="xsd:double"&gt;18.6699426509405&lt;/D&gt;&lt;D xsi:type="xsd:double"&gt;18.5776437966178&lt;/D&gt;&lt;D xsi:type="xsd:double"&gt;18.6887395038247&lt;/D&gt;&lt;D xsi:type="xsd:double"&gt;17.5797706657456&lt;/D&gt;&lt;D xsi:type="xsd:double"&gt;16.6212009883524&lt;/D&gt;&lt;D xsi:type="xsd:double"&gt;15.0645704519365&lt;/D&gt;&lt;D xsi:type="xsd:double"&gt;16.3106340869732&lt;/D&gt;&lt;D xsi:type="xsd:double"&gt;17.1761735558756&lt;/D&gt;&lt;D xsi:type="xsd:double"&gt;17.098035434664&lt;/D&gt;&lt;D xsi:type="xsd:double"&gt;17.2903392103759&lt;/D&gt;&lt;D xsi:type="xsd:double"&gt;17.0508477284256&lt;/D&gt;&lt;D xsi:type="xsd:double"&gt;17.4251200978181&lt;/D&gt;&lt;D xsi:type="xsd:double"&gt;17.7167844156288&lt;/D&gt;&lt;D xsi:type="xsd:double"&gt;17.2109503493416&lt;/D&gt;&lt;D xsi:type="xsd:double"&gt;17.9079614301401&lt;/D&gt;&lt;D xsi:type="xsd:double"&gt;18.1508558592587&lt;/D&gt;&lt;D xsi:type="xsd:double"&gt;18.881242219408&lt;/D&gt;&lt;D xsi:type="xsd:double"&gt;19.7808197359951&lt;/D&gt;&lt;D xsi:type="xsd:double"&gt;20.3686883448347&lt;/D&gt;&lt;D xsi:type="xsd:double"&gt;20.2408416046359&lt;/D&gt;&lt;D xsi:type="xsd:double"&gt;17.0581206767111&lt;/D&gt;&lt;D xsi:type="xsd:double"&gt;18.8142656437869&lt;/D&gt;&lt;D xsi:type="xsd:double"&gt;20.0378168131973&lt;/D&gt;&lt;D xsi:type="xsd:double"&gt;21.2103212351201&lt;/D&gt;&lt;D xsi:type="xsd:double"&gt;22.1211717386328&lt;/D&gt;&lt;D xsi:type="xsd:double"&gt;22.9769859851466&lt;/D&gt;&lt;D xsi:type="xsd:double"&gt;22.739517824898&lt;/D&gt;&lt;D xsi:type="xsd:double"&gt;24.3015720039701&lt;/D&gt;&lt;D xsi:type="xsd:double"&gt;24.9201606908225&lt;/D&gt;&lt;D xsi:type="xsd:double"&gt;26.7600515394652&lt;/D&gt;&lt;D xsi:type="xsd:double"&gt;27.4314935590734&lt;/D&gt;&lt;D xsi:type="xsd:double"&gt;26.8586993874878&lt;/D&gt;&lt;D xsi:type="xsd:double"&gt;26.0413485546254&lt;/D&gt;&lt;D xsi:type="xsd:double"&gt;25.8661149441561&lt;/D&gt;&lt;D xsi:type="xsd:double"&gt;25.1401300946362&lt;/D&gt;&lt;D xsi:type="xsd:double"&gt;24.8026053283942&lt;/D&gt;&lt;D xsi:type="xsd:double"&gt;24.556986141854&lt;/D&gt;&lt;D xsi:type="xsd:double"&gt;23.9839165335997&lt;/D&gt;&lt;D xsi:type="xsd:double"&gt;23.5133645561709&lt;/D&gt;&lt;D xsi:type="xsd:double"&gt;23.2868998027918&lt;/D&gt;&lt;D xsi:type="xsd:double"&gt;23.2834430658335&lt;/D&gt;&lt;D xsi:type="xsd:double"&gt;23.1321496076122&lt;/D&gt;&lt;D xsi:type="xsd:double"&gt;21.2655124132693&lt;/D&gt;&lt;D xsi:type="xsd:double"&gt;20.0675259476567&lt;/D&gt;&lt;D xsi:type="xsd:double"&gt;20.6655336996333&lt;/D&gt;&lt;D xsi:type="xsd:double"&gt;20.2313542746184&lt;/D&gt;&lt;D xsi:type="xsd:double"&gt;19.5419006740472&lt;/D&gt;&lt;D xsi:type="xsd:double"&gt;18.8383894842373&lt;/D&gt;&lt;D xsi:type="xsd:double"&gt;18.9357616306915&lt;/D&gt;&lt;D xsi:type="xsd:double"&gt;19.2186835077477&lt;/D&gt;&lt;D xsi:type="xsd:double"&gt;17.6802669191381&lt;/D&gt;&lt;D xsi:type="xsd:double"&gt;17.6753575316227&lt;/D&gt;&lt;D xsi:type="xsd:double"&gt;18.5024025112131&lt;/D&gt;&lt;D xsi:type="xsd:double"&gt;17.4992976250065&lt;/D&gt;&lt;D xsi:type="xsd:double"&gt;18.25033202929&lt;/D&gt;&lt;D xsi:type="xsd:double"&gt;18.2138420546777&lt;/D&gt;&lt;D xsi:type="xsd:double"&gt;18.024303519632&lt;/D&gt;&lt;D xsi:type="xsd:double"&gt;18.3054048840464&lt;/D&gt;&lt;D xsi:type="xsd:double"&gt;18.350417577822&lt;/D&gt;&lt;D xsi:type="xsd:double"&gt;18.8550885559301&lt;/D&gt;&lt;D xsi:type="xsd:double"&gt;19.5696222384585&lt;/D&gt;&lt;D xsi:type="xsd:double"&gt;19.3310648741124&lt;/D&gt;&lt;D xsi:type="xsd:double"&gt;19.1249877221755&lt;/D&gt;&lt;D xsi:type="xsd:double"&gt;18.9588776284411&lt;/D&gt;&lt;D xsi:type="xsd:double"&gt;20.345904144713&lt;/D&gt;&lt;D xsi:type="xsd:double"&gt;21.5800468537847&lt;/D&gt;&lt;D xsi:type="xsd:double"&gt;22.1883639275672&lt;/D&gt;&lt;D xsi:type="xsd:double"&gt;22.7647135575659&lt;/D&gt;&lt;D xsi:type="xsd:double"&gt;22.7752257102134&lt;/D&gt;&lt;D xsi:type="xsd:double"&gt;22.440897108272&lt;/D&gt;&lt;D xsi:type="xsd:double"&gt;22.5138948863331&lt;/D&gt;&lt;D xsi:type="xsd:double"&gt;22.7699002008301&lt;/D&gt;&lt;D xsi:type="xsd:double"&gt;22.9715166721175&lt;/D&gt;&lt;D xsi:type="xsd:double"&gt;23.2093965069636&lt;/D&gt;&lt;D xsi:type="xsd:double"&gt;23.4688106291884&lt;/D&gt;&lt;/FQL&gt;&lt;FQL&gt;&lt;Q&gt;COPP-FDS^FG_PRICE_CHANGE(0,-3AM)&lt;/Q&gt;&lt;R&gt;1&lt;/R&gt;&lt;C&gt;1&lt;/C&gt;&lt;D xsi:type="xsd:double"&gt;-4.7285269247886&lt;/D&gt;&lt;/FQL&gt;&lt;FQL&gt;&lt;Q&gt;EWA^FG_PRICE_MAVG(0,,,,60)&lt;/Q&gt;&lt;R&gt;1&lt;/R&gt;&lt;C&gt;1&lt;/C&gt;&lt;D xsi:type="xsd:double"&gt;25.143084&lt;/D&gt;&lt;/FQL&gt;&lt;FQL&gt;&lt;Q&gt;EWG^FMA_RBICS_REV_CURRENT(30, LOC, "PORTAGG")&lt;/Q&gt;&lt;R&gt;1&lt;/R&gt;&lt;C&gt;1&lt;/C&gt;&lt;D xsi:type="xsd:double"&gt;23.4666496440462&lt;/D&gt;&lt;/FQL&gt;&lt;FQL&gt;&lt;Q&gt;TRYNZ10Y-FDS^PCTCHG(FG_YIELD(0,,,,"YTM"),FG_YIELD(-3AM,,,,"YTM"))&lt;/Q&gt;&lt;R&gt;1&lt;/R&gt;&lt;C&gt;1&lt;/C&gt;&lt;D xsi:type="xsd:double"&gt;-8.653954&lt;/D&gt;&lt;/FQL&gt;&lt;FQL&gt;&lt;Q&gt;USDNZD^FG_PRICE_CHANGE(0,-1AY)&lt;/Q&gt;&lt;R&gt;1&lt;/R&gt;&lt;C&gt;1&lt;/C&gt;&lt;D xsi:type="xsd:double"&gt;-4.602015&lt;/D&gt;&lt;/FQL&gt;&lt;FQL&gt;&lt;Q&gt;COPP-FDS^FG_PRICE_CHANGE(0,-1AM)&lt;/Q&gt;&lt;R&gt;1&lt;/R&gt;&lt;C&gt;1&lt;/C&gt;&lt;D xsi:type="xsd:double"&gt;2.07414471331506&lt;/D&gt;&lt;/FQL&gt;&lt;FQL&gt;&lt;Q&gt;EWA^FG_PRICE_MAVG(0,,,,30)&lt;/Q&gt;&lt;R&gt;1&lt;/R&gt;&lt;C&gt;1&lt;/C&gt;&lt;D xsi:type="xsd:double"&gt;25.623833&lt;/D&gt;&lt;/FQL&gt;&lt;FQL&gt;&lt;Q&gt;VWO^PERCENT_CHANGE(FMA_EPS(+1,0,,,,"PORTAGG","MEAN"),FMA_EPS(+1,-1AM,,,,"PORTAGG","MEAN"))&lt;/Q&gt;&lt;R&gt;1&lt;/R&gt;&lt;C&gt;1&lt;/C&gt;&lt;D xsi:type="xsd:double"&gt;0&lt;/D&gt;&lt;/FQL&gt;&lt;FQL&gt;&lt;Q&gt;EWL^PERCENT_CHANGE(FMA_EPS(+1,0,,,,"PORTAGG","MEAN"),FMA_EPS(+1,-3AM,,,,"PORTAGG","MEAN"))&lt;/Q&gt;&lt;R&gt;1&lt;/R&gt;&lt;C&gt;1&lt;/C&gt;&lt;D xsi:type="xsd:double"&gt;4.60413028140174&lt;/D&gt;&lt;/FQL&gt;&lt;FQL&gt;&lt;Q&gt;VGK^FMA_EVAL_EBIT(LTMA,NOW,NOW,M,"PORTAGG","MEANR")&lt;/Q&gt;&lt;R&gt;1&lt;/R&gt;&lt;C&gt;1&lt;/C&gt;&lt;D xsi:type="xsd:double"&gt;13.3468213202118&lt;/D&gt;&lt;/FQL&gt;&lt;FQL&gt;&lt;Q&gt;EWG^FMA_DIV_YLD(NTMA,NOW,NOW,M,"PORTAGG","MEANR")&lt;/Q&gt;&lt;R&gt;1&lt;/R&gt;&lt;C&gt;1&lt;/C&gt;&lt;D xsi:type="xsd:double"&gt;3.33287521874897&lt;/D&gt;&lt;/FQL&gt;&lt;FQL&gt;&lt;Q&gt;SPY^FMA_ROE(NTMA,-20AY,NOW,FY,"PORTAGG","MEANR")&lt;/Q&gt;&lt;R&gt;20&lt;/R&gt;&lt;C&gt;1&lt;/C&gt;&lt;D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xsi:type="xsd:double"&gt;18.2929292773882&lt;/D&gt;&lt;D xsi:type="xsd:double"&gt;17.2298191467853&lt;/D&gt;&lt;D xsi:type="xsd:double"&gt;20.6862902670697&lt;/D&gt;&lt;D xsi:type="xsd:double"&gt;20.5983105900292&lt;/D&gt;&lt;D xsi:type="xsd:double"&gt;20.3440340816855&lt;/D&gt;&lt;/FQL&gt;&lt;FQL&gt;&lt;Q&gt;CAGDPY@SE^EE_ACTUAL_ANNUAL(MED,0)&lt;/Q&gt;&lt;R&gt;1&lt;/R&gt;&lt;C&gt;1&lt;/C&gt;&lt;D xsi:type="xsd:double"&gt;6.54758763985883&lt;/D&gt;&lt;/FQL&gt;&lt;FQL&gt;&lt;Q&gt;EWQ^FG_TOTAL_RETURNC(-10AY,0,AM)&lt;/Q&gt;&lt;R&gt;121&lt;/R&gt;&lt;C&gt;1&lt;/C&gt;&lt;D xsi:type="xsd:double"&gt;-0.8506&lt;/D&gt;&lt;D xsi:type="xsd:double"&gt;-6.1171174&lt;/D&gt;&lt;D xsi:type="xsd:double"&gt;2.860546&lt;/D&gt;&lt;D xsi:type="xsd:double"&gt;-1.7225623&lt;/D&gt;&lt;D xsi:type="xsd:double"&gt;-1.070571&lt;/D&gt;&lt;D xsi:type="xsd:double"&gt;6.172335&lt;/D&gt;&lt;D xsi:type="xsd:double"&gt;0.22649765&lt;/D&gt;&lt;D xsi:type="xsd:double"&gt;1.9585729&lt;/D&gt;&lt;D xsi:type="xsd:double"&gt;1.8101215&lt;/D&gt;&lt;D xsi:type="xsd:double"&gt;0.18142462&lt;/D&gt;&lt;D xsi:type="xsd:double"&gt;-1.6966641&lt;/D&gt;&lt;D xsi:type="xsd:double"&gt;-5.8074236&lt;/D&gt;&lt;D xsi:type="xsd:double"&gt;-5.0119343&lt;/D&gt;&lt;D xsi:type="xsd:double"&gt;9.715247&lt;/D&gt;&lt;D xsi:type="xsd:double"&gt;-4.6946645&lt;/D&gt;&lt;D xsi:type="xsd:double"&gt;-0.82539916&lt;/D&gt;&lt;D xsi:type="xsd:double"&gt;-7.7581644&lt;/D&gt;&lt;D xsi:type="xsd:double"&gt;-0.65904856&lt;/D&gt;&lt;D xsi:type="xsd:double"&gt;6.0150266&lt;/D&gt;&lt;D xsi:type="xsd:double"&gt;3.8381338&lt;/D&gt;&lt;D xsi:type="xsd:double"&gt;-3.8167894&lt;/D&gt;&lt;D xsi:type="xsd:double"&gt;5.8347583&lt;/D&gt;&lt;D xsi:type="xsd:double"&gt;-5.991906&lt;/D&gt;&lt;D xsi:type="xsd:double"&gt;3.7037015&lt;/D&gt;&lt;D xsi:type="xsd:double"&gt;0.5813956&lt;/D&gt;&lt;D xsi:type="xsd:double"&gt;-1.197356&lt;/D&gt;&lt;D xsi:type="xsd:double"&gt;-3.0087829&lt;/D&gt;&lt;D xsi:type="xsd:double"&gt;5.6346655&lt;/D&gt;&lt;D xsi:type="xsd:double"&gt;3.2337308&lt;/D&gt;&lt;D xsi:type="xsd:double"&gt;-0.55511&lt;/D&gt;&lt;D xsi:type="xsd:double"&gt;4.625201&lt;/D&gt;&lt;D xsi:type="xsd:double"&gt;0.6478667&lt;/D&gt;&lt;D xsi:type="xsd:double"&gt;11.321473&lt;/D&gt;&lt;D xsi:type="xsd:double"&gt;-0.10496378&lt;/D&gt;&lt;D xsi:type="xsd:double"&gt;1.8011689&lt;/D&gt;&lt;D xsi:type="xsd:double"&gt;0.8506298&lt;/D&gt;&lt;D xsi:type="xsd:double"&gt;4.251015&lt;/D&gt;&lt;D xsi:type="xsd:double"&gt;0.32362938&lt;/D&gt;&lt;D xsi:type="xsd:double"&gt;0.032258034&lt;/D&gt;&lt;D xsi:type="xsd:double"&gt;0.88618994&lt;/D&gt;&lt;D xsi:type="xsd:double"&gt;6.957364&lt;/D&gt;&lt;D xsi:type="xsd:double"&gt;-3.5072029&lt;/D&gt;&lt;D xsi:type="xsd:double"&gt;-4.473436&lt;/D&gt;&lt;D xsi:type="xsd:double"&gt;6.211376&lt;/D&gt;&lt;D xsi:type="xsd:double"&gt;-0.39804578&lt;/D&gt;&lt;D xsi:type="xsd:double"&gt;-3.2460928&lt;/D&gt;&lt;D xsi:type="xsd:double"&gt;0.9082079&lt;/D&gt;&lt;D xsi:type="xsd:double"&gt;-0.70717335&lt;/D&gt;&lt;D xsi:type="xsd:double"&gt;2.9135704&lt;/D&gt;&lt;D xsi:type="xsd:double"&gt;-10.254801&lt;/D&gt;&lt;D xsi:type="xsd:double"&gt;-3.1545818&lt;/D&gt;&lt;D xsi:type="xsd:double"&gt;-5.5757103&lt;/D&gt;&lt;D xsi:type="xsd:double"&gt;4.505193&lt;/D&gt;&lt;D xsi:type="xsd:double"&gt;7.0744276&lt;/D&gt;&lt;D xsi:type="xsd:double"&gt;0.4473567&lt;/D&gt;&lt;D xsi:type="xsd:double"&gt;5.3785563&lt;/D&gt;&lt;D xsi:type="xsd:double"&gt;-4.876465&lt;/D&gt;&lt;D xsi:type="xsd:double"&gt;6.7174435&lt;/D&gt;&lt;D xsi:type="xsd:double"&gt;0.59074163&lt;/D&gt;&lt;D xsi:type="xsd:double"&gt;-6.133765&lt;/D&gt;&lt;D xsi:type="xsd:double"&gt;5.0052047&lt;/D&gt;&lt;D xsi:type="xsd:double"&gt;1.6219854&lt;/D&gt;&lt;D xsi:type="xsd:double"&gt;3.2573342&lt;/D&gt;&lt;D xsi:type="xsd:double"&gt;2.7103782&lt;/D&gt;&lt;D xsi:type="xsd:double"&gt;-0.24623275&lt;/D&gt;&lt;D xsi:type="xsd:double"&gt;-0.98735094&lt;/D&gt;&lt;D xsi:type="xsd:double"&gt;-36.27298&lt;/D&gt;&lt;D xsi:type="xsd:double"&gt;13.789725&lt;/D&gt;&lt;D xsi:type="xsd:double"&gt;3.6527753&lt;/D&gt;&lt;D xsi:type="xsd:double"&gt;15.175486&lt;/D&gt;&lt;D xsi:type="xsd:double"&gt;3.9855123&lt;/D&gt;&lt;D xsi:type="xsd:double"&gt;0.27874708&lt;/D&gt;&lt;D xsi:type="xsd:double"&gt;-4.5170307&lt;/D&gt;&lt;D xsi:type="xsd:double"&gt;5.7132483&lt;/D&gt;&lt;D xsi:type="xsd:double"&gt;11.290884&lt;/D&gt;&lt;D xsi:type="xsd:double"&gt;3.385806&lt;/D&gt;&lt;D xsi:type="xsd:double"&gt;0.6614566&lt;/D&gt;&lt;D xsi:type="xsd:double"&gt;3.2556772&lt;/D&gt;&lt;D xsi:type="xsd:double"&gt;-0.37605166&lt;/D&gt;&lt;D xsi:type="xsd:double"&gt;7.752621&lt;/D&gt;&lt;D xsi:type="xsd:double"&gt;3.503096&lt;/D&gt;&lt;D xsi:type="xsd:double"&gt;0.37992&lt;/D&gt;&lt;D xsi:type="xsd:double"&gt;-0.9703696&lt;/D&gt;&lt;D xsi:type="xsd:double"&gt;1.5625&lt;/D&gt;&lt;D xsi:type="xsd:double"&gt;1.3298631&lt;/D&gt;&lt;D xsi:type="xsd:double"&gt;0.28307438&lt;/D&gt;&lt;D xsi:type="xsd:double"&gt;0.7698178&lt;/D&gt;&lt;D xsi:type="xsd:double"&gt;0.85600615&lt;/D&gt;&lt;D xsi:type="xsd:double"&gt;-1.2973547&lt;/D&gt;&lt;D xsi:type="xsd:double"&gt;-4.3901205&lt;/D&gt;&lt;D xsi:type="xsd:double"&gt;-4.8666477&lt;/D&gt;&lt;D xsi:type="xsd:double"&gt;-1.2427747&lt;/D&gt;&lt;D xsi:type="xsd:double"&gt;-2.1656334&lt;/D&gt;&lt;D xsi:type="xsd:double"&gt;-7.7364326&lt;/D&gt;&lt;D xsi:type="xsd:double"&gt;1.7356515&lt;/D&gt;&lt;D xsi:type="xsd:double"&gt;0.2624631&lt;/D&gt;&lt;D xsi:type="xsd:double"&gt;-11.649216&lt;/D&gt;&lt;D xsi:type="xsd:double"&gt;6.740737&lt;/D&gt;&lt;D xsi:type="xsd:double"&gt;15.336573&lt;/D&gt;&lt;D xsi:type="xsd:double"&gt;-0.062024593&lt;/D&gt;&lt;D xsi:type="xsd:double"&gt;10.694861&lt;/D&gt;&lt;D xsi:type="xsd:double"&gt;1.2554526&lt;/D&gt;&lt;D xsi:type="xsd:double"&gt;-1.752013&lt;/D&gt;&lt;D xsi:type="xsd:double"&gt;8.943748&lt;/D&gt;&lt;D xsi:type="xsd:double"&gt;-3.8781166&lt;/D&gt;&lt;D xsi:type="xsd:double"&gt;-0.68383217&lt;/D&gt;&lt;D xsi:type="xsd:double"&gt;6.3376427&lt;/D&gt;&lt;D xsi:type="xsd:double"&gt;-5.072278&lt;/D&gt;&lt;D xsi:type="xsd:double"&gt;-3.7403166&lt;/D&gt;&lt;D xsi:type="xsd:double"&gt;-4.7460437&lt;/D&gt;&lt;D xsi:type="xsd:double"&gt;8.886946&lt;/D&gt;&lt;D xsi:type="xsd:double"&gt;5.3916335&lt;/D&gt;&lt;D xsi:type="xsd:double"&gt;-3.501159&lt;/D&gt;&lt;D xsi:type="xsd:double"&gt;6.8326354&lt;/D&gt;&lt;D xsi:type="xsd:double"&gt;1.9087791&lt;/D&gt;&lt;D xsi:type="xsd:double"&gt;-1.1189461&lt;/D&gt;&lt;D xsi:type="xsd:double"&gt;2.3616195&lt;/D&gt;&lt;D xsi:type="xsd:double"&gt;-5.6198&lt;/D&gt;&lt;D xsi:type="xsd:double"&gt;0.6513834&lt;/D&gt;&lt;D xsi:type="xsd:double"&gt;3.7276745&lt;/D&gt;&lt;D xsi:type="xsd:double"&gt;-1.2228549&lt;/D&gt;&lt;/FQL&gt;&lt;FQL&gt;&lt;Q&gt;EWC^FMA_PE(LTMA,-10AY,0,AM,"PORTAGG","MEANR")&lt;/Q&gt;&lt;R&gt;121&lt;/R&gt;&lt;C&gt;1&lt;/C&gt;&lt;D xsi:type="xsd:double"&gt;16.1139117535847&lt;/D&gt;&lt;D xsi:type="xsd:double"&gt;15.5755549267066&lt;/D&gt;&lt;D xsi:type="xsd:double"&gt;16.0367495674716&lt;/D&gt;&lt;D xsi:type="xsd:double"&gt;15.621079341458&lt;/D&gt;&lt;D xsi:type="xsd:double"&gt;15.8017948474787&lt;/D&gt;&lt;D xsi:type="xsd:double"&gt;16.9391007228992&lt;/D&gt;&lt;D xsi:type="xsd:double"&gt;17.0663526247245&lt;/D&gt;&lt;D xsi:type="xsd:double"&gt;17.3284758299343&lt;/D&gt;&lt;D xsi:type="xsd:double"&gt;17.3021134971796&lt;/D&gt;&lt;D xsi:type="xsd:double"&gt;17.2305661704249&lt;/D&gt;&lt;D xsi:type="xsd:double"&gt;16.8413202344581&lt;/D&gt;&lt;D xsi:type="xsd:double"&gt;16.3393590263388&lt;/D&gt;&lt;D xsi:type="xsd:double"&gt;16.3594277599951&lt;/D&gt;&lt;D xsi:type="xsd:double"&gt;17.0178006664001&lt;/D&gt;&lt;D xsi:type="xsd:double"&gt;16.6635341652305&lt;/D&gt;&lt;D xsi:type="xsd:double"&gt;16.5397114549521&lt;/D&gt;&lt;D xsi:type="xsd:double"&gt;14.9701933290753&lt;/D&gt;&lt;D xsi:type="xsd:double"&gt;15.3695276346784&lt;/D&gt;&lt;D xsi:type="xsd:double"&gt;15.9863277433295&lt;/D&gt;&lt;D xsi:type="xsd:double"&gt;16.3086845032749&lt;/D&gt;&lt;D xsi:type="xsd:double"&gt;16.5190799063533&lt;/D&gt;&lt;D xsi:type="xsd:double"&gt;16.8236928825994&lt;/D&gt;&lt;D xsi:type="xsd:double"&gt;17.2136514717&lt;/D&gt;&lt;D xsi:type="xsd:double"&gt;17.6106996816983&lt;/D&gt;&lt;D xsi:type="xsd:double"&gt;17.7671631576756&lt;/D&gt;&lt;D xsi:type="xsd:double"&gt;18.2740709595542&lt;/D&gt;&lt;D xsi:type="xsd:double"&gt;18.8143476428457&lt;/D&gt;&lt;D xsi:type="xsd:double"&gt;19.3457952086138&lt;/D&gt;&lt;D xsi:type="xsd:double"&gt;19.8155468943228&lt;/D&gt;&lt;D xsi:type="xsd:double"&gt;19.8021368822988&lt;/D&gt;&lt;D xsi:type="xsd:double"&gt;19.1544142513037&lt;/D&gt;&lt;D xsi:type="xsd:double"&gt;18.906962939607&lt;/D&gt;&lt;D xsi:type="xsd:double"&gt;18.6561478064121&lt;/D&gt;&lt;D xsi:type="xsd:double"&gt;18.14994518664&lt;/D&gt;&lt;D xsi:type="xsd:double"&gt;18.0632138973847&lt;/D&gt;&lt;D xsi:type="xsd:double"&gt;17.6563172466816&lt;/D&gt;&lt;D xsi:type="xsd:double"&gt;17.5514295170124&lt;/D&gt;&lt;D xsi:type="xsd:double"&gt;17.5195608232928&lt;/D&gt;&lt;D xsi:type="xsd:double"&gt;17.3771974987235&lt;/D&gt;&lt;D xsi:type="xsd:double"&gt;17.2191191893996&lt;/D&gt;&lt;D xsi:type="xsd:double"&gt;17.2648839183845&lt;/D&gt;&lt;D xsi:type="xsd:double"&gt;16.1138430434758&lt;/D&gt;&lt;D xsi:type="xsd:double"&gt;15.6828287317787&lt;/D&gt;&lt;D xsi:type="xsd:double"&gt;15.6205244656394&lt;/D&gt;&lt;D xsi:type="xsd:double"&gt;15.5660889860616&lt;/D&gt;&lt;D xsi:type="xsd:double"&gt;15.6307962871846&lt;/D&gt;&lt;D xsi:type="xsd:double"&gt;15.4809505155847&lt;/D&gt;&lt;D xsi:type="xsd:double"&gt;15.3391933143901&lt;/D&gt;&lt;D xsi:type="xsd:double"&gt;15.1683550205227&lt;/D&gt;&lt;D xsi:type="xsd:double"&gt;14.3231128618798&lt;/D&gt;&lt;D xsi:type="xsd:double"&gt;13.9463655781686&lt;/D&gt;&lt;D xsi:type="xsd:double"&gt;12.8216128933924&lt;/D&gt;&lt;D xsi:type="xsd:double"&gt;14.019239228028&lt;/D&gt;&lt;D xsi:type="xsd:double"&gt;14.8131700909783&lt;/D&gt;&lt;D xsi:type="xsd:double"&gt;14.7081899597915&lt;/D&gt;&lt;D xsi:type="xsd:double</t>
        </r>
      </text>
    </comment>
    <comment ref="A12" authorId="0" shapeId="0" xr:uid="{039E1C82-55CA-4CBA-9002-689E0753E869}">
      <text>
        <r>
          <rPr>
            <b/>
            <sz val="9"/>
            <color indexed="81"/>
            <rFont val="Tahoma"/>
            <charset val="1"/>
          </rPr>
          <t>"&gt;14.676800959198&lt;/D&gt;&lt;D xsi:type="xsd:double"&gt;14.420942045872&lt;/D&gt;&lt;D xsi:type="xsd:double"&gt;14.5472140130506&lt;/D&gt;&lt;D xsi:type="xsd:double"&gt;14.5535005295002&lt;/D&gt;&lt;D xsi:type="xsd:double"&gt;14.2215061605306&lt;/D&gt;&lt;D xsi:type="xsd:double"&gt;14.7680982362843&lt;/D&gt;&lt;D xsi:type="xsd:double"&gt;14.6207538904495&lt;/D&gt;&lt;D xsi:type="xsd:double"&gt;15.05791976559&lt;/D&gt;&lt;D xsi:type="xsd:double"&gt;15.335332710305&lt;/D&gt;&lt;D xsi:type="xsd:double"&gt;15.7265654019236&lt;/D&gt;&lt;D xsi:type="xsd:double"&gt;15.7139396786178&lt;/D&gt;&lt;D xsi:type="xsd:double"&gt;13.6495069553649&lt;/D&gt;&lt;D xsi:type="xsd:double"&gt;15.1262145586173&lt;/D&gt;&lt;D xsi:type="xsd:double"&gt;16.8469288742427&lt;/D&gt;&lt;D xsi:type="xsd:double"&gt;17.3142448147847&lt;/D&gt;&lt;D xsi:type="xsd:double"&gt;17.6973319610031&lt;/D&gt;&lt;D xsi:type="xsd:double"&gt;18.2570283452667&lt;/D&gt;&lt;D xsi:type="xsd:double"&gt;17.9777608139946&lt;/D&gt;&lt;D xsi:type="xsd:double"&gt;18.6390567672745&lt;/D&gt;&lt;D xsi:type="xsd:double"&gt;19.6273396582177&lt;/D&gt;&lt;D xsi:type="xsd:double"&gt;20.443576652679&lt;/D&gt;&lt;D xsi:type="xsd:double"&gt;20.8358582234059&lt;/D&gt;&lt;D xsi:type="xsd:double"&gt;20.4403685102569&lt;/D&gt;&lt;D xsi:type="xsd:double"&gt;19.6774491376472&lt;/D&gt;&lt;D xsi:type="xsd:double"&gt;19.3085858800874&lt;/D&gt;&lt;D xsi:type="xsd:double"&gt;18.8841874240172&lt;/D&gt;&lt;D xsi:type="xsd:double"&gt;18.5814899288655&lt;/D&gt;&lt;D xsi:type="xsd:double"&gt;18.0093450343447&lt;/D&gt;&lt;D xsi:type="xsd:double"&gt;17.3656290538273&lt;/D&gt;&lt;D xsi:type="xsd:double"&gt;16.7077249614719&lt;/D&gt;&lt;D xsi:type="xsd:double"&gt;16.899375358967&lt;/D&gt;&lt;D xsi:type="xsd:double"&gt;16.2123362144951&lt;/D&gt;&lt;D xsi:type="xsd:double"&gt;15.509443829075&lt;/D&gt;&lt;D xsi:type="xsd:double"&gt;14.9995068318366&lt;/D&gt;&lt;D xsi:type="xsd:double"&gt;14.9629781620906&lt;/D&gt;&lt;D xsi:type="xsd:double"&gt;15.1318509650506&lt;/D&gt;&lt;D xsi:type="xsd:double"&gt;14.7540942734499&lt;/D&gt;&lt;D xsi:type="xsd:double"&gt;14.2505364581593&lt;/D&gt;&lt;D xsi:type="xsd:double"&gt;13.4615402073431&lt;/D&gt;&lt;D xsi:type="xsd:double"&gt;13.1796770182443&lt;/D&gt;&lt;D xsi:type="xsd:double"&gt;13.1820735362324&lt;/D&gt;&lt;D xsi:type="xsd:double"&gt;12.2489041296162&lt;/D&gt;&lt;D xsi:type="xsd:double"&gt;12.2845264544013&lt;/D&gt;&lt;D xsi:type="xsd:double"&gt;12.7338055252279&lt;/D&gt;&lt;D xsi:type="xsd:double"&gt;12.1842575604266&lt;/D&gt;&lt;D xsi:type="xsd:double"&gt;12.8301834712668&lt;/D&gt;&lt;D xsi:type="xsd:double"&gt;12.5385323919857&lt;/D&gt;&lt;D xsi:type="xsd:double"&gt;12.5142988536775&lt;/D&gt;&lt;D xsi:type="xsd:double"&gt;12.8221593888823&lt;/D&gt;&lt;D xsi:type="xsd:double"&gt;12.8259894896059&lt;/D&gt;&lt;D xsi:type="xsd:double"&gt;12.7815275022091&lt;/D&gt;&lt;D xsi:type="xsd:double"&gt;13.458308630239&lt;/D&gt;&lt;D xsi:type="xsd:double"&gt;13.2981856909872&lt;/D&gt;&lt;D xsi:type="xsd:double"&gt;13.3955284274134&lt;/D&gt;&lt;D xsi:type="xsd:double"&gt;13.071197339722&lt;/D&gt;&lt;D xsi:type="xsd:double"&gt;13.726065316865&lt;/D&gt;&lt;D xsi:type="xsd:double"&gt;14.4943512126376&lt;/D&gt;&lt;D xsi:type="xsd:double"&gt;14.6455943725341&lt;/D&gt;&lt;D xsi:type="xsd:double"&gt;14.9067725745986&lt;/D&gt;&lt;D xsi:type="xsd:double"&gt;14.9444700530012&lt;/D&gt;&lt;D xsi:type="xsd:double"&gt;14.9047231770125&lt;/D&gt;&lt;D xsi:type="xsd:double"&gt;14.9400068086656&lt;/D&gt;&lt;D xsi:type="xsd:double"&gt;14.7174873027294&lt;/D&gt;&lt;D xsi:type="xsd:double"&gt;15.164543481627&lt;/D&gt;&lt;D xsi:type="xsd:double"&gt;15.3701963187924&lt;/D&gt;&lt;D xsi:type="xsd:double"&gt;15.7870581533199&lt;/D&gt;&lt;/FQL&gt;&lt;FQL&gt;&lt;Q&gt;VGK^P_PRICE(0)/P_PRICE_LOW_PR(0,,,,,,"PRICE","INTRA","52W")-1&lt;/Q&gt;&lt;R&gt;1&lt;/R&gt;&lt;C&gt;1&lt;/C&gt;&lt;D xsi:type="xsd:double"&gt;0.27152193&lt;/D&gt;&lt;/FQL&gt;&lt;FQL&gt;&lt;Q&gt;EWL^FG_ROE(0)&lt;/Q&gt;&lt;R&gt;1&lt;/R&gt;&lt;C&gt;1&lt;/C&gt;&lt;D xsi:type="xsd:double"&gt;18.7002293381939&lt;/D&gt;&lt;/FQL&gt;&lt;FQL&gt;&lt;Q&gt;VGK^FMA_DIV_YLD(NTMA,NOW,NOW,M,"PORTAGG","MEANR")&lt;/Q&gt;&lt;R&gt;1&lt;/R&gt;&lt;C&gt;1&lt;/C&gt;&lt;D xsi:type="xsd:double"&gt;3.4757708374086&lt;/D&gt;&lt;/FQL&gt;&lt;FQL&gt;&lt;Q&gt;USDCHF^STD(FG_PRICE_CHANGE(0,-1AY,AM))&lt;/Q&gt;&lt;R&gt;1&lt;/R&gt;&lt;C&gt;1&lt;/C&gt;&lt;D xsi:type="xsd:double"&gt;2.25266966738257&lt;/D&gt;&lt;/FQL&gt;&lt;FQL&gt;&lt;Q&gt;USDEUR^FG_COMPANY_NAME&lt;/Q&gt;&lt;R&gt;1&lt;/R&gt;&lt;C&gt;1&lt;/C&gt;&lt;D xsi:type="xsd:string"&gt;Euro per U.S. Dollar&lt;/D&gt;&lt;/FQL&gt;&lt;FQL&gt;&lt;Q&gt;W-FDS^FG_PRICE(0)/MAX(FG_PRICE(0,-1AY))&lt;/Q&gt;&lt;R&gt;1&lt;/R&gt;&lt;C&gt;1&lt;/C&gt;&lt;D xsi:type="xsd:double"&gt;0.811852909675116&lt;/D&gt;&lt;/FQL&gt;&lt;FQL&gt;&lt;Q&gt;EWU^FG_PRICE_MAVG(0,,,,30)&lt;/Q&gt;&lt;R&gt;1&lt;/R&gt;&lt;C&gt;1&lt;/C&gt;&lt;D xsi:type="xsd:double"&gt;36.872166&lt;/D&gt;&lt;/FQL&gt;&lt;FQL&gt;&lt;Q&gt;EWA^FG_TOTAL_RETURNC(0,-12AM)&lt;/Q&gt;&lt;R&gt;1&lt;/R&gt;&lt;C&gt;1&lt;/C&gt;&lt;D xsi:type="xsd:double"&gt;27.9698&lt;/D&gt;&lt;/FQL&gt;&lt;FQL&gt;&lt;Q&gt;QQQ^FMA_COS_DOWN("EPS","1M",+1,0,,,"PORTAGG","MEANR")&lt;/Q&gt;&lt;R&gt;1&lt;/R&gt;&lt;C&gt;1&lt;/C&gt;&lt;D xsi:type="xsd:double"&gt;30&lt;/D&gt;&lt;/FQL&gt;&lt;FQL&gt;&lt;Q&gt;REFGBBANK-FDS^FG_YIELD(NOW,,,0)&lt;/Q&gt;&lt;R&gt;1&lt;/R&gt;&lt;C&gt;1&lt;/C&gt;&lt;D xsi:type="xsd:double"&gt;5&lt;/D&gt;&lt;/FQL&gt;&lt;FQL&gt;&lt;Q&gt;TRYIT10Y-FDS^FG_YIELD(0,,,,"YTM")&lt;/Q&gt;&lt;R&gt;1&lt;/R&gt;&lt;C&gt;1&lt;/C&gt;&lt;D xsi:type="xsd:double"&gt;3.531&lt;/D&gt;&lt;/FQL&gt;&lt;FQL&gt;&lt;Q&gt;EWA^FG_TOTAL_RETURNC(0,-3AM)&lt;/Q&gt;&lt;R&gt;1&lt;/R&gt;&lt;C&gt;1&lt;/C&gt;&lt;D xsi:type="xsd:double"&gt;9.212136&lt;/D&gt;&lt;/FQL&gt;&lt;FQL&gt;&lt;Q&gt;EWG^FG_ROE(0)&lt;/Q&gt;&lt;R&gt;1&lt;/R&gt;&lt;C&gt;1&lt;/C&gt;&lt;D xsi:type="xsd:double"&gt;10.8286568198593&lt;/D&gt;&lt;/FQL&gt;&lt;FQL&gt;&lt;Q&gt;EWL^FMA_EVAL_EBIT(LTMA,NOW,NOW,M,"PORTAGG","MEANR")&lt;/Q&gt;&lt;R&gt;1&lt;/R&gt;&lt;C&gt;1&lt;/C&gt;&lt;D xsi:type="xsd:double"&gt;17.1015615453685&lt;/D&gt;&lt;/FQL&gt;&lt;FQL&gt;&lt;Q&gt;EWC^FMA_ROE(NTMA,-20AY,NOW,FY,"PORTAGG","MEANR")&lt;/Q&gt;&lt;R&gt;20&lt;/R&gt;&lt;C&gt;1&lt;/C&gt;&lt;D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xsi:type="xsd:double"&gt;11.9786784677485&lt;/D&gt;&lt;D xsi:type="xsd:double"&gt;11.1922086822881&lt;/D&gt;&lt;D xsi:type="xsd:double"&gt;14.1061782856045&lt;/D&gt;&lt;D xsi:type="xsd:double"&gt;14.002940310619&lt;/D&gt;&lt;D xsi:type="xsd:double"&gt;13.1491479008301&lt;/D&gt;&lt;/FQL&gt;&lt;FQL&gt;&lt;Q&gt;USDCAD^FG_PRICE_CHANGE(0,-1AY)&lt;/Q&gt;&lt;R&gt;1&lt;/R&gt;&lt;C&gt;1&lt;/C&gt;&lt;D xsi:type="xsd:double"&gt;0.2823472&lt;/D&gt;&lt;/FQL&gt;&lt;FQL&gt;&lt;Q&gt;QQQ^PERCENT_CHANGE(FMA_EPS(+1,0,,,,"PORTAGG","MEAN"),FMA_EPS(+1,-3AM,,,,"PORTAGG","MEAN"))&lt;/Q&gt;&lt;R&gt;1&lt;/R&gt;&lt;C&gt;1&lt;/C&gt;&lt;D xsi:type="xsd:double"&gt;-4.55263810768845&lt;/D&gt;&lt;/FQL&gt;&lt;FQL&gt;&lt;Q&gt;EWU^SIZE(FG_CONSTITUENTS)&lt;/Q&gt;&lt;R&gt;1&lt;/R&gt;&lt;C&gt;1&lt;/C&gt;&lt;D xsi:type="xsd:long"&gt;79&lt;/D&gt;&lt;/FQL&gt;&lt;FQL&gt;&lt;Q&gt;TRYSE10Y-FDS^FG_YIELD(0,,,,"YTM")&lt;/Q&gt;&lt;R&gt;1&lt;/R&gt;&lt;C&gt;1&lt;/C&gt;&lt;D xsi:type="xsd:double"&gt;1.995&lt;/D&gt;&lt;/FQL&gt;&lt;FQL&gt;&lt;Q&gt;EWA^FG_TOTAL_RETURNC(0,-1AM)&lt;/Q&gt;&lt;R&gt;1&lt;/R&gt;&lt;C&gt;1&lt;/C&gt;&lt;D xsi:type="xsd:double"&gt;2.760613&lt;/D&gt;&lt;/FQL&gt;&lt;FQL&gt;&lt;Q&gt;REFCHMPR-FDS^FG_YIELD(NOW,,,0)&lt;/Q&gt;&lt;R&gt;1&lt;/R&gt;&lt;C&gt;1&lt;/C&gt;&lt;D xsi:type="xsd:double"&gt;1.25&lt;/D&gt;&lt;/FQL&gt;&lt;FQL&gt;&lt;Q&gt;EWL^FMA_EVAL_EBITDA(NTMA,0,,,"PORTAGG","MEANR")&lt;/Q&gt;&lt;R&gt;1&lt;/R&gt;&lt;C&gt;1&lt;/C&gt;&lt;D xsi:type="xsd:double"&gt;13.0255323047518&lt;/D&gt;&lt;/FQL&gt;&lt;FQL&gt;&lt;Q&gt;USDCAD^FG_PRICE(0)&lt;/Q&gt;&lt;R&gt;1&lt;/R&gt;&lt;C&gt;1&lt;/C&gt;&lt;D xsi:type="xsd:double"&gt;1.34965&lt;/D&gt;&lt;/FQL&gt;&lt;FQL&gt;&lt;Q&gt;DDR3512M-FDS^FG_PRICE_CHANGE(0,-6AM)&lt;/Q&gt;&lt;R&gt;1&lt;/R&gt;&lt;C&gt;1&lt;/C&gt;&lt;D xsi:type="xsd:double"&gt;-7.9121698852746&lt;/D&gt;&lt;/FQL&gt;&lt;FQL&gt;&lt;Q&gt;QQQ^PERCENT_CHANGE(FMA_EPS(+1,0,,,,"PORTAGG","MEAN"),FMA_EPS(+1,-1AM,,,,"PORTAGG","MEAN"))&lt;/Q&gt;&lt;R&gt;1&lt;/R&gt;&lt;C&gt;1&lt;/C&gt;&lt;D xsi:type="xsd:double"&gt;0.580763510291539&lt;/D&gt;&lt;/FQL&gt;&lt;FQL&gt;&lt;Q&gt;EWL^FMA_COS_UP("EPS","1M",+1,0,,,"PORTAGG","MEANR")&lt;/Q&gt;&lt;R&gt;1&lt;/R&gt;&lt;C&gt;1&lt;/C&gt;&lt;D xsi:type="xsd:double"&gt;14&lt;/D&gt;&lt;/FQL&gt;&lt;FQL&gt;&lt;Q&gt;CAGDPY@GB^EE_ACTUAL_ANNUAL(MED,+1)&lt;/Q&gt;&lt;R&gt;1&lt;/R&gt;&lt;C&gt;1&lt;/C&gt;&lt;D xsi:type="xsd:double"&gt;-2.8&lt;/D&gt;&lt;/FQL&gt;&lt;FQL&gt;&lt;Q&gt;EWJ^FG_TOTAL_RETURNC(0,-1AM)&lt;/Q&gt;&lt;R&gt;1&lt;/R&gt;&lt;C&gt;1&lt;/C&gt;&lt;D xsi:type="xsd:double"&gt;-0.33365488&lt;/D&gt;&lt;/FQL&gt;&lt;FQL&gt;&lt;Q&gt;FXI^FG_TOTAL_RETURNC(0,-6AM)&lt;/Q&gt;&lt;R&gt;1&lt;/R&gt;&lt;C&gt;1&lt;/C&gt;&lt;D xsi:type="xsd:double"&gt;17.52056&lt;/D&gt;&lt;/FQL&gt;&lt;FQL&gt;&lt;Q&gt;EWA^PERCENT_CHANGE(FMA_EPS(+1,0,,,,"PORTAGG","MEAN"),FMA_EPS(+1,-1AM,,,,"PORTAGG","MEAN"))&lt;/Q&gt;&lt;R&gt;1&lt;/R&gt;&lt;C&gt;1&lt;/C&gt;&lt;D xsi:type="xsd:double"&gt;0.0498894892102682&lt;/D&gt;&lt;/FQL&gt;&lt;FQL&gt;&lt;Q&gt;REFJPTON-FDS^(SUBARRAY(NOT_NA(NO_REPEAT_F(FG_YIELD(NOW,-10AY,D))),0,1)-SUBARRAY(NOT_NA(NO_REPEAT_F(FG_YIELD(NOW,-10AY,D))),1,1))*100&lt;/Q&gt;&lt;R&gt;1&lt;/R&gt;&lt;C&gt;1&lt;/C&gt;&lt;D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xsi:type="xsd:double"&gt;15&lt;/D&gt;&lt;/FQL&gt;&lt;FQL&gt;&lt;Q&gt;EWC^FMA_DIV_YLD(NTMA,-10AY,0,AM,"PORTAGG","MEANR")&lt;/Q&gt;&lt;R&gt;121&lt;/R&gt;&lt;C&gt;1&lt;/C&gt;&lt;D xsi:type="xsd:double"&gt;2.83470622859198&lt;/D&gt;&lt;D xsi:type="xsd:double"&gt;2.99815150803238&lt;/D&gt;&lt;D xsi:type="xsd:double"&gt;2.87888648043595&lt;/D&gt;&lt;D xsi:type="xsd:double"&gt;2.94548740529246&lt;/D&gt;&lt;D xsi:type="xsd:double"&gt;2.92676597579369&lt;/D&gt;&lt;D xsi:type="xsd:double"&gt;2.8571725843269&lt;/D&gt;&lt;D xsi:type="xsd:double"&gt;2.91040245832543&lt;/D&gt;&lt;D xsi:type="xsd:double"&gt;2.80595596786042&lt;/D&gt;&lt;D xsi:type="xsd:double"&gt;2.85949167077585&lt;/D&gt;&lt;D xsi:type="xsd:double"&gt;2.92845922493089&lt;/D&gt;&lt;D xsi:type="xsd:double"&gt;3.12315893056533&lt;/D&gt;&lt;D xsi:type="xsd:double"&gt;3.25355455455391&lt;/D&gt;&lt;D xsi:type="xsd:double"&gt;3.29313620529452&lt;/D&gt;&lt;D xsi:type="xsd:double"&gt;3.16343161511952&lt;/D&gt;&lt;D xsi:type="xsd:double"&gt;3.30511295664211&lt;/D&gt;&lt;D xsi:type="xsd:double"&gt;3.31354764956336&lt;/D&gt;&lt;D xsi:type="xsd:double"&gt;3.53446970290352&lt;/D&gt;&lt;D xsi:type="xsd:double"&gt;3.35855329793579&lt;/D&gt;&lt;D xsi:type="xsd:double"&gt;3.17085417577184&lt;/D&gt;&lt;D xsi:type="xsd:double"&gt;3.06136518774529&lt;/D&gt;&lt;D xsi:type="xsd:double"&gt;3.07183206014502&lt;/D&gt;&lt;D xsi:type="xsd:double"&gt;3.04394974529828&lt;/D&gt;&lt;D xsi:type="xsd:double"&gt;2.98449590056486&lt;/D&gt;&lt;D xsi:type="xsd:double"&gt;2.93654362927475&lt;/D&gt;&lt;D xsi:type="xsd:double"&gt;2.94243877591388&lt;/D&gt;&lt;D xsi:type="xsd:double"&gt;2.90080158040592&lt;/D&gt;&lt;D xsi:type="xsd:double"&gt;2.86445159746571&lt;/D&gt;&lt;D xsi:type="xsd:double"&gt;2.82799420578628&lt;/D&gt;&lt;D xsi:type="xsd:double"&gt;2.81867182562684&lt;/D&gt;&lt;D xsi:type="xsd:double"&gt;2.80112355491554&lt;/D&gt;&lt;D xsi:type="xsd:double"&gt;2.93354740851577&lt;/D&gt;&lt;D xsi:type="xsd:double"&gt;2.92231146116829&lt;/D&gt;&lt;D xsi:type="xsd:double"&gt;2.91075968041317&lt;/D&gt;&lt;D xsi:type="xsd:double"&gt;3.02199447334746&lt;/D&gt;&lt;D xsi:type="xsd:double"&gt;3.03561985105312&lt;/D&gt;&lt;D xsi:type="xsd:double"&gt;3.07486910590902&lt;/D&gt;&lt;D xsi:type="xsd:double"&gt;3.02036071469185&lt;/D&gt;&lt;D xsi:type="xsd:double"&gt;2.94053240063561&lt;/D&gt;&lt;D xsi:type="xsd:double"&gt;2.91724301881269&lt;/D&gt;&lt;D xsi:type="xsd:double"&gt;2.91013392956918&lt;/D&gt;&lt;D xsi:type="xsd:double"&gt;2.89620262006747&lt;/D&gt;&lt;D xsi:type="xsd:double"&gt;3.07984381752145&lt;/D&gt;&lt;D xsi:type="xsd:double"&gt;3.21957852861201&lt;/D&gt;&lt;D xsi:type="xsd:double"&gt;3.16317934496207&lt;/D&gt;&lt;D xsi:type="xsd:double"&gt;3.06334540744767&lt;/D&gt;&lt;D xsi:type="xsd:double"&gt;3.03530645462276&lt;/D&gt;&lt;D xsi:type="xsd:double"&gt;3.06025024439565&lt;/D&gt;&lt;D xsi:type="xsd:double"&gt;3.0971630207772&lt;/D&gt;&lt;D xsi:type="xsd:double"&gt;3.13926180769074&lt;/D&gt;&lt;D xsi:type="xsd:double"&gt;3.36479730840784&lt;/D&gt;&lt;D xsi:type="xsd:double"&gt;3.43281040766997&lt;/D&gt;&lt;D xsi:type="xsd:double"&gt;3.70157031016241&lt;/D&gt;&lt;D xsi:type="xsd:double"&gt;3.3918261039084&lt;/D&gt;&lt;D xsi:type="xsd:double"&gt;3.26735827554894&lt;/D&gt;&lt;D xsi:type="xsd:double"&gt;3.28515928257725&lt;/D&gt;&lt;D xsi:type="xsd:double"&gt;3.18263965938277&lt;/D&gt;&lt;D xsi:type="xsd:double"&gt;3.35745808443524&lt;/D&gt;&lt;D xsi:type="xsd:double"&gt;3.28923260310385&lt;/D&gt;&lt;D xsi:type="xsd:double"&gt;3.3033562259646&lt;/D&gt;&lt;D xsi:type="xsd:double"&gt;3.4704689349784&lt;/D&gt;&lt;D xsi:type="xsd:double"&gt;3.294175157109&lt;/D&gt;&lt;D xsi:type="xsd:double"&gt;3.38249201659442&lt;/D&gt;&lt;D xsi:type="xsd:double"&gt;3.26541815058705&lt;/D&gt;&lt;D xsi:type="xsd:double"&gt;3.24522756011203&lt;/D&gt;&lt;D xsi:type="xsd:double"&gt;3.20722904672329&lt;/D&gt;&lt;D xsi:type="xsd:double"&gt;3.22713271734105&lt;/D&gt;&lt;D xsi:type="xsd:double"&gt;5.15967825035857&lt;/D&gt;&lt;D xsi:type="xsd:double"&gt;4.03662260227834&lt;/D&gt;&lt;D xsi:type="xsd:double"&gt;3.71920690593597&lt;/D&gt;&lt;D xsi:type="xsd:double"&gt;3.53656181820858&lt;/D&gt;&lt;D xsi:type="xsd:double"&gt;3.44724453327562&lt;/D&gt;&lt;D xsi:type="xsd:double"&gt;3.35904694669915&lt;/D&gt;&lt;D xsi:type="xsd:double"&gt;3.50969965460372&lt;/D&gt;&lt;D xsi:type="xsd:double"&gt;3.42311368286776&lt;/D&gt;&lt;D xsi:type="xsd:double"&gt;3.22449081673176&lt;/D&gt;&lt;D xsi:type="xsd:double"&gt;3.10586669471171&lt;/D&gt;&lt;D xsi:type="xsd:double"&gt;3.05526076391973&lt;/D&gt;&lt;D xsi:type="xsd:double"&gt;2.9370422847139&lt;/D&gt;&lt;D xsi:type="xsd:double"&gt;2.86247314120506&lt;/D&gt;&lt;D xsi:type="xsd:double"&gt;2.77624364082801&lt;/D&gt;&lt;D xsi:type="xsd:double"&gt;2.70872274218075&lt;/D&gt;&lt;D xsi:type="xsd:double"&gt;2.70680825331469&lt;/D&gt;&lt;D xsi:type="xsd:double"&gt;2.71524806816992&lt;/D&gt;&lt;D xsi:type="xsd:double"&gt;2.71691617971009&lt;/D&gt;&lt;D xsi:type="xsd:double"&gt;2.77932313351764&lt;/D&gt;&lt;D xsi:type="xsd:double"&gt;2.67703111637726&lt;/D&gt;&lt;D xsi:type="xsd:double"&gt;2.7277998426072&lt;/D&gt;&lt;D xsi:type="xsd:double"&gt;2.78165168579156&lt;/D&gt;&lt;D xsi:type="xsd:double"&gt;2.88375281317636&lt;/D&gt;&lt;D xsi:type="xsd:double"&gt;2.91023875777212&lt;/D&gt;&lt;D xsi:type="xsd:double"&gt;2.78482114953315&lt;/D&gt;&lt;D xsi:type="xsd:double"&gt;2.92722400858863&lt;/D&gt;&lt;D xsi:type="xsd:double"&gt;3.17641198478518&lt;/D&gt;&lt;D xsi:type="xsd:double"&gt;3.45986805223046&lt;/D&gt;&lt;D xsi:type="xsd:double"&gt;3.42381313785053&lt;/D&gt;&lt;D xsi:type="xsd:double"&gt;3.33669512150047&lt;/D&gt;&lt;D xsi:type="xsd:double"&gt;3.62673821589693&lt;/D&gt;&lt;D xsi:type="xsd:double"&gt;3.54971471143137&lt;/D&gt;&lt;D xsi:type="xsd:double"&gt;3.30042832014302&lt;/D&gt;&lt;D xsi:type="xsd:double"&gt;3.44793244790208&lt;/D&gt;&lt;D xsi:type="xsd:double"&gt;3.30217953176336&lt;/D&gt;&lt;D xsi:type="xsd:double"&gt;3.38922556080241&lt;/D&gt;&lt;D xsi:type="xsd:double"&gt;3.47012722040191&lt;/D&gt;&lt;D xsi:type="xsd:double"&gt;3.23040521249393&lt;/D&gt;&lt;D xsi:type="xsd:double"&gt;3.3036753029832&lt;/D&gt;&lt;D xsi:type="xsd:double"&gt;3.38176442538451&lt;/D&gt;&lt;D xsi:type="xsd:double"&gt;3.16347236303227&lt;/D&gt;&lt;D xsi:type="xsd:double"&gt;3.57381032599456&lt;/D&gt;&lt;D xsi:type="xsd:double"&gt;3.58973365911802&lt;/D&gt;&lt;D xsi:type="xsd:double"&gt;3.74162566139128&lt;/D&gt;&lt;D xsi:type="xsd:double"&gt;3.50395905581287&lt;/D&gt;&lt;D xsi:type="xsd:double"&gt;3.37337703617896&lt;/D&gt;&lt;D xsi:type="xsd:double"&gt;3.34060791698266&lt;/D&gt;&lt;D xsi:type="xsd:double"&gt;3.24824523734914&lt;/D&gt;&lt;D xsi:type="xsd:double"&gt;3.12612635662844&lt;/D&gt;&lt;D xsi:type="xsd:double"&gt;3.10531344700118&lt;/D&gt;&lt;D xsi:type="xsd:double"&gt;3.1252327748154&lt;/D&gt;&lt;D xsi:type="xsd:double"&gt;3.39520742883788&lt;/D&gt;&lt;D xsi:type="xsd:double"&gt;3.21758040699696&lt;/D&gt;&lt;D xsi:type="xsd:double"&gt;3.15590545488443&lt;/D&gt;&lt;D xsi:type="xsd:double"&gt;3.07169953180766&lt;/D&gt;&lt;/FQL&gt;&lt;FQL&gt;&lt;Q&gt;TRYVN10Y-FDS^FG_YIELD(-10AY,0,Y,,"YTM")&lt;/Q&gt;&lt;R&gt;10&lt;/R&gt;&lt;C&gt;1&lt;/C&gt;&lt;D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xsi:type="xsd:double"&gt;2.9473283&lt;/D&gt;&lt;/FQL&gt;&lt;FQL&gt;&lt;Q&gt;PASP-FDS^FG_PRICE_CHANGE(0,-1AM)&lt;/Q&gt;&lt;R&gt;1&lt;/R&gt;&lt;C&gt;1&lt;/C&gt;&lt;D xsi:type="xsd:double"&gt;12.4476987447699&lt;/D&gt;&lt;/FQL&gt;&lt;FQL&gt;&lt;Q&gt;FC0000NZ^FG_PRICE(0)&lt;/Q&gt;&lt;R&gt;1&lt;/R&gt;&lt;C&gt;1&lt;/C&gt;&lt;D xsi:type="xsd:double"&gt;412.1522&lt;/D&gt;&lt;/FQL&gt;&lt;FQL&gt;&lt;Q&gt;DBA^FG_TOTAL_RETURNC(0,-6AM)&lt;/Q&gt;&lt;R&gt;1&lt;/R&gt;&lt;C&gt;1&lt;/C&gt;&lt;D xsi:type="xsd:double"&gt;7.4335575&lt;/D&gt;&lt;/FQL&gt;&lt;FQL&gt;&lt;Q&gt;CC_DE^FG_COMPANY_NAME&lt;/Q&gt;&lt;R&gt;1&lt;/R&gt;&lt;C&gt;1&lt;/C&gt;&lt;D xsi:type="xsd:string"&gt;Germany&lt;/D&gt;&lt;/FQL&gt;&lt;FQL&gt;&lt;Q&gt;PASP-FDS^FG_PRICE_MAVG(0,,,,30)&lt;/Q&gt;&lt;R&gt;1&lt;/R&gt;&lt;C&gt;1&lt;/C&gt;&lt;D xsi:type="xsd:double"&gt;993.6&lt;/D&gt;&lt;/FQL&gt;&lt;FQL&gt;&lt;Q&gt;EWL^FMA_PCT_ABOVE_MAVG(200,0,,,,"PORTAGG")&lt;/Q&gt;&lt;R&gt;1&lt;/R&gt;&lt;C&gt;1&lt;/C&gt;&lt;D xsi:type="xsd:double"&gt;54.3478260869565&lt;/D&gt;&lt;/FQL&gt;&lt;FQL&gt;&lt;Q&gt;ENZL^FMA_DIV_YLD(NTMA,-10AY,0,AM,"PORTAGG","MEANR")&lt;/Q&gt;&lt;R&gt;121&lt;/R&gt;&lt;C&gt;1&lt;/C&gt;&lt;D xsi:type="xsd:double"&gt;4.55310914764678&lt;/D&gt;&lt;D xsi:type="xsd:double"&gt;4.53941392128884&lt;/D&gt;&lt;D xsi:type="xsd:double"&gt;4.44678153961263&lt;/D&gt;&lt;D xsi:type="xsd:double"&gt;4.45319677258762&lt;/D&gt;&lt;D xsi:type="xsd:double"&gt;4.35069005692439&lt;/D&gt;&lt;D xsi:type="xsd:double"&gt;4.32261070399168&lt;/D&gt;&lt;D xsi:type="xsd:double"&gt;4.35037926999391&lt;/D&gt;&lt;D xsi:type="xsd:double"&gt;4.51494617179514&lt;/D&gt;&lt;D xsi:type="xsd:double"&gt;4.44951151059003&lt;/D&gt;&lt;D xsi:type="xsd:double"&gt;4.53022992665066&lt;/D&gt;&lt;D xsi:type="xsd:double"&gt;4.56389893060928&lt;/D&gt;&lt;D xsi:type="xsd:double"&gt;4.88614810134764&lt;/D&gt;&lt;D xsi:type="xsd:double"&gt;5.17336291159296&lt;/D&gt;&lt;D xsi:type="xsd:double"&gt;4.9358113400973&lt;/D&gt;&lt;D xsi:type="xsd:double"&gt;4.85457134948065&lt;/D&gt;&lt;D xsi:type="xsd:double"&gt;4.82035884963878&lt;/D&gt;&lt;D xsi:type="xsd:double"&gt;4.88996322313781&lt;/D&gt;&lt;D xsi:type="xsd:double"&gt;4.87841148462068&lt;/D&gt;&lt;D xsi:type="xsd:double"&gt;4.61436677764144&lt;/D&gt;&lt;D xsi:type="xsd:double"&gt;4.53770290656097&lt;/D&gt;&lt;D xsi:type="xsd:double"&gt;4.48835413066341&lt;/D&gt;&lt;D xsi:type="xsd:double"&gt;4.482484385266&lt;/D&gt;&lt;D xsi:type="xsd:double"&gt;4.1965966837469&lt;/D&gt;&lt;D xsi:type="xsd:double"&gt;4.08377725457402&lt;/D&gt;&lt;D xsi:type="xsd:double"&gt;4.34287503404534&lt;/D&gt;&lt;D xsi:type="xsd:double"&gt;4.57150787058349&lt;/D&gt;&lt;D xsi:type="xsd:double"&gt;4.63070219658431&lt;/D&gt;&lt;D xsi:type="xsd:double"&gt;4.62341636284621&lt;/D&gt;&lt;D xsi:type="xsd:double"&gt;4.51798394877274&lt;/D&gt;&lt;D xsi:type="xsd:double"&gt;4.58967145415126&lt;/D&gt;&lt;D xsi:type="xsd:double"&gt;4.66955139676064&lt;/D&gt;&lt;D xsi:type="xsd:double"&gt;4.59351897461212&lt;/D&gt;&lt;D xsi:type="xsd:double"&gt;4.48012161311845&lt;/D&gt;&lt;D xsi:type="xsd:double"&gt;4.38187586367956&lt;/D&gt;&lt;D xsi:type="xsd:double"&gt;4.39712922437836&lt;/D&gt;&lt;D xsi:type="xsd:double"&gt;4.26438096257423&lt;/D&gt;&lt;D xsi:type="xsd:double"&gt;4.43630586462657&lt;/D&gt;&lt;D xsi:type="xsd:double"&gt;4.34774525349791&lt;/D&gt;&lt;D xsi:type="xsd:double"&gt;4.39474844901381&lt;/D&gt;&lt;D xsi:type="xsd:double"&gt;4.20671757290784&lt;/D&gt;&lt;D xsi:type="xsd:double"&gt;4.26600354755147&lt;/D&gt;&lt;D xsi:type="xsd:double"&gt;4.26897295964268&lt;/D&gt;&lt;D xsi:type="xsd:double"&gt;4.21037240264105&lt;/D&gt;&lt;D xsi:type="xsd:double"&gt;4.36636372288538&lt;/D&gt;&lt;D xsi:type="xsd:double"&gt;4.25957678281602&lt;/D&gt;&lt;D xsi:type="xsd:double"&gt;4.02196838338187&lt;/D&gt;&lt;D xsi:type="xsd:double"&gt;4.11929988786854&lt;/D&gt;&lt;D xsi:type="xsd:double"&gt;3.94862937902233&lt;/D&gt;&lt;D xsi:type="xsd:double"&gt;3.93915933776198&lt;/D&gt;&lt;D xsi:type="xsd:double"&gt;4.32999087288605&lt;/D&gt;&lt;D xsi:type="xsd:double"&gt;4.29405256626249&lt;/D&gt;&lt;D xsi:type="xsd:double"&gt;4.22402255929649&lt;/D&gt;&lt;D xsi:type="xsd:double"&gt;4.04156084361693&lt;/D&gt;&lt;D xsi:type="xsd:double"&gt;3.95743341140937&lt;/D&gt;&lt;D xsi:type="xsd:double"&gt;3.87831956153367&lt;/D&gt;&lt;D xsi:type="xsd:double"&gt;3.69038710707774&lt;/D&gt;&lt;D xsi:type="xsd:double"&gt;3.64950364886139&lt;/D&gt;&lt;D xsi:type="xsd:double"&gt;3.62922340924557&lt;/D&gt;&lt;D xsi:type="xsd:double"&gt;3.40543405698779&lt;/D&gt;&lt;D xsi:type="xsd:double"&gt;3.42356984249718&lt;/D&gt;&lt;D xsi:type="xsd:double"&gt;3.34888158145171&lt;/D&gt;&lt;D xsi:type="xsd:double"&gt;3.36675387198037&lt;/D&gt;&lt;D xsi:type="xsd:double"&gt;3.32041233010434&lt;/D&gt;&lt;D xsi:type="xsd:double"&gt;3.14913066074401&lt;/D&gt;&lt;D xsi:type="xsd:double"&gt;3.05153635484045&lt;/D&gt;&lt;D xsi:type="xsd:double"&gt;2.99518999959424&lt;/D&gt;&lt;D xsi:type="xsd:double"&gt;3.92377680435314&lt;/D&gt;&lt;D xsi:type="xsd:double"&gt;2.74706391238112&lt;/D&gt;&lt;D xsi:type="xsd:double"&gt;2.56262582141884&lt;/D&gt;&lt;D xsi:type="xsd:double"&gt;2.56075972833681&lt;/D&gt;&lt;D xsi:type="xsd:double"&gt;2.41749559798386&lt;/D&gt;&lt;D xsi:type="xsd:double"&gt;2.30985092232506&lt;/D&gt;&lt;D xsi:type="xsd:double"&gt;2.45105016694568&lt;/D&gt;&lt;D xsi:type="xsd:double"&gt;2.33560723011693&lt;/D&gt;&lt;D xsi:type="xsd:double"&gt;2.41159590617131&lt;/D&gt;&lt;D xsi:type="xsd:double"&gt;2.39972715486185&lt;/D&gt;&lt;D xsi:type="xsd:double"&gt;2.42414465617475&lt;/D&gt;&lt;D xsi:type="xsd:double"&gt;2.5998038363421&lt;/D&gt;&lt;D xsi:type="xsd:double"&gt;2.59539801848663&lt;/D&gt;&lt;D xsi:type="xsd:double"&gt;2.57836896477619&lt;/D&gt;&lt;D xsi:type="xsd:double"&gt;2.67005259582784&lt;/D&gt;&lt;D xsi:type="xsd:double"&gt;2.674570423744&lt;/D&gt;&lt;D xsi:type="xsd:double"&gt;2.61605153162882&lt;/D&gt;&lt;D xsi:type="xsd:double"&gt;2.59424156966909&lt;/D&gt;&lt;D xsi:type="xsd:double"&gt;2.58226070356561&lt;/D&gt;&lt;D xsi:type="xsd:double"&gt;2.66006149124112&lt;/D&gt;&lt;D xsi:type="xsd:double"&gt;2.75720960858715&lt;/D&gt;&lt;D xsi:type="xsd:double"&gt;2.7802623716913&lt;/D&gt;&lt;D xsi:type="xsd:double"&gt;2.94722031699415&lt;/D&gt;&lt;D xsi:type="xsd:double"&gt;3.02310931642164&lt;/D&gt;&lt;D xsi:type="xsd:double"&gt;3.03580673449303&lt;/D&gt;&lt;D xsi:type="xsd:double"&gt;3.13456860861809&lt;/D&gt;&lt;D xsi:type="xsd:double"&gt;3.20257325066506&lt;/D&gt;&lt;D xsi:type="xsd:double"&gt;3.38492196879274&lt;/D&gt;&lt;D xsi:type="xsd:double"&gt;3.30388098284691&lt;/D&gt;&lt;D xsi:type="xsd:double"&gt;3.16211682523047&lt;/D&gt;&lt;D xsi:type="xsd:double"&gt;3.31003203307896&lt;/D&gt;&lt;D xsi:type="xsd:double"&gt;3.51429446454801&lt;/D&gt;&lt;D xsi:type="xsd:double"&gt;3.37779860809272&lt;/D&gt;&lt;D xsi:type="xsd:double"&gt;3.45168570044556&lt;/D&gt;&lt;D xsi:type="xsd:double"&gt;3.3335983922564&lt;/D&gt;&lt;D xsi:type="xsd:double"&gt;3.36029693046343&lt;/D&gt;&lt;D xsi:type="xsd:double"&gt;3.48596701977224&lt;/D&gt;&lt;D xsi:type="xsd:double"&gt;3.4103487493752&lt;/D&gt;&lt;D xsi:type="xsd:double"&gt;3.49081056097445&lt;/D&gt;&lt;D xsi:type="xsd:double"&gt;3.47346157070721&lt;/D&gt;&lt;D xsi:type="xsd:double"&gt;3.42818701115214&lt;/D&gt;&lt;D xsi:type="xsd:double"&gt;3.49721138903161&lt;/D&gt;&lt;D xsi:type="xsd:double"&gt;3.42029030577495&lt;/D&gt;&lt;D xsi:type="xsd:double"&gt;3.54111960480192&lt;/D&gt;&lt;D xsi:type="xsd:double"&gt;3.41253743431127&lt;/D&gt;&lt;D xsi:type="xsd:double"&gt;3.01057758271554&lt;/D&gt;&lt;D xsi:type="xsd:double"&gt;2.98968571120549&lt;/D&gt;&lt;D xsi:type="xsd:double"&gt;2.90079547483994&lt;/D&gt;&lt;D xsi:type="xsd:double"&gt;2.74947533837301&lt;/D&gt;&lt;D xsi:type="xsd:double"&gt;2.79094827452255&lt;/D&gt;&lt;D xsi:type="xsd:double"&gt;2.72669131239584&lt;/D&gt;&lt;D xsi:type="xsd:double"&gt;2.73582815909204&lt;/D&gt;&lt;D xsi:type="xsd:double"&gt;2.60721750505993&lt;/D&gt;&lt;D xsi:type="xsd:double"&gt;2.50125026182097&lt;/D&gt;&lt;D xsi:type="xsd:double"&gt;3.0414931807269&lt;/D&gt;&lt;/FQL&gt;&lt;FQL&gt;&lt;Q&gt;EWN^P_PRICE(0)/P_PRICE_LOW_PR(0,,,,,,"PRICE","INTRA","52W")-1&lt;/Q&gt;&lt;R&gt;1&lt;/R&gt;&lt;C&gt;1&lt;/C&gt;&lt;D xsi:type="xsd:double"&gt;0.3619454&lt;/D&gt;&lt;/FQL&gt;&lt;FQL&gt;&lt;Q&gt;EWQ^FMA_EVAL_EBITDA(NTMA,0,,,"PORTAGG","MEANR")&lt;/Q&gt;&lt;R&gt;1&lt;/R&gt;&lt;C&gt;1&lt;/C&gt;&lt;D xsi:type="xsd:double"&gt;9.02281170635223&lt;/D&gt;&lt;/FQL&gt;&lt;FQL&gt;&lt;Q&gt;DBA^FG_TOTAL_RETURNC(0,-3AM)&lt;/Q&gt;&lt;R&gt;1&lt;/R&gt;&lt;C&gt;1&lt;/C&gt;&lt;D xsi:type="xsd:double"&gt;5.205369&lt;/D&gt;&lt;/FQL&gt;&lt;FQL&gt;&lt;Q&gt;TIOS-FDS^FG_PRICE_CHANGE(0,-6AM)&lt;/Q&gt;&lt;R&gt;1&lt;/R&gt;&lt;C&gt;1&lt;/C&gt;&lt;D xsi:type="xsd:double"&gt;-16.910701373825&lt;/D&gt;&lt;/FQL&gt;&lt;FQL&gt;&lt;Q&gt;TRYSE10Y-FDS^PCTCHG(FG_YIELD(0,,,,"YTM"),FG_YIELD(-1AM,,,,"YTM"))&lt;/Q&gt;&lt;R&gt;1&lt;/R&gt;&lt;C&gt;1&lt;/C&gt;&lt;D xsi:type="xsd:double"&gt;2.0982604&lt;/D&gt;&lt;/FQL&gt;&lt;FQL&gt;&lt;Q&gt;TRYAU10Y-FDS^FG_YIELD(0,,,,"YTM")&lt;/Q&gt;&lt;R&gt;1&lt;/R&gt;&lt;C&gt;1&lt;/C&gt;&lt;D xsi:type="xsd:double"&gt;3.967&lt;/D&gt;&lt;/FQL&gt;&lt;FQL&gt;&lt;Q&gt;EWN^P_PRICE(0)/P_PRICE_HIGH_PR(0,,,,,,"PRICE","INTRA","52W")&lt;/Q&gt;&lt;R&gt;1&lt;/R&gt;&lt;C&gt;1&lt;/C&gt;&lt;D xsi:type="xsd:double"&gt;0.9320196&lt;/D&gt;&lt;/FQL&gt;&lt;FQL&gt;&lt;Q&gt;URTH^FMA_COS_DOWN("EPS","1M",+1,0,,,"PORTAGG","MEANR")&lt;/Q&gt;&lt;R&gt;1&lt;/R&gt;&lt;C&gt;1&lt;/C&gt;&lt;D xsi:type="xsd:double"&gt;539&lt;/D&gt;&lt;/FQL&gt;&lt;FQL&gt;&lt;Q&gt;EWI^FG_TOTAL_RETURNC(0,-12AM)&lt;/Q&gt;&lt;R&gt;1&lt;/R&gt;&lt;C&gt;1&lt;/C&gt;&lt;D xsi:type="xsd:double"&gt;28.574348&lt;/D&gt;&lt;/FQL&gt;&lt;FQL&gt;&lt;Q&gt;DDR3512M-FDS^FG_PRICE_CHANGE(0,-3AM)&lt;/Q&gt;&lt;R&gt;1&lt;/R&gt;&lt;C&gt;1&lt;/C&gt;&lt;D xsi:type="xsd:double"&gt;-6.74634089373698&lt;/D&gt;&lt;/FQL&gt;&lt;FQL&gt;&lt;Q&gt;EWL^FG_PRICE(0)&lt;/Q&gt;&lt;R&gt;1&lt;/R&gt;&lt;C&gt;1&lt;/C&gt;&lt;D xsi:type="xsd:double"&gt;51.005&lt;/D&gt;&lt;/FQL&gt;&lt;FQL&gt;&lt;Q&gt;TRYBR10Y-FDS^FG_YIELD(-10AY,0,Y,,"YTM")&lt;/Q&gt;&lt;R&gt;10&lt;/R&gt;&lt;C&gt;1&lt;/C&gt;&lt;D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xsi:type="xsd:double"&gt;10.455909&lt;/D&gt;&lt;/FQL&gt;&lt;FQL&gt;&lt;Q&gt;BRENT-FDS^FG_PRICE_CHANGE(0,-1AM)&lt;/Q&gt;&lt;R&gt;1&lt;/R&gt;&lt;C&gt;1&lt;/C&gt;&lt;D xsi:type="xsd:double"&gt;0&lt;/D&gt;&lt;/FQL&gt;&lt;FQL&gt;&lt;Q&gt;ENZL^FG_ROE(0)&lt;/Q&gt;&lt;R&gt;1&lt;/R&gt;&lt;C&gt;1&lt;/C&gt;&lt;D xsi:type="xsd:double"&gt;3.42432152530723&lt;/D&gt;&lt;/FQL&gt;&lt;FQL&gt;&lt;Q&gt;TRYCA10Y-FDS^FG_YIELD(0,,,,"YTM")&lt;/Q&gt;&lt;R&gt;0&lt;/R&gt;&lt;C&gt;0&lt;/C&gt;&lt;/FQL&gt;&lt;FQL&gt;&lt;Q&gt;EWG^FMA_PE(NTMA,0,,,"PORTAGG","MEANR")&lt;/Q&gt;&lt;R&gt;1&lt;/R&gt;&lt;C&gt;1&lt;/C&gt;&lt;D xsi:type="xsd:double"&gt;12.2068099097259&lt;/D&gt;&lt;/FQL&gt;&lt;FQL&gt;&lt;Q&gt;EWA^FMA_DIV_YLD(NTMA,-10AY,0,AM,"PORTAGG","MEANR")&lt;/Q&gt;&lt;R&gt;121&lt;/R&gt;&lt;C&gt;1&lt;/C&gt;&lt;D xsi:type="xsd:double"&gt;4.93741011637359&lt;/D&gt;&lt;D xsi:type="xsd:double"&gt;4.95823048531505&lt;/D&gt;&lt;D xsi:type="xsd:double"&gt;5.06095179277994&lt;/D&gt;&lt;D xsi:type="xsd:double"&gt;5.00499147810912&lt;/D&gt;&lt;D xsi:type="xsd:double"&gt;4.91698460318775&lt;/D&gt;&lt;D xsi:type="xsd:double"&gt;4.59496300573467&lt;/D&gt;&lt;D xsi:type="xsd:double"&gt;4.52649130307744&lt;/D&gt;&lt;D xsi:type="xsd:double"&gt;4.64935529518938&lt;/D&gt;&lt;D xsi:type="xsd:double"&gt;4.80271669291238&lt;/D&gt;&lt;D xsi:type="xsd:double"&gt;4.77343950009089&lt;/D&gt;&lt;D xsi:type="xsd:double"&gt;4.90372315349137&lt;/D&gt;&lt;D xsi:type="xsd:double"&gt;5.26320564885613&lt;/D&gt;&lt;D xsi:type="xsd:double"&gt;5.53821824655681&lt;/D&gt;&lt;D xsi:type="xsd:double"&gt;5.1067354812866&lt;/D&gt;&lt;D xsi:type="xsd:double"&gt;5.1821534017673&lt;/D&gt;&lt;D xsi:type="xsd:double"&gt;5.27812404389993&lt;/D&gt;&lt;D xsi:type="xsd:double"&gt;5.28486698917495&lt;/D&gt;&lt;D xsi:type="xsd:double"&gt;4.93279330434042&lt;/D&gt;&lt;D xsi:type="xsd:double"&gt;4.76267805143278&lt;/D&gt;&lt;D xsi:type="xsd:double"&gt;4.66983967294954&lt;/D&gt;&lt;D xsi:type="xsd:double"&gt;4.61836146719479&lt;/D&gt;&lt;D xsi:type="xsd:double"&gt;4.62152527766996&lt;/D&gt;&lt;D xsi:type="xsd:double"&gt;4.46841962001427&lt;/D&gt;&lt;D xsi:type="xsd:double"&gt;4.42723194286138&lt;/D&gt;&lt;D xsi:type="xsd:double"&gt;4.53724108088527&lt;/D&gt;&lt;D xsi:type="xsd:double"&gt;4.5518764372082&lt;/D&gt;&lt;D xsi:type="xsd:double"&gt;4.5246409803732&lt;/D&gt;&lt;D xsi:type="xsd:double"&gt;4.55210158524389&lt;/D&gt;&lt;D xsi:type="xsd:double"&gt;4.56610816316659&lt;/D&gt;&lt;D xsi:type="xsd:double"&gt;4.50240868440697&lt;/D&gt;&lt;D xsi:type="xsd:double"&gt;4.63568040055572&lt;/D&gt;&lt;D xsi:type="xsd:double"&gt;4.53088184771634&lt;/D&gt;&lt;D xsi:type="xsd:double"&gt;4.625163556882&lt;/D&gt;&lt;D xsi:type="xsd:double"&gt;4.66365217431204&lt;/D&gt;&lt;D xsi:type="xsd:double"&gt;4.58680000059446&lt;/D&gt;&lt;D xsi:type="xsd:double"&gt;4.56501213368958&lt;/D&gt;&lt;D xsi:type="xsd:double"&gt;4.60244044279166&lt;/D&gt;&lt;D xsi:type="xsd:double"&gt;4.49491699124204&lt;/D&gt;&lt;D xsi:type="xsd:double"&gt;4.47210205194187&lt;/D&gt;&lt;D xsi:type="xsd:double"&gt;4.45787927160904&lt;/D&gt;&lt;D xsi:type="xsd:double"&gt;4.52642812267644&lt;/D&gt;&lt;D xsi:type="xsd:double"&gt;4.6050564209894&lt;/D&gt;&lt;D xsi:type="xsd:double"&gt;4.79358661932082&lt;/D&gt;&lt;D xsi:type="xsd:double"&gt;4.78281344713063&lt;/D&gt;&lt;D xsi:type="xsd:double"&gt;4.67183331735688&lt;/D&gt;&lt;D xsi:type="xsd:double"&gt;4.60477147466496&lt;/D&gt;&lt;D xsi:type="xsd:double"&gt;4.61557909858718&lt;/D&gt;&lt;D xsi:type="xsd:double"&gt;4.68256661606043&lt;/D&gt;&lt;D xsi:type="xsd:double"&gt;4.73591209126864&lt;/D&gt;&lt;D xsi:type="xsd:double"&gt;5.06999963821143&lt;/D&gt;&lt;D xsi:type="xsd:double"&gt;5.26163230391747&lt;/D&gt;&lt;D xsi:type="xsd:double"&gt;5.52005221606656&lt;/D&gt;&lt;D xsi:type="xsd:double"&gt;5.13133630276737&lt;/D&gt;&lt;D xsi:type="xsd:double"&gt;4.92375827548062&lt;/D&gt;&lt;D xsi:type="xsd:double"&gt;4.93355348689947&lt;/D&gt;&lt;D xsi:type="xsd:double"&gt;4.8696961858066&lt;/D&gt;&lt;D xsi:type="xsd:double"&gt;4.73090507436399&lt;/D&gt;&lt;D xsi:type="xsd:double"&gt;4.60024006920032&lt;/D&gt;&lt;D xsi:type="xsd:double"&gt;4.56139096615264&lt;/D&gt;&lt;D xsi:type="xsd:double"&gt;4.65477575725827&lt;/D&gt;&lt;D xsi:type="xsd:double"&gt;4.42102548584196&lt;/D&gt;&lt;D xsi:type="xsd:double"&gt;4.41088818066441&lt;/D&gt;&lt;D xsi:type="xsd:double"&gt;4.37223750476391&lt;/D&gt;&lt;D xsi:type="xsd:double"&gt;4.26149295904872&lt;/D&gt;&lt;D xsi:type="xsd:double"&gt;4.1201299071237&lt;/D&gt;&lt;D xsi:type="xsd:double"&gt;4.05158117649965&lt;/D&gt;&lt;D xsi:type="xsd:double"&gt;6.13435693513178&lt;/D&gt;&lt;D xsi:type="xsd:double"&gt;4.35941042497908&lt;/D&gt;&lt;D xsi:type="xsd:double"&gt;3.77670587122565&lt;/D&gt;&lt;D xsi:type="xsd:double"&gt;3.43359726728528&lt;/D&gt;&lt;D xsi:type="xsd:double"&gt;3.39609565586083&lt;/D&gt;&lt;D xsi:type="xsd:double"&gt;3.37951815231246&lt;/D&gt;&lt;D xsi:type="xsd:double"&gt;3.62084199495952&lt;/D&gt;&lt;D xsi:type="xsd:double"&gt;3.60314486742679&lt;/D&gt;&lt;D xsi:type="xsd:double"&gt;3.4676321928645&lt;/D&gt;&lt;D xsi:type="xsd:double"&gt;3.55418022905615&lt;/D&gt;&lt;D xsi:type="xsd:double"&gt;3.51258644397208&lt;/D&gt;&lt;D xsi:type="xsd:double"&gt;3.8148380832504&lt;/D&gt;&lt;D xsi:type="xsd:double"&gt;3.98162678249807&lt;/D&gt;&lt;D xsi:type="xsd:double"&gt;3.90933650103253&lt;/D&gt;&lt;D xsi:type="xsd:double"&gt;3.94210799171863&lt;/D&gt;&lt;D xsi:type="xsd:double"&gt;3.95993383662135&lt;/D&gt;&lt;D xsi:type="xsd:double"&gt;4.15815264361054&lt;/D&gt;&lt;D xsi:type="xsd:double"&gt;4.09743875979271&lt;/D&gt;&lt;D xsi:type="xsd:double"&gt;4.0508780157491&lt;/D&gt;&lt;D xsi:type="xsd:double"&gt;3.95998743575739&lt;/D&gt;&lt;D xsi:type="xsd:double"&gt;3.99391179806892&lt;/D&gt;&lt;D xsi:type="xsd:double"&gt;3.89749431763283&lt;/D&gt;&lt;D xsi:type="xsd:double"&gt;4.05003811767545&lt;/D&gt;&lt;D xsi:type="xsd:double"&gt;4.28553705202138&lt;/D&gt;&lt;D xsi:type="xsd:double"&gt;4.19986366498637&lt;/D&gt;&lt;D xsi:type="xsd:double"&gt;4.38763514568344&lt;/D&gt;&lt;D xsi:type="xsd:double"&gt;4.65288688953778&lt;/D&gt;&lt;D xsi:type="xsd:double"&gt;5.25708711022399&lt;/D&gt;&lt;D xsi:type="xsd:double"&gt;4.98026507284145&lt;/D&gt;&lt;D xsi:type="xsd:double"&gt;4.77022327422882&lt;/D&gt;&lt;D xsi:type="xsd:double"&gt;5.14555942155813&lt;/D&gt;&lt;D xsi:type="xsd:double"&gt;5.14764238586198&lt;/D&gt;&lt;D xsi:type="xsd:double"&gt;4.5631132910827&lt;/D&gt;&lt;D xsi:type="xsd:double"&gt;4.53297379092249&lt;/D&gt;&lt;D xsi:type="xsd:double"&gt;4.26783046131306&lt;/D&gt;&lt;D xsi:type="xsd:double"&gt;4.43646120114501&lt;/D&gt;&lt;D xsi:type="xsd:double"&gt;4.65543150972344&lt;/D&gt;&lt;D xsi:type="xsd:double"&gt;4.40478897806773&lt;/D&gt;&lt;D xsi:type="xsd:double"&gt;4.42327920266051&lt;/D&gt;&lt;D xsi:type="xsd:double"&gt;4.39505503749517&lt;/D&gt;&lt;D xsi:type="xsd:double"&gt;4.15809327835931&lt;/D&gt;&lt;D xsi:type="xsd:double"&gt;4.24801689847992&lt;/D&gt;&lt;D xsi:type="xsd:double"&gt;4.27571972630622&lt;/D&gt;&lt;D xsi:type="xsd:double"&gt;4.48523231022642&lt;/D&gt;&lt;D xsi:type="xsd:double"&gt;4.32135901247277&lt;/D&gt;&lt;D xsi:type="xsd:double"&gt;4.02198866728062&lt;/D&gt;&lt;D xsi:type="xsd:double"&gt;4.05837337688644&lt;/D&gt;&lt;D xsi:type="xsd:double"&gt;3.98777833281678&lt;/D&gt;&lt;D xsi:type="xsd:double"&gt;3.96234893403785&lt;/D&gt;&lt;D xsi:type="xsd:double"&gt;3.99942263137122&lt;/D&gt;&lt;D xsi:type="xsd:double"&gt;3.93928488653233&lt;/D&gt;&lt;D xsi:type="xsd:double"&gt;3.9232640907163&lt;/D&gt;&lt;D xsi:type="xsd:double"&gt;3.84145764141151&lt;/D&gt;&lt;D xsi:type="xsd:double"&gt;3.7626268270975&lt;/D&gt;&lt;D xsi:type="xsd:double"&gt;3.61347121900852&lt;/D&gt;&lt;/FQL&gt;&lt;FQL&gt;&lt;Q&gt;EWN^FMA_DIV_YLD(NTMA,NOW,NOW,M,"PORTAGG","MEANR")&lt;/Q&gt;&lt;R&gt;1&lt;/R&gt;&lt;C&gt;1&lt;/C&gt;&lt;D xsi:type="xsd:double"&gt;2.56456471418356&lt;/D&gt;&lt;/FQL&gt;&lt;FQL&gt;&lt;Q&gt;TRYID10Y-FDS^FG_YIELD(-10AY,0,Y,,"YTM")&lt;/Q&gt;&lt;R&gt;10&lt;/R&gt;&lt;C&gt;1&lt;/C&gt;&lt;D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xsi:type="xsd:double"&gt;6.498571&lt;/D&gt;&lt;/FQL&gt;&lt;FQL&gt;&lt;Q&gt;TIOS-FDS^FG_PRICE_CHANGE(0,-1AY)&lt;/Q&gt;&lt;R&gt;1&lt;/R&gt;&lt;C&gt;1&lt;/C&gt;&lt;D xsi:type="xsd:double"&gt;-24.231434929531&lt;/D&gt;&lt;/FQL&gt;&lt;FQL&gt;&lt;Q&gt;ENZL^FG_PRICE_MAVG(0,,,,60)&lt;/Q&gt;&lt;R&gt;1&lt;/R&gt;&lt;C&gt;1&lt;/C&gt;&lt;D xsi:type="xsd:double"&gt;47.43485&lt;/D&gt;&lt;/FQL&gt;&lt;FQL&gt;&lt;Q&gt;EWC^FMA_EVAL_EBIT(LTMA,NOW,NOW,M,"PORTAGG","MEANR")&lt;/Q&gt;&lt;R&gt;1&lt;/R&gt;&lt;C&gt;1&lt;/C&gt;&lt;D xsi:type="xsd:double"&gt;16.1215282340166&lt;/D&gt;&lt;/FQL&gt;&lt;FQL&gt;&lt;Q&gt;CC_CA^FG_COMPANY_NAME&lt;/Q&gt;&lt;R&gt;1&lt;/R&gt;&lt;C&gt;1&lt;/C&gt;&lt;D xsi:type="xsd:string"&gt;Canada&lt;/D&gt;&lt;/FQL&gt;&lt;FQL&gt;&lt;Q&gt;EWN^FMA_EPS(NTMA,-20AY,0,CY,,"PORTAGG","MEANR")&lt;/Q&gt;&lt;R&gt;20&lt;/R&gt;&lt;C&gt;1&lt;/C&gt;&lt;D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xsi:type="xsd:double"&gt;2.95668122593824&lt;/D&gt;&lt;/FQL&gt;&lt;FQL&gt;&lt;Q&gt;NI-FDS^FG_PRICE(0)/MAX(FG_PRICE(0,-1AY))&lt;/Q&gt;&lt;R&gt;1&lt;/R&gt;&lt;C&gt;1&lt;/C&gt;&lt;D xsi:type="xsd:double"&gt;0.760282021151586&lt;/D&gt;&lt;/FQL&gt;&lt;FQL&gt;&lt;Q&gt;ENZL^FG_PRICE_MAVG(0,,,,30)&lt;/Q&gt;&lt;R&gt;1&lt;/R&gt;&lt;C&gt;1&lt;/C&gt;&lt;D xsi:type="xsd:double"&gt;48.911034&lt;/D&gt;&lt;/FQL&gt;&lt;FQL&gt;&lt;Q&gt;URTH^SIZE(FG_CONSTITUENTS)&lt;/Q&gt;&lt;R&gt;1&lt;/R&gt;&lt;C&gt;1&lt;/C&gt;&lt;D xsi:type="xsd:long"&gt;1411&lt;/D&gt;&lt;/FQL&gt;&lt;FQL&gt;&lt;Q&gt;USDGBP^FG_PRICE(0)&lt;/Q&gt;&lt;R&gt;1&lt;/R&gt;&lt;C&gt;1&lt;/C&gt;&lt;D xsi:type="xsd:double"&gt;0.7490356&lt;/D&gt;&lt;/FQL&gt;&lt;FQL&gt;&lt;Q&gt;EWQ^FG_FCF_YIELD_NTM(0)&lt;/Q&gt;&lt;R&gt;1&lt;/R&gt;&lt;C&gt;1&lt;/C&gt;&lt;D xsi:type="xsd:double"&gt;5.98957707147234&lt;/D&gt;&lt;/FQL&gt;&lt;FQL&gt;&lt;Q&gt;EWC^FMA_EVAL_EBITDA(NTMA,0,,,"PORTAGG","MEANR")&lt;/Q&gt;&lt;R&gt;1&lt;/R&gt;&lt;C&gt;1&lt;/C&gt;&lt;D xsi:type="xsd:double"&gt;9.89884898885105&lt;/D&gt;&lt;/FQL&gt;&lt;FQL&gt;&lt;Q&gt;DBA^FG_TOTAL_RETURNC(0,-1AM)&lt;/Q&gt;&lt;R&gt;1&lt;/R&gt;&lt;C&gt;1&lt;/C&gt;&lt;D xsi:type="xsd:double"&gt;4.8217177&lt;/D&gt;&lt;/FQL&gt;&lt;FQL&gt;&lt;Q&gt;TRYNL10Y-FDS^PCTCHG(FG_YIELD(0,,,,"YTM"),FG_YIELD(-3AM,,,,"YTM"))&lt;/Q&gt;&lt;R&gt;1&lt;/R&gt;&lt;C&gt;1&lt;/C&gt;&lt;D xsi:type="xsd:double"&gt;-9.970988&lt;/D&gt;&lt;/FQL&gt;&lt;FQL&gt;&lt;Q&gt;EWU^FMA_ROE(NTMA,-20AY,NOW,FY,"PORTAGG","MEANR")&lt;/Q&gt;&lt;R&gt;20&lt;/R&gt;&lt;C&gt;1&lt;/C&gt;&lt;D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xsi:type="xsd:double"&gt;12.870966472555&lt;/D&gt;&lt;D xsi:type="xsd:double"&gt;11.2077122027496&lt;/D&gt;&lt;D xsi:type="xsd:double"&gt;13.9227366843934&lt;/D&gt;&lt;D xsi:type="xsd:double"&gt;15.8583479057593&lt;/D&gt;&lt;D xsi:type="xsd:double"&gt;14.7202942014685&lt;/D&gt;&lt;/FQL&gt;&lt;FQL&gt;&lt;Q&gt;CAGDPY@NL^EE_ACTUAL_ANNUAL(MED,+1)&lt;/Q&gt;&lt;R&gt;1&lt;/R&gt;&lt;C&gt;1&lt;/C&gt;&lt;D xsi:type="xsd:double"&gt;9.75&lt;/D&gt;&lt;/FQL&gt;&lt;FQL&gt;&lt;Q&gt;SPY^FG_TOTAL_RETURNC(-10AY,0,AM)&lt;/Q&gt;&lt;R&gt;121&lt;/R&gt;&lt;C&gt;1&lt;/C&gt;&lt;D xsi:type="xsd:double"&gt;-0.12722611&lt;/D&gt;&lt;D xsi:type="xsd:double"&gt;-1.5554786&lt;/D&gt;&lt;D xsi:type="xsd:double"&gt;6.027806&lt;/D&gt;&lt;D xsi:type="xsd:double"&gt;1.070106&lt;/D&gt;&lt;D xsi:type="xsd:double"&gt;-1.3381481&lt;/D&gt;&lt;D xsi:type="xsd:double"&gt;3.0438542&lt;/D&gt;&lt;D xsi:type="xsd:double"&gt;-0.13257265&lt;/D&gt;&lt;D xsi:type="xsd:double"&gt;0.5523801&lt;/D&gt;&lt;D xsi:type="xsd:double"&gt;0.8666396&lt;/D&gt;&lt;D xsi:type="xsd:double"&gt;0.04041195&lt;/D&gt;&lt;D xsi:type="xsd:double"&gt;-0.8771956&lt;/D&gt;&lt;D xsi:type="xsd:double"&gt;-5.9710684&lt;/D&gt;&lt;D xsi:type="xsd:double"&gt;-1.5212&lt;/D&gt;&lt;D xsi:type="xsd:double"&gt;7.184911&lt;/D&gt;&lt;D xsi:type="xsd:double"&gt;0.75178146&lt;/D&gt;&lt;D xsi:type="xsd:double"&gt;-0.8619666&lt;/D&gt;&lt;D xsi:type="xsd:double"&gt;-7.5235424&lt;/D&gt;&lt;D xsi:type="xsd:double"&gt;0.9447813&lt;/D&gt;&lt;D xsi:type="xsd:double"&gt;6.204653&lt;/D&gt;&lt;D xsi:type="xsd:double"&gt;2.834916&lt;/D&gt;&lt;D xsi:type="xsd:double"&gt;-1.7992973&lt;/D&gt;&lt;D xsi:type="xsd:double"&gt;3.265357&lt;/D&gt;&lt;D xsi:type="xsd:double"&gt;3.0501485&lt;/D&gt;&lt;D xsi:type="xsd:double"&gt;0.7963538&lt;/D&gt;&lt;D xsi:type="xsd:double"&gt;-0.8606911&lt;/D&gt;&lt;D xsi:type="xsd:double"&gt;-0.93060136&lt;/D&gt;&lt;D xsi:type="xsd:double"&gt;3.1404853&lt;/D&gt;&lt;D xsi:type="xsd:double"&gt;2.873981&lt;/D&gt;&lt;D xsi:type="xsd:double"&gt;0.19493103&lt;/D&gt;&lt;D xsi:type="xsd:double"&gt;4.5500755&lt;/D&gt;&lt;D xsi:type="xsd:double"&gt;-0.58787465&lt;/D&gt;&lt;D xsi:type="xsd:double"&gt;0.2392888&lt;/D&gt;&lt;D xsi:type="xsd:double"&gt;2.327466&lt;/D&gt;&lt;D xsi:type="xsd:double"&gt;1.7769217&lt;/D&gt;&lt;D xsi:type="xsd:double"&gt;1.5423894&lt;/D&gt;&lt;D xsi:type="xsd:double"&gt;-0.9397328&lt;/D&gt;&lt;D xsi:type="xsd:double"&gt;2.5007486&lt;/D&gt;&lt;D xsi:type="xsd:double"&gt;2.6739836&lt;/D&gt;&lt;D xsi:type="xsd:double"&gt;1.4251828&lt;/D&gt;&lt;D xsi:type="xsd:double"&gt;3.5056949&lt;/D&gt;&lt;D xsi:type="xsd:double"&gt;5.898845&lt;/D&gt;&lt;D xsi:type="xsd:double"&gt;-3.0287027&lt;/D&gt;&lt;D xsi:type="xsd:double"&gt;-5.688846&lt;/D&gt;&lt;D xsi:type="xsd:double"&gt;3.301692&lt;/D&gt;&lt;D xsi:ty</t>
        </r>
      </text>
    </comment>
    <comment ref="A13" authorId="0" shapeId="0" xr:uid="{88A9B2FC-FBC0-4583-B923-93722CF31380}">
      <text>
        <r>
          <rPr>
            <b/>
            <sz val="9"/>
            <color indexed="81"/>
            <rFont val="Tahoma"/>
            <charset val="1"/>
          </rPr>
          <t>pe="xsd:double"&gt;2.5471687&lt;/D&gt;&lt;D xsi:type="xsd:double"&gt;0.9565592&lt;/D&gt;&lt;D xsi:type="xsd:double"&gt;1.9873381&lt;/D&gt;&lt;D xsi:type="xsd:double"&gt;1.9950032&lt;/D&gt;&lt;D xsi:type="xsd:double"&gt;2.6322126&lt;/D&gt;&lt;D xsi:type="xsd:double"&gt;-6.2947392&lt;/D&gt;&lt;D xsi:type="xsd:double"&gt;-3.786409&lt;/D&gt;&lt;D xsi:type="xsd:double"&gt;-8.020735&lt;/D&gt;&lt;D xsi:type="xsd:double"&gt;9.434986&lt;/D&gt;&lt;D xsi:type="xsd:double"&gt;5.971682&lt;/D&gt;&lt;D xsi:type="xsd:double"&gt;0.47792196&lt;/D&gt;&lt;D xsi:type="xsd:double"&gt;4.880929&lt;/D&gt;&lt;D xsi:type="xsd:double"&gt;-3.6670268&lt;/D&gt;&lt;D xsi:type="xsd:double"&gt;4.711008&lt;/D&gt;&lt;D xsi:type="xsd:double"&gt;2.0510197&lt;/D&gt;&lt;D xsi:type="xsd:double"&gt;-5.0594926&lt;/D&gt;&lt;D xsi:type="xsd:double"&gt;5.175805&lt;/D&gt;&lt;D xsi:type="xsd:double"&gt;0.5600095&lt;/D&gt;&lt;D xsi:type="xsd:double"&gt;3.6948085&lt;/D&gt;&lt;D xsi:type="xsd:double"&gt;3.8051248&lt;/D&gt;&lt;D xsi:type="xsd:double"&gt;3.2687902&lt;/D&gt;&lt;D xsi:type="xsd:double"&gt;0.5305767&lt;/D&gt;&lt;D xsi:type="xsd:double"&gt;-32.733715&lt;/D&gt;&lt;D xsi:type="xsd:double"&gt;25.176048&lt;/D&gt;&lt;D xsi:type="xsd:double"&gt;5.8621287&lt;/D&gt;&lt;D xsi:type="xsd:double"&gt;6.0896754&lt;/D&gt;&lt;D xsi:type="xsd:double"&gt;3.4962416&lt;/D&gt;&lt;D xsi:type="xsd:double"&gt;5.115187&lt;/D&gt;&lt;D xsi:type="xsd:double"&gt;-4.5755863&lt;/D&gt;&lt;D xsi:type="xsd:double"&gt;7.172072&lt;/D&gt;&lt;D xsi:type="xsd:double"&gt;3.3778667&lt;/D&gt;&lt;D xsi:type="xsd:double"&gt;3.268373&lt;/D&gt;&lt;D xsi:type="xsd:double"&gt;4.1651964&lt;/D&gt;&lt;D xsi:type="xsd:double"&gt;1.2066483&lt;/D&gt;&lt;D xsi:type="xsd:double"&gt;0.8458972&lt;/D&gt;&lt;D xsi:type="xsd:double"&gt;6.99358&lt;/D&gt;&lt;D xsi:type="xsd:double"&gt;-0.4319191&lt;/D&gt;&lt;D xsi:type="xsd:double"&gt;2.183783&lt;/D&gt;&lt;D xsi:type="xsd:double"&gt;4.103172&lt;/D&gt;&lt;D xsi:type="xsd:double"&gt;1.6638637&lt;/D&gt;&lt;D xsi:type="xsd:double"&gt;-0.5916357&lt;/D&gt;&lt;D xsi:type="xsd:double"&gt;2.242887&lt;/D&gt;&lt;D xsi:type="xsd:double"&gt;3.325832&lt;/D&gt;&lt;D xsi:type="xsd:double"&gt;0.87242126&lt;/D&gt;&lt;D xsi:type="xsd:double"&gt;-6.931573&lt;/D&gt;&lt;D xsi:type="xsd:double"&gt;-3.6599815&lt;/D&gt;&lt;D xsi:type="xsd:double"&gt;5.5015445&lt;/D&gt;&lt;D xsi:type="xsd:double"&gt;-4.0017962&lt;/D&gt;&lt;D xsi:type="xsd:double"&gt;-6.835037&lt;/D&gt;&lt;D xsi:type="xsd:double"&gt;-4.3410597&lt;/D&gt;&lt;D xsi:type="xsd:double"&gt;4.5045733&lt;/D&gt;&lt;D xsi:type="xsd:double"&gt;4.368627&lt;/D&gt;&lt;D xsi:type="xsd:double"&gt;-10.39809&lt;/D&gt;&lt;D xsi:type="xsd:double"&gt;1.723063&lt;/D&gt;&lt;D xsi:type="xsd:double"&gt;7.5155616&lt;/D&gt;&lt;D xsi:type="xsd:double"&gt;-4.4059157&lt;/D&gt;&lt;D xsi:type="xsd:double"&gt;4.6277165&lt;/D&gt;&lt;D xsi:type="xsd:double"&gt;0.0074863434&lt;/D&gt;&lt;D xsi:type="xsd:double"&gt;-1.4904141&lt;/D&gt;&lt;D xsi:type="xsd:double"&gt;4.8401475&lt;/D&gt;&lt;D xsi:type="xsd:double"&gt;0.4585147&lt;/D&gt;&lt;D xsi:type="xsd:double"&gt;5.007386&lt;/D&gt;&lt;D xsi:type="xsd:double"&gt;4.3789387&lt;/D&gt;&lt;D xsi:type="xsd:double"&gt;-2.02353&lt;/D&gt;&lt;D xsi:type="xsd:double"&gt;-2.4993896&lt;/D&gt;&lt;D xsi:type="xsd:double"&gt;-2.3140252&lt;/D&gt;&lt;D xsi:type="xsd:double"&gt;8.219564&lt;/D&gt;&lt;D xsi:type="xsd:double"&gt;4.5170903&lt;/D&gt;&lt;D xsi:type="xsd:double"&gt;2.3667216&lt;/D&gt;&lt;D xsi:type="xsd:double"&gt;4.7415853&lt;/D&gt;&lt;D xsi:type="xsd:double"&gt;2.951765&lt;/D&gt;&lt;D xsi:type="xsd:double"&gt;-2.9853642&lt;/D&gt;&lt;D xsi:type="xsd:double"&gt;4.016614&lt;/D&gt;&lt;D xsi:type="xsd:double"&gt;3.86132&lt;/D&gt;&lt;D xsi:type="xsd:double"&gt;1.7024517&lt;/D&gt;&lt;D xsi:type="xsd:double"&gt;1.5078187&lt;/D&gt;&lt;D xsi:type="xsd:double"&gt;1.704359&lt;/D&gt;&lt;/FQL&gt;&lt;FQL&gt;&lt;Q&gt;VGK^P_PRICE(0)/P_PRICE_HIGH_PR(0,,,,,,"PRICE","INTRA","52W")&lt;/Q&gt;&lt;R&gt;1&lt;/R&gt;&lt;C&gt;1&lt;/C&gt;&lt;D xsi:type="xsd:double"&gt;0.98328656&lt;/D&gt;&lt;/FQL&gt;&lt;FQL&gt;&lt;Q&gt;EWJ^FG_ROE(0)&lt;/Q&gt;&lt;R&gt;1&lt;/R&gt;&lt;C&gt;1&lt;/C&gt;&lt;D xsi:type="xsd:double"&gt;8.70219331020642&lt;/D&gt;&lt;/FQL&gt;&lt;FQL&gt;&lt;Q&gt;VGK^FG_PE_NTM(0,,,90,0)&lt;/Q&gt;&lt;R&gt;1&lt;/R&gt;&lt;C&gt;1&lt;/C&gt;&lt;D xsi:type="xsd:double"&gt;13.3760019851574&lt;/D&gt;&lt;/FQL&gt;&lt;FQL&gt;&lt;Q&gt;EWU^JULIAN(FMA_DIV_YLD(NTMA,NOW,NOW,M,"PORTAGG","MEANR").DATES)&lt;/Q&gt;&lt;R&gt;1&lt;/R&gt;&lt;C&gt;1&lt;/C&gt;&lt;D xsi:type="xsd:long"&gt;45534&lt;/D&gt;&lt;/FQL&gt;&lt;FQL&gt;&lt;Q&gt;EWG^FMA_ROE(NTMA,-20AY,NOW,FY,"PORTAGG","MEANR")&lt;/Q&gt;&lt;R&gt;20&lt;/R&gt;&lt;C&gt;1&lt;/C&gt;&lt;D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xsi:type="xsd:double"&gt;11.93889064433&lt;/D&gt;&lt;/FQL&gt;&lt;FQL&gt;&lt;Q&gt;USDCAD^FG_PRICE_CHANGE(0,-6AM)&lt;/Q&gt;&lt;R&gt;1&lt;/R&gt;&lt;C&gt;1&lt;/C&gt;&lt;D xsi:type="xsd:double"&gt;-0.7318258&lt;/D&gt;&lt;/FQL&gt;&lt;FQL&gt;&lt;Q&gt;DDR3512M-FDS^FG_PRICE(0)/MAX(FG_PRICE(0,-1AY))&lt;/Q&gt;&lt;R&gt;1&lt;/R&gt;&lt;C&gt;1&lt;/C&gt;&lt;D xsi:type="xsd:double"&gt;0.849189519230769&lt;/D&gt;&lt;/FQL&gt;&lt;FQL&gt;&lt;Q&gt;W-FDS^FG_PRICE_CHANGE(0,-1AY)&lt;/Q&gt;&lt;R&gt;1&lt;/R&gt;&lt;C&gt;1&lt;/C&gt;&lt;D xsi:type="xsd:double"&gt;-1.89818809318378&lt;/D&gt;&lt;/FQL&gt;&lt;FQL&gt;&lt;Q&gt;EWU^FG_PRICE(0)&lt;/Q&gt;&lt;R&gt;1&lt;/R&gt;&lt;C&gt;1&lt;/C&gt;&lt;D xsi:type="xsd:double"&gt;37.395&lt;/D&gt;&lt;/FQL&gt;&lt;FQL&gt;&lt;Q&gt;QQQ^FMA_COS_UP("EPS","1M",+1,0,,,"PORTAGG","MEANR")&lt;/Q&gt;&lt;R&gt;1&lt;/R&gt;&lt;C&gt;1&lt;/C&gt;&lt;D xsi:type="xsd:double"&gt;35&lt;/D&gt;&lt;/FQL&gt;&lt;FQL&gt;&lt;Q&gt;QQQ^FG_TOTAL_RETURNC(-10AY,0,AM)&lt;/Q&gt;&lt;R&gt;121&lt;/R&gt;&lt;C&gt;1&lt;/C&gt;&lt;D xsi:type="xsd:double"&gt;-0.0353992&lt;/D&gt;&lt;D xsi:type="xsd:double"&gt;-0.97185373&lt;/D&gt;&lt;D xsi:type="xsd:double"&gt;6.1848283&lt;/D&gt;&lt;D xsi:type="xsd:double"&gt;0.6993294&lt;/D&gt;&lt;D xsi:type="xsd:double"&gt;0.04798174&lt;/D&gt;&lt;D xsi:type="xsd:double"&gt;4.085934&lt;/D&gt;&lt;D xsi:type="xsd:double"&gt;0.043845177&lt;/D&gt;&lt;D xsi:type="xsd:double"&gt;0.6831646&lt;/D&gt;&lt;D xsi:type="xsd:double"&gt;1.2928724&lt;/D&gt;&lt;D xsi:type="xsd:double"&gt;0.5216241&lt;/D&gt;&lt;D xsi:type="xsd:double"&gt;1.2726784&lt;/D&gt;&lt;D xsi:type="xsd:double"&gt;-8.734399&lt;/D&gt;&lt;D xsi:type="xsd:double"&gt;1.9893885&lt;/D&gt;&lt;D xsi:type="xsd:double"&gt;8.254946&lt;/D&gt;&lt;D xsi:type="xsd:double"&gt;1.2147546&lt;/D&gt;&lt;D xsi:type="xsd:double"&gt;-1.041621&lt;/D&gt;&lt;D xsi:type="xsd:double"&gt;-7.8501043&lt;/D&gt;&lt;D xsi:type="xsd:double"&gt;-2.1104336&lt;/D&gt;&lt;D xsi:type="xsd:double"&gt;5.874574&lt;/D&gt;&lt;D xsi:type="xsd:double"&gt;1.6320109&lt;/D&gt;&lt;D xsi:type="xsd:double"&gt;-2.431643&lt;/D&gt;&lt;D xsi:type="xsd:double"&gt;2.5700927&lt;/D&gt;&lt;D xsi:type="xsd:double"&gt;4.486537&lt;/D&gt;&lt;D xsi:type="xsd:double"&gt;3.44038&lt;/D&gt;&lt;D xsi:type="xsd:double"&gt;0.9071708&lt;/D&gt;&lt;D xsi:type="xsd:double"&gt;-0.15211701&lt;/D&gt;&lt;D xsi:type="xsd:double"&gt;0.22852421&lt;/D&gt;&lt;D xsi:type="xsd:double"&gt;1.8043637&lt;/D&gt;&lt;D xsi:type="xsd:double"&gt;2.6206374&lt;/D&gt;&lt;D xsi:type="xsd:double"&gt;5.399263&lt;/D&gt;&lt;D xsi:type="xsd:double"&gt;0.47795773&lt;/D&gt;&lt;D xsi:type="xsd:double"&gt;1.687634&lt;/D&gt;&lt;D xsi:type="xsd:double"&gt;4.9637914&lt;/D&gt;&lt;D xsi:type="xsd:double"&gt;1.7873287&lt;/D&gt;&lt;D xsi:type="xsd:double"&gt;2.0319939&lt;/D&gt;&lt;D xsi:type="xsd:double"&gt;-0.9853542&lt;/D&gt;&lt;D xsi:type="xsd:double"&gt;1.3642788&lt;/D&gt;&lt;D xsi:type="xsd:double"&gt;2.3697376&lt;/D&gt;&lt;D xsi:type="xsd:double"&gt;5.3810716&lt;/D&gt;&lt;D xsi:type="xsd:double"&gt;1.2889504&lt;/D&gt;&lt;D xsi:type="xsd:double"&gt;7.7143073&lt;/D&gt;&lt;D xsi:type="xsd:double"&gt;-0.79051256&lt;/D&gt;&lt;D xsi:type="xsd:double"&gt;-5.588192&lt;/D&gt;&lt;D xsi:type="xsd:double"&gt;2.1323562&lt;/D&gt;&lt;D xsi:type="xsd:double"&gt;4.7624946&lt;/D&gt;&lt;D xsi:type="xsd:double"&gt;3.5942435&lt;/D&gt;&lt;D xsi:type="xsd:double"&gt;2.4184346&lt;/D&gt;&lt;D xsi:type="xsd:double"&gt;0.6905794&lt;/D&gt;&lt;D xsi:type="xsd:double"&gt;1.6095161&lt;/D&gt;&lt;D xsi:type="xsd:double"&gt;-5.5137396&lt;/D&gt;&lt;D xsi:type="xsd:double"&gt;-8.114499&lt;/D&gt;&lt;D xsi:type="xsd:double"&gt;-7.3111&lt;/D&gt;&lt;D xsi:type="xsd:double"&gt;10.20211&lt;/D&gt;&lt;D xsi:type="xsd:double"&gt;6.6234946&lt;/D&gt;&lt;D xsi:type="xsd:double"&gt;3.4671903&lt;/D&gt;&lt;D xsi:type="xsd:double"&gt;6.5804243&lt;/D&gt;&lt;D xsi:type="xsd:double"&gt;-6.3370285&lt;/D&gt;&lt;D xsi:type="xsd:double"&gt;5.7896256&lt;/D&gt;&lt;D xsi:type="xsd:double"&gt;2.995181&lt;/D&gt;&lt;D xsi:type="xsd:double"&gt;-6.047779&lt;/D&gt;&lt;D xsi:type="xsd:double"&gt;4.8410773&lt;/D&gt;&lt;D xsi:type="xsd:double"&gt;0.90289116&lt;/D&gt;&lt;D xsi:type="xsd:double"&gt;4.9994826&lt;/D&gt;&lt;D xsi:type="xsd:double"&gt;5.1715016&lt;/D&gt;&lt;D xsi:type="xsd:double"&gt;6.0337067&lt;/D&gt;&lt;D xsi:type="xsd:double"&gt;2.5290608&lt;/D&gt;&lt;D xsi:type="xsd:double"&gt;-25.81635&lt;/D&gt;&lt;D xsi:type="xsd:double"&gt;23.50111&lt;/D&gt;&lt;D xsi:type="xsd:double"&gt;9.09177&lt;/D&gt;&lt;D xsi:type="xsd:double"&gt;8.537781&lt;/D&gt;&lt;D xsi:type="xsd:double"&gt;3.6851048&lt;/D&gt;&lt;D xsi:type="xsd:double"&gt;9.247696&lt;/D&gt;&lt;D xsi:type="xsd:double"&gt;-6.1470213&lt;/D&gt;&lt;D xsi:type="xsd:double"&gt;7.7907324&lt;/D&gt;&lt;D xsi:type="xsd:double"&gt;1.9842744&lt;/D&gt;&lt;D xsi:type="xsd:double"&gt;6.325972&lt;/D&gt;&lt;D xsi:type="xsd:double"&gt;5.58728&lt;/D&gt;&lt;D xsi:type="xsd:double"&gt;-1.2107432&lt;/D&gt;&lt;D xsi:type="xsd:double"&gt;-1.2028873&lt;/D&gt;&lt;D xsi:type="xsd:double"&gt;6.9983006&lt;/D&gt;&lt;D xsi:type="xsd:double"&gt;-3.6562383&lt;/D&gt;&lt;D xsi:type="xsd:double"&gt;6.4617753&lt;/D&gt;&lt;D xsi:type="xsd:double"&gt;5.8837175&lt;/D&gt;&lt;D xsi:type="xsd:double"&gt;1.3661027&lt;/D&gt;&lt;D xsi:type="xsd:double"&gt;0.046122074&lt;/D&gt;&lt;D xsi:type="xsd:double"&gt;0.3002882&lt;/D&gt;&lt;D xsi:type="xsd:double"&gt;6.249666&lt;/D&gt;&lt;D xsi:type="xsd:double"&gt;-0.011980534&lt;/D&gt;&lt;D xsi:type="xsd:double"&gt;-11.395246&lt;/D&gt;&lt;D xsi:type="xsd:double"&gt;-6.3322783&lt;/D&gt;&lt;D xsi:type="xsd:double"&gt;6.9351673&lt;/D&gt;&lt;D xsi:type="xsd:double"&gt;-7.512146&lt;/D&gt;&lt;D xsi:type="xsd:double"&gt;-9.809458&lt;/D&gt;&lt;D xsi:type="xsd:double"&gt;-2.7584672&lt;/D&gt;&lt;D xsi:type="xsd:double"&gt;6.017196&lt;/D&gt;&lt;D xsi:type="xsd:double"&gt;4.0100694&lt;/D&gt;&lt;D xsi:type="xsd:double"&gt;-12.129617&lt;/D&gt;&lt;D xsi:type="xsd:double"&gt;-0.032663345&lt;/D&gt;&lt;D xsi:type="xsd:double"&gt;4.8652887&lt;/D&gt;&lt;D xsi:type="xsd:double"&gt;-7.2053194&lt;/D&gt;&lt;D xsi:type="xsd:double"&gt;8.078993&lt;/D&gt;&lt;D xsi:type="xsd:double"&gt;2.7201056&lt;/D&gt;&lt;D xsi:type="xsd:double"&gt;4.5172334&lt;/D&gt;&lt;D xsi:type="xsd:double"&gt;2.214682&lt;/D&gt;&lt;D xsi:type="xsd:double"&gt;5.290425&lt;/D&gt;&lt;D xsi:type="xsd:double"&gt;8.902681&lt;/D&gt;&lt;D xsi:type="xsd:double"&gt;3.6106348&lt;/D&gt;&lt;D xsi:type="xsd:double"&gt;-1.7357528&lt;/D&gt;&lt;D xsi:type="xsd:double"&gt;-2.8942108&lt;/D&gt;&lt;D xsi:type="xsd:double"&gt;-0.62585473&lt;/D&gt;&lt;D xsi:type="xsd:double"&gt;9.669065&lt;/D&gt;&lt;D xsi:type="xsd:double"&gt;4.904592&lt;/D&gt;&lt;D xsi:type="xsd:double"&gt;3.7519217&lt;/D&gt;&lt;D xsi:type="xsd:double"&gt;3.1406403&lt;/D&gt;&lt;D xsi:type="xsd:double"&gt;2.3318648&lt;/D&gt;&lt;D xsi:type="xsd:double"&gt;-4.7739563&lt;/D&gt;&lt;D xsi:type="xsd:double"&gt;6.725955&lt;/D&gt;&lt;D xsi:type="xsd:double"&gt;5.845785&lt;/D&gt;&lt;D xsi:type="xsd:double"&gt;0.2524495&lt;/D&gt;&lt;D xsi:type="xsd:double"&gt;-0.12899637&lt;/D&gt;&lt;D xsi:type="xsd:double"&gt;0.8910179&lt;/D&gt;&lt;/FQL&gt;&lt;FQL&gt;&lt;Q&gt;VGK^PERCENT_CHANGE(FMA_EPS(+1,0,,,,"PORTAGG","MEAN"),FMA_EPS(+1,-1AM,,,,"PORTAGG","MEAN"))&lt;/Q&gt;&lt;R&gt;1&lt;/R&gt;&lt;C&gt;1&lt;/C&gt;&lt;D xsi:type="xsd:double"&gt;0&lt;/D&gt;&lt;/FQL&gt;&lt;FQL&gt;&lt;Q&gt;REFCHMPR-FDS^(SUBARRAY(NOT_NA(NO_REPEAT_F(FG_YIELD(NOW,-10AY,D))),0,1)-SUBARRAY(NOT_NA(NO_REPEAT_F(FG_YIELD(NOW,-10AY,D))),1,1))*100&lt;/Q&gt;&lt;R&gt;1&lt;/R&gt;&lt;C&gt;1&lt;/C&gt;&lt;D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xsi:type="xsd:double"&gt;-25&lt;/D&gt;&lt;/FQL&gt;&lt;FQL&gt;&lt;Q&gt;EWI^FMA_EVAL_EBIT(LTMA,NOW,NOW,M,"PORTAGG","MEANR")&lt;/Q&gt;&lt;R&gt;1&lt;/R&gt;&lt;C&gt;1&lt;/C&gt;&lt;D xsi:type="xsd:double"&gt;11.4842402050919&lt;/D&gt;&lt;/FQL&gt;&lt;FQL&gt;&lt;Q&gt;DDR3512M-FDS^FG_PRICE_CHANGE(0,-1AY)&lt;/Q&gt;&lt;R&gt;1&lt;/R&gt;&lt;C&gt;1&lt;/C&gt;&lt;D xsi:type="xsd:double"&gt;-11.5607934920323&lt;/D&gt;&lt;/FQL&gt;&lt;FQL&gt;&lt;Q&gt;W-FDS^FG_PRICE_CHANGE(0,-6AM)&lt;/Q&gt;&lt;R&gt;1&lt;/R&gt;&lt;C&gt;1&lt;/C&gt;&lt;D xsi:type="xsd:double"&gt;2.47859396124379&lt;/D&gt;&lt;/FQL&gt;&lt;FQL&gt;&lt;Q&gt;EWL^FG_PRICE_MAVG(0,,,,200)&lt;/Q&gt;&lt;R&gt;1&lt;/R&gt;&lt;C&gt;1&lt;/C&gt;&lt;D xsi:type="xsd:double"&gt;48.319725&lt;/D&gt;&lt;/FQL&gt;&lt;FQL&gt;&lt;Q&gt;EWU^FG_TOTAL_RETURNC(-10AY,0,AM)&lt;/Q&gt;&lt;R&gt;121&lt;/R&gt;&lt;C&gt;1&lt;/C&gt;&lt;D xsi:type="xsd:double"&gt;-2.7531922&lt;/D&gt;&lt;D xsi:type="xsd:double"&gt;-5.915064&lt;/D&gt;&lt;D xsi:type="xsd:double"&gt;3.062868&lt;/D&gt;&lt;D xsi:type="xsd:double"&gt;-3.0239165&lt;/D&gt;&lt;D xsi:type="xsd:double"&gt;-0.21929145&lt;/D&gt;&lt;D xsi:type="xsd:double"&gt;4.670322&lt;/D&gt;&lt;D xsi:type="xsd:double"&gt;-1.0498643&lt;/D&gt;&lt;D xsi:type="xsd:double"&gt;1.6976118&lt;/D&gt;&lt;D xsi:type="xsd:double"&gt;2.7647376&lt;/D&gt;&lt;D xsi:type="xsd:double"&gt;-1.1675179&lt;/D&gt;&lt;D xsi:type="xsd:double"&gt;-4.400831&lt;/D&gt;&lt;D xsi:type="xsd:double"&gt;-6.017506&lt;/D&gt;&lt;D xsi:type="xsd:double"&gt;-4.772991&lt;/D&gt;&lt;D xsi:type="xsd:double"&gt;8.190716&lt;/D&gt;&lt;D xsi:type="xsd:double"&gt;-3.728813&lt;/D&gt;&lt;D xsi:type="xsd:double"&gt;-2.0735085&lt;/D&gt;&lt;D xsi:type="xsd:double"&gt;-9.046459&lt;/D&gt;&lt;D xsi:type="xsd:double"&gt;-0.9408653&lt;/D&gt;&lt;D xsi:type="xsd:double"&gt;4.748976&lt;/D&gt;&lt;D xsi:type="xsd:double"&gt;5.3756475&lt;/D&gt;&lt;D xsi:type="xsd:double"&gt;-2.2741318&lt;/D&gt;&lt;D xsi:type="xsd:double"&gt;6.6565394&lt;/D&gt;&lt;D xsi:type="xsd:double"&gt;-6.6465197&lt;/D&gt;&lt;D xsi:type="xsd:double"&gt;3.4951448&lt;/D&gt;&lt;D xsi:type="xsd:double"&gt;-1.1882424&lt;/D&gt;&lt;D xsi:type="xsd:double"&gt;-3.7341774&lt;/D&gt;&lt;D xsi:type="xsd:double"&gt;-0.8547008&lt;/D&gt;&lt;D xsi:type="xsd:double"&gt;2.2251487&lt;/D&gt;&lt;D xsi:type="xsd:double"&gt;3.4199357&lt;/D&gt;&lt;D xsi:type="xsd:double"&gt;2.5437236&lt;/D&gt;&lt;D xsi:type="xsd:double"&gt;0.93022585&lt;/D&gt;&lt;D xsi:type="xsd:double"&gt;-0.552994&lt;/D&gt;&lt;D xsi:type="xsd:double"&gt;7.290709&lt;/D&gt;&lt;D xsi:type="xsd:double"&gt;-2.7322292&lt;/D&gt;&lt;D xsi:type="xsd:double"&gt;2.6937008&lt;/D&gt;&lt;D xsi:type="xsd:double"&gt;-1.5620351&lt;/D&gt;&lt;D xsi:type="xsd:double"&gt;4.311371&lt;/D&gt;&lt;D xsi:type="xsd:double"&gt;0.14351606&lt;/D&gt;&lt;D xsi:type="xsd:double"&gt;0&lt;/D&gt;&lt;D xsi:type="xsd:double"&gt;3.1744719&lt;/D&gt;&lt;D xsi:type="xsd:double"&gt;6.5666556&lt;/D&gt;&lt;D xsi:type="xsd:double"&gt;-5.683941&lt;/D&gt;&lt;D xsi:type="xsd:double"&gt;-4.4776144&lt;/D&gt;&lt;D xsi:type="xsd:double"&gt;6.8691134&lt;/D&gt;&lt;D xsi:type="xsd:double"&gt;1.4068961&lt;/D&gt;&lt;D xsi:type="xsd:double"&gt;-2.3002923&lt;/D&gt;&lt;D xsi:type="xsd:double"&gt;-1.2257695&lt;/D&gt;&lt;D xsi:type="xsd:double"&gt;-3.0014455&lt;/D&gt;&lt;D xsi:type="xsd:double"&gt;1.606667&lt;/D&gt;&lt;D xsi:type="xsd:double"&gt;-6.617868&lt;/D&gt;&lt;D xsi:type="xsd:double"&gt;-1.9128203&lt;/D&gt;&lt;D xsi:type="xsd:double"&gt;-5.8502855&lt;/D&gt;&lt;D xsi:type="xsd:double"&gt;6.9396257&lt;/D&gt;&lt;D xsi:type="xsd:double"&gt;5.3212166&lt;/D&gt;&lt;D xsi:type="xsd:double"&gt;1.5403628&lt;/D&gt;&lt;D xsi:type="xsd:double"&gt;2.7305841&lt;/D&gt;&lt;D xsi:type="xsd:double"&gt;-5.3750753&lt;/D&gt;&lt;D xsi:type="xsd:double"&gt;2.9183984&lt;/D&gt;&lt;D xsi:type="xsd:double"&gt;0.21772385&lt;/D&gt;&lt;D xsi:type="xsd:double"&gt;-7.5419006&lt;/D&gt;&lt;D xsi:type="xsd:double"&gt;5.773747&lt;/D&gt;&lt;D xsi:type="xsd:double"&gt;2.8245091&lt;/D&gt;&lt;D xsi:type="xsd:double"&gt;0.6172776&lt;/D&gt;&lt;D xsi:type="xsd:double"&gt;4.8719764&lt;/D&gt;&lt;D xsi:type="xsd:double"&gt;0.38690567&lt;/D&gt;&lt;D xsi:type="xsd:double"&gt;-3.0536592&lt;/D&gt;&lt;D xsi:type="xsd:double"&gt;-39.877678&lt;/D&gt;&lt;D xsi:type="xsd:double"&gt;23.702955&lt;/D&gt;&lt;D xsi:type="xsd:double"&gt;2.8371692&lt;/D&gt;&lt;D xsi:type="xsd:double"&gt;7.23902&lt;/D&gt;&lt;D xsi:type="xsd:double"&gt;-0.18924475&lt;/D&gt;&lt;D xsi:type="xsd:double"&gt;0.5308986&lt;/D&gt;&lt;D xsi:type="xsd:double"&gt;-5.318749&lt;/D&gt;&lt;D xsi:type="xsd:double"&gt;2.6693225&lt;/D&gt;&lt;D xsi:type="xsd:double"&gt;11.09817&lt;/D&gt;&lt;D xsi:type="xsd:double"&gt;3.7600636&lt;/D&gt;&lt;D xsi:type="xsd:double"&gt;4.256046&lt;/D&gt;&lt;D xsi:type="xsd:double"&gt;2.416718&lt;/D&gt;&lt;D xsi:type="xsd:double"&gt;-1.5625&lt;/D&gt;&lt;D xsi:type="xsd:double"&gt;5.150628&lt;/D&gt;&lt;D xsi:type="xsd:double"&gt;4.128158&lt;/D&gt;&lt;D xsi:type="xsd:double"&gt;-0.68709254&lt;/D&gt;&lt;D xsi:type="xsd:double"&gt;-1.7267466&lt;/D&gt;&lt;D xsi:type="xsd:double"&gt;1.4796495&lt;/D&gt;&lt;D xsi:type="xsd:double"&gt;-0.18225312&lt;/D&gt;&lt;D xsi:type="xsd:double"&gt;2.6780367&lt;/D&gt;&lt;D xsi:type="xsd:double"&gt;-1.5115678&lt;/D&gt;&lt;D xsi:type="xsd:double"&gt;1.7324924&lt;/D&gt;&lt;D xsi:type="xsd:double"&gt;2.4316072&lt;/D&gt;&lt;D xsi:type="xsd:double"&gt;1.1869311&lt;/D&gt;&lt;D xsi:type="xsd:double"&gt;-1.876831&lt;/D&gt;&lt;D xsi:type="xsd:double"&gt;-1.4345467&lt;/D&gt;&lt;D xsi:type="xsd:double"&gt;-0.8186817&lt;/D&gt;&lt;D xsi:type="xsd:double"&gt;-8.344525&lt;/D&gt;&lt;D xsi:type="xsd:double"&gt;0.679338&lt;/D&gt;&lt;D xsi:type="xsd:double"&gt;2.361679&lt;/D&gt;&lt;D xsi:type="xsd:double"&gt;-13.4805565&lt;/D&gt;&lt;D xsi:type="xsd:double"&gt;3.5809517&lt;/D&gt;&lt;D xsi:type="xsd:double"&gt;14.122844&lt;/D&gt;&lt;D xsi:type="xsd:double"&gt;0.7766843&lt;/D&gt;&lt;D xsi:type="xsd:double"&gt;6.3291073&lt;/D&gt;&lt;D xsi:type="xsd:double"&gt;-0.6715417&lt;/D&gt;&lt;D xsi:type="xsd:double"&gt;-3.9643526&lt;/D&gt;&lt;D xsi:type="xsd:double"&gt;8.127999&lt;/D&gt;&lt;D xsi:type="xsd:double"&gt;-2.367562&lt;/D&gt;&lt;D xsi:type="xsd:double"&gt;-1.1475623&lt;/D&gt;&lt;D xsi:type="xsd:double"&gt;4.0325046&lt;/D&gt;&lt;D xsi:type="xsd:double"&gt;-5.0781193&lt;/D&gt;&lt;D xsi:type="xsd:double"&gt;1.3295293&lt;/D&gt;&lt;D xsi:type="xsd:double"&gt;-3.6863446&lt;/D&gt;&lt;D xsi:type="xsd:double"&gt;4.0544987&lt;/D&gt;&lt;D xsi:type="xsd:double"&gt;4.980874&lt;/D&gt;&lt;D xsi:type="xsd:double"&gt;-2.7946472&lt;/D&gt;&lt;D xsi:type="xsd:double"&gt;3.1562448&lt;/D&gt;&lt;D xsi:type="xsd:double"&gt;2.6961684&lt;/D&gt;&lt;D xsi:type="xsd:double"&gt;1.0914445&lt;/D&gt;&lt;D xsi:type="xsd:double"&gt;5.3399444&lt;/D&gt;&lt;D xsi:type="xsd:double"&gt;-0.8377373&lt;/D&gt;&lt;D xsi:type="xsd:double"&gt;1.053822&lt;/D&gt;&lt;D xsi:type="xsd:double"&gt;5.4115057&lt;/D&gt;&lt;D xsi:type="xsd:double"&gt;-0.013369322&lt;/D&gt;&lt;/FQL&gt;&lt;FQL&gt;&lt;Q&gt;VGK^FMA_PCT_ABOVE_MAVG(200,0,,,,"PORTAGG")&lt;/Q&gt;&lt;R&gt;1&lt;/R&gt;&lt;C&gt;1&lt;/C&gt;&lt;D xsi:type="xsd:double"&gt;63.370253164557&lt;/D&gt;&lt;/FQL&gt;&lt;FQL&gt;&lt;Q&gt;EWC^FG_ROE(0)&lt;/Q&gt;&lt;R&gt;1&lt;/R&gt;&lt;C&gt;1&lt;/C&gt;&lt;D xsi:type="xsd:double"&gt;10.7750518451632&lt;/D&gt;&lt;/FQL&gt;&lt;FQL&gt;&lt;Q&gt;EWI^FMA_EVAL_EBITDA(NTMA,0,,,"PORTAGG","MEANR")&lt;/Q&gt;&lt;R&gt;1&lt;/R&gt;&lt;C&gt;1&lt;/C&gt;&lt;D xsi:type="xsd:double"&gt;7.4838652727912&lt;/D&gt;&lt;/FQL&gt;&lt;FQL&gt;&lt;Q&gt;EWA^FMA_ROE(NTMA,-20AY,NOW,FY,"PORTAGG","MEANR")&lt;/Q&gt;&lt;R&gt;20&lt;/R&gt;&lt;C&gt;1&lt;/C&gt;&lt;D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xsi:type="xsd:double"&gt;11.7272452683733&lt;/D&gt;&lt;D xsi:type="xsd:double"&gt;11.0508592022587&lt;/D&gt;&lt;D xsi:type="xsd:double"&gt;12.8471719199911&lt;/D&gt;&lt;D xsi:type="xsd:double"&gt;14.658060585061&lt;/D&gt;&lt;D xsi:type="xsd:double"&gt;13.2263940971232&lt;/D&gt;&lt;/FQL&gt;&lt;FQL&gt;&lt;Q&gt;EWL^FG_PRICE_MAVG(0,,,,60)&lt;/Q&gt;&lt;R&gt;1&lt;/R&gt;&lt;C&gt;1&lt;/C&gt;&lt;D xsi:type="xsd:double"&gt;50.376083&lt;/D&gt;&lt;/FQL&gt;&lt;FQL&gt;&lt;Q&gt;EWL^FG_TOTAL_RETURNC(-10AY,0,AM)&lt;/Q&gt;&lt;R&gt;121&lt;/R&gt;&lt;C&gt;1&lt;/C&gt;&lt;D xsi:type="xsd:double"&gt;-1.1101186&lt;/D&gt;&lt;D xsi:type="xsd:double"&gt;-4.368925&lt;/D&gt;&lt;D xsi:type="xsd:double"&gt;4.3147206&lt;/D&gt;&lt;D xsi:type="xsd:double"&gt;-2.0681262&lt;/D&gt;&lt;D xsi:type="xsd:double"&gt;0.49688816&lt;/D&gt;&lt;D xsi:type="xsd:double"&gt;2.8430104&lt;/D&gt;&lt;D xsi:type="xsd:double"&gt;3.3353329&lt;/D&gt;&lt;D xsi:type="xsd:double"&gt;1.5702248&lt;/D&gt;&lt;D xsi:type="xsd:double"&gt;1.8036127&lt;/D&gt;&lt;D xsi:type="xsd:double"&gt;-1.2654662&lt;/D&gt;&lt;D xsi:type="xsd:double"&gt;-0.73195696&lt;/D&gt;&lt;D xsi:type="xsd:double"&gt;-5.963582&lt;/D&gt;&lt;D xsi:type="xsd:double"&gt;-5.654478&lt;/D&gt;&lt;D xsi:type="xsd:double"&gt;6.589401&lt;/D&gt;&lt;D xsi:type="xsd:double"&gt;-4.2870464&lt;/D&gt;&lt;D xsi:type="xsd:double"&gt;1.7851353&lt;/D&gt;&lt;D xsi:type="xsd:double"&gt;-7.8443885&lt;/D&gt;&lt;D xsi:type="xsd:double"&gt;-2.1107197&lt;/D&gt;&lt;D xsi:type="xsd:double"&gt;4.1003823&lt;/D&gt;&lt;D xsi:type="xsd:double"&gt;3.870964&lt;/D&gt;&lt;D xsi:type="xsd:double"&gt;-1.5364468&lt;/D&gt;&lt;D xsi:type="xsd:double"&gt;3.7187338&lt;/D&gt;&lt;D xsi:type="xsd:double"&gt;-2.1031857&lt;/D&gt;&lt;D xsi:type="xsd:double"&gt;3.3568263&lt;/D&gt;&lt;D xsi:type="xsd:double"&gt;0.09742975&lt;/D&gt;&lt;D xsi:type="xsd:double"&gt;-3.9909124&lt;/D&gt;&lt;D xsi:type="xsd:double"&gt;-5.204463&lt;/D&gt;&lt;D xsi:type="xsd:double"&gt;4.343128&lt;/D&gt;&lt;D xsi:type="xsd:double"&gt;3.4529924&lt;/D&gt;&lt;D xsi:type="xsd:double"&gt;2.808988&lt;/D&gt;&lt;D xsi:type="xsd:double"&gt;2.8286695&lt;/D&gt;&lt;D xsi:type="xsd:double"&gt;0.5314112&lt;/D&gt;&lt;D xsi:type="xsd:double"&gt;8.582079&lt;/D&gt;&lt;D xsi:type="xsd:double"&gt;0.29540062&lt;/D&gt;&lt;D xsi:type="xsd:double"&gt;1.5164733&lt;/D&gt;&lt;D xsi:type="xsd:double"&gt;-1.6949177&lt;/D&gt;&lt;D xsi:type="xsd:double"&gt;1.6949058&lt;/D&gt;&lt;D xsi:type="xsd:double"&gt;-0.22987723&lt;/D&gt;&lt;D xsi:type="xsd:double"&gt;0.7488489&lt;/D&gt;&lt;D xsi:type="xsd:double"&gt;0.600338&lt;/D&gt;&lt;D xsi:type="xsd:double"&gt;5.0866723&lt;/D&gt;&lt;D xsi:type="xsd:double"&gt;-3.6776662&lt;/D&gt;&lt;D xsi:type="xsd:double"&gt;-5.670971&lt;/D&gt;&lt;D xsi:type="xsd:double"&gt;2.0535827&lt;/D&gt;&lt;D xsi:type="xsd:double"&gt;-0.69991946&lt;/D&gt;&lt;D xsi:type="xsd:double"&gt;-1.5264511&lt;/D&gt;&lt;D xsi:type="xsd:double"&gt;3.7908912&lt;/D&gt;&lt;D xsi:type="xsd:double"&gt;1.2960196&lt;/D&gt;&lt;D xsi:type="xsd:double"&gt;2.5298&lt;/D&gt;&lt;D xsi:type="xsd:double"&gt;-7.0334673&lt;/D&gt;&lt;D xsi:type="xsd:double"&gt;-0.6711304&lt;/D&gt;&lt;D xsi:type="xsd:double"&gt;-5.6511106&lt;/D&gt;&lt;D xsi:type="xsd:double"&gt;7.7148438&lt;/D&gt;&lt;D xsi:type="xsd:double"&gt;4.1704416&lt;/D&gt;&lt;D xsi:type="xsd:double"&gt;0.8703232&lt;/D&gt;&lt;D xsi:type="xsd:double"&gt;2.8760433&lt;/D&gt;&lt;D xsi:type="xsd:double"&gt;1.1182547&lt;/D&gt;&lt;D xsi:type="xsd:double"&gt;5.86406&lt;/D&gt;&lt;D xsi:type="xsd:double"&gt;0.50638914&lt;/D&gt;&lt;D xsi:type="xsd:double"&gt;-2.3335934&lt;/D&gt;&lt;D xsi:type="xsd:double"&gt;2.280736&lt;/D&gt;&lt;D xsi:type="xsd:double"&gt;-0.13272762&lt;/D&gt;&lt;D xsi:type="xsd:double"&gt;2.7379155&lt;/D&gt;&lt;D xsi:type="xsd:double"&gt;4.786539&lt;/D&gt;&lt;D xsi:type="xsd:double"&gt;2.6419759&lt;/D&gt;&lt;D xsi:type="xsd:double"&gt;0.8660078&lt;/D&gt;&lt;D xsi:type="xsd:double"&gt;-27.235872&lt;/D&gt;&lt;D xsi:type="xsd:double"&gt;18.649626&lt;/D&gt;&lt;D xsi:type="xsd:double"&gt;3.232038&lt;/D&gt;&lt;D xsi:type="xsd:double"&gt;7.2825074&lt;/D&gt;&lt;D xsi:type="xsd:double"&gt;4.486692&lt;/D&gt;&lt;D xsi:type="xsd:double"&gt;1.1887431&lt;/D&gt;&lt;D xsi:type="xsd:double"&gt;-1.846081&lt;/D&gt;&lt;D xsi:type="xsd:double"&gt;1.2212992&lt;/D&gt;&lt;D xsi:type="xsd:double"&gt;2.6785731&lt;/D&gt;&lt;D xsi:type="xsd:double"&gt;2.9680014&lt;/D&gt;&lt;D xsi:type="xsd:double"&gt;4.3388844&lt;/D&gt;&lt;D xsi:type="xsd:double"&gt;-4.005247&lt;/D&gt;&lt;D xsi:type="xsd:double"&gt;1.687181&lt;/D&gt;&lt;D xsi:type="xsd:double"&gt;5.4260135&lt;/D&gt;&lt;D xsi:type="xsd:double"&gt;2.1267533&lt;/D&gt;&lt;D xsi:type="xsd:double"&gt;3.3503056&lt;/D&gt;&lt;D xsi:type="xsd:double"&gt;1.764822&lt;/D&gt;&lt;D xsi:type="xsd:double"&gt;2.984476&lt;/D&gt;&lt;D xsi:type="xsd:double"&gt;-4.4448795&lt;/D&gt;&lt;D xsi:type="xsd:double"&gt;1.4958978&lt;/D&gt;&lt;D xsi:type="xsd:double"&gt;0.28265715&lt;/D&gt;&lt;D xsi:type="xsd:double"&gt;4.912424&lt;/D&gt;&lt;D xsi:type="xsd:double"&gt;-4.3561697&lt;/D&gt;&lt;D xsi:type="xsd:double"&gt;-4.052973&lt;/D&gt;&lt;D xsi:type="xsd:double"&gt;1.1710644&lt;/D&gt;&lt;D xsi:type="xsd:double"&gt;-1.4468789&lt;/D&gt;&lt;D xsi:type="xsd:double"&gt;-6.6275177&lt;/D&gt;&lt;D xsi:type="xsd:double"&gt;-7.838291&lt;/D&gt;&lt;D xsi:type="xsd:double"&gt;5.1977158&lt;/D&gt;&lt;D xsi:type="xsd:double"&gt;-1.3711512&lt;/D&gt;&lt;D xsi:type="xsd:double"&gt;-9.731549&lt;/D&gt;&lt;D xsi:type="xsd:double"&gt;1.3807774&lt;/D&gt;&lt;D xsi:type="xsd:double"&gt;12.2053385&lt;/D&gt;&lt;D xsi:type="xsd:double"&gt;-2.0541549&lt;/D&gt;&lt;D xsi:type="xsd:double"&gt;7.7693105&lt;/D&gt;&lt;D xsi:type="xsd:double"&gt;-1.6585588&lt;/D&gt;&lt;D xsi:type="xsd:double"&gt;-2.5185585&lt;/D&gt;&lt;D xsi:type="xsd:double"&gt;10.957325&lt;/D&gt;&lt;D xsi:type="xsd:double"&gt;-1.2058198&lt;/D&gt;&lt;D xsi:type="xsd:double"&gt;-1.800102&lt;/D&gt;&lt;D xsi:type="xsd:double"&gt;3.9000869&lt;/D&gt;&lt;D xsi:type="xsd:double"&gt;-3.3951879&lt;/D&gt;&lt;D xsi:type="xsd:double"&gt;-3.2307327&lt;/D&gt;&lt;D xsi:type="xsd:double"&gt;-4.872555&lt;/D&gt;&lt;D xsi:type="xsd:double"&gt;6.355226&lt;/D&gt;&lt;D xsi:type="xsd:double"&gt;5.797112&lt;/D&gt;&lt;D xsi:type="xsd:double"&gt;-1.9388855&lt;/D&gt;&lt;D xsi:type="xsd:double"&gt;1.8482685&lt;/D&gt;&lt;D xsi:type="xsd:double"&gt;0.021111965&lt;/D&gt;&lt;D xsi:type="xsd:double"&gt;-2.025324&lt;/D&gt;&lt;D xsi:type="xsd:double"&gt;3.7898421&lt;/D&gt;&lt;D xsi:type="xsd:double"&gt;2.9238224&lt;/D&gt;&lt;D xsi:type="xsd:double"&gt;1.8110752&lt;/D&gt;&lt;D xsi:type="xsd:double"&gt;6.1451316&lt;/D&gt;&lt;D xsi:type="xsd:double"&gt;-2.8661132&lt;/D&gt;&lt;/FQL&gt;&lt;FQL&gt;&lt;Q&gt;BRENT-FDS^FG_PRICE_CHANGE(0,-3AM)&lt;/Q&gt;&lt;R&gt;1&lt;/R&gt;&lt;C&gt;1&lt;/C&gt;&lt;D xsi:type="xsd:double"&gt;0&lt;/D&gt;&lt;/FQL&gt;&lt;FQL&gt;&lt;Q&gt;FXI^FG_TOTAL_RETURNC(0,-12AM)&lt;/Q&gt;&lt;R&gt;1&lt;/R&gt;&lt;C&gt;1&lt;/C&gt;&lt;D xsi:type="xsd:double"&gt;5.256927&lt;/D&gt;&lt;/FQL&gt;&lt;FQL&gt;&lt;Q&gt;EWA^PERCENT_CHANGE(FMA_EPS(+1,0,,,,"PORTAGG","MEAN"),FMA_EPS(+1,-3AM,,,,"PORTAGG","MEAN"))&lt;/Q&gt;&lt;R&gt;1&lt;/R&gt;&lt;C&gt;1&lt;/C&gt;&lt;D xsi:type="xsd:double"&gt;1.44883908544914&lt;/D&gt;&lt;/FQL&gt;&lt;FQL&gt;&lt;Q&gt;EWJ^FMA_COS_UP("EPS","1M",+1,0,,,"PORTAGG","MEANR")&lt;/Q&gt;&lt;R&gt;1&lt;/R&gt;&lt;C&gt;1&lt;/C&gt;&lt;D xsi:type="xsd:double"&gt;97&lt;/D&gt;&lt;/FQL&gt;&lt;FQL&gt;&lt;Q&gt;EWA^FG_ROE(0)&lt;/Q&gt;&lt;R&gt;1&lt;/R&gt;&lt;C&gt;1&lt;/C&gt;&lt;D xsi:type="xsd:double"&gt;13.1047099392615&lt;/D&gt;&lt;/FQL&gt;&lt;FQL&gt;&lt;Q&gt;REFCHMPR-FDS^PROPER_NAME(0,,,"SECURITY","NAME")&lt;/Q&gt;&lt;R&gt;1&lt;/R&gt;&lt;C&gt;1&lt;/C&gt;&lt;D xsi:type="xsd:string"&gt;Swiss Policy Rate - Sight Deposit Rate&lt;/D&gt;&lt;/FQL&gt;&lt;FQL&gt;&lt;Q&gt;EWI^FG_FCF_YIELD_NTM(0)&lt;/Q&gt;&lt;R&gt;1&lt;/R&gt;&lt;C&gt;1&lt;/C&gt;&lt;D xsi:type="xsd:double"&gt;5.37748761223622&lt;/D&gt;&lt;/FQL&gt;&lt;FQL&gt;&lt;Q&gt;EWL^FG_FCF_YIELD_NTM(0)&lt;/Q&gt;&lt;R&gt;1&lt;/R&gt;&lt;C&gt;1&lt;/C&gt;&lt;D xsi:type="xsd:double"&gt;4.81781935486304&lt;/D&gt;&lt;/FQL&gt;&lt;FQL&gt;&lt;Q&gt;ENZL^FMA_ROE(NTMA,-20AY,NOW,FY,"PORTAGG","MEANR")&lt;/Q&gt;&lt;R&gt;20&lt;/R&gt;&lt;C&gt;1&lt;/C&gt;&lt;D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xsi:type="xsd:double"&gt;6.57910753918315&lt;/D&gt;&lt;/FQL&gt;&lt;FQL&gt;&lt;Q&gt;USDCAD^FG_COMPANY_NAME&lt;/Q&gt;&lt;R&gt;1&lt;/R&gt;&lt;C&gt;1&lt;/C&gt;&lt;D xsi:type="xsd:string"&gt;Canadian Dollar per U.S. Dollar&lt;/D&gt;&lt;/FQL&gt;&lt;FQL&gt;&lt;Q&gt;QQQ^FMA_PCT_ABOVE_MAVG(200,0,,,,"PORTAGG")&lt;/Q&gt;&lt;R&gt;1&lt;/R&gt;&lt;C&gt;1&lt;/C&gt;&lt;D xsi:type="xsd:double"&gt;58.8235294117647&lt;/D&gt;&lt;/FQL&gt;&lt;FQL&gt;&lt;Q&gt;TRYFR10Y-FDS^FG_YIELD(0,,,,"YTM")&lt;/Q&gt;&lt;R&gt;1&lt;/R&gt;&lt;C&gt;1&lt;/C&gt;&lt;D xsi:type="xsd:double"&gt;2.959&lt;/D&gt;&lt;/FQL&gt;&lt;FQL&gt;&lt;Q&gt;EWJ^FG_TOTAL_RETURNC(-10AY,0,AM)&lt;/Q&gt;&lt;R&gt;121&lt;/R&gt;&lt;C&gt;1&lt;/C&gt;&lt;D xsi:type="xsd:double"&gt;-1.1744976&lt;/D&gt;&lt;D xsi:type="xsd:double"&gt;-4.753816&lt;/D&gt;&lt;D xsi:type="xsd:double"&gt;3.6987543&lt;/D&gt;&lt;D xsi:type="xsd:double"&gt;-0.5786419&lt;/D&gt;&lt;D xsi:type="xsd:double"&gt;-0.3478229&lt;/D&gt;&lt;D xsi:type="xsd:double"&gt;6.9808006&lt;/D&gt;&lt;D xsi:type="xsd:double"&gt;4.9755216&lt;/D&gt;&lt;D xsi:type="xsd:double"&gt;3.0303001&lt;/D&gt;&lt;D xsi:type="xsd:double"&gt;0.1508236&lt;/D&gt;&lt;D xsi:type="xsd:double"&gt;-0.60240626&lt;/D&gt;&lt;D xsi:type="xsd:double"&gt;-2.0080864&lt;/D&gt;&lt;D xsi:type="xsd:double"&gt;-7.381505&lt;/D&gt;&lt;D xsi:type="xsd:double"&gt;-4.2785225&lt;/D&gt;&lt;D xsi:type="xsd:double"&gt;9.64067&lt;/D&gt;&lt;D xsi:type="xsd:double"&gt;0.3996849&lt;/D&gt;&lt;D xsi:type="xsd:double"&gt;-1.5977323&lt;/D&gt;&lt;D xsi:type="xsd:double"&gt;-7.986963&lt;/D&gt;&lt;D xsi:type="xsd:double"&gt;-4.074401&lt;/D&gt;&lt;D xsi:type="xsd:double"&gt;5.447829&lt;/D&gt;&lt;D xsi:type="xsd:double"&gt;6.917691&lt;/D&gt;&lt;D xsi:type="xsd:double"&gt;-5.2416086&lt;/D&gt;&lt;D xsi:type="xsd:double"&gt;3.058529&lt;/D&gt;&lt;D xsi:type="xsd:double"&gt;0.25359392&lt;/D&gt;&lt;D xsi:type="xsd:double"&gt;4.384494&lt;/D&gt;&lt;D xsi:type="xsd:double"&gt;2.1001577&lt;/D&gt;&lt;D xsi:type="xsd:double"&gt;-0.55380464&lt;/D&gt;&lt;D xsi:type="xsd:double"&gt;-0.73587894&lt;/D&gt;&lt;D xsi:type="xsd:double"&gt;0.8687973&lt;/D&gt;&lt;D xsi:type="xsd:double"&gt;1.5273333&lt;/D&gt;&lt;D xsi:type="xsd:double"&gt;2.1971464&lt;/D&gt;&lt;D xsi:type="xsd:double"&gt;-0.1549542&lt;/D&gt;&lt;D xsi:type="xsd:double"&gt;-0.17458797&lt;/D&gt;&lt;D xsi:type="xsd:double"&gt;3.16751&lt;/D&gt;&lt;D xsi:type="xsd:double"&gt;2.4640918&lt;/D&gt;&lt;D xsi:type="xsd:double"&gt;0.57353973&lt;/D&gt;&lt;D xsi:type="xsd:double"&gt;0.18395185&lt;/D&gt;&lt;D xsi:type="xsd:double"&gt;1.7811298&lt;/D&gt;&lt;D xsi:type="xsd:double"&gt;4.023087&lt;/D&gt;&lt;D xsi:type="xsd:double"&gt;3.2951832&lt;/D&gt;&lt;D xsi:type="xsd:double"&gt;1.4306426&lt;/D&gt;&lt;D xsi:type="xsd:double"&gt;7.465422&lt;/D&gt;&lt;D xsi:type="xsd:double"&gt;-4.388273&lt;/D&gt;&lt;D xsi:type="xsd:double"&gt;-5.481678&lt;/D&gt;&lt;D xsi:type="xsd:double"&gt;3.9979458&lt;/D&gt;&lt;D xsi:type="xsd:double"&gt;0.14848709&lt;/D&gt;&lt;D xsi:type="xsd:double"&gt;-2.238679&lt;/D&gt;&lt;D xsi:type="xsd:double"&gt;-0.6793499&lt;/D&gt;&lt;D xsi:type="xsd:double"&gt;-1.8296838&lt;/D&gt;&lt;D xsi:type="xsd:double"&gt;4.581082&lt;/D&gt;&lt;D xsi:type="xsd:double"&gt;-7.3117914&lt;/D&gt;&lt;D xsi:type="xsd:double"&gt;-2.821201&lt;/D&gt;&lt;D xsi:type="xsd:double"&gt;-7.460886&lt;/D&gt;&lt;D xsi:type="xsd:double"&gt;6.786144&lt;/D&gt;&lt;D xsi:type="xsd:double"&gt;3.111446&lt;/D&gt;&lt;D xsi:type="xsd:double"&gt;-0.73153377&lt;/D&gt;&lt;D xsi:type="xsd:double"&gt;2.1739125&lt;/D&gt;&lt;D xsi:type="xsd:double"&gt;-4.5618415&lt;/D&gt;&lt;D xsi:type="xsd:double"&gt;3.8248062&lt;/D&gt;&lt;D xsi:type="xsd:double"&gt;1.3404369&lt;/D&gt;&lt;D xsi:type="xsd:double"&gt;-4.348612&lt;/D&gt;&lt;D xsi:type="xsd:double"&gt;7.7666163&lt;/D&gt;&lt;D xsi:type="xsd:double"&gt;2.1093369&lt;/D&gt;&lt;D xsi:type="xsd:double"&gt;2.5477648&lt;/D&gt;&lt;D xsi:type="xsd:double"&gt;1.5272975&lt;/D&gt;&lt;D xsi:type="xsd:double"&gt;-0.016736984&lt;/D&gt;&lt;D xsi:type="xsd:double"&gt;-5.237615&lt;/D&gt;&lt;D xsi:type="xsd:double"&gt;-21.172523&lt;/D&gt;&lt;D xsi:type="xsd:double"&gt;13.127243&lt;/D&gt;&lt;D xsi:type="xsd:double"&gt;4.29703&lt;/D&gt;&lt;D xsi:type="xsd:double"&gt;8.246565&lt;/D&gt;&lt;D xsi:type="xsd:double"&gt;-1.1845887&lt;/D&gt;&lt;D xsi:type="xsd:double"&gt;3.0774713&lt;/D&gt;&lt;D xsi:type="xsd:double"&gt;2.2391915&lt;/D&gt;&lt;D xsi:type="xsd:double"&gt;0.6791115&lt;/D&gt;&lt;D xsi:type="xsd:double"&gt;9.241152&lt;/D&gt;&lt;D xsi:type="xsd:double"&gt;2.3755193&lt;/D&gt;&lt;D xsi:type="xsd:double"&gt;4.8138022&lt;/D&gt;&lt;D xsi:type="xsd:double"&gt;2.556336&lt;/D&gt;&lt;D xsi:type="xsd:double"&gt;-2.5911927&lt;/D&gt;&lt;D xsi:type="xsd:double"&gt;-0.101196766&lt;/D&gt;&lt;D xsi:type="xsd:double"&gt;-1.6931951&lt;/D&gt;&lt;D xsi:type="xsd:double"&gt;0.12601614&lt;/D&gt;&lt;D xsi:type="xsd:double"&gt;0.5183697&lt;/D&gt;&lt;D xsi:type="xsd:double"&gt;-0.4862249&lt;/D&gt;&lt;D xsi:type="xsd:double"&gt;7.9508424&lt;/D&gt;&lt;D xsi:type="xsd:double"&gt;-6.158286&lt;/D&gt;&lt;D xsi:type="xsd:double"&gt;1.7684817&lt;/D&gt;&lt;D xsi:type="xsd:double"&gt;-1.9174039&lt;/D&gt;&lt;D xsi:type="xsd:double"&gt;-3.8427353&lt;/D&gt;&lt;D xsi:type="xsd:double"&gt;-3.6105514&lt;/D&gt;&lt;D xsi:type="xsd:double"&gt;-0.64030886&lt;/D&gt;&lt;D xsi:type="xsd:double"&gt;-8.313197&lt;/D&gt;&lt;D xsi:type="xsd:double"&gt;1.2827277&lt;/D&gt;&lt;D xsi:type="xsd:double"&gt;-7.746041&lt;/D&gt;&lt;D xsi:type="xsd:double"&gt;3.8739085&lt;/D&gt;&lt;D xsi:type="xsd:double"&gt;0.8957863&lt;/D&gt;&lt;D xsi:type="xsd:double"&gt;-9.331399&lt;/D&gt;&lt;D xsi:type="xsd:double"&gt;-1.4988005&lt;/D&gt;&lt;D xsi:type="xsd:double"&gt;12.761211&lt;/D&gt;&lt;D xsi:type="xsd:double"&gt;-1.2383521&lt;/D&gt;&lt;D xsi:type="xsd:double"&gt;5.331385&lt;/D&gt;&lt;D xsi:type="xsd:double"&gt;-2.132082&lt;/D&gt;&lt;D xsi:type="xsd:double"&gt;0.885582&lt;/D&gt;&lt;D xsi:type="xsd:double"&gt;3.599012&lt;/D&gt;&lt;D xsi:type="xsd:double"&gt;2.2708058&lt;/D&gt;&lt;D xsi:type="xsd:double"&gt;1.640451&lt;/D&gt;&lt;D xsi:type="xsd:double"&gt;2.4626493&lt;/D&gt;&lt;D xsi:type="xsd:double"&gt;-3.140521&lt;/D&gt;&lt;D xsi:type="xsd:double"&gt;2.233243&lt;/D&gt;&lt;D xsi:type="xsd:double"&gt;-6.1650457&lt;/D&gt;&lt;D xsi:type="xsd:double"&gt;7.7599525&lt;/D&gt;&lt;D xsi:type="xsd:double"&gt;2.772665&lt;/D&gt;&lt;D xsi:type="xsd:double"&gt;4.358113&lt;/D&gt;&lt;D xsi:type="xsd:double"&gt;4.41823&lt;/D&gt;&lt;D xsi:type="xsd:double"&gt;4.0718675&lt;/D&gt;&lt;D xsi:type="xsd:double"&gt;-6.265664&lt;/D&gt;&lt;D xsi:type="xsd:double"&gt;0.59417486&lt;/D&gt;&lt;D xsi:type="xsd:double"&gt;-1.7966211&lt;/D&gt;&lt;D xsi:type="xsd:double"&gt;6.408119&lt;/D&gt;&lt;D xsi:type="xsd:double"&gt;2.4060369&lt;/D&gt;&lt;D xsi:type="xsd:double"&gt;-0.31976104&lt;/D&gt;&lt;/FQL&gt;&lt;FQL&gt;&lt;Q&gt;EWI^P_PRICE(0)/P_PRICE_LOW_PR(0,,,,,,"PRICE","INTRA","52W")-1&lt;/Q&gt;&lt;R&gt;1&lt;/R&gt;&lt;C&gt;1&lt;/C&gt;&lt;D xsi:type="xsd:double"&gt;0.3246597&lt;/D&gt;&lt;/FQL&gt;&lt;FQL&gt;&lt;Q&gt;EWG^SIZE(FG_CONSTITUENTS)&lt;/Q&gt;&lt;R&gt;1&lt;/R&gt;&lt;C&gt;1&lt;/C&gt;&lt;D xsi:type="xsd:long"&gt;57&lt;/D&gt;&lt;/FQL&gt;&lt;FQL&gt;&lt;Q&gt;EWI^FMA_DIV_YLD(NTMA,NOW,NOW,M,"PORTAGG","MEANR")&lt;/Q&gt;&lt;R&gt;1&lt;/R&gt;&lt;C&gt;1&lt;/C&gt;&lt;D xsi:type="xsd:double"&gt;5.27575321771592&lt;/D&gt;&lt;/FQL&gt;&lt;FQL&gt;&lt;Q&gt;CAGDPY@GB^EE_ACTUAL_ANNUAL(MED,0)&lt;/Q&gt;&lt;R&gt;1&lt;/R&gt;&lt;C&gt;1&lt;/C&gt;&lt;D xsi:type="xsd:double"&gt;-3.3&lt;/D&gt;&lt;/FQL&gt;&lt;FQL&gt;&lt;Q&gt;EWD^PERCENT_CHANGE(FMA_EPS(+1,0,,,,"PORTAGG","MEAN"),FMA_EPS(+1,-3AM,,,,"PORTAGG","MEAN"))&lt;/Q&gt;&lt;R&gt;1&lt;/R&gt;&lt;C&gt;1&lt;/C&gt;&lt;D xsi:type="xsd:double"&gt;-3.39826972119967&lt;/D&gt;&lt;/FQL&gt;&lt;FQL&gt;&lt;Q&gt;EWN^FG_FCF_YIELD_NTM(0)&lt;/Q&gt;&lt;R&gt;1&lt;/R&gt;&lt;C&gt;1&lt;/C&gt;&lt;D xsi:type="xsd:double"&gt;4.08321594709888&lt;/D&gt;&lt;/FQL&gt;&lt;FQL&gt;&lt;Q&gt;DBA^P_PRICE(0)/P_PRICE_HIGH_PR(0,,,USD,,,"PRICE","INTRA","52W")&lt;/Q&gt;&lt;R&gt;1&lt;/R&gt;&lt;C&gt;1&lt;/C&gt;&lt;D xsi:type="xsd:double"&gt;0.97237366&lt;/D&gt;&lt;/FQL&gt;&lt;FQL&gt;&lt;Q&gt;USDNZD^FG_PRICE(0)&lt;/Q&gt;&lt;R&gt;1&lt;/R&gt;&lt;C&gt;1&lt;/C&gt;&lt;D xsi:type="xsd:double"&gt;1.5951507&lt;/D&gt;&lt;/FQL&gt;&lt;FQL&gt;&lt;Q&gt;TIOS-FDS^FG_PRICE(0)/MAX(FG_PRICE(0,-1AY))&lt;/Q&gt;&lt;R&gt;1&lt;/R&gt;&lt;C&gt;1&lt;/C&gt;&lt;D xsi:type="xsd:double"&gt;0.63769422863485&lt;/D&gt;&lt;/FQL&gt;&lt;FQL&gt;&lt;Q&gt;EWA^FG_PRICE(0)&lt;/Q&gt;&lt;R&gt;1&lt;/R&gt;&lt;C&gt;1&lt;/C&gt;&lt;D xsi:type="xsd:double"&gt;26.615&lt;/D&gt;&lt;/FQL&gt;&lt;FQL&gt;&lt;Q&gt;EWL^PERCENT_CHANGE(FMA_EPS(+1,0,,,,"PORTAGG","MEAN"),FMA_EPS(+1,-1AM,,,,"PORTAGG","MEAN"))&lt;/Q&gt;&lt;R&gt;1&lt;/R&gt;&lt;C&gt;1&lt;/C&gt;&lt;D xsi:type="xsd:double"&gt;-0.0474947739407371&lt;/D&gt;&lt;/FQL&gt;&lt;FQL&gt;&lt;Q&gt;TRYIT10Y-FDS^PCTCHG(FG_YIELD(0,,,,"YTM"),FG_YIELD(-1AM,,,,"YTM"))&lt;/Q&gt;&lt;R&gt;1&lt;/R&gt;&lt;C&gt;1&lt;/C&gt;&lt;D xsi:type="xsd:double"&gt;-0.9259257&lt;/D&gt;&lt;/FQL&gt;&lt;FQL&gt;&lt;Q&gt;CAGDPY@CH^EE_ACTUAL_ANNUAL(MED,+1)&lt;/Q&gt;&lt;R&gt;1&lt;/R&gt;&lt;C&gt;1&lt;/C&gt;&lt;D xsi:type="xsd:double"&gt;8&lt;/D&gt;&lt;/FQL&gt;&lt;FQL&gt;&lt;Q&gt;EWD^PERCENT_CHANGE(FMA_EPS(+1,0,,,,"PORTAGG","MEAN"),FMA_EPS(+1,-1AM,,,,"PORTAGG","MEAN"))&lt;/Q&gt;&lt;R&gt;1&lt;/R&gt;&lt;C&gt;1&lt;/C&gt;&lt;D xsi:type="xsd:double"&gt;-3.04489120827831&lt;/D&gt;&lt;/FQL&gt;&lt;FQL&gt;&lt;Q&gt;USDNZD^FG_COMPANY_NAME&lt;/Q&gt;&lt;R&gt;1&lt;/R&gt;&lt;C&gt;1&lt;/C&gt;&lt;D xsi:type="xsd:string"&gt;New Zealand Dollar per U.S. Dollar&lt;/D&gt;&lt;/FQL&gt;&lt;FQL&gt;&lt;Q&gt;TRYSE10Y-FDS^PCTCHG(FG_YIELD(0,,,,"YTM"),FG_YIELD(-3AM,,,,"YTM"))&lt;/Q&gt;&lt;R&gt;1&lt;/R&gt;&lt;C&gt;1&lt;/C&gt;&lt;D xsi:type="xsd:double"&gt;-11.333333&lt;/D&gt;&lt;/FQL&gt;&lt;FQL&gt;&lt;Q&gt;USDGBP^FG_PRICE_CHANGE(0,-1AY)&lt;/Q&gt;&lt;R&gt;1&lt;/R&gt;&lt;C&gt;1&lt;/C&gt;&lt;D xsi:type="xsd:double"&gt;-8.12704&lt;/D&gt;&lt;/FQL&gt;&lt;FQL&gt;&lt;Q&gt;CC_AU^FG_COMPANY_NAME&lt;/Q&gt;&lt;R&gt;1&lt;/R&gt;&lt;C&gt;1&lt;/C&gt;&lt;D xsi:type="xsd:string"&gt;Australia&lt;/D&gt;&lt;/FQL&gt;&lt;FQL&gt;&lt;Q&gt;NI-FDS^FG_PRICE_CHANGE(0,-1AY)&lt;/Q&gt;&lt;R&gt;1&lt;/R&gt;&lt;C&gt;1&lt;/C&gt;&lt;D xsi:type="xsd:double"&gt;-15.0918635170604&lt;/D&gt;&lt;/FQL&gt;&lt;FQL&gt;&lt;Q&gt;EWI^FMA_PE(NTMA,-10AY,0,AM,"PORTAGG","MEANR")&lt;/Q&gt;&lt;R&gt;121&lt;/R&gt;&lt;C&gt;1&lt;/C&gt;&lt;D xsi:type="xsd:double"&gt;13.4295143540263&lt;/D&gt;&lt;D xsi:type="xsd:double"&gt;12.6008147888188&lt;/D&gt;&lt;D xsi:type="xsd:double"&gt;13.135151822678&lt;/D&gt;&lt;D xsi:type="xsd:double"&gt;12.5985634598685&lt;/D&gt;&lt;D xsi:type="xsd:double"&gt;13.8492224956339&lt;/D&gt;&lt;D xsi:type="xsd:double"&gt;15.3416889564034&lt;/D&gt;&lt;D xsi:type="xsd:double"&gt;15.7045163018071&lt;/D&gt;&lt;D xsi:type="xsd:double"&gt;15.7691749766139&lt;/D&gt;&lt;D xsi:type="xsd:double"&gt;15.9677088238256&lt;/D&gt;&lt;D xsi:type="xsd:double"&gt;15.4994276559386&lt;/D&gt;&lt;D xsi:type="xsd:double"&gt;15.4455081069587&lt;/D&gt;&lt;D xsi:type="xsd:double"&gt;14.2559178390983&lt;/D&gt;&lt;D xsi:type="xsd:double"&gt;13.7736743229292&lt;/D&gt;&lt;D xsi:type="xsd:double"&gt;14.9065193279701&lt;/D&gt;&lt;D xsi:type="xsd:double"&gt;14.8867333901986&lt;/D&gt;&lt;D xsi:type="xsd:double"&gt;14.1530625370902&lt;/D&gt;&lt;D xsi:type="xsd:double"&gt;13.0649140349041&lt;/D&gt;&lt;D xsi:type="xsd:double"&gt;12.4009658157232&lt;/D&gt;&lt;D xsi:type="xsd:double"&gt;13.4230503889554&lt;/D&gt;&lt;D xsi:type="xsd:double"&gt;13.5825704539609&lt;/D&gt;&lt;D xsi:type="xsd:double"&gt;13.1639127019959&lt;/D&gt;&lt;D xsi:type="xsd:double"&gt;13.0482139056488&lt;/D&gt;&lt;D xsi:type="xsd:double"&gt;12.4015298691202&lt;/D&gt;&lt;D xsi:type="xsd:double"&gt;12.5443296214593&lt;/D&gt;&lt;D xsi:type="xsd:double"&gt;11.8910328072904&lt;/D&gt;&lt;D xsi:type="xsd:double"&gt;12.1996159174956&lt;/D&gt;&lt;D xsi:type="xsd:double"&gt;11.5881099101336&lt;/D&gt;&lt;D xsi:type="xsd:double"&gt;13.8971240301333&lt;/D&gt;&lt;D xsi:type="xsd:double"&gt;13.2448336301211&lt;/D&gt;&lt;D xsi:type="xsd:double"&gt;12.7190167661342&lt;/D&gt;&lt;D xsi:type="xsd:double"&gt;13.5467606863297&lt;/D&gt;&lt;D xsi:type="xsd:double"&gt;12.9396446114148&lt;/D&gt;&lt;D xsi:type="xsd:double"&gt;13.6835849038317&lt;/D&gt;&lt;D xsi:type="xsd:double"&gt;13.2338106205056&lt;/D&gt;&lt;D xsi:type="xsd:double"&gt;13.3981315270577&lt;/D&gt;&lt;D xsi:type="xsd:double"&gt;13.2233415411436&lt;/D&gt;&lt;D xsi:type="xsd:double"&gt;13.5660670147728&lt;/D&gt;&lt;D xsi:type="xsd:double"&gt;13.4771121537645&lt;/D&gt;&lt;D xsi:type="xsd:double"&gt;13.2570785513606&lt;/D&gt;&lt;D xsi:type="xsd:double"&gt;13.2181495034828&lt;/D&gt;&lt;D xsi:type="xsd:double"&gt;13.6291181679541&lt;/D&gt;&lt;D xsi:type="xsd:double"&gt;12.5788225535025&lt;/D&gt;&lt;D xsi:type="xsd:double"&gt;12.3658711895249&lt;/D&gt;&lt;D xsi:type="xsd:double"&gt;13.134487310215&lt;/D&gt;&lt;D xsi:type="xsd:double"&gt;12.1129191966849&lt;/D&gt;&lt;D xsi:type="xsd:double"&gt;11.5307449927591&lt;/D&gt;&lt;D xsi:type="xsd:double"&gt;11.3072405886277&lt;/D&gt;&lt;D xsi:type="xsd:double"&gt;10.8003001696448&lt;/D&gt;&lt;D xsi:type="xsd:double"&gt;11.0507822568771&lt;/D&gt;&lt;D xsi:type="xsd:double"&gt;9.65897994277176&lt;/D&gt;&lt;D xsi:type="xsd:double"&gt;9.47154306830712&lt;/D&gt;&lt;D xsi:type="xsd:double"&gt;9.22792530018578&lt;/D&gt;&lt;D xsi:type="xsd:double"&gt;9.767518555001</t>
        </r>
      </text>
    </comment>
    <comment ref="A14" authorId="0" shapeId="0" xr:uid="{7E55693E-E047-41C4-97B5-68B8021EFB09}">
      <text>
        <r>
          <rPr>
            <b/>
            <sz val="9"/>
            <color indexed="81"/>
            <rFont val="Tahoma"/>
            <charset val="1"/>
          </rPr>
          <t xml:space="preserve">02&lt;/D&gt;&lt;D xsi:type="xsd:double"&gt;10.3889256832176&lt;/D&gt;&lt;D xsi:type="xsd:double"&gt;10.694402773938&lt;/D&gt;&lt;D xsi:type="xsd:double"&gt;10.9458265861419&lt;/D&gt;&lt;D xsi:type="xsd:double"&gt;10.0552698954309&lt;/D&gt;&lt;D xsi:type="xsd:double"&gt;10.5834804241097&lt;/D&gt;&lt;D xsi:type="xsd:double"&gt;10.7768938250055&lt;/D&gt;&lt;D xsi:type="xsd:double"&gt;10.0887423323897&lt;/D&gt;&lt;D xsi:type="xsd:double"&gt;10.7400072151677&lt;/D&gt;&lt;D xsi:type="xsd:double"&gt;10.9149799156219&lt;/D&gt;&lt;D xsi:type="xsd:double"&gt;11.1805585618137&lt;/D&gt;&lt;D xsi:type="xsd:double"&gt;11.5898971401032&lt;/D&gt;&lt;D xsi:type="xsd:double"&gt;11.3902275424143&lt;/D&gt;&lt;D xsi:type="xsd:double"&gt;11.8284484991221&lt;/D&gt;&lt;D xsi:type="xsd:double"&gt;8.3045966013895&lt;/D&gt;&lt;D xsi:type="xsd:double"&gt;11.9755029828442&lt;/D&gt;&lt;D xsi:type="xsd:double"&gt;14.9205884071765&lt;/D&gt;&lt;D xsi:type="xsd:double"&gt;17.7048280613441&lt;/D&gt;&lt;D xsi:type="xsd:double"&gt;17.7702224241813&lt;/D&gt;&lt;D xsi:type="xsd:double"&gt;15.9451028948637&lt;/D&gt;&lt;D xsi:type="xsd:double"&gt;14.8570534162031&lt;/D&gt;&lt;D xsi:type="xsd:double"&gt;14.4330277589015&lt;/D&gt;&lt;D xsi:type="xsd:double"&gt;14.9580011465689&lt;/D&gt;&lt;D xsi:type="xsd:double"&gt;14.8611576963726&lt;/D&gt;&lt;D xsi:type="xsd:double"&gt;13.6270614078899&lt;/D&gt;&lt;D xsi:type="xsd:double"&gt;13.7527231807833&lt;/D&gt;&lt;D xsi:type="xsd:double"&gt;13.8876054430485&lt;/D&gt;&lt;D xsi:type="xsd:double"&gt;13.7286686638873&lt;/D&gt;&lt;D xsi:type="xsd:double"&gt;13.4035616926896&lt;/D&gt;&lt;D xsi:type="xsd:double"&gt;13.4398846845091&lt;/D&gt;&lt;D xsi:type="xsd:double"&gt;13.0679845945138&lt;/D&gt;&lt;D xsi:type="xsd:double"&gt;12.0763870190867&lt;/D&gt;&lt;D xsi:type="xsd:double"&gt;11.7913855274441&lt;/D&gt;&lt;D xsi:type="xsd:double"&gt;11.7314535829018&lt;/D&gt;&lt;D xsi:type="xsd:double"&gt;11.4583001027718&lt;/D&gt;&lt;D xsi:type="xsd:double"&gt;10.9682717985864&lt;/D&gt;&lt;D xsi:type="xsd:double"&gt;10.9981908732871&lt;/D&gt;&lt;D xsi:type="xsd:double"&gt;10.0458884312378&lt;/D&gt;&lt;D xsi:type="xsd:double"&gt;9.46172166254702&lt;/D&gt;&lt;D xsi:type="xsd:double"&gt;9.40709732346503&lt;/D&gt;&lt;D xsi:type="xsd:double"&gt;8.9191322527063&lt;/D&gt;&lt;D xsi:type="xsd:double"&gt;7.82711340852146&lt;/D&gt;&lt;D xsi:type="xsd:double"&gt;7.55894201815092&lt;/D&gt;&lt;D xsi:type="xsd:double"&gt;7.59551349726877&lt;/D&gt;&lt;D xsi:type="xsd:double"&gt;7.25922383131753&lt;/D&gt;&lt;D xsi:type="xsd:double"&gt;7.49291811311296&lt;/D&gt;&lt;D xsi:type="xsd:double"&gt;8.19124491126013&lt;/D&gt;&lt;D xsi:type="xsd:double"&gt;7.67032305708453&lt;/D&gt;&lt;D xsi:type="xsd:double"&gt;8.27996159669867&lt;/D&gt;&lt;D xsi:type="xsd:double"&gt;8.23480274642371&lt;/D&gt;&lt;D xsi:type="xsd:double"&gt;8.27846893016628&lt;/D&gt;&lt;D xsi:type="xsd:double"&gt;8.75966805782665&lt;/D&gt;&lt;D xsi:type="xsd:double"&gt;8.26476139920291&lt;/D&gt;&lt;D xsi:type="xsd:double"&gt;8.53044565831856&lt;/D&gt;&lt;D xsi:type="xsd:double"&gt;8.89242912265706&lt;/D&gt;&lt;D xsi:type="xsd:double"&gt;8.22843931967877&lt;/D&gt;&lt;D xsi:type="xsd:double"&gt;8.38668879953486&lt;/D&gt;&lt;D xsi:type="xsd:double"&gt;7.97118081979179&lt;/D&gt;&lt;D xsi:type="xsd:double"&gt;8.24188858561255&lt;/D&gt;&lt;D xsi:type="xsd:double"&gt;8.90156510408708&lt;/D&gt;&lt;D xsi:type="xsd:double"&gt;8.8782066438866&lt;/D&gt;&lt;D xsi:type="xsd:double"&gt;9.30065649455564&lt;/D&gt;&lt;D xsi:type="xsd:double"&gt;9.73154513114124&lt;/D&gt;&lt;D xsi:type="xsd:double"&gt;9.67855429561623&lt;/D&gt;&lt;D xsi:type="xsd:double"&gt;9.70835025552192&lt;/D&gt;&lt;D xsi:type="xsd:double"&gt;9.36445344583606&lt;/D&gt;&lt;D xsi:type="xsd:double"&gt;9.76253150974165&lt;/D&gt;&lt;D xsi:type="xsd:double"&gt;9.68543349959424&lt;/D&gt;&lt;D xsi:type="xsd:double"&gt;9.98651948040199&lt;/D&gt;&lt;/FQL&gt;&lt;FQL&gt;&lt;Q&gt;EWQ^FMA_DIV_YLD(NTMA,NOW,NOW,M,"PORTAGG","MEANR")&lt;/Q&gt;&lt;R&gt;1&lt;/R&gt;&lt;C&gt;1&lt;/C&gt;&lt;D xsi:type="xsd:double"&gt;3.34581744387374&lt;/D&gt;&lt;/FQL&gt;&lt;FQL&gt;&lt;Q&gt;CC_NZ^FG_COMPANY_NAME&lt;/Q&gt;&lt;R&gt;1&lt;/R&gt;&lt;C&gt;1&lt;/C&gt;&lt;D xsi:type="xsd:string"&gt;New Zealand&lt;/D&gt;&lt;/FQL&gt;&lt;FQL&gt;&lt;Q&gt;URTH^FMA_COS_UP("EPS","1M",+1,0,,,"PORTAGG","MEANR")&lt;/Q&gt;&lt;R&gt;1&lt;/R&gt;&lt;C&gt;1&lt;/C&gt;&lt;D xsi:type="xsd:double"&gt;495&lt;/D&gt;&lt;/FQL&gt;&lt;FQL&gt;&lt;Q&gt;USDCHF^STD(FG_PRICE_CHANGE(0,-3AY,M))&lt;/Q&gt;&lt;R&gt;1&lt;/R&gt;&lt;C&gt;1&lt;/C&gt;&lt;D xsi:type="xsd:double"&gt;2.48032487496995&lt;/D&gt;&lt;/FQL&gt;&lt;FQL&gt;&lt;Q&gt;EWQ^FMA_PE(NTMA,0,,,"PORTAGG","MEANR")&lt;/Q&gt;&lt;R&gt;1&lt;/R&gt;&lt;C&gt;1&lt;/C&gt;&lt;D xsi:type="xsd:double"&gt;13.528371068889&lt;/D&gt;&lt;/FQL&gt;&lt;FQL&gt;&lt;Q&gt;USDITL^STD(FG_PRICE_CHANGE(0,-3AY,M))&lt;/Q&gt;&lt;R&gt;1&lt;/R&gt;&lt;C&gt;1&lt;/C&gt;&lt;D xsi:type="xsd:double"&gt;2.18410852976757&lt;/D&gt;&lt;/FQL&gt;&lt;FQL&gt;&lt;Q&gt;EWN^FMA_PCT_ABOVE_MAVG(200,0,,,,"PORTAGG")&lt;/Q&gt;&lt;R&gt;1&lt;/R&gt;&lt;C&gt;1&lt;/C&gt;&lt;D xsi:type="xsd:double"&gt;55.5555555555556&lt;/D&gt;&lt;/FQL&gt;&lt;FQL&gt;&lt;Q&gt;UUP^FG_TOTAL_RETURNC(0,-6AM)&lt;/Q&gt;&lt;R&gt;1&lt;/R&gt;&lt;C&gt;1&lt;/C&gt;&lt;D xsi:type="xsd:double"&gt;-0.60028434&lt;/D&gt;&lt;/FQL&gt;&lt;FQL&gt;&lt;Q&gt;EWG^FMA_EPS(NTMA,-20AY,0,CY,,"PORTAGG","MEANR")&lt;/Q&gt;&lt;R&gt;20&lt;/R&gt;&lt;C&gt;1&lt;/C&gt;&lt;D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xsi:type="xsd:double"&gt;2.65638349123077&lt;/D&gt;&lt;/FQL&gt;&lt;FQL&gt;&lt;Q&gt;URTH^P_PRICE(0)/P_PRICE_LOW_PR(0,,,,,,"PRICE","INTRA","52W")-1&lt;/Q&gt;&lt;R&gt;1&lt;/R&gt;&lt;C&gt;1&lt;/C&gt;&lt;D xsi:type="xsd:double"&gt;0.35662603&lt;/D&gt;&lt;/FQL&gt;&lt;FQL&gt;&lt;Q&gt;EWC^FMA_PE(NTMA,0,,,"PORTAGG","MEANR")&lt;/Q&gt;&lt;R&gt;1&lt;/R&gt;&lt;C&gt;1&lt;/C&gt;&lt;D xsi:type="xsd:double"&gt;15.0616032268471&lt;/D&gt;&lt;/FQL&gt;&lt;FQL&gt;&lt;Q&gt;UUP^FG_TOTAL_RETURNC(0,-3AM)&lt;/Q&gt;&lt;R&gt;1&lt;/R&gt;&lt;C&gt;1&lt;/C&gt;&lt;D xsi:type="xsd:double"&gt;-3.264606&lt;/D&gt;&lt;/FQL&gt;&lt;FQL&gt;&lt;Q&gt;NI-FDS^FG_PRICE_CHANGE(0,-1AM)&lt;/Q&gt;&lt;R&gt;1&lt;/R&gt;&lt;C&gt;1&lt;/C&gt;&lt;D xsi:type="xsd:double"&gt;-1.4320536258379&lt;/D&gt;&lt;/FQL&gt;&lt;FQL&gt;&lt;Q&gt;VWO^FMA_COS_DOWN("EPS","1M",+1,0,,,"PORTAGG","MEANR")&lt;/Q&gt;&lt;R&gt;1&lt;/R&gt;&lt;C&gt;1&lt;/C&gt;&lt;D xsi:type="xsd:double"&gt;1194&lt;/D&gt;&lt;/FQL&gt;&lt;FQL&gt;&lt;Q&gt;CC_CH^IMF_IFS_RCPI_Q(0)&lt;/Q&gt;&lt;R&gt;1&lt;/R&gt;&lt;C&gt;1&lt;/C&gt;&lt;D xsi:type="xsd:double"&gt;1.3619826&lt;/D&gt;&lt;/FQL&gt;&lt;FQL&gt;&lt;Q&gt;USDITL^FG_PRICE_CHANGE(0,-1AY)&lt;/Q&gt;&lt;R&gt;1&lt;/R&gt;&lt;C&gt;1&lt;/C&gt;&lt;D xsi:type="xsd:double"&gt;-4.2579947&lt;/D&gt;&lt;/FQL&gt;&lt;FQL&gt;&lt;Q&gt;NI-FDS^FG_PRICE_MAVG(0,,,,30)&lt;/Q&gt;&lt;R&gt;1&lt;/R&gt;&lt;C&gt;1&lt;/C&gt;&lt;D xsi:type="xsd:double"&gt;16149.167&lt;/D&gt;&lt;/FQL&gt;&lt;FQL&gt;&lt;Q&gt;USDEUR^FG_PRICE_CHANGE(0,-3AM)&lt;/Q&gt;&lt;R&gt;1&lt;/R&gt;&lt;C&gt;1&lt;/C&gt;&lt;D xsi:type="xsd:double"&gt;-4.042399&lt;/D&gt;&lt;/FQL&gt;&lt;FQL&gt;&lt;Q&gt;QQQ^P_PRICE(0)/P_PRICE_LOW_PR(0,,,,,,"PRICE","INTRA","52W")-1&lt;/Q&gt;&lt;R&gt;1&lt;/R&gt;&lt;C&gt;1&lt;/C&gt;&lt;D xsi:type="xsd:double"&gt;0.41258943&lt;/D&gt;&lt;/FQL&gt;&lt;FQL&gt;&lt;Q&gt;EWC^FG_TOTAL_RETURNC(0,-1AM)&lt;/Q&gt;&lt;R&gt;1&lt;/R&gt;&lt;C&gt;1&lt;/C&gt;&lt;D xsi:type="xsd:double"&gt;2.7853847&lt;/D&gt;&lt;/FQL&gt;&lt;FQL&gt;&lt;Q&gt;EWU^FMA_EVAL_EBIT(LTMA,NOW,NOW,M,"PORTAGG","MEANR")&lt;/Q&gt;&lt;R&gt;1&lt;/R&gt;&lt;C&gt;1&lt;/C&gt;&lt;D xsi:type="xsd:double"&gt;10.9325126319324&lt;/D&gt;&lt;/FQL&gt;&lt;FQL&gt;&lt;Q&gt;ENZL^JULIAN(FMA_DIV_YLD(NTMA,NOW,NOW,M,"PORTAGG","MEANR").DATES)&lt;/Q&gt;&lt;R&gt;1&lt;/R&gt;&lt;C&gt;1&lt;/C&gt;&lt;D xsi:type="xsd:long"&gt;45534&lt;/D&gt;&lt;/FQL&gt;&lt;FQL&gt;&lt;Q&gt;USDITL^FG_PRICE(0)&lt;/Q&gt;&lt;R&gt;1&lt;/R&gt;&lt;C&gt;1&lt;/C&gt;&lt;D xsi:type="xsd:double"&gt;1739.373&lt;/D&gt;&lt;/FQL&gt;&lt;FQL&gt;&lt;Q&gt;QQQ^FG_PRICE_MAVG(0,,,,60)&lt;/Q&gt;&lt;R&gt;1&lt;/R&gt;&lt;C&gt;1&lt;/C&gt;&lt;D xsi:type="xsd:double"&gt;472.18433&lt;/D&gt;&lt;/FQL&gt;&lt;FQL&gt;&lt;Q&gt;USDANG^FG_COMPANY_NAME&lt;/Q&gt;&lt;R&gt;1&lt;/R&gt;&lt;C&gt;1&lt;/C&gt;&lt;D xsi:type="xsd:string"&gt;Netherlands Antilles Guilder per U.S. Dollar&lt;/D&gt;&lt;/FQL&gt;&lt;FQL&gt;&lt;Q&gt;CPALM-FDS^FG_PRICE(0)&lt;/Q&gt;&lt;R&gt;1&lt;/R&gt;&lt;C&gt;1&lt;/C&gt;&lt;D xsi:type="xsd:double"&gt;4027&lt;/D&gt;&lt;/FQL&gt;&lt;FQL&gt;&lt;Q&gt;EWN^FG_TOTAL_RETURNC(-10AY,0,AM)&lt;/Q&gt;&lt;R&gt;121&lt;/R&gt;&lt;C&gt;1&lt;/C&gt;&lt;D xsi:type="xsd:double"&gt;0.6226301&lt;/D&gt;&lt;D xsi:type="xsd:double"&gt;-5.7718754&lt;/D&gt;&lt;D xsi:type="xsd:double"&gt;5.5555463&lt;/D&gt;&lt;D xsi:type="xsd:double"&gt;0.38335323&lt;/D&gt;&lt;D xsi:type="xsd:double"&gt;-2.3838878&lt;/D&gt;&lt;D xsi:type="xsd:double"&gt;7.1999907&lt;/D&gt;&lt;D xsi:type="xsd:double"&gt;2.395916&lt;/D&gt;&lt;D xsi:type="xsd:double"&gt;0.8822441&lt;/D&gt;&lt;D xsi:type="xsd:double"&gt;2.433467&lt;/D&gt;&lt;D xsi:type="xsd:double"&gt;0.66815615&lt;/D&gt;&lt;D xsi:type="xsd:double"&gt;-0.7247448&lt;/D&gt;&lt;D xsi:type="xsd:double"&gt;-8.380312&lt;/D&gt;&lt;D xsi:type="xsd:double"&gt;-5.168164&lt;/D&gt;&lt;D xsi:type="xsd:double"&gt;9.213233&lt;/D&gt;&lt;D xsi:type="xsd:double"&gt;-2.8518617&lt;/D&gt;&lt;D xsi:type="xsd:double"&gt;-0.9231508&lt;/D&gt;&lt;D xsi:type="xsd:double"&gt;-5.402607&lt;/D&gt;&lt;D xsi:type="xsd:double"&gt;-1.400435&lt;/D&gt;&lt;D xsi:type="xsd:double"&gt;8.122503&lt;/D&gt;&lt;D xsi:type="xsd:double"&gt;1.7241359&lt;/D&gt;&lt;D xsi:type="xsd:double"&gt;-2.4213076&lt;/D&gt;&lt;D xsi:type="xsd:double"&gt;3.3757925&lt;/D&gt;&lt;D xsi:type="xsd:double"&gt;-3.8960993&lt;/D&gt;&lt;D xsi:type="xsd:double"&gt;5.025339&lt;/D&gt;&lt;D xsi:type="xsd:double"&gt;0.28146505&lt;/D&gt;&lt;D xsi:type="xsd:double"&gt;-1.7241418&lt;/D&gt;&lt;D xsi:type="xsd:double"&gt;-4.0391684&lt;/D&gt;&lt;D xsi:type="xsd:double"&gt;3.7001848&lt;/D&gt;&lt;D xsi:type="xsd:double"&gt;2.74086&lt;/D&gt;&lt;D xsi:type="xsd:double"&gt;3.031528&lt;/D&gt;&lt;D xsi:type="xsd:double"&gt;5.1000476&lt;/D&gt;&lt;D xsi:type="xsd:double"&gt;1.0078311&lt;/D&gt;&lt;D xsi:type="xsd:double"&gt;8.869183&lt;/D&gt;&lt;D xsi:type="xsd:double"&gt;-0.5951166&lt;/D&gt;&lt;D xsi:type="xsd:double"&gt;4.8392653&lt;/D&gt;&lt;D xsi:type="xsd:double"&gt;0.8902073&lt;/D&gt;&lt;D xsi:type="xsd:double"&gt;1.9607902&lt;/D&gt;&lt;D xsi:type="xsd:double"&gt;1.0897398&lt;/D&gt;&lt;D xsi:type="xsd:double"&gt;-0.41217804&lt;/D&gt;&lt;D xsi:type="xsd:double"&gt;1.2863278&lt;/D&gt;&lt;D xsi:type="xsd:double"&gt;6.9701314&lt;/D&gt;&lt;D xsi:type="xsd:double"&gt;-4.2848706&lt;/D&gt;&lt;D xsi:type="xsd:double"&gt;-3.149116&lt;/D&gt;&lt;D xsi:type="xsd:double"&gt;2.9327393&lt;/D&gt;&lt;D xsi:type="xsd:double"&gt;-0.8671522&lt;/D&gt;&lt;D xsi:type="xsd:double"&gt;-1.4215231&lt;/D&gt;&lt;D xsi:type="xsd:double"&gt;2.4476647&lt;/D&gt;&lt;D xsi:type="xsd:double"&gt;-3.2065332&lt;/D&gt;&lt;D xsi:type="xsd:double"&gt;0.12991428&lt;/D&gt;&lt;D xsi:type="xsd:double"&gt;-9.082061&lt;/D&gt;&lt;D xsi:type="xsd:double"&gt;-0.10703206&lt;/D&gt;&lt;D xsi:type="xsd:double"&gt;-7.449281&lt;/D&gt;&lt;D xsi:type="xsd:double"&gt;6.5529227&lt;/D&gt;&lt;D xsi:type="xsd:double"&gt;7.496369&lt;/D&gt;&lt;D xsi:type="xsd:double"&gt;0.13540983&lt;/D&gt;&lt;D xsi:type="xsd:double"&gt;5.544281&lt;/D&gt;&lt;D xsi:type="xsd:double"&gt;-3.971815&lt;/D&gt;&lt;D xsi:type="xsd:double"&gt;4.7849536&lt;/D&gt;&lt;D xsi:type="xsd:double"&gt;3.0984998&lt;/D&gt;&lt;D xsi:type="xsd:double"&gt;-6.1056614&lt;/D&gt;&lt;D xsi:type="xsd:double"&gt;6.0309887&lt;/D&gt;&lt;D xsi:type="xsd:double"&gt;1.0009527&lt;/D&gt;&lt;D xsi:type="xsd:double"&gt;2.029264&lt;/D&gt;&lt;D xsi:type="xsd:double"&gt;4.1263103&lt;/D&gt;&lt;D xsi:type="xsd:double"&gt;0.029730797&lt;/D&gt;&lt;D xsi:type="xsd:double"&gt;0.8620739&lt;/D&gt;&lt;D xsi:type="xsd:double"&gt;-31.889183&lt;/D&gt;&lt;D xsi:type="xsd:double"&gt;18.173944&lt;/D&gt;&lt;D xsi:type="xsd:double"&gt;7.76273&lt;/D&gt;&lt;D xsi:type="xsd:double"&gt;13.2140875&lt;/D&gt;&lt;D xsi:type="xsd:double"&gt;5.4045916&lt;/D&gt;&lt;D xsi:type="xsd:double"&gt;-0.08593202&lt;/D&gt;&lt;D xsi:type="xsd:double"&gt;-2.5229394&lt;/D&gt;&lt;D xsi:type="xsd:double"&gt;6.117654&lt;/D&gt;&lt;D xsi:type="xsd:double"&gt;6.596446&lt;/D&gt;&lt;D xsi:type="xsd:double"&gt;7.500601&lt;/D&gt;&lt;D xsi:type="xsd:double"&gt;7.473922&lt;/D&gt;&lt;D xsi:type="xsd:double"&gt;1.5579104&lt;/D&gt;&lt;D xsi:type="xsd:double"&gt;-0.7558942&lt;/D&gt;&lt;D xsi:type="xsd:double"&gt;9.991037&lt;/D&gt;&lt;D xsi:type="xsd:double"&gt;-0.89612603&lt;/D&gt;&lt;D xsi:type="xsd:double"&gt;-0.33071637&lt;/D&gt;&lt;D xsi:type="xsd:double"&gt;2.7189732&lt;/D&gt;&lt;D xsi:type="xsd:double"&gt;4.2836905&lt;/D&gt;&lt;D xsi:type="xsd:double"&gt;2.7707815&lt;/D&gt;&lt;D xsi:type="xsd:double"&gt;-1.0558069&lt;/D&gt;&lt;D xsi:type="xsd:double"&gt;-3.3346057&lt;/D&gt;&lt;D xsi:type="xsd:double"&gt;-1.5667081&lt;/D&gt;&lt;D xsi:type="xsd:double"&gt;-5.688447&lt;/D&gt;&lt;D xsi:type="xsd:double"&gt;-7.907075&lt;/D&gt;&lt;D xsi:type="xsd:double"&gt;-2.753991&lt;/D&gt;&lt;D xsi:type="xsd:double"&gt;-4.164684&lt;/D&gt;&lt;D xsi:type="xsd:double"&gt;-5.2396355&lt;/D&gt;&lt;D xsi:type="xsd:double"&gt;-9.0713259999999991&lt;/D&gt;&lt;D xsi:type="xsd:double"&gt;7.2408795&lt;/D&gt;&lt;D xsi:type="xsd:double"&gt;-3.1854033&lt;/D&gt;&lt;D xsi:type="xsd:double"&gt;-12.9921255&lt;/D&gt;&lt;D xsi:type="xsd:double"&gt;3.9431095&lt;/D&gt;&lt;D xsi:type="xsd:double"&gt;19.496273&lt;/D&gt;&lt;D xsi:type="xsd:double"&gt;-1.6830981&lt;/D&gt;&lt;D xsi:type="xsd:double"&gt;12.889481&lt;/D&gt;&lt;D xsi:type="xsd:double"&gt;-2.288276&lt;/D&gt;&lt;D xsi:type="xsd:double"&gt;-0.96571445&lt;/D&gt;&lt;D xsi:type="xsd:double"&gt;2.852261&lt;/D&gt;&lt;D xsi:type="xsd:double"&gt;0.5688548&lt;/D&gt;&lt;D xsi:type="xsd:double"&gt;-0.5240679&lt;/D&gt;&lt;D xsi:type="xsd:double"&gt;5.72592&lt;/D&gt;&lt;D xsi:type="xsd:double"&gt;-6.2769117&lt;/D&gt;&lt;D xsi:type="xsd:double"&gt;-7.229209&lt;/D&gt;&lt;D xsi:type="xsd:double"&gt;-3.961432&lt;/D&gt;&lt;D xsi:type="xsd:double"&gt;13.568521&lt;/D&gt;&lt;D xsi:type="xsd:double"&gt;6.532502&lt;/D&gt;&lt;D xsi:type="xsd:double"&gt;-0.06779432&lt;/D&gt;&lt;D xsi:type="xsd:double"&gt;7.5531483&lt;/D&gt;&lt;D xsi:type="xsd:double"&gt;3.1539083&lt;/D&gt;&lt;D xsi:type="xsd:double"&gt;-1.1618435&lt;/D&gt;&lt;D xsi:type="xsd:double"&gt;5.217564&lt;/D&gt;&lt;D xsi:type="xsd:double"&gt;0.37491322&lt;/D&gt;&lt;D xsi:type="xsd:double"&gt;-0.7701397&lt;/D&gt;&lt;D xsi:type="xsd:double"&gt;0.577116&lt;/D&gt;&lt;D xsi:type="xsd:double"&gt;-2.2061765&lt;/D&gt;&lt;/FQL&gt;&lt;FQL&gt;&lt;Q&gt;EWG^FMA_PE(LTMA,-10AY,0,AM,"PORTAGG","MEANR")&lt;/Q&gt;&lt;R&gt;121&lt;/R&gt;&lt;C&gt;1&lt;/C&gt;&lt;D xsi:type="xsd:double"&gt;14.1767228610949&lt;/D&gt;&lt;D xsi:type="xsd:double"&gt;13.4718738644125&lt;/D&gt;&lt;D xsi:type="xsd:double"&gt;14.2076848643679&lt;/D&gt;&lt;D xsi:type="xsd:double"&gt;14.4772497830304&lt;/D&gt;&lt;D xsi:type="xsd:double"&gt;15.5215169369101&lt;/D&gt;&lt;D xsi:type="xsd:double"&gt;16.0907854829835&lt;/D&gt;&lt;D xsi:type="xsd:double"&gt;16.5284264642926&lt;/D&gt;&lt;D xsi:type="xsd:double"&gt;16.3856022435345&lt;/D&gt;&lt;D xsi:type="xsd:double"&gt;16.1667334654811&lt;/D&gt;&lt;D xsi:type="xsd:double"&gt;15.8072340297402&lt;/D&gt;&lt;D xsi:type="xsd:double"&gt;15.5795695214129&lt;/D&gt;&lt;D xsi:type="xsd:double"&gt;14.3859908298261&lt;/D&gt;&lt;D xsi:type="xsd:double"&gt;13.633659653732&lt;/D&gt;&lt;D xsi:type="xsd:double"&gt;14.5462654149188&lt;/D&gt;&lt;D xsi:type="xsd:double"&gt;14.7725401862668&lt;/D&gt;&lt;D xsi:type="xsd:double"&gt;14.0918070943532&lt;/D&gt;&lt;D xsi:type="xsd:double"&gt;12.7180712173608&lt;/D&gt;&lt;D xsi:type="xsd:double"&gt;12.4979490271841&lt;/D&gt;&lt;D xsi:type="xsd:double"&gt;12.7834015143236&lt;/D&gt;&lt;D xsi:type="xsd:double"&gt;12.9896998755229&lt;/D&gt;&lt;D xsi:type="xsd:double"&gt;12.7524141884022&lt;/D&gt;&lt;D xsi:type="xsd:double"&gt;12.957216194816&lt;/D&gt;&lt;D xsi:type="xsd:double"&gt;12.9924494206696&lt;/D&gt;&lt;D xsi:type="xsd:double"&gt;13.3814632984837&lt;/D&gt;&lt;D xsi:type="xsd:double"&gt;13.6643079377111&lt;/D&gt;&lt;D xsi:type="xsd:double"&gt;13.8257029014134&lt;/D&gt;&lt;D xsi:type="xsd:double"&gt;13.6924891480825&lt;/D&gt;&lt;D xsi:type="xsd:double"&gt;14.7164538673077&lt;/D&gt;&lt;D xsi:type="xsd:double"&gt;14.8606412247595&lt;/D&gt;&lt;D xsi:type="xsd:double"&gt;15.1954439640288&lt;/D&gt;&lt;D xsi:type="xsd:double"&gt;14.9318340104774&lt;/D&gt;&lt;D xsi:type="xsd:double"&gt;14.8135449589263&lt;/D&gt;&lt;D xsi:type="xsd:double"&gt;14.8142706645962&lt;/D&gt;&lt;D xsi:type="xsd:double"&gt;14.7329810796739&lt;/D&gt;&lt;D xsi:type="xsd:double"&gt;14.3961237519146&lt;/D&gt;&lt;D xsi:type="xsd:double"&gt;14.1872037624275&lt;/D&gt;&lt;D xsi:type="xsd:double"&gt;14.430108446613&lt;/D&gt;&lt;D xsi:type="xsd:double"&gt;14.7913433253782&lt;/D&gt;&lt;D xsi:type="xsd:double"&gt;15.1840292036711&lt;/D&gt;&lt;D xsi:type="xsd:double"&gt;15.4389176365497&lt;/D&gt;&lt;D xsi:type="xsd:double"&gt;15.8186841648945&lt;/D&gt;&lt;D xsi:type="xsd:double"&gt;14.3408972975433&lt;/D&gt;&lt;D xsi:type="xsd:double"&gt;14.0694899620201&lt;/D&gt;&lt;D xsi:type="xsd:double"&gt;14.1702488782337&lt;/D&gt;&lt;D xsi:type="xsd:double"&gt;14.1649715842306&lt;/D&gt;&lt;D xsi:type="xsd:double"&gt;14.0487835640798&lt;/D&gt;&lt;D xsi:type="xsd:double"&gt;14.0394188939068&lt;/D&gt;&lt;D xsi:type="xsd:double"&gt;14.014672598511&lt;/D&gt;&lt;D xsi:type="xsd:double"&gt;14.0446504385728&lt;/D&gt;&lt;D xsi:type="xsd:double"&gt;13.0430248882066&lt;/D&gt;&lt;D xsi:type="xsd:double"&gt;12.8341987219327&lt;/D&gt;&lt;D xsi:type="xsd:double"&gt;12.1663180402705&lt;/D&gt;&lt;D xsi:type="xsd:double"&gt;12.7119238857216&lt;/D&gt;&lt;D xsi:type="xsd:double"&gt;13.1620442077484&lt;/D&gt;&lt;D xsi:type="xsd:double"&gt;13.1568774809393&lt;/D&gt;&lt;D xsi:type="xsd:double"&gt;13.3703171051487&lt;/D&gt;&lt;D xsi:type="xsd:double"&gt;13.1566369208225&lt;/D&gt;&lt;D xsi:type="xsd:double"&gt;13.3554398586535&lt;/D&gt;&lt;D xsi:type="xsd:double"&gt;13.6300734842058&lt;/D&gt;&lt;D xsi:type="xsd:double"&gt;13.3156986913792&lt;/D&gt;&lt;D xsi:type="xsd:double"&gt;13.9889877509476&lt;/D&gt;&lt;D xsi:type="xsd:double"&gt;14.5954973923633&lt;/D&gt;&lt;D xsi:type="xsd:double"&gt;15.0748126789443&lt;/D&gt;&lt;D xsi:type="xsd:double"&gt;15.5015182102142&lt;/D&gt;&lt;D xsi:type="xsd:double"&gt;15.5475463817741&lt;/D&gt;&lt;D xsi:type="xsd:double"&gt;16.0014112377083&lt;/D&gt;&lt;D xsi:type="xsd:double"&gt;13.343996706706&lt;/D&gt;&lt;D xsi:type="xsd:double"&gt;14.6165895407185&lt;/D&gt;&lt;D xsi:type="xsd:double"&gt;15.6923108394446&lt;/D&gt;&lt;D xsi:type="xsd:double"&gt;17.5523814648321&lt;/D&gt;&lt;D xsi:type="xsd:double"&gt;19.0694886208058&lt;/D&gt;&lt;D xsi:type="xsd:double"&gt;19.5647673403198&lt;/D&gt;&lt;D xsi:type="xsd:double"&gt;19.9906354693903&lt;/D&gt;&lt;D xsi:type="xsd:double"&gt;20.257372521618&lt;/D&gt;&lt;D xsi:type="xsd:double"&gt;21.4499675568313&lt;/D&gt;&lt;D xsi:type="xsd:double"&gt;21.6865729948244&lt;/D&gt;&lt;D xsi:type="xsd:double"&gt;21.9062324434314&lt;/D&gt;&lt;D xsi:type="xsd:double"&gt;20.7358094778173&lt;/D&gt;&lt;D xsi:type="xsd:double"&gt;20.1033092533321&lt;/D&gt;&lt;D xsi:type="xsd:double"&gt;19.6049578414044&lt;/D&gt;&lt;D xsi:type="xsd:double"&gt;18.9344367836903&lt;/D&gt;&lt;D xsi:type="xsd:double"&gt;18.4437325028036&lt;/D&gt;&lt;D xsi:type="xsd:double"&gt;17.8612877110851&lt;/D&gt;&lt;D xsi:type="xsd:double"&gt;17.0636079355485&lt;/D&gt;&lt;D xsi:type="xsd:double"&gt;16.287465058265&lt;/D&gt;&lt;D xsi:type="xsd:double"&gt;15.7819433695401&lt;/D&gt;&lt;D xsi:type="xsd:double"&gt;14.9104424066614&lt;/D&gt;&lt;D xsi:type="xsd:double"&gt;14.1969419195821&lt;/D&gt;&lt;D xsi:type="xsd:double"&gt;13.7881441045521&lt;/D&gt;&lt;D xsi:type="xsd:double"&gt;12.8220481072748&lt;/D&gt;&lt;D xsi:type="xsd:double"&gt;12.4485951580167&lt;/D&gt;&lt;D xsi:type="xsd:double"&gt;12.3409731064797&lt;/D&gt;&lt;D xsi:type="xsd:double"&gt;12.0578942347347&lt;/D&gt;&lt;D xsi:type="xsd:double"&gt;11.4775880111237&lt;/D&gt;&lt;D xsi:type="xsd:double"&gt;11.4938987392223&lt;/D&gt;&lt;D xsi:type="xsd:double"&gt;10.9161113203614&lt;/D&gt;&lt;D xsi:type="xsd:double"&gt;10.284285642362&lt;/D&gt;&lt;D xsi:type="xsd:double"&gt;10.2604519942217&lt;/D&gt;&lt;D xsi:type="xsd:double"&gt;11.1011676075104&lt;/D&gt;&lt;D xsi:type="xsd:double"&gt;10.4909403059387&lt;/D&gt;&lt;D xsi:type="xsd:double"&gt;11.3546644801954&lt;/D&gt;&lt;D xsi:type="xsd:double"&gt;11.510264325542&lt;/D&gt;&lt;D xsi:type="xsd:double"&gt;11.3126781499995&lt;/D&gt;&lt;D xsi:type="xsd:double"&gt;11.443967456122&lt;/D&gt;&lt;D xsi:type="xsd:double"&gt;11.3510423925075&lt;/D&gt;&lt;D xsi:type="xsd:double"&gt;11.2041492952023&lt;/D&gt;&lt;D xsi:type="xsd:double"&gt;11.3184826482042&lt;/D&gt;&lt;D xsi:type="xsd:double"&gt;11.1544353821076&lt;/D&gt;&lt;D xsi:type="xsd:double"&gt;11.1528400077699&lt;/D&gt;&lt;D xsi:type="xsd:double"&gt;10.6888557609434&lt;/D&gt;&lt;D xsi:type="xsd:double"&gt;11.4079343666516&lt;/D&gt;&lt;D xsi:type="xsd:double"&gt;11.9028712209938&lt;/D&gt;&lt;D xsi:type="xsd:double"&gt;11.8249860701726&lt;/D&gt;&lt;D xsi:type="xsd:double"&gt;12.3943341690673&lt;/D&gt;&lt;D xsi:type="xsd:double"&gt;12.5580380314018&lt;/D&gt;&lt;D xsi:type="xsd:double"&gt;12.5553210428511&lt;/D&gt;&lt;D xsi:type="xsd:double"&gt;12.5595592097409&lt;/D&gt;&lt;D xsi:type="xsd:double"&gt;12.4043591327107&lt;/D&gt;&lt;D xsi:type="xsd:double"&gt;12.6336995500914&lt;/D&gt;&lt;D xsi:type="xsd:double"&gt;12.7041160858889&lt;/D&gt;&lt;D xsi:type="xsd:double"&gt;13.0132712602109&lt;/D&gt;&lt;/FQL&gt;&lt;FQL&gt;&lt;Q&gt;EWC^FMA_PCT_ABOVE_MAVG(200,0,,,,"PORTAGG")&lt;/Q&gt;&lt;R&gt;1&lt;/R&gt;&lt;C&gt;1&lt;/C&gt;&lt;D xsi:type="xsd:double"&gt;73.2558139534884&lt;/D&gt;&lt;/FQL&gt;&lt;FQL&gt;&lt;Q&gt;QQQ^SIZE(FG_CONSTITUENTS)&lt;/Q&gt;&lt;R&gt;1&lt;/R&gt;&lt;C&gt;1&lt;/C&gt;&lt;D xsi:type="xsd:long"&gt;102&lt;/D&gt;&lt;/FQL&gt;&lt;FQL&gt;&lt;Q&gt;REFGBBANK-FDS^(SUBARRAY(NOT_NA(NO_REPEAT_F(FG_YIELD(NOW,-10AY,D))),0,1)-SUBARRAY(NOT_NA(NO_REPEAT_F(FG_YIELD(NOW,-10AY,D))),1,1))*100&lt;/Q&gt;&lt;R&gt;1&lt;/R&gt;&lt;C&gt;1&lt;/C&gt;&lt;D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xsi:type="xsd:double"&gt;-25&lt;/D&gt;&lt;/FQL&gt;&lt;FQL&gt;&lt;Q&gt;EWU^FG_FCF_YIELD_NTM(0)&lt;/Q&gt;&lt;R&gt;1&lt;/R&gt;&lt;C&gt;1&lt;/C&gt;&lt;D xsi:type="xsd:double"&gt;6.257043692215&lt;/D&gt;&lt;/FQL&gt;&lt;FQL&gt;&lt;Q&gt;EWU^FMA_EPS(NTMA,-20AY,0,CY,,"PORTAGG","MEANR")&lt;/Q&gt;&lt;R&gt;20&lt;/R&gt;&lt;C&gt;1&lt;/C&gt;&lt;D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xsi:type="xsd:double"&gt;2.53509270637054&lt;/D&gt;&lt;D xsi:type="xsd:double"&gt;2.03535923448403&lt;/D&gt;&lt;D xsi:type="xsd:double"&gt;2.71455451649836&lt;/D&gt;&lt;D xsi:type="xsd:double"&gt;3.12785085030901&lt;/D&gt;&lt;D xsi:type="xsd:double"&gt;3.00293990504371&lt;/D&gt;&lt;/FQL&gt;&lt;FQL&gt;&lt;Q&gt;EWC^FG_FCF_YIELD_NTM(0)&lt;/Q&gt;&lt;R&gt;1&lt;/R&gt;&lt;C&gt;1&lt;/C&gt;&lt;D xsi:type="xsd:double"&gt;4.81731720468208&lt;/D&gt;&lt;/FQL&gt;&lt;FQL&gt;&lt;Q&gt;TRYFR10Y-FDS^PCTCHG(FG_YIELD(0,,,,"YTM"),FG_YIELD(-1AM,,,,"YTM"))&lt;/Q&gt;&lt;R&gt;1&lt;/R&gt;&lt;C&gt;1&lt;/C&gt;&lt;D xsi:type="xsd:double"&gt;0.9897626&lt;/D&gt;&lt;/FQL&gt;&lt;FQL&gt;&lt;Q&gt;TRYGR10Y-FDS^FG_YIELD(-10AY,0,Y,,"YTM")&lt;/Q&gt;&lt;R&gt;10&lt;/R&gt;&lt;C&gt;1&lt;/C&gt;&lt;D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xsi:type="xsd:double"&gt;3.099&lt;/D&gt;&lt;/FQL&gt;&lt;FQL&gt;&lt;Q&gt;EWD^FMA_PE(NTMA,-10AY,0,AM,"PORTAGG","MEANR")&lt;/Q&gt;&lt;R&gt;121&lt;/R&gt;&lt;C&gt;1&lt;/C&gt;&lt;D xsi:type="xsd:double"&gt;14.7220328938642&lt;/D&gt;&lt;D xsi:type="xsd:double"&gt;14.1373745639276&lt;/D&gt;&lt;D xsi:type="xsd:double"&gt;15.576260967062&lt;/D&gt;&lt;D xsi:type="xsd:double"&gt;15.7102469680031&lt;/D&gt;&lt;D xsi:type="xsd:double"&gt;16.3407165109329&lt;/D&gt;&lt;D xsi:type="xsd:double"&gt;17.0958095409978&lt;/D&gt;&lt;D xsi:type="xsd:double"&gt;17.317783781735&lt;/D&gt;&lt;D xsi:type="xsd:double"&gt;16.6088209809256&lt;/D&gt;&lt;D xsi:type="xsd:double"&gt;16.1249406112861&lt;/D&gt;&lt;D xsi:type="xsd:double"&gt;16.1434698703325&lt;/D&gt;&lt;D xsi:type="xsd:double"&gt;16.0684719931365&lt;/D&gt;&lt;D xsi:type="xsd:double"&gt;14.8881549686422&lt;/D&gt;&lt;D xsi:type="xsd:double"&gt;14.1403686273792&lt;/D&gt;&lt;D xsi:type="xsd:double"&gt;15.5465694717211&lt;/D&gt;&lt;D xsi:type="xsd:double"&gt;15.4925295562709&lt;/D&gt;&lt;D xsi:type="xsd:double"&gt;14.9846738718861&lt;/D&gt;&lt;D xsi:type="xsd:double"&gt;14.3239363413149&lt;/D&gt;&lt;D xsi:type="xsd:double"&gt;15.0811263766192&lt;/D&gt;&lt;D xsi:type="xsd:double"&gt;15.0824513625404&lt;/D&gt;&lt;D xsi:type="xsd:double"&gt;15.6603781112774&lt;/D&gt;&lt;D xsi:type="xsd:double"&gt;14.6918349665033&lt;/D&gt;&lt;D xsi:type="xsd:double"&gt;14.9654353752314&lt;/D&gt;&lt;D xsi:type="xsd:double"&gt;15.1245953425801&lt;/D&gt;&lt;D xsi:type="xsd:double"&gt;15.4417330633611&lt;/D&gt;&lt;D xsi:type="xsd:double"&gt;15.642614810523&lt;/D&gt;&lt;D xsi:type="xsd:double"&gt;16.4986556706849&lt;/D&gt;&lt;D xsi:type="xsd:double"&gt;16.1872655639383&lt;/D&gt;&lt;D xsi:type="xsd:double"&gt;16.503854002506&lt;/D&gt;&lt;D xsi:type="xsd:double"&gt;15.98273701712&lt;/D&gt;&lt;D xsi:type="xsd:double"&gt;16.59089058002&lt;/D&gt;&lt;D xsi:type="xsd:double"&gt;16.7498833174068&lt;/D&gt;&lt;D xsi:type="xsd:double"&gt;16.8548921791858&lt;/D&gt;&lt;D xsi:type="xsd:double"&gt;18.1169234907057&lt;/D&gt;&lt;D xsi:type="xsd:double"&gt;16.9043997845356&lt;/D&gt;&lt;D xsi:type="xsd:double"&gt;16.3559641032027&lt;/D&gt;&lt;D xsi:type="xsd:double"&gt;15.7323459769311&lt;/D&gt;&lt;D xsi:type="xsd:double"&gt;16.4139709339562&lt;/D&gt;&lt;D xsi:type="xsd:double"&gt;17.2088813574966&lt;/D&gt;&lt;D xsi:type="xsd:double"&gt;16.6965841971818&lt;/D&gt;&lt;D xsi:type="xsd:double"&gt;16.4399833459461&lt;/D&gt;&lt;D xsi:type="xsd:double"&gt;16.8419450856304&lt;/D&gt;&lt;D xsi:type="xsd:double"&gt;16.3473502016498&lt;/D&gt;&lt;D xsi:type="xsd:double"&gt;15.5809271929069&lt;/D&gt;&lt;D xsi:type="xsd:double"&gt;16.0603044882101&lt;/D&gt;&lt;D xsi:type="xsd:double"&gt;15.9128208289678&lt;/D&gt;&lt;D xsi:type="xsd:double"&gt;15.2475421681438&lt;/D&gt;&lt;D xsi:type="xsd:double"&gt;15.3399701981511&lt;/D&gt;&lt;D xsi:type="xsd:double"&gt;15.7556858724265&lt;/D&gt;&lt;D xsi:type="xsd:double"&gt;15.8985700305688&lt;/D&gt;&lt;D xsi:type="xsd:double"&gt;14.1275116592461&lt;/D&gt;&lt;D xsi:type="xsd:double"&gt;13.8163052696987&lt;/D&gt;&lt;D xsi:type="xsd:double"&gt;13.2863595605209&lt;/D&gt;&lt;D xsi:type="xsd:double"&gt;14.2023249975617&lt;/D&gt;&lt;D xsi:type="xsd:double"&gt;14.926425711837&lt;/D&gt;&lt;D xsi:type="xsd:double"&gt;14.8823185990606&lt;/D&gt;&lt;D xsi:type="xsd:double"&gt;15.5795048056657&lt;/D&gt;&lt;D xsi:type="xsd:double"&gt;14.5865946611833&lt;/D&gt;&lt;D xsi:type="xsd:double"&gt;15.1334765274085&lt;/D&gt;&lt;D xsi:type="xsd:double"&gt;15.2291870968101&lt;/D&gt;&lt;D xsi:type="xsd:double"&gt;13.5159217959834&lt;/D&gt;&lt;D xsi:type="xsd:double"&gt;14.4690065316977&lt;/D&gt;&lt;D xsi:type="xsd:double"&gt;15.6960909476228&lt;/D&gt;&lt;D xsi:type="xsd:double"&gt;15.5643803388788&lt;/D&gt;&lt;D xsi:type="xsd:double"&gt;16.3087862805389&lt;/D&gt;&lt;D xsi:type="xsd:double"&gt;16.1757888680058&lt;/D&gt;&lt;D xsi:type="xsd:double"&gt;16.9073776218127&lt;/D&gt;&lt;D xsi:type="xsd:double"&gt;11.841270844814&lt;/D&gt;&lt;D xsi:type="xsd:double"&gt;16.7065576957644&lt;/D&gt;&lt;D xsi:type="xsd:double"&gt;17.6854497015644&lt;/D&gt;&lt;D xsi:type="xsd:double"&gt;19.5371650216162&lt;/D&gt;&lt;D xsi:type="xsd:double"&gt;19.0673660769306&lt;/D&gt;&lt;D xsi:type="xsd:double"&gt;17.9986847836832&lt;/D&gt;&lt;D xsi:type="xsd:double"&gt;17.9936479047193&lt;/D&gt;&lt;D xsi:type="xsd:double"&gt;17.1029991403682&lt;/D&gt;&lt;D xsi:type="xsd:double"&gt;17.2823827675156&lt;/D&gt;&lt;D xsi:type="xsd:double"&gt;17.0639221803785&lt;/D&gt;&lt;D xsi:type="xsd:double"&gt;18.9005218734507&lt;/D&gt;&lt;D xsi:type="xsd:double"&gt;18.8220593349206&lt;/D&gt;&lt;D xsi:type="xsd:double"&gt;19.9700588178617&lt;/D&gt;&lt;D xsi:type="xsd:double"&gt;19.3778769442641&lt;/D&gt;&lt;D xsi:type="xsd:double"&gt;18.0186618415999&lt;/D&gt;&lt;D xsi:type="xsd:double"&gt;18.4202560565988&lt;/D&gt;&lt;D xsi:type="xsd:double"&gt;18.8071566637227&lt;/D&gt;&lt;D xsi:type="xsd:double"&gt;18.4834451972257&lt;/D&gt;&lt;D xsi:type="xsd:double"&gt;18.4241475445738&lt;/D&gt;&lt;D xsi:type="xsd:double"&gt;18.5910976082783&lt;/D&gt;&lt;D xsi:type="xsd:double"&gt;18.4830592760734&lt;/D&gt;&lt;D xsi:type="xsd:double"&gt;18.3021437850269&lt;/D&gt;&lt;D xsi:type="xsd:double"&gt;16.9614649084084&lt;/D&gt;&lt;D xsi:type="xsd:double"&gt;15.1541540691925&lt;/D&gt;&lt;D xsi:type="xsd:double"&gt;15.4267986909121&lt;/D&gt;&lt;D xsi:type="xsd:double"&gt;15.0361649929856&lt;/D&gt;&lt;D xsi:type="xsd:double"&gt;15.9335974637399&lt;/D&gt;&lt;D xsi:type="xsd:double"&gt;14.1193799085933&lt;/D&gt;&lt;D xsi:type="xsd:double"&gt;15.0497325673443&lt;/D&gt;&lt;D xsi:type="xsd:double"&gt;14.4383269277617&lt;/D&gt;&lt;D xsi:type="xsd:double"&gt;12.9769383881944&lt;/D&gt;&lt;D xsi:type="xsd:double"&gt;13.2780291834921&lt;/D&gt;&lt;D xsi:type="xsd:double"&gt;13.1038871632192&lt;/D&gt;&lt;D xsi:type="xsd:double"&gt;12.727957193615&lt;/D&gt;&lt;D xsi:type="xsd:double"&gt;14.1920290331276&lt;/D&gt;&lt;D xsi:type="xsd:double"&gt;14.0983970256539&lt;/D&gt;&lt;D xsi:type="xsd:double"&gt;13.3803487501865&lt;/D&gt;&lt;D xsi:type="xsd:double"&gt;13.8147258913801&lt;/D&gt;&lt;D xsi:type="xsd:double"&gt;13.6134854386592&lt;/D&gt;&lt;D xsi:type="xsd:double"&gt;13.2336058363004&lt;/D&gt;&lt;D xsi:type="xsd:double"&gt;13.2284712840634&lt;/D&gt;&lt;D xsi:type="xsd:double"&gt;12.5947861436617&lt;/D&gt;&lt;D xsi:type="xsd:double"&gt;12.9012064014127&lt;/D&gt;&lt;D xsi:type="xsd:double"&gt;12.5496121767207&lt;/D&gt;&lt;D xsi:type="xsd:double"&gt;13.4447433315843&lt;/D&gt;&lt;D xsi:type="xsd:double"&gt;15.6456497576658&lt;/D&gt;&lt;D xsi:type="xsd:double"&gt;15.3667261606169&lt;/D&gt;&lt;D xsi:type="xsd:double"&gt;16.1804130266164&lt;/D&gt;&lt;D xsi:type="xsd:double"&gt;16.7517642761838&lt;/D&gt;&lt;D xsi:type="xsd:double"&gt;16.1347124185272&lt;/D&gt;&lt;D xsi:type="xsd:double"&gt;16.474033336327&lt;/D&gt;&lt;D xsi:type="xsd:double"&gt;15.9464626588675&lt;/D&gt;&lt;D xsi:type="xsd:double"&gt;16.2743014792487&lt;/D&gt;&lt;D xsi:type="xsd:double"&gt;16.1132278030538&lt;/D&gt;&lt;D xsi:type="xsd:double"&gt;15.9514913986572&lt;/D&gt;&lt;/FQL&gt;&lt;FQL&gt;&lt;Q&gt;NI-FDS^FG_PRICE_CHANGE(0,-3AM)&lt;/Q&gt;&lt;R&gt;1&lt;/R&gt;&lt;C&gt;1&lt;/C&gt;&lt;D xsi:type="xsd:double"&gt;-4.48774726896959&lt;/D&gt;&lt;/FQL&gt;&lt;FQL&gt;&lt;Q&gt;VWO^SIZE(FG_CONSTITUENTS)&lt;/Q&gt;&lt;R&gt;1&lt;/R&gt;&lt;C&gt;1&lt;/C&gt;&lt;D xsi:type="xsd:long"&gt;4826&lt;/D&gt;&lt;/FQL&gt;&lt;FQL&gt;&lt;Q&gt;TRYUS10Y-FDS^PCTCHG(FG_YIELD(0,,,,"YTM"),FG_YIELD(-3AM,,,,"YTM"))&lt;/Q&gt;&lt;R&gt;0&lt;/R&gt;&lt;C&gt;0&lt;/C&gt;&lt;/FQL&gt;&lt;FQL&gt;&lt;Q&gt;EWQ^P_PRICE(0)/P_PRICE_HIGH_PR(0,,,,,,"PRICE","INTRA","52W")&lt;/Q&gt;&lt;R&gt;1&lt;/R&gt;&lt;C&gt;1&lt;/C&gt;&lt;D xsi:type="xsd:double"&gt;0.9291081&lt;/D&gt;&lt;/FQL&gt;&lt;FQL&gt;&lt;Q&gt;QQQ^FMA_PE(NTMA,-10AY,0,AM,"PORTAGG","MEANR")&lt;/Q&gt;&lt;R&gt;121&lt;/R&gt;&lt;C&gt;1&lt;/C&gt;&lt;D xsi:type="xsd:double"&gt;17.5069834806566&lt;/D&gt;&lt;D xsi:type="xsd:double"&gt;17.0451074736633&lt;/D&gt;&lt;D xsi:type="xsd:double"&gt;18.0093373925932&lt;/D&gt;&lt;D xsi:type="xsd:double"&gt;17.842659148808&lt;/D&gt;&lt;D xsi:type="xsd:double"&gt;17.5260964522869&lt;/D&gt;&lt;D xsi:type="xsd:double"&gt;18.1489891756596&lt;/D&gt;&lt;D xsi:type="xsd:double"&gt;18.0583477599881&lt;/D&gt;&lt;D xsi:type="xsd:double"&gt;18.1815932299772&lt;/D&gt;&lt;D xsi:type="xsd:double"&gt;18.1360279658322&lt;/D&gt;&lt;D xsi:type="xsd:double"&gt;18.068269868436&lt;/D&gt;&lt;D xsi:type="xsd:double"&gt;18.5226650110162&lt;/D&gt;&lt;D xsi:type="xsd:double"&gt;16.9805030200074&lt;/D&gt;&lt;D xsi:type="xsd:double"&gt;17.1591081721412&lt;/D&gt;&lt;D xsi:type="xsd:double"&gt;18.4573029415196&lt;/D&gt;&lt;D xsi:type="xsd:double"&gt;18.7115271861395&lt;/D&gt;&lt;D xsi:type="xsd:double"&gt;18.48896811172&lt;/D&gt;&lt;D xsi:type="xsd:double"&gt;17.1294679288148&lt;/D&gt;&lt;D xsi:type="xsd:double"&gt;16.7250092555808&lt;/D&gt;&lt;D xsi:type="xsd:double"&gt;17.5959797408861&lt;/D&gt;&lt;D xsi:type="xsd:double"&gt;17.8463639926057&lt;/D&gt;&lt;D xsi:type="xsd:double"&gt;17.3925556351032&lt;/D&gt;&lt;D xsi:type="xsd:double"&gt;17.8625074926804&lt;/D&gt;&lt;D xsi:type="xsd:double"&gt;18.5285531953114&lt;/D&gt;&lt;D xsi:type="xsd:double"&gt;18.7373171778796&lt;/D&gt;&lt;D xsi:type="xsd:double"&gt;18.6613129250351&lt;/D&gt;&lt;D xsi:type="xsd:double"&gt;18.3932915116151&lt;/D&gt;&lt;D xsi:type="xsd:double"&gt;18.2515880990858&lt;/D&gt;&lt;D xsi:type="xsd:double"&gt;18.3761861437113&lt;/D&gt;&lt;D xsi:type="xsd:double"&gt;18.6575018045958&lt;/D&gt;&lt;D xsi:type="xsd:double"&gt;20.0849424357025&lt;/D&gt;&lt;D xsi:type="xsd:double"&gt;19.9779412123059&lt;/D&gt;&lt;D xsi:type="xsd:double"&gt;20.0020333707438&lt;/D&gt;&lt;D xsi:type="xsd:double"&gt;20.6600685598966&lt;/D&gt;&lt;D xsi:type="xsd:double"&gt;20.6952751345981&lt;/D&gt;&lt;D xsi:type="xsd:double"&gt;20.9557804001479&lt;/D&gt;&lt;D xsi:type="xsd:double"&gt;20.3127690218276&lt;/D&gt;&lt;D xsi:type="xsd:double"&gt;20.3493977963008&lt;/D&gt;&lt;D xsi:type="xsd:double"&gt;20.4695876863228&lt;/D&gt;&lt;D xsi:type="xsd:double"&gt;21.0277953882649&lt;/D&gt;&lt;D xsi:type="xsd:double"&gt;21.0746173443803&lt;/D&gt;&lt;D xsi:type="xsd:double"&gt;22.1382379225157&lt;/D&gt;&lt;D xsi:type="xsd:double"&gt;20.9578777762682&lt;/D&gt;&lt;D xsi:type="xsd:double"&gt;19.5853986796395&lt;/D&gt;&lt;D xsi:type="xsd:double"&gt;19.8277811637102&lt;/D&gt;&lt;D xsi:type="xsd:double"&gt;20.0740994346445&lt;/D&gt;&lt;D xsi:type="xsd:double"&gt;20.5806515132238&lt;/D&gt;&lt;D xsi:type="xsd:double"&gt;20.7840266736633&lt;/D&gt;&lt;D xsi:type="xsd:double"&gt;20.5309912038973&lt;/D&gt;&lt;D xsi:type="xsd:double"&gt;20.6416214398386&lt;/D&gt;&lt;D xsi:type="xsd:double"&gt;19.3640592555057&lt;/D&gt;&lt;D xsi:type="xsd:double"&gt;17.698523072668&lt;/D&gt;&lt;D xsi:type="xsd:double"&gt;16.4997173843911&lt;/D&gt;&lt;D xsi:type="xsd:double"&gt;18.2626675786156&lt;/D&gt;&lt;D xsi:type="xsd:double"&gt;19.6575925086366&lt;/D&gt;&lt;D xsi:type="xsd:double"&gt;20.2417250279906&lt;/D&gt;&lt;D xsi:type="xsd:double"&gt;21.3620207956094&lt;/D&gt;&lt;D xsi:type="xsd:double"&gt;19.8838057756948&lt;/D&gt;&lt;D xsi:type="xsd:double"&gt;21.1125834009808&lt;/D&gt;&lt;D xsi:type="xsd:double"&gt;21.3434540551444&lt;/D&gt;&lt;D xsi:type="xsd:double"&gt;19.890596169613&lt;/D&gt;&lt;D xsi:type="xsd:double"&gt;20.21081630769&lt;/D&gt;&lt;D xsi:type="xsd:double"&gt;20.1951861134575&lt;/D&gt;&lt;D xsi:type="xsd:double"&gt;21.1987510359038&lt;/D&gt;&lt;D xsi:type="xsd:double"&gt;22.153073054078&lt;/D&gt;&lt;D xsi:type="xsd:double"&gt;23.2495485367922&lt;/D&gt;&lt;D xsi:type="xsd:double"&gt;23.3147167460619&lt;/D&gt;&lt;D xsi:type="xsd:double"&gt;17.7242556068442&lt;/D&gt;&lt;D xsi:type="xsd:double"&gt;23.3810355304378&lt;/D&gt;&lt;D xsi:type="xsd:double"&gt;26.4082665921891&lt;/D&gt;&lt;D xsi:type="xsd:double"&gt;27.9893542673588&lt;/D&gt;&lt;D xsi:type="xsd:double"&gt;28.1866628186187&lt;/D&gt;&lt;D xsi:type="xsd:double"&gt;29.4580102199924&lt;/D&gt;&lt;D xsi:type="xsd:double"&gt;27.1920734759654&lt;/D&gt;&lt;D xsi:type="xsd:double"&gt;28.811308372238&lt;/D&gt;&lt;D xsi:type="xsd:double"&gt;28.2008551745474&lt;/D&gt;&lt;D xsi:type="xsd:double"&gt;28.9631092173785&lt;/D&gt;&lt;D xsi:type="xsd:double"&gt;29.9886585566438&lt;/D&gt;&lt;D xsi:type="xsd:double"&gt;28.1200533181706&lt;/D&gt;&lt;D xsi:type="xsd:double"&gt;27.3420518370309&lt;/D&gt;&lt;D xsi:type="xsd:double"&gt;28.7475661506217&lt;/D&gt;&lt;D xsi:type="xsd:double"&gt;26.0572746481049&lt;/D&gt;&lt;D xsi:type="xsd:double"&gt;27.3392634657768&lt;/D&gt;&lt;D xsi:type="xsd:double"&gt;28.5806802104935&lt;/D&gt;&lt;D xsi:type="xsd:double"&gt;27.5714335140859&lt;/D&gt;&lt;D xsi:type="xsd:double"&gt;27.4175547697523&lt;/D&gt;&lt;D xsi:type="xsd:double"&gt;27.4172578128074&lt;/D&gt;&lt;D xsi:type="xsd:double"&gt;28.7969828645205&lt;/D&gt;&lt;D xsi:type="xsd:double"&gt;28.6126431432778&lt;/D&gt;&lt;D xsi:type="xsd:double"&gt;25.131457052395&lt;/D&gt;&lt;D xsi:type="xsd:double"&gt;23.0569534700872&lt;/D&gt;&lt;D xsi:type="xsd:double"&gt;24.5026150128364&lt;/D&gt;&lt;D xsi:type="xsd:double"&gt;22.4760742094827&lt;/D&gt;&lt;D xsi:type="xsd:double"&gt;20.4251907541959&lt;/D&gt;&lt;D xsi:type="xsd:double"&gt;19.7180753798862&lt;/D&gt;&lt;D xsi:type="xsd:double"&gt;21.1575507388503&lt;/D&gt;&lt;D xsi:type="xsd:double"&gt;22.4584457950157&lt;/D&gt;&lt;D xsi:type="xsd:double"&gt;19.6400262064935&lt;/D&gt;&lt;D xsi:type="xsd:double"&gt;19.8800921646043&lt;/D&gt;&lt;D xsi:type="xsd:double"&gt;21.5640979476049&lt;/D&gt;&lt;D xsi:type="xsd:double"&gt;20.5902334972971&lt;/D&gt;&lt;D xsi:type="xsd:double"&gt;22.2575505917639&lt;/D&gt;&lt;D xsi:type="xsd:double"&gt;22.9848126341942&lt;/D&gt;&lt;D xsi:type="xsd:double"&gt;23.7730753611106&lt;/D&gt;&lt;D xsi:type="xsd:double"&gt;24.1624399043383&lt;/D&gt;&lt;D xsi:type="xsd:double"&gt;24.6121553434235&lt;/D&gt;&lt;D xsi:type="xsd:double"&gt;25.8807729896521&lt;/D&gt;&lt;D xsi:type="xsd:double"&gt;26.4577872797405&lt;/D&gt;&lt;D xsi:type="xsd:double"&gt;23.971527457215&lt;/D&gt;&lt;D xsi:type="xsd:double"&gt;22.7302534552119&lt;/D&gt;&lt;D xsi:type="xsd:double"&gt;22.3417710935885&lt;/D&gt;&lt;D xsi:type="xsd:double"&gt;23.9839649573026&lt;/D&gt;&lt;D xsi:type="xsd:double"&gt;24.6231051067045&lt;/D&gt;&lt;D xsi:type="xsd:double"&gt;25.2105697197642&lt;/D&gt;&lt;D xsi:type="xsd:double"&gt;25.6861317519468&lt;/D&gt;&lt;D xsi:type="xsd:double"&gt;25.9140948367781&lt;/D&gt;&lt;D xsi:type="xsd:double"&gt;24.5206089538196&lt;/D&gt;&lt;D xsi:type="xsd:double"&gt;25.5330190086882&lt;/D&gt;&lt;D xsi:type="xsd:double"&gt;26.5431574601669&lt;/D&gt;&lt;D xsi:type="xsd:double"&gt;26.793901712425&lt;/D&gt;&lt;D xsi:type="xsd:double"&gt;26.6457383777154&lt;/D&gt;&lt;D xsi:type="xsd:double"&gt;26.2381129367776&lt;/D&gt;&lt;/FQL&gt;&lt;FQL&gt;&lt;Q&gt;URTH^P_PRICE(0)/P_PRICE_HIGH_PR(0,,,,,,"PRICE","INTRA","52W")&lt;/Q&gt;&lt;R&gt;1&lt;/R&gt;&lt;C&gt;1&lt;/C&gt;&lt;D xsi:type="xsd:double"&gt;0.9964459&lt;/D&gt;&lt;/FQL&gt;&lt;FQL&gt;&lt;Q&gt;EWC^FMA_PE(LTM,0,,,"PORTAGG","MEANR")&lt;/Q&gt;&lt;R&gt;1&lt;/R&gt;&lt;C&gt;1&lt;/C&gt;&lt;D xsi:type="xsd:double"&gt;18.9660237717007&lt;/D&gt;&lt;/FQL&gt;&lt;FQL&gt;&lt;Q&gt;EWD^FG_PRICE(0)&lt;/Q&gt;&lt;R&gt;1&lt;/R&gt;&lt;C&gt;1&lt;/C&gt;&lt;D xsi:type="xsd:double"&gt;42.42&lt;/D&gt;&lt;/FQL&gt;&lt;FQL&gt;&lt;Q&gt;EWQ^FG_TOTAL_RETURNC(0,-6AM)&lt;/Q&gt;&lt;R&gt;1&lt;/R&gt;&lt;C&gt;1&lt;/C&gt;&lt;D xsi:type="xsd:double"&gt;-1.4850855&lt;/D&gt;&lt;/FQL&gt;&lt;FQL&gt;&lt;Q&gt;VGK^SIZE(FG_CONSTITUENTS)&lt;/Q&gt;&lt;R&gt;1&lt;/R&gt;&lt;C&gt;1&lt;/C&gt;&lt;D xsi:type="xsd:long"&gt;1287&lt;/D&gt;&lt;/FQL&gt;&lt;FQL&gt;&lt;Q&gt;SPY^FG_FCF_YIELD_NTM(0)&lt;/Q&gt;&lt;R&gt;1&lt;/R&gt;&lt;C&gt;1&lt;/C&gt;&lt;D xsi:type="xsd:double"&gt;3.97740488093628&lt;/D&gt;&lt;/FQL&gt;&lt;FQL&gt;&lt;Q&gt;CPALM-FDS^FG_PRICE_MAVG(0,,,,30)&lt;/Q&gt;&lt;R&gt;1&lt;/R&gt;&lt;C&gt;1&lt;/C&gt;&lt;D xsi:type="xsd:double"&gt;3955.4666&lt;/D&gt;&lt;/FQL&gt;&lt;FQL&gt;&lt;Q&gt;TRYNZ10Y-FDS^PCTCHG(FG_YIELD(0,,,,"YTM"),FG_YIELD(-1AM,,,,"YTM"))&lt;/Q&gt;&lt;R&gt;1&lt;/R&gt;&lt;C&gt;1&lt;/C&gt;&lt;D xsi:type="xsd:double"&gt;0.3448606&lt;/D&gt;&lt;/FQL&gt;&lt;FQL&gt;&lt;Q&gt;EWD^FG_TOTAL_RETURNC(-10AY,0,AM)&lt;/Q&gt;&lt;R&gt;121&lt;/R&gt;&lt;C&gt;1&lt;/C&gt;&lt;D xsi:type="xsd:double"&gt;-1.926446&lt;/D&gt;&lt;D xsi:type="xsd:double"&gt;-4.43452&lt;/D&gt;&lt;D xsi:type="xsd:double"&gt;3.2077193&lt;/D&gt;&lt;D xsi:type="xsd:double"&gt;-2.5181174&lt;/D&gt;&lt;D xsi:type="xsd:double"&gt;-2.4010003&lt;/D&gt;&lt;D xsi:type="xsd:double"&gt;9.233225&lt;/D&gt;&lt;D xsi:type="xsd:double"&gt;0.2924919&lt;/D&gt;&lt;D xsi:type="xsd:double"&gt;0.1458168&lt;/D&gt;&lt;D xsi:type="xsd:double"&gt;0.64065456&lt;/D&gt;&lt;D xsi:type="xsd:double"&gt;0.6655097&lt;/D&gt;&lt;D xsi:type="xsd:double"&gt;-4.217929&lt;/D&gt;&lt;D xsi:type="xsd:double"&gt;-6.119913&lt;/D&gt;&lt;D xsi:type="xsd:double"&gt;-4.533416&lt;/D&gt;&lt;D xsi:type="xsd:double"&gt;5.6152463&lt;/D&gt;&lt;D xsi:type="xsd:double"&gt;-2.1660626&lt;/D&gt;&lt;D xsi:type="xsd:double"&gt;-0.38131475&lt;/D&gt;&lt;D xsi:type="xsd:double"&gt;-7.987869&lt;/D&gt;&lt;D xsi:type="xsd:double"&gt;1.5384674&lt;/D&gt;&lt;D xsi:type="xsd:double"&gt;4.3650866&lt;/D&gt;&lt;D xsi:type="xsd:double"&gt;5.530596&lt;/D&gt;&lt;D xsi:type="xsd:double"&gt;-5.633807&lt;/D&gt;&lt;D xsi:type="xsd:double"&gt;5.0055146&lt;/D&gt;&lt;D xsi:type="xsd:double"&gt;-5.0515532&lt;/D&gt;&lt;D xsi:type="xsd:double"&gt;4.7050357&lt;/D&gt;&lt;D xsi:type="xsd:double"&gt;0.34565926&lt;/D&gt;&lt;D xsi:type="xsd:double"&gt;-2.3079574&lt;/D&gt;&lt;D xsi:type="xsd:double"&gt;-3.2087445&lt;/D&gt;&lt;D xsi:type="xsd:double"&gt;3.8428307&lt;/D&gt;&lt;D xsi:type="xsd:double"&gt;4.140353&lt;/D&gt;&lt;D xsi:type="xsd:double"&gt;4.177892&lt;/D&gt;&lt;D xsi:type="xsd:double"&gt;1.617074&lt;/D&gt;&lt;D </t>
        </r>
      </text>
    </comment>
    <comment ref="A15" authorId="0" shapeId="0" xr:uid="{F5D1C0F1-2CE3-4EC6-BCB3-9552A507115A}">
      <text>
        <r>
          <rPr>
            <b/>
            <sz val="9"/>
            <color indexed="81"/>
            <rFont val="Tahoma"/>
            <charset val="1"/>
          </rPr>
          <t>xsi:type="xsd:double"&gt;-0.31827092&lt;/D&gt;&lt;D xsi:type="xsd:double"&gt;8.876109&lt;/D&gt;&lt;D xsi:type="xsd:double"&gt;0.50166845&lt;/D&gt;&lt;D xsi:type="xsd:double"&gt;2.2381425&lt;/D&gt;&lt;D xsi:type="xsd:double"&gt;-0.35026073&lt;/D&gt;&lt;D xsi:type="xsd:double"&gt;4.686594&lt;/D&gt;&lt;D xsi:type="xsd:double"&gt;0.89535713&lt;/D&gt;&lt;D xsi:type="xsd:double"&gt;-3.9101481&lt;/D&gt;&lt;D xsi:type="xsd:double"&gt;-0.7771075&lt;/D&gt;&lt;D xsi:type="xsd:double"&gt;7.256162&lt;/D&gt;&lt;D xsi:type="xsd:double"&gt;-5.0123215&lt;/D&gt;&lt;D xsi:type="xsd:double"&gt;-5.478668&lt;/D&gt;&lt;D xsi:type="xsd:double"&gt;3.8133025&lt;/D&gt;&lt;D xsi:type="xsd:double"&gt;-0.9403467&lt;/D&gt;&lt;D xsi:type="xsd:double"&gt;-3.9403021&lt;/D&gt;&lt;D xsi:type="xsd:double"&gt;1.7453074&lt;/D&gt;&lt;D xsi:type="xsd:double"&gt;0.12706518&lt;/D&gt;&lt;D xsi:type="xsd:double"&gt;5.3299546&lt;/D&gt;&lt;D xsi:type="xsd:double"&gt;-11.144579&lt;/D&gt;&lt;D xsi:type="xsd:double"&gt;-3.9322019&lt;/D&gt;&lt;D xsi:type="xsd:double"&gt;-4.0005503&lt;/D&gt;&lt;D xsi:type="xsd:double"&gt;7.3556423&lt;/D&gt;&lt;D xsi:type="xsd:double"&gt;3.3230543&lt;/D&gt;&lt;D xsi:type="xsd:double"&gt;0.43103695&lt;/D&gt;&lt;D xsi:type="xsd:double"&gt;7.560253&lt;/D&gt;&lt;D xsi:type="xsd:double"&gt;-8.870477&lt;/D&gt;&lt;D xsi:type="xsd:double"&gt;6.5384865&lt;/D&gt;&lt;D xsi:type="xsd:double"&gt;-0.48939586&lt;/D&gt;&lt;D xsi:type="xsd:double"&gt;-9.311474&lt;/D&gt;&lt;D xsi:type="xsd:double"&gt;7.5921893&lt;/D&gt;&lt;D xsi:type="xsd:double"&gt;5.342746&lt;/D&gt;&lt;D xsi:type="xsd:double"&gt;1.0845304&lt;/D&gt;&lt;D xsi:type="xsd:double"&gt;5.790603&lt;/D&gt;&lt;D xsi:type="xsd:double"&gt;-0.36242604&lt;/D&gt;&lt;D xsi:type="xsd:double"&gt;1.8187284&lt;/D&gt;&lt;D xsi:type="xsd:double"&gt;-36.02263&lt;/D&gt;&lt;D xsi:type="xsd:double"&gt;21.82411&lt;/D&gt;&lt;D xsi:type="xsd:double"&gt;7.1428537&lt;/D&gt;&lt;D xsi:type="xsd:double"&gt;11.973059&lt;/D&gt;&lt;D xsi:type="xsd:double"&gt;10.763335&lt;/D&gt;&lt;D xsi:type="xsd:double"&gt;0.66320896&lt;/D&gt;&lt;D xsi:type="xsd:double"&gt;-1.8332839&lt;/D&gt;&lt;D xsi:type="xsd:double"&gt;6.7114115&lt;/D&gt;&lt;D xsi:type="xsd:double"&gt;6.5080643&lt;/D&gt;&lt;D xsi:type="xsd:double"&gt;2.610755&lt;/D&gt;&lt;D xsi:type="xsd:double"&gt;6.2263727&lt;/D&gt;&lt;D xsi:type="xsd:double"&gt;1.8509746&lt;/D&gt;&lt;D xsi:type="xsd:double"&gt;2.9356956&lt;/D&gt;&lt;D xsi:type="xsd:double"&gt;7.695794&lt;/D&gt;&lt;D xsi:type="xsd:double"&gt;1.0508657&lt;/D&gt;&lt;D xsi:type="xsd:double"&gt;-1.6512156&lt;/D&gt;&lt;D xsi:type="xsd:double"&gt;4.1549444&lt;/D&gt;&lt;D xsi:type="xsd:double"&gt;-1.0388553&lt;/D&gt;&lt;D xsi:type="xsd:double"&gt;-0.73483586&lt;/D&gt;&lt;D xsi:type="xsd:double"&gt;3.1091452&lt;/D&gt;&lt;D xsi:type="xsd:double"&gt;-4.533333&lt;/D&gt;&lt;D xsi:type="xsd:double"&gt;0.9511113&lt;/D&gt;&lt;D xsi:type="xsd:double"&gt;-6.960368&lt;/D&gt;&lt;D xsi:type="xsd:double"&gt;-9.579992&lt;/D&gt;&lt;D xsi:type="xsd:double"&gt;2.1137834&lt;/D&gt;&lt;D xsi:type="xsd:double"&gt;-2.9900372&lt;/D&gt;&lt;D xsi:type="xsd:double"&gt;-5.795574&lt;/D&gt;&lt;D xsi:type="xsd:double"&gt;-11.8951025&lt;/D&gt;&lt;D xsi:type="xsd:double"&gt;5.7478786&lt;/D&gt;&lt;D xsi:type="xsd:double"&gt;-3.860414&lt;/D&gt;&lt;D xsi:type="xsd:double"&gt;-13.491803&lt;/D&gt;&lt;D xsi:type="xsd:double"&gt;5.161524&lt;/D&gt;&lt;D xsi:type="xsd:double"&gt;18.46751&lt;/D&gt;&lt;D xsi:type="xsd:double"&gt;-2.9355705&lt;/D&gt;&lt;D xsi:type="xsd:double"&gt;11.272383&lt;/D&gt;&lt;D xsi:type="xsd:double"&gt;-1.0824323&lt;/D&gt;&lt;D xsi:type="xsd:double"&gt;-4.9663305&lt;/D&gt;&lt;D xsi:type="xsd:double"&gt;7.8535557&lt;/D&gt;&lt;D xsi:type="xsd:double"&gt;-3.1480908&lt;/D&gt;&lt;D xsi:type="xsd:double"&gt;-3.137368&lt;/D&gt;&lt;D xsi:type="xsd:double"&gt;4.4353724&lt;/D&gt;&lt;D xsi:type="xsd:double"&gt;-7.6557755&lt;/D&gt;&lt;D xsi:type="xsd:double"&gt;-1.6943932&lt;/D&gt;&lt;D xsi:type="xsd:double"&gt;-3.016317&lt;/D&gt;&lt;D xsi:type="xsd:double"&gt;13.48778&lt;/D&gt;&lt;D xsi:type="xsd:double"&gt;12.98573&lt;/D&gt;&lt;D xsi:type="xsd:double"&gt;-6.593961&lt;/D&gt;&lt;D xsi:type="xsd:double"&gt;6.9508433&lt;/D&gt;&lt;D xsi:type="xsd:double"&gt;3.2749414&lt;/D&gt;&lt;D xsi:type="xsd:double"&gt;-2.9252648&lt;/D&gt;&lt;D xsi:type="xsd:double"&gt;4.6340823&lt;/D&gt;&lt;D xsi:type="xsd:double"&gt;-0.9461582&lt;/D&gt;&lt;D xsi:type="xsd:double"&gt;-0.5710006&lt;/D&gt;&lt;D xsi:type="xsd:double"&gt;4.7440767&lt;/D&gt;&lt;D xsi:type="xsd:double"&gt;1.1203766&lt;/D&gt;&lt;/FQL&gt;&lt;FQL&gt;&lt;Q&gt;EWJ^FMA_PE(LTMA,-10AY,0,AM,"PORTAGG","MEANR")&lt;/Q&gt;&lt;R&gt;121&lt;/R&gt;&lt;C&gt;1&lt;/C&gt;&lt;D xsi:type="xsd:double"&gt;15.4478392457388&lt;/D&gt;&lt;D xsi:type="xsd:double"&gt;14.5228248065127&lt;/D&gt;&lt;D xsi:type="xsd:double"&gt;15.9308748861918&lt;/D&gt;&lt;D xsi:type="xsd:double"&gt;15.8930697729653&lt;/D&gt;&lt;D xsi:type="xsd:double"&gt;15.7763440600683&lt;/D&gt;&lt;D xsi:type="xsd:double"&gt;16.7118130041089&lt;/D&gt;&lt;D xsi:type="xsd:double"&gt;16.9727673428611&lt;/D&gt;&lt;D xsi:type="xsd:double"&gt;17.0034102708551&lt;/D&gt;&lt;D xsi:type="xsd:double"&gt;17.1078399187158&lt;/D&gt;&lt;D xsi:type="xsd:double"&gt;17.0250320318537&lt;/D&gt;&lt;D xsi:type="xsd:double"&gt;16.8743556190082&lt;/D&gt;&lt;D xsi:type="xsd:double"&gt;16.2042302466852&lt;/D&gt;&lt;D xsi:type="xsd:double"&gt;15.2453935141757&lt;/D&gt;&lt;D xsi:type="xsd:double"&gt;15.8165656488718&lt;/D&gt;&lt;D xsi:type="xsd:double"&gt;16.3214410687354&lt;/D&gt;&lt;D xsi:type="xsd:double"&gt;15.5722426658015&lt;/D&gt;&lt;D xsi:type="xsd:double"&gt;14.0559330955846&lt;/D&gt;&lt;D xsi:type="xsd:double"&gt;13.7023473867076&lt;/D&gt;&lt;D xsi:type="xsd:double"&gt;13.8802641638376&lt;/D&gt;&lt;D xsi:type="xsd:double"&gt;14.0138541862723&lt;/D&gt;&lt;D xsi:type="xsd:double"&gt;13.928755831974&lt;/D&gt;&lt;D xsi:type="xsd:double"&gt;13.9296943351686&lt;/D&gt;&lt;D xsi:type="xsd:double"&gt;14.2350986704684&lt;/D&gt;&lt;D xsi:type="xsd:double"&gt;14.025216324875&lt;/D&gt;&lt;D xsi:type="xsd:double"&gt;14.4014066809322&lt;/D&gt;&lt;D xsi:type="xsd:double"&gt;14.5404993358544&lt;/D&gt;&lt;D xsi:type="xsd:double"&gt;15.3549333174745&lt;/D&gt;&lt;D xsi:type="xsd:double"&gt;16.6002770747317&lt;/D&gt;&lt;D xsi:type="xsd:double"&gt;16.310080353507&lt;/D&gt;&lt;D xsi:type="xsd:double"&gt;16.2373606233489&lt;/D&gt;&lt;D xsi:type="xsd:double"&gt;15.7986964754892&lt;/D&gt;&lt;D xsi:type="xsd:double"&gt;15.5172844717712&lt;/D&gt;&lt;D xsi:type="xsd:double"&gt;15.6284689723719&lt;/D&gt;&lt;D xsi:type="xsd:double"&gt;15.6239653067223&lt;/D&gt;&lt;D xsi:type="xsd:double"&gt;15.4918062304213&lt;/D&gt;&lt;D xsi:type="xsd:double"&gt;14.9566509218349&lt;/D&gt;&lt;D xsi:type="xsd:double"&gt;15.0422757787392&lt;/D&gt;&lt;D xsi:type="xsd:double"&gt;15.3807107259291&lt;/D&gt;&lt;D xsi:type="xsd:double"&gt;15.447054018919&lt;/D&gt;&lt;D xsi:type="xsd:double"&gt;16.3690806823679&lt;/D&gt;&lt;D xsi:type="xsd:double"&gt;17.1325259857204&lt;/D&gt;&lt;D xsi:type="xsd:double"&gt;14.5062127566047&lt;/D&gt;&lt;D xsi:type="xsd:double"&gt;14.2249049813488&lt;/D&gt;&lt;D xsi:type="xsd:double"&gt;14.2467249587017&lt;/D&gt;&lt;D xsi:type="xsd:double"&gt;14.2628865566944&lt;/D&gt;&lt;D xsi:type="xsd:double"&gt;13.991116651518&lt;/D&gt;&lt;D xsi:type="xsd:double"&gt;13.8643754119245&lt;/D&gt;&lt;D xsi:type="xsd:double"&gt;13.5261712958717&lt;/D&gt;&lt;D xsi:type="xsd:double"&gt;13.9316038717785&lt;/D&gt;&lt;D xsi:type="xsd:double"&gt;12.8883751299274&lt;/D&gt;&lt;D xsi:type="xsd:double"&gt;12.5821729827207&lt;/D&gt;&lt;D xsi:type="xsd:double"&gt;11.524981961317&lt;/D&gt;&lt;D xsi:type="xsd:double"&gt;11.937602448058&lt;/D&gt;&lt;D xsi:type="xsd:double"&gt;12.6717568149952&lt;/D&gt;&lt;D xsi:type="xsd:double"&gt;12.7312063287301&lt;/D&gt;&lt;D xsi:type="xsd:double"&gt;12.7782192014609&lt;/D&gt;&lt;D xsi:type="xsd:double"&gt;12.6438591174788&lt;/D&gt;&lt;D xsi:type="xsd:double"&gt;12.8187776157673&lt;/D&gt;&lt;D xsi:type="xsd:double"&gt;12.9864398782711&lt;/D&gt;&lt;D xsi:type="xsd:double"&gt;12.7680534567317&lt;/D&gt;&lt;D xsi:type="xsd:double"&gt;13.564753332694&lt;/D&gt;&lt;D xsi:type="xsd:double"&gt;13.8622337222478&lt;/D&gt;&lt;D xsi:type="xsd:double"&gt;14.4928730405086&lt;/D&gt;&lt;D xsi:type="xsd:double"&gt;15.3148233716152&lt;/D&gt;&lt;D xsi:type="xsd:double"&gt;15.4045445345173&lt;/D&gt;&lt;D xsi:type="xsd:double"&gt;15.3133524478949&lt;/D&gt;&lt;D xsi:type="xsd:double"&gt;13.49621602121&lt;/D&gt;&lt;D xsi:type="xsd:double"&gt;14.1183922781072&lt;/D&gt;&lt;D xsi:type="xsd:double"&gt;14.8335389482418&lt;/D&gt;&lt;D xsi:type="xsd:double"&gt;16.884033024453&lt;/D&gt;&lt;D xsi:type="xsd:double"&gt;17.7107299929714&lt;/D&gt;&lt;D xsi:type="xsd:double"&gt;18.4391374036498&lt;/D&gt;&lt;D xsi:type="xsd:double"&gt;20.040420656091&lt;/D&gt;&lt;D xsi:type="xsd:double"&gt;20.6093391814092&lt;/D&gt;&lt;D xsi:type="xsd:double"&gt;22.0620218455502&lt;/D&gt;&lt;D xsi:type="xsd:double"&gt;22.8355516065555&lt;/D&gt;&lt;D xsi:type="xsd:double"&gt;23.7951554934541&lt;/D&gt;&lt;D xsi:type="xsd:double"&gt;22.9177556857444&lt;/D&gt;&lt;D xsi:type="xsd:double"&gt;21.4354913257763&lt;/D&gt;&lt;D xsi:type="xsd:double"&gt;20.8776564504509&lt;/D&gt;&lt;D xsi:type="xsd:double"&gt;20.2625641253355&lt;/D&gt;&lt;D xsi:type="xsd:double"&gt;19.9039336417534&lt;/D&gt;&lt;D xsi:type="xsd:double"&gt;19.1600670740215&lt;/D&gt;&lt;D xsi:type="xsd:double"&gt;18.38434956786&lt;/D&gt;&lt;D xsi:type="xsd:double"&gt;18.3366532996212&lt;/D&gt;&lt;D xsi:type="xsd:double"&gt;17.6338214940899&lt;/D&gt;&lt;D xsi:type="xsd:double"&gt;17.3481323151962&lt;/D&gt;&lt;D xsi:type="xsd:double"&gt;16.2521395717029&lt;/D&gt;&lt;D xsi:type="xsd:double"&gt;15.4209166256494&lt;/D&gt;&lt;D xsi:type="xsd:double"&gt;14.7023959793363&lt;/D&gt;&lt;D xsi:type="xsd:double"&gt;14.7041276596663&lt;/D&gt;&lt;D xsi:type="xsd:double"&gt;14.4295348329894&lt;/D&gt;&lt;D xsi:type="xsd:double"&gt;14.2309926101273&lt;/D&gt;&lt;D xsi:type="xsd:double"&gt;13.8492066786813&lt;/D&gt;&lt;D xsi:type="xsd:double"&gt;14.0417278151093&lt;/D&gt;&lt;D xsi:type="xsd:double"&gt;13.9624999450171&lt;/D&gt;&lt;D xsi:type="xsd:double"&gt;13.430173428179&lt;/D&gt;&lt;D xsi:type="xsd:double"&gt;13.045333557118&lt;/D&gt;&lt;D xsi:type="xsd:double"&gt;13.6239339462912&lt;/D&gt;&lt;D xsi:type="xsd:double"&gt;12.8617394999366&lt;/D&gt;&lt;D xsi:type="xsd:double"&gt;13.1784754614107&lt;/D&gt;&lt;D xsi:type="xsd:double"&gt;13.4378521025894&lt;/D&gt;&lt;D xsi:type="xsd:double"&gt;13.5802696549111&lt;/D&gt;&lt;D xsi:type="xsd:double"&gt;13.7173161332574&lt;/D&gt;&lt;D xsi:type="xsd:double"&gt;14.0896610139129&lt;/D&gt;&lt;D xsi:type="xsd:double"&gt;14.4698439868766&lt;/D&gt;&lt;D xsi:type="xsd:double"&gt;14.529625371237&lt;/D&gt;&lt;D xsi:type="xsd:double"&gt;14.559520521691&lt;/D&gt;&lt;D xsi:type="xsd:double"&gt;15.0380566029625&lt;/D&gt;&lt;D xsi:type="xsd:double"&gt;14.4384250216114&lt;/D&gt;&lt;D xsi:type="xsd:double"&gt;15.2610977384651&lt;/D&gt;&lt;D xsi:type="xsd:double"&gt;15.0719540288809&lt;/D&gt;&lt;D xsi:type="xsd:double"&gt;16.4983402664093&lt;/D&gt;&lt;D xsi:type="xsd:double"&gt;16.9628187779356&lt;/D&gt;&lt;D xsi:type="xsd:double"&gt;17.1124670206446&lt;/D&gt;&lt;D xsi:type="xsd:double"&gt;16.7302438783399&lt;/D&gt;&lt;D xsi:type="xsd:double"&gt;16.7837094568707&lt;/D&gt;&lt;D xsi:type="xsd:double"&gt;16.5549805821817&lt;/D&gt;&lt;D xsi:type="xsd:double"&gt;16.7268058256558&lt;/D&gt;&lt;D xsi:type="xsd:double"&gt;16.0537415361464&lt;/D&gt;&lt;D xsi:type="xsd:double"&gt;15.3164628880549&lt;/D&gt;&lt;/FQL&gt;&lt;FQL&gt;&lt;Q&gt;VGK^FMA_EVAL_EBITDA(NTMA,0,,,"PORTAGG","MEANR")&lt;/Q&gt;&lt;R&gt;1&lt;/R&gt;&lt;C&gt;1&lt;/C&gt;&lt;D xsi:type="xsd:double"&gt;8.86300696502115&lt;/D&gt;&lt;/FQL&gt;&lt;FQL&gt;&lt;Q&gt;USDEUR^FG_PRICE_CHANGE(0,-1AY)&lt;/Q&gt;&lt;R&gt;1&lt;/R&gt;&lt;C&gt;1&lt;/C&gt;&lt;D xsi:type="xsd:double"&gt;-4.2579947&lt;/D&gt;&lt;/FQL&gt;&lt;FQL&gt;&lt;Q&gt;EWC^PERCENT_CHANGE(FMA_EPS(+1,0,,,,"PORTAGG","MEAN"),FMA_EPS(+1,-1AM,,,,"PORTAGG","MEAN"))&lt;/Q&gt;&lt;R&gt;1&lt;/R&gt;&lt;C&gt;1&lt;/C&gt;&lt;D xsi:type="xsd:double"&gt;-0.92071678887935&lt;/D&gt;&lt;/FQL&gt;&lt;FQL&gt;&lt;Q&gt;EWU^FMA_EVAL_EBITDA(NTMA,0,,,"PORTAGG","MEANR")&lt;/Q&gt;&lt;R&gt;1&lt;/R&gt;&lt;C&gt;1&lt;/C&gt;&lt;D xsi:type="xsd:double"&gt;7.61350282909013&lt;/D&gt;&lt;/FQL&gt;&lt;FQL&gt;&lt;Q&gt;EWD^FG_ROE(0)&lt;/Q&gt;&lt;R&gt;1&lt;/R&gt;&lt;C&gt;1&lt;/C&gt;&lt;D xsi:type="xsd:double"&gt;16.9945151086493&lt;/D&gt;&lt;/FQL&gt;&lt;FQL&gt;&lt;Q&gt;W-FDS^MAX(FG_PRICE(0,-5AY))&lt;/Q&gt;&lt;R&gt;1&lt;/R&gt;&lt;C&gt;1&lt;/C&gt;&lt;D xsi:type="xsd:double"&gt;14.2525&lt;/D&gt;&lt;/FQL&gt;&lt;FQL&gt;&lt;Q&gt;USDGBP^FG_COMPANY_NAME&lt;/Q&gt;&lt;R&gt;1&lt;/R&gt;&lt;C&gt;1&lt;/C&gt;&lt;D xsi:type="xsd:string"&gt;British Pounds per U.S. Dollar&lt;/D&gt;&lt;/FQL&gt;&lt;FQL&gt;&lt;Q&gt;CC_NL^IMF_IFS_RCPI_Q(0)&lt;/Q&gt;&lt;R&gt;1&lt;/R&gt;&lt;C&gt;1&lt;/C&gt;&lt;D xsi:type="xsd:double"&gt;2.888117&lt;/D&gt;&lt;/FQL&gt;&lt;FQL&gt;&lt;Q&gt;NI-FDS^FG_PRICE_CHANGE(0,-6AM)&lt;/Q&gt;&lt;R&gt;1&lt;/R&gt;&lt;C&gt;1&lt;/C&gt;&lt;D xsi:type="xsd:double"&gt;-5.74009324009324&lt;/D&gt;&lt;/FQL&gt;&lt;FQL&gt;&lt;Q&gt;EWN^PERCENT_CHANGE(FMA_EPS(+1,0,,,,"PORTAGG","MEAN"),FMA_EPS(+1,-1AM,,,,"PORTAGG","MEAN"))&lt;/Q&gt;&lt;R&gt;1&lt;/R&gt;&lt;C&gt;1&lt;/C&gt;&lt;D xsi:type="xsd:double"&gt;-1.54895673409215&lt;/D&gt;&lt;/FQL&gt;&lt;FQL&gt;&lt;Q&gt;UUP^P_PRICE(0)/P_PRICE_HIGH_PR(0,,,USD,,,"PRICE","INTRA","52W")&lt;/Q&gt;&lt;R&gt;1&lt;/R&gt;&lt;C&gt;1&lt;/C&gt;&lt;D xsi:type="xsd:double"&gt;0.9332007&lt;/D&gt;&lt;/FQL&gt;&lt;FQL&gt;&lt;Q&gt;EWL^FMA_EPS(NTMA,-20AY,0,CY,,"PORTAGG","MEANR")&lt;/Q&gt;&lt;R&gt;20&lt;/R&gt;&lt;C&gt;1&lt;/C&gt;&lt;D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xsi:type="xsd:double"&gt;2.86470858427176&lt;/D&gt;&lt;/FQL&gt;&lt;FQL&gt;&lt;Q&gt;EWI^FG_PRICE_MAVG(0,,,,200)&lt;/Q&gt;&lt;R&gt;1&lt;/R&gt;&lt;C&gt;1&lt;/C&gt;&lt;D xsi:type="xsd:double"&gt;36.339325&lt;/D&gt;&lt;/FQL&gt;&lt;FQL&gt;&lt;Q&gt;EWJ^PERCENT_CHANGE(FMA_EPS(+1,0,,,,"PORTAGG","MEAN"),FMA_EPS(+1,-1AM,,,,"PORTAGG","MEAN"))&lt;/Q&gt;&lt;R&gt;1&lt;/R&gt;&lt;C&gt;1&lt;/C&gt;&lt;D xsi:type="xsd:double"&gt;2.03131859051736&lt;/D&gt;&lt;/FQL&gt;&lt;FQL&gt;&lt;Q&gt;CC_FR^IMF_IFS_RCPI_Q(0)&lt;/Q&gt;&lt;R&gt;1&lt;/R&gt;&lt;C&gt;1&lt;/C&gt;&lt;D xsi:type="xsd:double"&gt;2.2093682&lt;/D&gt;&lt;/FQL&gt;&lt;FQL&gt;&lt;Q&gt;EWC^FMA_DIV_YLD(NTMA,NOW,NOW,M,"PORTAGG","MEANR")&lt;/Q&gt;&lt;R&gt;1&lt;/R&gt;&lt;C&gt;1&lt;/C&gt;&lt;D xsi:type="xsd:double"&gt;3.14359117199483&lt;/D&gt;&lt;/FQL&gt;&lt;FQL&gt;&lt;Q&gt;TRYCH10Y-FDS^FG_YIELD(-10AY,0,Y,,"YTM")&lt;/Q&gt;&lt;R&gt;10&lt;/R&gt;&lt;C&gt;1&lt;/C&gt;&lt;D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xsi:type="xsd:double"&gt;0.703&lt;/D&gt;&lt;/FQL&gt;&lt;FQL&gt;&lt;Q&gt;EWN^FMA_PE(NTMA,-10AY,0,AM,"PORTAGG","MEANR")&lt;/Q&gt;&lt;R&gt;121&lt;/R&gt;&lt;C&gt;1&lt;/C&gt;&lt;D xsi:type="xsd:double"&gt;14.5619904522269&lt;/D&gt;&lt;D xsi:type="xsd:double"&gt;13.9089585149649&lt;/D&gt;&lt;D xsi:type="xsd:double"&gt;15.0124934295933&lt;/D&gt;&lt;D xsi:type="xsd:double"&gt;14.9479470119622&lt;/D&gt;&lt;D xsi:type="xsd:double"&gt;15.7720042895729&lt;/D&gt;&lt;D xsi:type="xsd:double"&gt;16.6449453392471&lt;/D&gt;&lt;D xsi:type="xsd:double"&gt;17.4713849105293&lt;/D&gt;&lt;D xsi:type="xsd:double"&gt;17.4379562142839&lt;/D&gt;&lt;D xsi:type="xsd:double"&gt;17.2536516264609&lt;/D&gt;&lt;D xsi:type="xsd:double"&gt;16.9331418391869&lt;/D&gt;&lt;D xsi:type="xsd:double"&gt;16.9931787690049&lt;/D&gt;&lt;D xsi:type="xsd:double"&gt;14.8617788460951&lt;/D&gt;&lt;D xsi:type="xsd:double"&gt;14.2693309851858&lt;/D&gt;&lt;D xsi:type="xsd:double"&gt;15.8612404578522&lt;/D&gt;&lt;D xsi:type="xsd:double"&gt;16.2751780295366&lt;/D&gt;&lt;D xsi:type="xsd:double"&gt;15.6353623325417&lt;/D&gt;&lt;D xsi:type="xsd:double"&gt;14.7709369667208&lt;/D&gt;&lt;D xsi:type="xsd:double"&gt;14.46996335492&lt;/D&gt;&lt;D xsi:type="xsd:double"&gt;15.4031932652907&lt;/D&gt;&lt;D xsi:type="xsd:double"&gt;15.2800481858094&lt;/D&gt;&lt;D xsi:type="xsd:double"&gt;14.7098322463718&lt;/D&gt;&lt;D xsi:type="xsd:double"&gt;14.773916935769&lt;/D&gt;&lt;D xsi:type="xsd:double"&gt;14.763321215143&lt;/D&gt;&lt;D xsi:type="xsd:double"&gt;14.8855478546855&lt;/D&gt;&lt;D xsi:type="xsd:double"&gt;14.9526562072333&lt;/D&gt;&lt;D xsi:type="xsd:double"&gt;14.8866798049604&lt;/D&gt;&lt;D xsi:type="xsd:double"&gt;14.6292064453067&lt;/D&gt;&lt;D xsi:type="xsd:double"&gt;15.1047759561393&lt;/D&gt;&lt;D xsi:type="xsd:double"&gt;14.9958017525061&lt;/D&gt;&lt;D xsi:type="xsd:double"&gt;15.5974364692082&lt;/D&gt;&lt;D xsi:type="xsd:double"&gt;15.9528943834074&lt;/D&gt;&lt;D xsi:type="xsd:double"&gt;16.1227343733152&lt;/D&gt;&lt;D xsi:type="xsd:double"&gt;16.3627805123875&lt;/D&gt;&lt;D xsi:type="xsd:double"&gt;16.0136810877466&lt;/D&gt;&lt;D xsi:type="xsd:double"&gt;15.8870327337855&lt;/D&gt;&lt;D xsi:type="xsd:double"&gt;15.758318187498&lt;/D&gt;&lt;D xsi:type="xsd:double"&gt;15.8106336578902&lt;/D&gt;&lt;D xsi:type="xsd:double"&gt;16.2091988831038&lt;/D&gt;&lt;D xsi:type="xsd:double"&gt;16.0220566899928&lt;/D&gt;&lt;D xsi:type="xsd:double"&gt;16.0409591377689&lt;/D&gt;&lt;D xsi:type="xsd:double"&gt;16.4987142943339&lt;/D&gt;&lt;D xsi:type="xsd:double"&gt;15.616619919946&lt;/D&gt;&lt;D xsi:type="xsd:double"&gt;15.2255371674142&lt;/D&gt;&lt;D xsi:type="xsd:double"&gt;15.5232390332752&lt;/D&gt;&lt;D xsi:type="xsd:double"&gt;15.8973060534172&lt;/D&gt;&lt;D xsi:type="xsd:double"&gt;15.8463909492356&lt;/D&gt;&lt;D xsi:type="xsd:double"&gt;15.964070224081&lt;/D&gt;&lt;D xsi:type="xsd:double"&gt;15.4861952079461&lt;/D&gt;&lt;D xsi:type="xsd:double"&gt;15.1455135496148&lt;/D&gt;&lt;D xsi:type="xsd:double"&gt;13.8480111771899&lt;/D&gt;&lt;D xsi:type="xsd:double"&gt;13.9985388607008&lt;/D&gt;&lt;D xsi:type="xsd:double"&gt;13.011900818352&lt;/D&gt;&lt;D xsi:type="xsd:double"&gt;13.7585383601928&lt;/D&gt;&lt;D xsi:type="xsd:double"&gt;14.8617270707832&lt;/D&gt;&lt;D xsi:type="xsd:double"&gt;15.0147809823973&lt;/D&gt;&lt;D xsi:type="xsd:double"&gt;15.7365657026697&lt;/D&gt;&lt;D xsi:type="xsd:double"&gt;14.9022432534587&lt;/D&gt;&lt;D xsi:type="xsd:double"&gt;15.4679899082813&lt;/D&gt;&lt;D xsi:type="xsd:double"&gt;15.9955887952065&lt;/D&gt;&lt;D xsi:type="xsd:double"&gt;15.009083545263&lt;/D&gt;&lt;D xsi:type="xsd:double"&gt;16.220749255404&lt;/D&gt;&lt;D xsi:type="xsd:double"&gt;16.0869484883486&lt;/D&gt;&lt;D xsi:type="xsd:double"&gt;16.5894798351955&lt;/D&gt;&lt;D xsi:type="xsd:double"&gt;17.1657555594173&lt;/D&gt;&lt;D xsi:type="xsd:double"&gt;17.2131072097949&lt;/D&gt;&lt;D xsi:type="xsd:double"&gt;17.8739987689428&lt;/D&gt;&lt;D xsi:type="xsd:double"&gt;12.4203419560817&lt;/D&gt;&lt;D xsi:type="xsd:double"&gt;16.6393388603852&lt;/D&gt;&lt;D xsi:type="xsd:double"&gt;17.9552625643444&lt;/D&gt;&lt;D xsi:type="xsd:double"&gt;19.9279811032966&lt;/D&gt;&lt;D xsi:type="xsd:double"&gt;20.4631340424401&lt;/D&gt;&lt;D xsi:type="xsd:double"&gt;19.6286328647415&lt;/D&gt;&lt;D xsi:type="xsd:double"&gt;19.0885230061892&lt;/D&gt;&lt;D xsi:type="xsd:double"&gt;19.3987561973544&lt;/D&gt;&lt;D xsi:type="xsd:double"&gt;20.3886943590363&lt;/D&gt;&lt;D xsi:type="xsd:double"&gt;20.5479615228717&lt;/D&gt;&lt;D xsi:type="xsd:double"&gt;21.6364103650454&lt;/D&gt;&lt;D xsi:type="xsd:double"&gt;21.8413146858778&lt;/D&gt;&lt;D xsi:type="xsd:double"&gt;21.7957388189252&lt;/D&gt;&lt;D xsi:type="xsd:double"&gt;22.3986528801349&lt;/D&gt;&lt;D xsi:type="xsd:double"&gt;21.2006119582004&lt;/D&gt;&lt;D xsi:type="xsd:double"&gt;21.1339758228347&lt;/D&gt;&lt;D xsi:type="xsd:double"&gt;21.5699274164139&lt;/D&gt;&lt;D xsi:type="xsd:double"&gt;21.7884097931065&lt;/D&gt;&lt;D xsi:type="xsd:double"&gt;21.7208817644806&lt;/D&gt;&lt;D xsi:type="xsd:double"&gt;21.3001726531081&lt;/D&gt;&lt;D xsi:type="xsd:double"&gt;20.8429558953168&lt;/D&gt;&lt;D xsi:type="xsd:double"&gt;20.3895057491555&lt;/D&gt;&lt;D xsi:type="xsd:double"&gt;19.1148842839657&lt;/D&gt;&lt;D xsi:type="xsd:double"&gt;17.4061816013428&lt;/D&gt;&lt;D xsi:type="xsd:double"&gt;17.925857726827&lt;/D&gt;&lt;D xsi:type="xsd:double"&gt;17.6870163849224&lt;/D&gt;&lt;D xsi:type="xsd:double"&gt;16.9024314721622&lt;/D&gt;&lt;D xsi:type="xsd:double"&gt;15.3641014662871&lt;/D&gt;&lt;D xsi:type="xsd:double"&gt;17.5095336107477&lt;/D&gt;&lt;D xsi:type="xsd:double"&gt;16.9260008594749&lt;/D&gt;&lt;D xsi:type="xsd:double"&gt;14.5805501956382&lt;/D&gt;&lt;D xsi:type="xsd:double"&gt;14.7508582057021&lt;/D&gt;&lt;D xsi:type="xsd:double"&gt;16.546834224948&lt;/D&gt;&lt;D xsi:type="xsd:double"&gt;15.5622993402517&lt;/D&gt;&lt;D xsi:type="xsd:double"&gt;17.0813993284883&lt;/D&gt;&lt;D xsi:type="xsd:double"&gt;16.6652737849782&lt;/D&gt;&lt;D xsi:type="xsd:double"&gt;16.2302857059541&lt;/D&gt;&lt;D xsi:type="xsd:double"&gt;16.1048878000208&lt;/D&gt;&lt;D xsi:type="xsd:double"&gt;15.8268638230094&lt;/D&gt;&lt;D xsi:type="xsd:double"&gt;15.3983815017918&lt;/D&gt;&lt;D xsi:type="xsd:double"&gt;15.8674138172409&lt;/D&gt;&lt;D xsi:type="xsd:double"&gt;14.7463457784538&lt;/D&gt;&lt;D xsi:type="xsd:double"&gt;13.7155010876547&lt;/D&gt;&lt;D xsi:type="xsd:double"&gt;13.1189019289058&lt;/D&gt;&lt;D xsi:type="xsd:double"&gt;14.6634314508857&lt;/D&gt;&lt;D xsi:type="xsd:double"&gt;15.0558357218425&lt;/D&gt;&lt;D xsi:type="xsd:double"&gt;15.1003863963095&lt;/D&gt;&lt;D xsi:type="xsd:double"&gt;16.3229492043627&lt;/D&gt;&lt;D xsi:type="xsd:double"&gt;16.2957668176532&lt;/D&gt;&lt;D xsi:type="xsd:double"&gt;15.7696773476509&lt;/D&gt;&lt;D xsi:type="xsd:double"&gt;16.3407449362812&lt;/D&gt;&lt;D xsi:type="xsd:double"&gt;16.443064549659&lt;/D&gt;&lt;D xsi:type="xsd:double"&gt;15.9768347622198&lt;/D&gt;&lt;D xsi:type="xsd:double"&gt;15.254824687785&lt;/D&gt;&lt;D xsi:type="xsd:double"&gt;15.1001802426334&lt;/D&gt;&lt;/FQL&gt;&lt;FQL&gt;&lt;Q&gt;CC_GB^IMF_IFS_RCPI_Q(0)&lt;/Q&gt;&lt;R&gt;1&lt;/R&gt;&lt;C&gt;1&lt;/C&gt;&lt;D xsi:type="xsd:double"&gt;2.8697004&lt;/D&gt;&lt;/FQL&gt;&lt;FQL&gt;&lt;Q&gt;EWQ^FMA_PE(LTM,0,,,"PORTAGG","MEANR")&lt;/Q&gt;&lt;R&gt;1&lt;/R&gt;&lt;C&gt;1&lt;/C&gt;&lt;D xsi:type="xsd:double"&gt;16.6159482541527&lt;/D&gt;&lt;/FQL&gt;&lt;FQL&gt;&lt;Q&gt;USDITL^STD(FG_PRICE_CHANGE(0,-1AY,AM))&lt;/Q&gt;&lt;R&gt;1&lt;/R&gt;&lt;C&gt;1&lt;/C&gt;&lt;D xsi:type="xsd:double"&gt;1.54825046340753&lt;/D&gt;&lt;/FQL&gt;&lt;FQL&gt;&lt;Q&gt;EWD^FG_PRICE_MAVG(0,,,,30)&lt;/Q&gt;&lt;R&gt;1&lt;/R&gt;&lt;C&gt;1&lt;/C&gt;&lt;D xsi:type="xsd:double"&gt;41.07567&lt;/D&gt;&lt;/FQL&gt;&lt;FQL&gt;&lt;Q&gt;TIPSCL10Y-FDS^FG_YIELD(-10AY,0,Y,,"YTM")&lt;/Q&gt;&lt;R&gt;10&lt;/R&gt;&lt;C&gt;1&lt;/C&gt;&lt;D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xsi:type="xsd:double"&gt;2.07393919718227&lt;/D&gt;&lt;D xsi:type="xsd:double"&gt;1.95784087398727&lt;/D&gt;&lt;D xsi:type="xsd:double"&gt;2.66448337817763&lt;/D&gt;&lt;D xsi:type="xsd:double"&gt;2.74920456102042&lt;/D&gt;&lt;D xsi:type="xsd:double"&gt;2.68301216298059&lt;/D&gt;&lt;/FQL&gt;&lt;FQL&gt;&lt;Q&gt;UUP^FG_TOTAL_RETURNC(0,-1AM)&lt;/Q&gt;&lt;R&gt;1&lt;/R&gt;&lt;C&gt;1&lt;/C&gt;&lt;D xsi:type="xsd:double"&gt;0.67954063&lt;/D&gt;&lt;/FQL&gt;&lt;FQL&gt;&lt;Q&gt;TRYFR10Y-FDS^FG_YIELD(-10AY,0,Y,,"YTM")&lt;/Q&gt;&lt;R&gt;10&lt;/R&gt;&lt;C&gt;1&lt;/C&gt;&lt;D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xsi:type="xsd:double"&gt;2.534&lt;/D&gt;&lt;/FQL&gt;&lt;FQL&gt;&lt;Q&gt;VWO^FMA_PCT_ABOVE_MAVG(200,0,,,,"PORTAGG")&lt;/Q&gt;&lt;R&gt;1&lt;/R&gt;&lt;C&gt;1&lt;/C&gt;&lt;D xsi:type="xsd:double"&gt;40.8519701810437&lt;/D&gt;&lt;/FQL&gt;&lt;FQL&gt;&lt;Q&gt;EWI^FG_ROE(0)&lt;/Q&gt;&lt;R&gt;1&lt;/R&gt;&lt;C&gt;1&lt;/C&gt;&lt;D xsi:type="xsd:double"&gt;13.3681866426372&lt;/D&gt;&lt;/FQL&gt;&lt;FQL&gt;&lt;Q&gt;QQQ^P_PRICE(0)/P_PRICE_HIGH_PR(0,,,,,,"PRICE","INTRA","52W")&lt;/Q&gt;&lt;R&gt;1&lt;/R&gt;&lt;C&gt;1&lt;/C&gt;&lt;D xsi:type="xsd:double"&gt;0.96043855&lt;/D&gt;&lt;/FQL&gt;&lt;FQL&gt;&lt;Q&gt;VGK^FG_TOTAL_RETURNC(0,-12AM)&lt;/Q&gt;&lt;R&gt;1&lt;/R&gt;&lt;C&gt;1&lt;/C&gt;&lt;D xsi:type="xsd:double"&gt;23.01855&lt;/D&gt;&lt;/FQL&gt;&lt;FQL&gt;&lt;Q&gt;VGK^FG_FCF_YIELD_NTM(0)&lt;/Q&gt;&lt;R&gt;1&lt;/R&gt;&lt;C&gt;1&lt;/C&gt;&lt;D xsi:type="xsd:double"&gt;5.28322030698658&lt;/D&gt;&lt;/FQL&gt;&lt;FQL&gt;&lt;Q&gt;USDEUR^FG_PRICE(0)&lt;/Q&gt;&lt;R&gt;1&lt;/R&gt;&lt;C&gt;1&lt;/C&gt;&lt;D xsi:type="xsd:double"&gt;0.8983112&lt;/D&gt;&lt;/FQL&gt;&lt;FQL&gt;&lt;Q&gt;EWU^FG_PRICE_MAVG(0,,,,60)&lt;/Q&gt;&lt;R&gt;1&lt;/R&gt;&lt;C&gt;1&lt;/C&gt;&lt;D xsi:type="xsd:double"&gt;36.15925&lt;/D&gt;&lt;/FQL&gt;&lt;FQL&gt;&lt;Q&gt;DUMMY^ECON_DATE(45435,,, 'MM/YYYY')&lt;/Q&gt;&lt;R&gt;1&lt;/R&gt;&lt;C&gt;1&lt;/C&gt;&lt;D xsi:type="xsd:string"&gt;05/2024&lt;/D&gt;&lt;/FQL&gt;&lt;FQL&gt;&lt;Q&gt;DUMMY^ECON_DATE(45527,,, 'MM/YYYY')&lt;/Q&gt;&lt;R&gt;1&lt;/R&gt;&lt;C&gt;1&lt;/C&gt;&lt;D xsi:type="xsd:string"&gt;08/2024&lt;/D&gt;&lt;/FQL&gt;&lt;FQL&gt;&lt;Q&gt;DUMMY^ECON_EXPR_DATA('FDS_ECON[PMIDMMANHE]',08/2024,,Q)&lt;/Q&gt;&lt;R&gt;1&lt;/R&gt;&lt;C&gt;1&lt;/C&gt;&lt;D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xsi:type="xsd:double"&gt;51.518684&lt;/D&gt;&lt;/FQL&gt;&lt;FQL&gt;&lt;Q&gt;DUMMY^ECON_EXPR_DATA('FDS_ECON[NTCPMIMFGSA@NZ]',08/2024,,Q)&lt;/Q&gt;&lt;R&gt;1&lt;/R&gt;&lt;C&gt;1&lt;/C&gt;&lt;D xsi:type="xsd:double"&gt;45.525333&lt;/D&gt;&lt;/FQL&gt;&lt;FQL&gt;&lt;Q&gt;DUMMY^ECON_EXPR_DATA('FDS_ECON[NTCPMIMFGSA@NZ]',05/2024,,Q)&lt;/Q&gt;&lt;R&gt;1&lt;/R&gt;&lt;C&gt;1&lt;/C&gt;&lt;D xsi:type="xsd:double"&gt;47.698093&lt;/D&gt;&lt;/FQL&gt;&lt;FQL&gt;&lt;Q&gt;DUMMY^ECON_EXPR_DATA('FDS_ECON[NTCPMIMFGSA@AU]',08/2024,,Q)&lt;/Q&gt;&lt;R&gt;1&lt;/R&gt;&lt;C&gt;1&lt;/C&gt;&lt;D xsi:type="xsd:double"&gt;48.811333&lt;/D&gt;&lt;/FQL&gt;&lt;FQL&gt;&lt;Q&gt;DUMMY^ECON_EXPR_DATA('FDS_ECON[NTCPMIMFGSA@AU]',05/2024,,Q)&lt;/Q&gt;&lt;R&gt;1&lt;/R&gt;&lt;C&gt;1&lt;/C&gt;&lt;D xsi:type="xsd:double"&gt;48.39547&lt;/D&gt;&lt;/FQL&gt;&lt;FQL&gt;&lt;Q&gt;DUMMY^ECON_EXPR_DATA('FDS_ECON[NTCPMIMFGSA@CA]',08/2024,,Q)&lt;/Q&gt;&lt;R&gt;1&lt;/R&gt;&lt;C&gt;1&lt;/C&gt;&lt;D xsi:type="xsd:double"&gt;49.331886&lt;/D&gt;&lt;/FQL&gt;&lt;FQL&gt;&lt;Q&gt;DUMMY^ECON_EXPR_DATA('FDS_ECON[NTCPMIMFGSA@CA]',05/2024,,Q)&lt;/Q&gt;&lt;R&gt;1&lt;/R&gt;&lt;C&gt;1&lt;/C&gt;&lt;D xsi:type="xsd:double"&gt;49.30091&lt;/D&gt;&lt;/FQL&gt;&lt;FQL&gt;&lt;Q&gt;DUMMY^ECON_EXPR_DATA('FDS_ECON[NTCPMIMFGSA@DE]',08/2024,,Q)&lt;/Q&gt;&lt;R&gt;1&lt;/R&gt;&lt;C&gt;1&lt;/C&gt;&lt;D xsi:type="xsd:double"&gt;43.782&lt;/D&gt;&lt;/FQL&gt;&lt;FQL&gt;&lt;Q&gt;DUMMY^ECON_EXPR_DATA('FDS_ECON[NTCPMIMFGSA@DE]',05/2024,,Q)&lt;/Q&gt;&lt;R&gt;1&lt;/R&gt;&lt;C&gt;1&lt;/C&gt;&lt;D xsi:type="xsd:double"&gt;43.319096&lt;/D&gt;&lt;/FQL&gt;&lt;FQL&gt;&lt;Q&gt;DUMMY^ECON_EXPR_DATA('FDS_ECON[NTCPMIMFGSA@JP]',08/2024,,Q)&lt;/Q&gt;&lt;R&gt;1&lt;/R&gt;&lt;C&gt;1&lt;/C&gt;&lt;D xsi:type="xsd:double"&gt;49.991356&lt;/D&gt;&lt;/FQL&gt;&lt;FQL&gt;&lt;Q&gt;DUMMY^ECON_EXPR_DATA('FDS_ECON[NTCPMIMFGSA@JP]',05/2024,,Q)&lt;/Q&gt;&lt;R&gt;1&lt;/R&gt;&lt;C&gt;1&lt;/C&gt;&lt;D xsi:type="xsd:double"&gt;47.808857&lt;/D&gt;&lt;/FQL&gt;&lt;FQL&gt;&lt;Q&gt;DUMMY^ECON_EXPR_DATA('FDS_ECON[NTCPMIMFGSA@CH]',08/2024,,Q)&lt;/Q&gt;&lt;R&gt;1&lt;/R&gt;&lt;C&gt;1&lt;/C&gt;&lt;D xsi:type="xsd:double"&gt;43.896877&lt;/D&gt;&lt;/FQL&gt;&lt;FQL&gt;&lt;Q&gt;DUMMY^ECON_EXPR_DATA('FDS_ECON[NTCPMIMFGSA@CH]',05/2024,,Q)&lt;/Q&gt;&lt;R&gt;1&lt;/R&gt;&lt;C&gt;1&lt;/C&gt;&lt;D xsi:type="xsd:double"&gt;44.08605&lt;/D&gt;&lt;/FQL&gt;&lt;FQL&gt;&lt;Q&gt;DUMMY^ECON_EXPR_DATA('FDS_ECON[NTCPMIMFGSA@GB]',08/2024,,Q)&lt;/Q&gt;&lt;R&gt;1&lt;/R&gt;&lt;C&gt;1&lt;/C&gt;&lt;D xsi:type="xsd:double"&gt;50.395269999999996&lt;/D&gt;&lt;/FQL&gt;&lt;FQL&gt;&lt;Q&gt;DUMMY^ECON_EXPR_DATA('FDS_ECON[NTCPMIMFGSA@GB]',05/2024,,Q)&lt;/Q&gt;&lt;R&gt;1&lt;/R&gt;&lt;C&gt;1&lt;/C&gt;&lt;D xsi:type="xsd:double"&gt;48.24796&lt;/D&gt;&lt;/FQL&gt;&lt;FQL&gt;&lt;Q&gt;DUMMY^ECON_EXPR_DATA('FDS_ECON[NTCPMIMFGMESA@US]',08/2024,,Q)&lt;/Q&gt;&lt;R&gt;1&lt;/R&gt;&lt;C&gt;1&lt;/C&gt;&lt;D xsi:type="xsd:double"&gt;50.939392&lt;/D&gt;&lt;/FQL&gt;&lt;FQL&gt;&lt;Q&gt;DUMMY^ECON_EXPR_DATA('FDS_ECON[NTCPMIMFGMESA@US]',05/2024,,Q)&lt;/Q&gt;&lt;R&gt;1&lt;/R&gt;&lt;C&gt;1&lt;/C&gt;&lt;D xsi:type="xsd:double"&gt;51.582687&lt;/D&gt;&lt;/FQL&gt;&lt;FQL&gt;&lt;Q&gt;DUMMY^ECON_EXPR_DATA('FDS_ECON[NTCPMIMFGSA@FR]',08/2024,,Q)&lt;/Q&gt;&lt;R&gt;1&lt;/R&gt;&lt;C&gt;1&lt;/C&gt;&lt;D xsi:type="xsd:double"&gt;45.684513&lt;/D&gt;&lt;/FQL&gt;&lt;FQL&gt;&lt;Q&gt;DUMMY^ECON_EXPR_DATA('FDS_ECON[NTCPMIMFGSA@FR]',05/2024,,Q)&lt;/Q&gt;&lt;R&gt;1&lt;/R&gt;&lt;C&gt;1&lt;/C&gt;&lt;D xsi:type="xsd:double"&gt;45.498753&lt;/D&gt;&lt;/FQL&gt;&lt;FQL&gt;&lt;Q&gt;DUMMY^ECON_EXPR_DATA('FDS_ECON[NTCPMIMFGSA@NL]',08/2024,,Q)&lt;/Q&gt;&lt;R&gt;1&lt;/R&gt;&lt;C&gt;1&lt;/C&gt;&lt;D xsi:type="xsd:double"&gt;51.49388&lt;/D&gt;&lt;/FQL&gt;&lt;FQL&gt;&lt;Q&gt;DUMMY^ECON_EXPR_DATA('FDS_ECON[NTCPMIMFGSA@NL]',05/2024,,Q)&lt;/Q&gt;&lt;R&gt;1&lt;/R&gt;&lt;C&gt;1&lt;/C&gt;&lt;D xsi:type="xsd:double"&gt;49.325874&lt;/D&gt;&lt;/FQL&gt;&lt;FQL&gt;&lt;Q&gt;DUMMY^ECON_EXPR_DATA('FDS_ECON[]',08/2024,,Q)&lt;/Q&gt;&lt;R&gt;0&lt;/R&gt;&lt;C&gt;0&lt;/C&gt;&lt;/FQL&gt;&lt;FQL&gt;&lt;Q&gt;DUMMY^ECON_EXPR_DATA('FDS_ECON[]',05/2024,,Q)&lt;/Q&gt;&lt;R&gt;0&lt;/R&gt;&lt;C&gt;0&lt;/C&gt;&lt;/FQL&gt;&lt;FQL&gt;&lt;Q&gt;DUMMY^ECON_EXPR_DATA('FDS_ECON[NTCPMIMFGSA@IT]',08/2024,,Q)&lt;/Q&gt;&lt;R&gt;1&lt;/R&gt;&lt;C&gt;1&lt;/C&gt;&lt;D xsi:type="xsd:double"&gt;46.215786&lt;/D&gt;&lt;/FQL&gt;&lt;FQL&gt;&lt;Q&gt;DUMMY^ECON_EXPR_DATA('FDS_ECON[NTCPMIMFGSA@IT]',05/2024,,Q)&lt;/Q&gt;&lt;R&gt;1&lt;/R&gt;&lt;C&gt;1&lt;/C&gt;&lt;D xsi:type="xsd:double"&gt;49.208153&lt;/D&gt;&lt;/FQL&gt;&lt;/Schema&gt;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<sst xmlns="http://schemas.openxmlformats.org/spreadsheetml/2006/main" count="2053" uniqueCount="915">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</sst>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4.6740978246246394E-2</v>
      </c>
      <c r="O13" s="55">
        <f>N13*(1+N9)</f>
        <v>4.9545436941021183E-2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3.7528125356192314E-2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0.05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0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-3.259021753753609E-3</v>
      </c>
      <c r="O21" s="57">
        <f>O13-O16</f>
        <v>4.5454369410211845E-3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4.6740978246246394E-2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2</v>
      </c>
      <c r="E8" s="11">
        <f t="shared" ref="E8:E17" si="0">D8</f>
        <v>2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0.84615384615384615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8</v>
      </c>
      <c r="E12" s="58">
        <f t="shared" si="0"/>
        <v>8</v>
      </c>
    </row>
    <row r="13" spans="3:9" x14ac:dyDescent="0.35">
      <c r="C13" s="56" t="s">
        <v>890</v>
      </c>
      <c r="D13">
        <f>'Asset class'!S8</f>
        <v>5</v>
      </c>
      <c r="E13" s="58">
        <f t="shared" si="0"/>
        <v>5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6</v>
      </c>
      <c r="E15" s="14">
        <f t="shared" si="0"/>
        <v>6</v>
      </c>
    </row>
    <row r="16" spans="3:9" ht="15" thickBot="1" x14ac:dyDescent="0.4">
      <c r="C16" s="178" t="s">
        <v>536</v>
      </c>
      <c r="D16">
        <f>'Asset class'!S11</f>
        <v>7</v>
      </c>
      <c r="E16" s="14">
        <f t="shared" si="0"/>
        <v>7</v>
      </c>
    </row>
    <row r="17" spans="2:15" ht="15" thickBot="1" x14ac:dyDescent="0.4">
      <c r="C17" s="148" t="s">
        <v>46</v>
      </c>
      <c r="D17">
        <f>'Asset class'!S12</f>
        <v>4</v>
      </c>
      <c r="E17" s="14">
        <f t="shared" si="0"/>
        <v>4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0.30815109343936381</v>
      </c>
      <c r="D23" s="170"/>
      <c r="E23" s="171">
        <f>'Momnetum ranking'!I22</f>
        <v>0.33996023856858848</v>
      </c>
    </row>
    <row r="24" spans="2:15" x14ac:dyDescent="0.35">
      <c r="B24" s="56" t="s">
        <v>51</v>
      </c>
      <c r="C24" s="9">
        <f>'Momnetum ranking'!H10</f>
        <v>0.34313725490196079</v>
      </c>
      <c r="D24" s="9"/>
      <c r="E24" s="57">
        <f>'Momnetum ranking'!I10</f>
        <v>0.29411764705882354</v>
      </c>
    </row>
    <row r="25" spans="2:15" x14ac:dyDescent="0.35">
      <c r="B25" s="56" t="s">
        <v>895</v>
      </c>
      <c r="C25" s="9">
        <f>'Momnetum ranking'!H23</f>
        <v>0.48076923076923078</v>
      </c>
      <c r="D25" s="9"/>
      <c r="E25" s="57">
        <f>'Momnetum ranking'!I23</f>
        <v>0.36538461538461536</v>
      </c>
    </row>
    <row r="26" spans="2:15" x14ac:dyDescent="0.35">
      <c r="B26" s="56" t="s">
        <v>46</v>
      </c>
      <c r="C26" s="9">
        <f>'Momnetum ranking'!H21</f>
        <v>0.48499999999999999</v>
      </c>
      <c r="D26" s="9"/>
      <c r="E26" s="57">
        <f>'Momnetum ranking'!I21</f>
        <v>0.42</v>
      </c>
    </row>
    <row r="27" spans="2:15" ht="15" thickBot="1" x14ac:dyDescent="0.4">
      <c r="B27" s="12" t="s">
        <v>536</v>
      </c>
      <c r="C27" s="172">
        <f>'Momnetum ranking'!H18</f>
        <v>0.33177933177933178</v>
      </c>
      <c r="D27" s="172"/>
      <c r="E27" s="59">
        <f>'Momnetum ranking'!I18</f>
        <v>0.46620046620046618</v>
      </c>
    </row>
    <row r="28" spans="2:15" x14ac:dyDescent="0.35">
      <c r="B28" s="62" t="s">
        <v>6</v>
      </c>
      <c r="C28" s="170">
        <f>'Momnetum ranking'!H19</f>
        <v>0.20078740157480315</v>
      </c>
      <c r="D28" s="170"/>
      <c r="E28" s="171">
        <f>'Momnetum ranking'!I19</f>
        <v>0.24740986324077913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-0.1344211344211344</v>
      </c>
      <c r="F35" s="5">
        <f>'Momnetum ranking'!K18</f>
        <v>0.63370253164557</v>
      </c>
      <c r="G35" s="9">
        <f>'Momnetum ranking'!Q18</f>
        <v>0.98328656000000003</v>
      </c>
      <c r="H35" s="3">
        <f>'Momnetum ranking'!O18</f>
        <v>4.6469927000000002</v>
      </c>
      <c r="K35">
        <f>_xlfn.RANK.EQ(E35,$E$35:$E$39)</f>
        <v>5</v>
      </c>
      <c r="L35">
        <f>_xlfn.RANK.EQ(F35,$F$35:$F$39)</f>
        <v>3</v>
      </c>
      <c r="M35">
        <f>_xlfn.RANK.EQ(G35,$G$35:$G$39)</f>
        <v>5</v>
      </c>
      <c r="N35">
        <f>_xlfn.RANK.EQ(H35,$H$35:$H$39)</f>
        <v>4</v>
      </c>
      <c r="O35" s="58">
        <f>MEDIAN(K35:N35)</f>
        <v>4.5</v>
      </c>
    </row>
    <row r="36" spans="3:15" x14ac:dyDescent="0.35">
      <c r="C36" s="56" t="s">
        <v>749</v>
      </c>
      <c r="E36" s="9">
        <f>'Momnetum ranking'!J19</f>
        <v>-4.6622461665975973E-2</v>
      </c>
      <c r="F36" s="5">
        <f>'Momnetum ranking'!K19</f>
        <v>0.40851970181043695</v>
      </c>
      <c r="G36" s="9">
        <f>'Momnetum ranking'!Q19</f>
        <v>0.99890833999999995</v>
      </c>
      <c r="H36" s="3">
        <f>'Momnetum ranking'!O19</f>
        <v>4.393065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1</v>
      </c>
      <c r="N36">
        <f t="shared" ref="N36:N39" si="4">_xlfn.RANK.EQ(H36,$H$35:$H$39)</f>
        <v>5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-3.1183557760453617E-2</v>
      </c>
      <c r="F37" s="5">
        <f>'Momnetum ranking'!K20</f>
        <v>0.64818763326226003</v>
      </c>
      <c r="G37" s="9">
        <f>'Momnetum ranking'!Q20</f>
        <v>0.9964459</v>
      </c>
      <c r="H37" s="3">
        <f>'Momnetum ranking'!O20</f>
        <v>5.6883809999999997</v>
      </c>
      <c r="K37">
        <f t="shared" si="1"/>
        <v>2</v>
      </c>
      <c r="L37">
        <f t="shared" si="2"/>
        <v>2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6.5000000000000002E-2</v>
      </c>
      <c r="F38" s="5">
        <f>'Momnetum ranking'!K21</f>
        <v>0.45226130653266305</v>
      </c>
      <c r="G38" s="9">
        <f>'Momnetum ranking'!Q21</f>
        <v>0.99122023999999997</v>
      </c>
      <c r="H38" s="3">
        <f>'Momnetum ranking'!O21</f>
        <v>8.6047534999999993</v>
      </c>
      <c r="K38">
        <f t="shared" si="1"/>
        <v>1</v>
      </c>
      <c r="L38">
        <f t="shared" si="2"/>
        <v>4</v>
      </c>
      <c r="M38">
        <f t="shared" si="3"/>
        <v>4</v>
      </c>
      <c r="N38">
        <f t="shared" si="4"/>
        <v>1</v>
      </c>
      <c r="O38" s="58">
        <f t="shared" si="5"/>
        <v>2.5</v>
      </c>
    </row>
    <row r="39" spans="3:15" ht="15" thickBot="1" x14ac:dyDescent="0.4">
      <c r="C39" s="12" t="s">
        <v>119</v>
      </c>
      <c r="D39" s="13"/>
      <c r="E39" s="172">
        <f>'Momnetum ranking'!J22</f>
        <v>-3.180914512922467E-2</v>
      </c>
      <c r="F39" s="17">
        <f>'Momnetum ranking'!K22</f>
        <v>0.77445109780439092</v>
      </c>
      <c r="G39" s="172">
        <f>'Momnetum ranking'!Q22</f>
        <v>0.99490279999999998</v>
      </c>
      <c r="H39" s="175">
        <f>'Momnetum ranking'!O22</f>
        <v>4.9788832999999997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3</v>
      </c>
      <c r="N39" s="13">
        <f t="shared" si="4"/>
        <v>3</v>
      </c>
      <c r="O39" s="14">
        <f t="shared" si="5"/>
        <v>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1.7988801000000001</v>
      </c>
      <c r="F3" s="3" cm="1">
        <f t="array" ref="F3">_xll.FDS(C3,"FG_TOTAL_RETURNC(0,-3AM)")</f>
        <v>4.393065</v>
      </c>
      <c r="G3" s="3" cm="1">
        <f t="array" ref="G3">_xll.FDS(C3,"FG_TOTAL_RETURNC(0,-6AM)")</f>
        <v>10.691273000000001</v>
      </c>
      <c r="H3" s="9" cm="1">
        <f t="array" ref="H3">_xll.FDS(C3,"P_PRICE(0)/P_PRICE_HIGH_PR(0,,,USD,,,""PRICE"",""INTRA"",""52W"")")</f>
        <v>0.99879914999999997</v>
      </c>
      <c r="K3" s="4">
        <f>_xlfn.RANK.EQ(H3,H$3:H$12)</f>
        <v>1</v>
      </c>
      <c r="L3" s="4">
        <f>_xlfn.RANK.EQ(F3,F$3:F$12)</f>
        <v>7</v>
      </c>
      <c r="M3" s="4">
        <f>_xlfn.RANK.EQ(G3,G$3:G$12)</f>
        <v>2</v>
      </c>
      <c r="N3" s="4"/>
      <c r="P3" s="3">
        <f t="shared" ref="P3:P12" si="0">SUMPRODUCT($K$2:$M$2,K3:M3)</f>
        <v>3.3000000000000003</v>
      </c>
      <c r="Q3">
        <f t="shared" ref="Q3:Q12" si="1">COUNTIF(K3:N3,"&gt;70")</f>
        <v>0</v>
      </c>
      <c r="S3" s="3">
        <f>11-_xlfn.RANK.EQ(P3,$P$3:$P$12)</f>
        <v>2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1.6883135</v>
      </c>
      <c r="F4" s="3" cm="1">
        <f t="array" ref="F4">_xll.FDS(C4,"FG_TOTAL_RETURNC(0,-3AM)")</f>
        <v>4.9788832999999997</v>
      </c>
      <c r="G4" s="3" cm="1">
        <f t="array" ref="G4">_xll.FDS(C4,"FG_TOTAL_RETURNC(0,-6AM)")</f>
        <v>10.026109999999999</v>
      </c>
      <c r="H4" s="9" cm="1">
        <f t="array" ref="H4">_xll.FDS(C4,"P_PRICE(0)/P_PRICE_HIGH_PR(0,,,USD,,,""PRICE"",""INTRA"",""52W"")")</f>
        <v>0.99474585000000004</v>
      </c>
      <c r="I4" s="177"/>
      <c r="K4" s="4">
        <f t="shared" ref="K4:K12" si="3">_xlfn.RANK.EQ(H4,H$3:H$12)</f>
        <v>3</v>
      </c>
      <c r="L4" s="4">
        <f t="shared" ref="L4:M12" si="4">_xlfn.RANK.EQ(F4,F$3:F$12)</f>
        <v>5</v>
      </c>
      <c r="M4" s="4">
        <f t="shared" si="4"/>
        <v>3</v>
      </c>
      <c r="N4" s="4"/>
      <c r="P4" s="3">
        <f t="shared" si="0"/>
        <v>3.63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4.7711370000000004</v>
      </c>
      <c r="F5" s="3" cm="1">
        <f t="array" ref="F5">_xll.FDS(C5,"FG_TOTAL_RETURNC(0,-3AM)")</f>
        <v>13.180923</v>
      </c>
      <c r="G5" s="3" cm="1">
        <f t="array" ref="G5">_xll.FDS(C5,"FG_TOTAL_RETURNC(0,-6AM)")</f>
        <v>21.332657000000001</v>
      </c>
      <c r="H5" s="9" cm="1">
        <f t="array" ref="H5">_xll.FDS(C5,"P_PRICE(0)/P_PRICE_HIGH_PR(0,,,USD,,,""PRICE"",""INTRA"",""52W"")")</f>
        <v>0.99848020000000004</v>
      </c>
      <c r="I5" s="177"/>
      <c r="K5" s="4">
        <f t="shared" si="3"/>
        <v>2</v>
      </c>
      <c r="L5" s="4">
        <f t="shared" si="4"/>
        <v>1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0.67954062999999998</v>
      </c>
      <c r="F6" s="3" cm="1">
        <f t="array" ref="F6">_xll.FDS(C6,"FG_TOTAL_RETURNC(0,-3AM)")</f>
        <v>-3.2646060000000001</v>
      </c>
      <c r="G6" s="3" cm="1">
        <f t="array" ref="G6">_xll.FDS(C6,"FG_TOTAL_RETURNC(0,-6AM)")</f>
        <v>-0.60028433999999997</v>
      </c>
      <c r="H6" s="9" cm="1">
        <f t="array" ref="H6">_xll.FDS(C6,"P_PRICE(0)/P_PRICE_HIGH_PR(0,,,USD,,,""PRICE"",""INTRA"",""52W"")")</f>
        <v>0.93320069999999999</v>
      </c>
      <c r="I6" s="177"/>
      <c r="K6" s="4">
        <f t="shared" si="3"/>
        <v>9</v>
      </c>
      <c r="L6" s="4">
        <f t="shared" si="4"/>
        <v>9</v>
      </c>
      <c r="M6" s="4">
        <f t="shared" si="4"/>
        <v>9</v>
      </c>
      <c r="N6" s="4"/>
      <c r="P6" s="3">
        <f t="shared" si="0"/>
        <v>8.91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0.87853669999999995</v>
      </c>
      <c r="F7" s="3" cm="1">
        <f t="array" ref="F7">_xll.FDS(C7,"FG_TOTAL_RETURNC(0,-3AM)")</f>
        <v>1.0027409</v>
      </c>
      <c r="G7" s="3" cm="1">
        <f t="array" ref="G7">_xll.FDS(C7,"FG_TOTAL_RETURNC(0,-6AM)")</f>
        <v>8.650684</v>
      </c>
      <c r="H7" s="9" cm="1">
        <f t="array" ref="H7">_xll.FDS(C7,"P_PRICE(0)/P_PRICE_HIGH_PR(0,,,USD,,,""PRICE"",""INTRA"",""52W"")")</f>
        <v>0.96031960000000005</v>
      </c>
      <c r="I7" s="1"/>
      <c r="K7" s="4">
        <f t="shared" si="3"/>
        <v>8</v>
      </c>
      <c r="L7" s="4">
        <f t="shared" si="4"/>
        <v>8</v>
      </c>
      <c r="M7" s="4">
        <f t="shared" si="4"/>
        <v>4</v>
      </c>
      <c r="N7" s="4"/>
      <c r="P7" s="3">
        <f t="shared" si="0"/>
        <v>6.6000000000000005</v>
      </c>
      <c r="Q7">
        <f t="shared" si="1"/>
        <v>0</v>
      </c>
      <c r="S7" s="3">
        <f t="shared" si="5"/>
        <v>8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4.8217176999999998</v>
      </c>
      <c r="F8" s="3" cm="1">
        <f t="array" ref="F8">_xll.FDS(C8,"FG_TOTAL_RETURNC(0,-3AM)")</f>
        <v>5.2053690000000001</v>
      </c>
      <c r="G8" s="3" cm="1">
        <f t="array" ref="G8">_xll.FDS(C8,"FG_TOTAL_RETURNC(0,-6AM)")</f>
        <v>7.4335575</v>
      </c>
      <c r="H8" s="9" cm="1">
        <f t="array" ref="H8">_xll.FDS(C8,"P_PRICE(0)/P_PRICE_HIGH_PR(0,,,USD,,,""PRICE"",""INTRA"",""52W"")")</f>
        <v>0.97237366000000003</v>
      </c>
      <c r="I8" s="1"/>
      <c r="K8" s="4">
        <f t="shared" si="3"/>
        <v>6</v>
      </c>
      <c r="L8" s="4">
        <f t="shared" si="4"/>
        <v>4</v>
      </c>
      <c r="M8" s="4">
        <f t="shared" si="4"/>
        <v>5</v>
      </c>
      <c r="N8" s="4"/>
      <c r="P8" s="3">
        <f t="shared" si="0"/>
        <v>4.95</v>
      </c>
      <c r="Q8">
        <f t="shared" si="1"/>
        <v>0</v>
      </c>
      <c r="S8" s="3">
        <f t="shared" si="5"/>
        <v>5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-4.3282629999999997</v>
      </c>
      <c r="F9" s="3" cm="1">
        <f t="array" ref="F9">_xll.FDS(C9,"FG_TOTAL_RETURNC(0,-3AM)")</f>
        <v>-8.0991745000000002</v>
      </c>
      <c r="G9" s="3" cm="1">
        <f t="array" ref="G9">_xll.FDS(C9,"FG_TOTAL_RETURNC(0,-6AM)")</f>
        <v>-5.7381333999999997</v>
      </c>
      <c r="H9" s="9" cm="1">
        <f t="array" ref="H9">_xll.FDS(C9,"P_PRICE(0)/P_PRICE_HIGH_PR(0,,,USD,,,""PRICE"",""INTRA"",""52W"")")</f>
        <v>0.86656270000000002</v>
      </c>
      <c r="I9" s="1"/>
      <c r="K9" s="4">
        <f t="shared" si="3"/>
        <v>10</v>
      </c>
      <c r="L9" s="4">
        <f t="shared" si="4"/>
        <v>10</v>
      </c>
      <c r="M9" s="4">
        <f t="shared" si="4"/>
        <v>10</v>
      </c>
      <c r="N9" s="4"/>
      <c r="P9" s="3">
        <f t="shared" si="0"/>
        <v>9.9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0.26390553</v>
      </c>
      <c r="F10" s="3" cm="1">
        <f t="array" ref="F10">_xll.FDS(C10,"FG_TOTAL_RETURNC(0,-3AM)")</f>
        <v>5.6790113</v>
      </c>
      <c r="G10" s="3" cm="1">
        <f t="array" ref="G10">_xll.FDS(C10,"FG_TOTAL_RETURNC(0,-6AM)")</f>
        <v>6.7396282999999997</v>
      </c>
      <c r="H10" s="9" cm="1">
        <f t="array" ref="H10">_xll.FDS(C10,"P_PRICE(0)/P_PRICE_HIGH_PR(0,,,USD,,,""PRICE"",""INTRA"",""52W"")")</f>
        <v>0.96748330000000005</v>
      </c>
      <c r="K10" s="4">
        <f t="shared" si="3"/>
        <v>7</v>
      </c>
      <c r="L10" s="4">
        <f t="shared" si="4"/>
        <v>3</v>
      </c>
      <c r="M10" s="4">
        <f t="shared" si="4"/>
        <v>6</v>
      </c>
      <c r="N10" s="4"/>
      <c r="P10" s="3">
        <f t="shared" si="0"/>
        <v>5.2799999999999994</v>
      </c>
      <c r="Q10">
        <f t="shared" si="1"/>
        <v>0</v>
      </c>
      <c r="S10" s="3">
        <f t="shared" si="5"/>
        <v>6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-0.83894729999999995</v>
      </c>
      <c r="F11" s="3" cm="1">
        <f t="array" ref="F11">_xll.FDS(C11,"FG_TOTAL_RETURNC(0,-3AM)")</f>
        <v>4.6469927000000002</v>
      </c>
      <c r="G11" s="3" cm="1">
        <f t="array" ref="G11">_xll.FDS(C11,"FG_TOTAL_RETURNC(0,-6AM)")</f>
        <v>6.5429329999999997</v>
      </c>
      <c r="H11" s="9" cm="1">
        <f t="array" ref="H11">_xll.FDS(C11,"P_PRICE(0)/P_PRICE_HIGH_PR(0,,,USD,,,""PRICE"",""INTRA"",""52W"")")</f>
        <v>0.98321630000000004</v>
      </c>
      <c r="K11" s="4">
        <f t="shared" si="3"/>
        <v>5</v>
      </c>
      <c r="L11" s="4">
        <f t="shared" si="4"/>
        <v>6</v>
      </c>
      <c r="M11" s="4">
        <f t="shared" si="4"/>
        <v>7</v>
      </c>
      <c r="P11" s="3">
        <f t="shared" si="0"/>
        <v>5.9399999999999995</v>
      </c>
      <c r="Q11">
        <f t="shared" si="1"/>
        <v>0</v>
      </c>
      <c r="S11" s="3">
        <f t="shared" si="5"/>
        <v>7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-0.33365487999999999</v>
      </c>
      <c r="F12" s="3" cm="1">
        <f t="array" ref="F12">_xll.FDS(C12,"FG_TOTAL_RETURNC(0,-3AM)")</f>
        <v>8.6047534999999993</v>
      </c>
      <c r="G12" s="3" cm="1">
        <f t="array" ref="G12">_xll.FDS(C12,"FG_TOTAL_RETURNC(0,-6AM)")</f>
        <v>0.56499239999999995</v>
      </c>
      <c r="H12" s="9" cm="1">
        <f t="array" ref="H12">_xll.FDS(C12,"P_PRICE(0)/P_PRICE_HIGH_PR(0,,,USD,,,""PRICE"",""INTRA"",""52W"")")</f>
        <v>0.99122023999999997</v>
      </c>
      <c r="K12" s="4">
        <f t="shared" si="3"/>
        <v>4</v>
      </c>
      <c r="L12" s="4">
        <f t="shared" si="4"/>
        <v>2</v>
      </c>
      <c r="M12" s="4">
        <f t="shared" si="4"/>
        <v>8</v>
      </c>
      <c r="P12" s="3">
        <f t="shared" si="0"/>
        <v>4.62</v>
      </c>
      <c r="Q12">
        <f t="shared" si="1"/>
        <v>0</v>
      </c>
      <c r="S12" s="3">
        <f t="shared" si="5"/>
        <v>4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H29" sqref="H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64.2</v>
      </c>
      <c r="E6" s="120">
        <f>VLOOKUP(B6,'Quality - 2'!$B$2:$S$14,18,FALSE)</f>
        <v>78.5</v>
      </c>
      <c r="F6" s="153">
        <f>VLOOKUP(B6,Safety!$B$4:$R$16,17,FALSE)</f>
        <v>85.7</v>
      </c>
      <c r="G6" s="179">
        <f t="shared" ref="G6:G18" si="0">(D6*$D$2 +E6*$E$2 +F6*$F$2)/($D$2+$E$2+$F$2)</f>
        <v>76.13333333333334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14.2</v>
      </c>
      <c r="J6" s="120">
        <f ca="1">VLOOKUP(B6,'Momnetum ranking'!$A$3:$AJ$15,36,FALSE)</f>
        <v>28.499999999999996</v>
      </c>
      <c r="K6" s="163">
        <f>VLOOKUP(B6,'Momnetum ranking'!$A$3:$H$15,8,FALSE)</f>
        <v>0.2978723404255319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46.357715999999996</v>
      </c>
      <c r="N6" s="120" cm="1">
        <f t="array" aca="1" ref="N6" ca="1">_xlfn.PERCENTRANK.EXC(_xlfn._xlws.FILTER($M$6:M$18, ISNUMBER($M$6:M$18)),M6)*100</f>
        <v>42.8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42.8</v>
      </c>
      <c r="E7" s="121">
        <f>VLOOKUP(B7,'Quality - 2'!$B$2:$S$14,18,FALSE)</f>
        <v>57.099999999999994</v>
      </c>
      <c r="F7" s="159">
        <f>VLOOKUP(B7,Safety!$B$4:$R$16,17,FALSE)</f>
        <v>64.2</v>
      </c>
      <c r="G7" s="180">
        <f t="shared" si="0"/>
        <v>54.699999999999996</v>
      </c>
      <c r="H7" s="125" cm="1">
        <f t="array" ref="H7">_xlfn.PERCENTRANK.EXC(_xlfn._xlws.FILTER($G$6:G$18, ISNUMBER($G$6:G$18)),G7)*100</f>
        <v>57.099999999999994</v>
      </c>
      <c r="I7" s="159">
        <f>VLOOKUP(B7,'LIQIDITY 2'!$A$3:$X$15,24,FALSE)</f>
        <v>14.2</v>
      </c>
      <c r="J7" s="121">
        <f ca="1">VLOOKUP(B7,'Momnetum ranking'!$A$3:$AJ$15,36,FALSE)</f>
        <v>42.8</v>
      </c>
      <c r="K7" s="161">
        <f>VLOOKUP(B7,'Momnetum ranking'!$A$3:$H$15,8,FALSE)</f>
        <v>0.48499999999999999</v>
      </c>
      <c r="L7" s="121">
        <f>VLOOKUP(B7,'Currency- 2'!$A$3:$U$15,21,FALSE)</f>
        <v>64.2</v>
      </c>
      <c r="M7" s="160">
        <f t="shared" ca="1" si="1"/>
        <v>42.788359</v>
      </c>
      <c r="N7" s="121" cm="1">
        <f t="array" aca="1" ref="N7" ca="1">_xlfn.PERCENTRANK.EXC(_xlfn._xlws.FILTER($M$6:M$18, ISNUMBER($M$6:M$18)),M7)*100</f>
        <v>28.499999999999996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28.499999999999996</v>
      </c>
      <c r="E8" s="121">
        <f>VLOOKUP(B8,'Quality - 2'!$B$2:$S$14,18,FALSE)</f>
        <v>85.7</v>
      </c>
      <c r="F8" s="159">
        <f>VLOOKUP(B8,Safety!$B$4:$R$16,17,FALSE)</f>
        <v>71.399999999999991</v>
      </c>
      <c r="G8" s="180">
        <f t="shared" si="0"/>
        <v>61.866666666666667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14.2</v>
      </c>
      <c r="J8" s="121">
        <f ca="1">VLOOKUP(B8,'Momnetum ranking'!$A$3:$AJ$15,36,FALSE)</f>
        <v>21.4</v>
      </c>
      <c r="K8" s="161">
        <f>VLOOKUP(B8,'Momnetum ranking'!$A$3:$H$15,8,FALSE)</f>
        <v>0.34313725490196079</v>
      </c>
      <c r="L8" s="121">
        <f>VLOOKUP(B8,'Currency- 2'!$A$3:$U$15,21,FALSE)</f>
        <v>14.2</v>
      </c>
      <c r="M8" s="160">
        <f t="shared" ca="1" si="1"/>
        <v>31.378143999999999</v>
      </c>
      <c r="N8" s="121" cm="1">
        <f t="array" aca="1" ref="N8" ca="1">_xlfn.PERCENTRANK.EXC(_xlfn._xlws.FILTER($M$6:M$18, ISNUMBER($M$6:M$18)),M8)*100</f>
        <v>7.1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35.699999999999996</v>
      </c>
      <c r="E9" s="121">
        <f>VLOOKUP(B9,'Quality - 2'!$B$2:$S$14,18,FALSE)</f>
        <v>92.800000000000011</v>
      </c>
      <c r="F9" s="159">
        <f>VLOOKUP(B9,Safety!$B$4:$R$16,17,FALSE)</f>
        <v>50</v>
      </c>
      <c r="G9" s="180">
        <f t="shared" si="0"/>
        <v>59.500000000000007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14.2</v>
      </c>
      <c r="J9" s="121">
        <f ca="1">VLOOKUP(B9,'Momnetum ranking'!$A$3:$AJ$15,36,FALSE)</f>
        <v>71.399999999999991</v>
      </c>
      <c r="K9" s="161">
        <f>VLOOKUP(B9,'Momnetum ranking'!$A$3:$H$15,8,FALSE)</f>
        <v>0.30815109343936381</v>
      </c>
      <c r="L9" s="121">
        <f>VLOOKUP(B9,'Currency- 2'!$A$3:$U$15,21,FALSE)</f>
        <v>14.2</v>
      </c>
      <c r="M9" s="160">
        <f t="shared" ca="1" si="1"/>
        <v>50.668215000000004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50</v>
      </c>
      <c r="F10" s="159">
        <f>VLOOKUP(B10,Safety!$B$4:$R$16,17,FALSE)</f>
        <v>21.4</v>
      </c>
      <c r="G10" s="180">
        <f t="shared" si="0"/>
        <v>49.966666666666669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78.5</v>
      </c>
      <c r="J10" s="121">
        <f ca="1">VLOOKUP(B10,'Momnetum ranking'!$A$3:$AJ$15,36,FALSE)</f>
        <v>50</v>
      </c>
      <c r="K10" s="161">
        <f>VLOOKUP(B10,'Momnetum ranking'!$A$3:$H$15,8,FALSE)</f>
        <v>0.38596491228070173</v>
      </c>
      <c r="L10" s="121">
        <f>VLOOKUP(B10,'Currency- 2'!$A$3:$U$15,21,FALSE)</f>
        <v>71.399999999999991</v>
      </c>
      <c r="M10" s="160">
        <f t="shared" ca="1" si="1"/>
        <v>57.828501000000003</v>
      </c>
      <c r="N10" s="121" cm="1">
        <f t="array" aca="1" ref="N10" ca="1">_xlfn.PERCENTRANK.EXC(_xlfn._xlws.FILTER($M$6:M$18, ISNUMBER($M$6:M$18)),M10)*100</f>
        <v>78.5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35.699999999999996</v>
      </c>
      <c r="G11" s="180">
        <f t="shared" si="0"/>
        <v>49.966666666666669</v>
      </c>
      <c r="H11" s="125" cm="1">
        <f t="array" ref="H11">_xlfn.PERCENTRANK.EXC(_xlfn._xlws.FILTER($G$6:G$18, ISNUMBER($G$6:G$18)),G11)*100</f>
        <v>42.8</v>
      </c>
      <c r="I11" s="159">
        <f>VLOOKUP(B11,'LIQIDITY 2'!$A$3:$X$15,24,FALSE)</f>
        <v>50</v>
      </c>
      <c r="J11" s="121">
        <f ca="1">VLOOKUP(B11,'Momnetum ranking'!$A$3:$AJ$15,36,FALSE)</f>
        <v>78.5</v>
      </c>
      <c r="K11" s="161">
        <f>VLOOKUP(B11,'Momnetum ranking'!$A$3:$H$15,8,FALSE)</f>
        <v>0.41772151898734178</v>
      </c>
      <c r="L11" s="121">
        <f>VLOOKUP(B11,'Currency- 2'!$A$3:$U$15,21,FALSE)</f>
        <v>78.5</v>
      </c>
      <c r="M11" s="160">
        <f t="shared" ca="1" si="1"/>
        <v>64.238500999999999</v>
      </c>
      <c r="N11" s="121" cm="1">
        <f t="array" aca="1" ref="N11" ca="1">_xlfn.PERCENTRANK.EXC(_xlfn._xlws.FILTER($M$6:M$18, ISNUMBER($M$6:M$18)),M11)*100</f>
        <v>92.800000000000011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71.399999999999991</v>
      </c>
      <c r="E12" s="121">
        <f>VLOOKUP(B12,'Quality - 2'!$B$2:$S$14,18,FALSE)</f>
        <v>64.2</v>
      </c>
      <c r="F12" s="159">
        <f>VLOOKUP(B12,Safety!$B$4:$R$16,17,FALSE)</f>
        <v>28.499999999999996</v>
      </c>
      <c r="G12" s="180">
        <f t="shared" si="0"/>
        <v>54.699999999999996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14.2</v>
      </c>
      <c r="J12" s="121">
        <f ca="1">VLOOKUP(B12,'Momnetum ranking'!$A$3:$AJ$15,36,FALSE)</f>
        <v>92.800000000000011</v>
      </c>
      <c r="K12" s="161">
        <f>VLOOKUP(B12,'Momnetum ranking'!$A$3:$H$15,8,FALSE)</f>
        <v>0.1744186046511628</v>
      </c>
      <c r="L12" s="121">
        <f>VLOOKUP(B12,'Currency- 2'!$A$3:$U$15,21,FALSE)</f>
        <v>35.699999999999996</v>
      </c>
      <c r="M12" s="160">
        <f t="shared" ca="1" si="1"/>
        <v>59.938358999999998</v>
      </c>
      <c r="N12" s="121" cm="1">
        <f t="array" aca="1" ref="N12" ca="1">_xlfn.PERCENTRANK.EXC(_xlfn._xlws.FILTER($M$6:M$18, ISNUMBER($M$6:M$18)),M12)*100</f>
        <v>85.7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14.2</v>
      </c>
      <c r="E13" s="121">
        <f>VLOOKUP(B13,'Quality - 2'!$B$2:$S$14,18,FALSE)</f>
        <v>7.1</v>
      </c>
      <c r="F13" s="159">
        <f>VLOOKUP(B13,Safety!$B$4:$R$16,17,FALSE)</f>
        <v>14.2</v>
      </c>
      <c r="G13" s="180">
        <f t="shared" si="0"/>
        <v>11.833333333333334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85.7</v>
      </c>
      <c r="K13" s="161">
        <f>VLOOKUP(B13,'Momnetum ranking'!$A$3:$H$15,8,FALSE)</f>
        <v>0.43103448275862066</v>
      </c>
      <c r="L13" s="121">
        <f>VLOOKUP(B13,'Currency- 2'!$A$3:$U$15,21,FALSE)</f>
        <v>28.499999999999996</v>
      </c>
      <c r="M13" s="160">
        <f t="shared" ca="1" si="1"/>
        <v>42.099645000000002</v>
      </c>
      <c r="N13" s="121" cm="1">
        <f t="array" aca="1" ref="N13" ca="1">_xlfn.PERCENTRANK.EXC(_xlfn._xlws.FILTER($M$6:M$18, ISNUMBER($M$6:M$18)),M13)*100</f>
        <v>21.4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21.4</v>
      </c>
      <c r="I14" s="159">
        <f>VLOOKUP(B14,'LIQIDITY 2'!$A$3:$X$15,24,FALSE)</f>
        <v>50</v>
      </c>
      <c r="J14" s="121">
        <f ca="1">VLOOKUP(B14,'Momnetum ranking'!$A$3:$AJ$15,36,FALSE)</f>
        <v>64.2</v>
      </c>
      <c r="K14" s="161">
        <f>VLOOKUP(B14,'Momnetum ranking'!$A$3:$H$15,8,FALSE)</f>
        <v>0.30769230769230771</v>
      </c>
      <c r="L14" s="121">
        <f>VLOOKUP(B14,'Currency- 2'!$A$3:$U$15,21,FALSE)</f>
        <v>7.1</v>
      </c>
      <c r="M14" s="160">
        <f t="shared" ca="1" si="1"/>
        <v>47.088930000000005</v>
      </c>
      <c r="N14" s="121" cm="1">
        <f t="array" aca="1" ref="N14" ca="1">_xlfn.PERCENTRANK.EXC(_xlfn._xlws.FILTER($M$6:M$18, ISNUMBER($M$6:M$18)),M14)*100</f>
        <v>50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50</v>
      </c>
      <c r="E15" s="121">
        <f>VLOOKUP(B15,'Quality - 2'!$B$2:$S$14,18,FALSE)</f>
        <v>71.399999999999991</v>
      </c>
      <c r="F15" s="159">
        <f>VLOOKUP(B15,Safety!$B$4:$R$16,17,FALSE)</f>
        <v>92.800000000000011</v>
      </c>
      <c r="G15" s="180">
        <f t="shared" si="0"/>
        <v>71.400000000000006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50</v>
      </c>
      <c r="J15" s="121">
        <f ca="1">VLOOKUP(B15,'Momnetum ranking'!$A$3:$AJ$15,36,FALSE)</f>
        <v>7.1</v>
      </c>
      <c r="K15" s="161">
        <f>VLOOKUP(B15,'Momnetum ranking'!$A$3:$H$15,8,FALSE)</f>
        <v>0.34426229508196721</v>
      </c>
      <c r="L15" s="121">
        <f>VLOOKUP(B15,'Currency- 2'!$A$3:$U$15,21,FALSE)</f>
        <v>85.7</v>
      </c>
      <c r="M15" s="160">
        <f t="shared" ca="1" si="1"/>
        <v>42.827857999999999</v>
      </c>
      <c r="N15" s="121" cm="1">
        <f t="array" aca="1" ref="N15" ca="1">_xlfn.PERCENTRANK.EXC(_xlfn._xlws.FILTER($M$6:M$18, ISNUMBER($M$6:M$18)),M15)*100</f>
        <v>35.699999999999996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21.4</v>
      </c>
      <c r="E16" s="121">
        <f>VLOOKUP(B16,'Quality - 2'!$B$2:$S$14,18,FALSE)</f>
        <v>42.8</v>
      </c>
      <c r="F16" s="159">
        <f>VLOOKUP(B16,Safety!$B$4:$R$16,17,FALSE)</f>
        <v>57.099999999999994</v>
      </c>
      <c r="G16" s="180">
        <f t="shared" si="0"/>
        <v>40.433333333333337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78.5</v>
      </c>
      <c r="J16" s="121">
        <f ca="1">VLOOKUP(B16,'Momnetum ranking'!$A$3:$AJ$15,36,FALSE)</f>
        <v>14.2</v>
      </c>
      <c r="K16" s="161">
        <f>VLOOKUP(B16,'Momnetum ranking'!$A$3:$H$15,8,FALSE)</f>
        <v>0.29090909090909089</v>
      </c>
      <c r="L16" s="121">
        <f>VLOOKUP(B16,'Currency- 2'!$A$3:$U$15,21,FALSE)</f>
        <v>57.099999999999994</v>
      </c>
      <c r="M16" s="160">
        <f t="shared" ca="1" si="1"/>
        <v>39.218786999999999</v>
      </c>
      <c r="N16" s="121" cm="1">
        <f t="array" aca="1" ref="N16" ca="1">_xlfn.PERCENTRANK.EXC(_xlfn._xlws.FILTER($M$6:M$18, ISNUMBER($M$6:M$18)),M16)*100</f>
        <v>14.2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57.099999999999994</v>
      </c>
      <c r="E17" s="121">
        <f>VLOOKUP(B17,'Quality - 2'!$B$2:$S$14,18,FALSE)</f>
        <v>35.699999999999996</v>
      </c>
      <c r="F17" s="159">
        <f>VLOOKUP(B17,Safety!$B$4:$R$16,17,FALSE)</f>
        <v>7.1</v>
      </c>
      <c r="G17" s="180">
        <f t="shared" si="0"/>
        <v>33.300000000000004</v>
      </c>
      <c r="H17" s="125" cm="1">
        <f t="array" ref="H17">_xlfn.PERCENTRANK.EXC(_xlfn._xlws.FILTER($G$6:G$18, ISNUMBER($G$6:G$18)),G17)*100</f>
        <v>14.2</v>
      </c>
      <c r="I17" s="159">
        <f>VLOOKUP(B17,'LIQIDITY 2'!$A$3:$X$15,24,FALSE)</f>
        <v>50</v>
      </c>
      <c r="J17" s="121">
        <f ca="1">VLOOKUP(B17,'Momnetum ranking'!$A$3:$AJ$15,36,FALSE)</f>
        <v>57.099999999999994</v>
      </c>
      <c r="K17" s="161">
        <f>VLOOKUP(B17,'Momnetum ranking'!$A$3:$H$15,8,FALSE)</f>
        <v>0.27659574468085107</v>
      </c>
      <c r="L17" s="121">
        <f>VLOOKUP(B17,'Currency- 2'!$A$3:$U$15,21,FALSE)</f>
        <v>42.8</v>
      </c>
      <c r="M17" s="160">
        <f t="shared" ca="1" si="1"/>
        <v>47.109001000000006</v>
      </c>
      <c r="N17" s="121" cm="1">
        <f t="array" aca="1" ref="N17" ca="1">_xlfn.PERCENTRANK.EXC(_xlfn._xlws.FILTER($M$6:M$18, ISNUMBER($M$6:M$18)),M17)*100</f>
        <v>57.099999999999994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42.8</v>
      </c>
      <c r="G18" s="181">
        <f t="shared" si="0"/>
        <v>49.933333333333344</v>
      </c>
      <c r="H18" s="126" cm="1">
        <f t="array" ref="H18">_xlfn.PERCENTRANK.EXC(_xlfn._xlws.FILTER($G$6:G$18, ISNUMBER($G$6:G$18)),G18)*100</f>
        <v>35.699999999999996</v>
      </c>
      <c r="I18" s="154">
        <f>VLOOKUP(B18,'LIQIDITY 2'!$A$3:$X$15,24,FALSE)</f>
        <v>78.5</v>
      </c>
      <c r="J18" s="122">
        <f ca="1">VLOOKUP(B18,'Momnetum ranking'!$A$3:$AJ$15,36,FALSE)</f>
        <v>35.699999999999996</v>
      </c>
      <c r="K18" s="165">
        <f>VLOOKUP(B18,'Momnetum ranking'!$A$3:$H$15,8,FALSE)</f>
        <v>0.26923076923076922</v>
      </c>
      <c r="L18" s="122">
        <f>VLOOKUP(B18,'Currency- 2'!$A$3:$U$15,21,FALSE)</f>
        <v>50</v>
      </c>
      <c r="M18" s="164">
        <f t="shared" ca="1" si="1"/>
        <v>49.958502000000003</v>
      </c>
      <c r="N18" s="122" cm="1">
        <f t="array" aca="1" ref="N18" ca="1">_xlfn.PERCENTRANK.EXC(_xlfn._xlws.FILTER($M$6:M$18, ISNUMBER($M$6:M$18)),M18)*100</f>
        <v>64.2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9</v>
      </c>
      <c r="S3" s="148">
        <f ca="1">COUNTIF(S9:S17,"&gt;0")</f>
        <v>9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0.24141967125373981</v>
      </c>
      <c r="F9">
        <f ca="1">VLOOKUP(B9,OUTPUT_COUNTRY!$B$6:$N$18, 9, FALSE)</f>
        <v>64.2</v>
      </c>
      <c r="G9" s="47">
        <f>IFERROR(VLOOKUP(B9,OUTPUT_COUNTRY!$B$6:$N$18, 7, FALSE),0)</f>
        <v>21.4</v>
      </c>
      <c r="H9">
        <f>VLOOKUP(B9,OUTPUT_COUNTRY!$B$6:$N$18, 8, FALSE)</f>
        <v>50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4.1421645336803063</v>
      </c>
      <c r="O9" s="136">
        <f>N9/$N$22</f>
        <v>0.14317446364079248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1.4317446364079249E-2</v>
      </c>
      <c r="S9" s="156">
        <f t="shared" ref="S9:S21" ca="1" si="5">IFERROR(IF(R9&gt;=$R$6, R9/SUMIF($R$9:$R$17,"&gt;="&amp;$R$6), ""),"")</f>
        <v>1.6735834403491006E-2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0.25993244401560489</v>
      </c>
      <c r="F10">
        <f ca="1">VLOOKUP(B10,OUTPUT_COUNTRY!$B$6:$N$18, 9, FALSE)</f>
        <v>85.7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28.499999999999996</v>
      </c>
      <c r="J10" s="47">
        <f t="shared" ca="1" si="0"/>
        <v>3.8471534547644448</v>
      </c>
      <c r="K10" s="136">
        <f t="shared" ref="K10:K21" ca="1" si="6">J10/$J$22</f>
        <v>0.23016681025349278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>
        <f t="shared" ca="1" si="4"/>
        <v>0.11508340512674639</v>
      </c>
      <c r="S10" s="156">
        <f t="shared" ca="1" si="5"/>
        <v>0.13452236954931013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0.25740541263494215</v>
      </c>
      <c r="F11">
        <f ca="1">VLOOKUP(B11,OUTPUT_COUNTRY!$B$6:$N$18, 9, FALSE)</f>
        <v>92.800000000000011</v>
      </c>
      <c r="G11" s="47">
        <f>IFERROR(VLOOKUP(B11,OUTPUT_COUNTRY!$B$6:$N$18, 7, FALSE),0)</f>
        <v>57.099999999999994</v>
      </c>
      <c r="H11">
        <f>VLOOKUP(B11,OUTPUT_COUNTRY!$B$6:$N$18, 8, FALSE)</f>
        <v>14.2</v>
      </c>
      <c r="I11">
        <f>VLOOKUP(B11,OUTPUT_COUNTRY!$B$6:$N$18, 11, FALSE)</f>
        <v>35.699999999999996</v>
      </c>
      <c r="J11" s="47">
        <f t="shared" ca="1" si="0"/>
        <v>3.8849221924413118</v>
      </c>
      <c r="K11" s="136">
        <f t="shared" ca="1" si="6"/>
        <v>0.23242643155027767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>
        <f t="shared" ca="1" si="4"/>
        <v>0.11621321577513884</v>
      </c>
      <c r="S11" s="156">
        <f t="shared" ca="1" si="5"/>
        <v>0.13584301873757845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0.23950662411136864</v>
      </c>
      <c r="F12">
        <f ca="1">VLOOKUP(B12,OUTPUT_COUNTRY!$B$6:$N$18, 9, FALSE)</f>
        <v>50</v>
      </c>
      <c r="G12" s="47">
        <f>IFERROR(VLOOKUP(B12,OUTPUT_COUNTRY!$B$6:$N$18, 7, FALSE),0)</f>
        <v>42.8</v>
      </c>
      <c r="H12">
        <f>VLOOKUP(B12,OUTPUT_COUNTRY!$B$6:$N$18, 8, FALSE)</f>
        <v>78.5</v>
      </c>
      <c r="I12">
        <f>VLOOKUP(B12,OUTPUT_COUNTRY!$B$6:$N$18, 11, FALSE)</f>
        <v>71.399999999999991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4.1752498650517831</v>
      </c>
      <c r="O12" s="136">
        <f t="shared" si="8"/>
        <v>0.14431806248506154</v>
      </c>
      <c r="P12">
        <f t="shared" si="3"/>
        <v>4.1752498650517831</v>
      </c>
      <c r="Q12" s="136">
        <f t="shared" si="9"/>
        <v>0.17664638333148019</v>
      </c>
      <c r="R12" s="156">
        <f t="shared" ca="1" si="4"/>
        <v>3.2096444581654171E-2</v>
      </c>
      <c r="S12" s="156">
        <f t="shared" ca="1" si="5"/>
        <v>3.7517918195737902E-2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0.17910010601723861</v>
      </c>
      <c r="F13">
        <f ca="1">VLOOKUP(B13,OUTPUT_COUNTRY!$B$6:$N$18, 9, FALSE)</f>
        <v>42.8</v>
      </c>
      <c r="G13" s="47">
        <f>IFERROR(VLOOKUP(B13,OUTPUT_COUNTRY!$B$6:$N$18, 7, FALSE),0)</f>
        <v>57.099999999999994</v>
      </c>
      <c r="H13">
        <f>VLOOKUP(B13,OUTPUT_COUNTRY!$B$6:$N$18, 8, FALSE)</f>
        <v>14.2</v>
      </c>
      <c r="I13">
        <f>VLOOKUP(B13,OUTPUT_COUNTRY!$B$6:$N$18, 11, FALSE)</f>
        <v>64.2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5.5834696150528726</v>
      </c>
      <c r="Q13" s="136">
        <f t="shared" si="9"/>
        <v>0.23622531484785031</v>
      </c>
      <c r="R13" s="156">
        <f t="shared" ca="1" si="4"/>
        <v>2.3622531484785034E-2</v>
      </c>
      <c r="S13" s="156">
        <f t="shared" ca="1" si="5"/>
        <v>2.76126597626014E-2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0.19028216798964603</v>
      </c>
      <c r="F14">
        <f ca="1">VLOOKUP(B14,OUTPUT_COUNTRY!$B$6:$N$18, 9, FALSE)</f>
        <v>28.499999999999996</v>
      </c>
      <c r="G14" s="47">
        <f>IFERROR(VLOOKUP(B14,OUTPUT_COUNTRY!$B$6:$N$18, 7, FALSE),0)</f>
        <v>92.800000000000011</v>
      </c>
      <c r="H14">
        <f>VLOOKUP(B14,OUTPUT_COUNTRY!$B$6:$N$18, 8, FALSE)</f>
        <v>14.2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5.2553531976491552</v>
      </c>
      <c r="M14" s="136">
        <f t="shared" si="7"/>
        <v>0.28033401032714195</v>
      </c>
      <c r="N14">
        <f t="shared" si="2"/>
        <v>0</v>
      </c>
      <c r="O14" s="136">
        <f t="shared" si="8"/>
        <v>0</v>
      </c>
      <c r="P14">
        <f t="shared" si="3"/>
        <v>5.2553531976491552</v>
      </c>
      <c r="Q14" s="136">
        <f t="shared" si="9"/>
        <v>0.22234337237269494</v>
      </c>
      <c r="R14" s="156">
        <f t="shared" ca="1" si="4"/>
        <v>0.10633454033541206</v>
      </c>
      <c r="S14" s="156">
        <f t="shared" ca="1" si="5"/>
        <v>0.12429571678994283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0.23408331571444485</v>
      </c>
      <c r="F15">
        <f ca="1">VLOOKUP(B15,OUTPUT_COUNTRY!$B$6:$N$18, 9, FALSE)</f>
        <v>78.5</v>
      </c>
      <c r="G15" s="47">
        <f>IFERROR(VLOOKUP(B15,OUTPUT_COUNTRY!$B$6:$N$18, 7, FALSE),0)</f>
        <v>42.8</v>
      </c>
      <c r="H15">
        <f>VLOOKUP(B15,OUTPUT_COUNTRY!$B$6:$N$18, 8, FALSE)</f>
        <v>50</v>
      </c>
      <c r="I15">
        <f>VLOOKUP(B15,OUTPUT_COUNTRY!$B$6:$N$18, 11, FALSE)</f>
        <v>78.5</v>
      </c>
      <c r="J15" s="47">
        <f t="shared" ca="1" si="0"/>
        <v>4.2719832336102366</v>
      </c>
      <c r="K15" s="136">
        <f t="shared" ca="1" si="6"/>
        <v>0.255583450438858</v>
      </c>
      <c r="L15">
        <f t="shared" si="1"/>
        <v>0</v>
      </c>
      <c r="M15" s="136">
        <f t="shared" si="7"/>
        <v>0</v>
      </c>
      <c r="N15">
        <f t="shared" si="2"/>
        <v>4.2719832336102366</v>
      </c>
      <c r="O15" s="136">
        <f t="shared" si="8"/>
        <v>0.14766166413268084</v>
      </c>
      <c r="P15">
        <f t="shared" si="3"/>
        <v>4.2719832336102366</v>
      </c>
      <c r="Q15" s="136">
        <f t="shared" si="9"/>
        <v>0.18073897665058924</v>
      </c>
      <c r="R15" s="156">
        <f t="shared" ca="1" si="4"/>
        <v>0.16063178929775601</v>
      </c>
      <c r="S15" s="156">
        <f t="shared" ca="1" si="5"/>
        <v>0.18776442092134127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0.225698883096598</v>
      </c>
      <c r="F16">
        <f ca="1">VLOOKUP(B16,OUTPUT_COUNTRY!$B$6:$N$18, 9, FALSE)</f>
        <v>21.4</v>
      </c>
      <c r="G16" s="47">
        <f>IFERROR(VLOOKUP(B16,OUTPUT_COUNTRY!$B$6:$N$18, 7, FALSE),0)</f>
        <v>78.5</v>
      </c>
      <c r="H16">
        <f>VLOOKUP(B16,OUTPUT_COUNTRY!$B$6:$N$18, 8, FALSE)</f>
        <v>14.2</v>
      </c>
      <c r="I16">
        <f>VLOOKUP(B16,OUTPUT_COUNTRY!$B$6:$N$18, 11, FALSE)</f>
        <v>14.2</v>
      </c>
      <c r="J16" s="47">
        <f t="shared" ca="1" si="0"/>
        <v>0</v>
      </c>
      <c r="K16" s="136">
        <f t="shared" ca="1" si="6"/>
        <v>0</v>
      </c>
      <c r="L16">
        <f t="shared" si="1"/>
        <v>4.4306820941245197</v>
      </c>
      <c r="M16" s="136">
        <f t="shared" si="7"/>
        <v>0.23634393982999927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7.0903181948999777E-2</v>
      </c>
      <c r="S16" s="156">
        <f t="shared" ca="1" si="5"/>
        <v>8.2879577936198837E-2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0.2122884086364269</v>
      </c>
      <c r="F17">
        <f ca="1">VLOOKUP(B17,OUTPUT_COUNTRY!$B$6:$N$18, 9, FALSE)</f>
        <v>71.399999999999991</v>
      </c>
      <c r="G17" s="47">
        <f>IFERROR(VLOOKUP(B17,OUTPUT_COUNTRY!$B$6:$N$18, 7, FALSE),0)</f>
        <v>71.399999999999991</v>
      </c>
      <c r="H17">
        <f>VLOOKUP(B17,OUTPUT_COUNTRY!$B$6:$N$18, 8, FALSE)</f>
        <v>14.2</v>
      </c>
      <c r="I17">
        <f>VLOOKUP(B17,OUTPUT_COUNTRY!$B$6:$N$18, 11, FALSE)</f>
        <v>14.2</v>
      </c>
      <c r="J17" s="47">
        <f t="shared" ca="1" si="0"/>
        <v>4.7105727836164508</v>
      </c>
      <c r="K17" s="136">
        <f t="shared" ca="1" si="6"/>
        <v>0.28182330775737147</v>
      </c>
      <c r="L17">
        <f t="shared" si="1"/>
        <v>4.7105727836164508</v>
      </c>
      <c r="M17" s="136">
        <f t="shared" si="7"/>
        <v>0.25127402663626763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>
        <f t="shared" ca="1" si="4"/>
        <v>0.21629386186956601</v>
      </c>
      <c r="S17" s="156">
        <f t="shared" ca="1" si="5"/>
        <v>0.25282848370379812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0.22987725777258516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50</v>
      </c>
      <c r="I18">
        <f>VLOOKUP(B18,OUTPUT_COUNTRY!$B$6:$N$18, 11, FALSE)</f>
        <v>85.7</v>
      </c>
      <c r="J18" s="47">
        <f t="shared" ca="1" si="0"/>
        <v>0</v>
      </c>
      <c r="K18" s="136">
        <f t="shared" ca="1" si="6"/>
        <v>0</v>
      </c>
      <c r="L18">
        <f t="shared" si="1"/>
        <v>4.3501475948059554</v>
      </c>
      <c r="M18" s="136">
        <f t="shared" si="7"/>
        <v>0.23204802320659121</v>
      </c>
      <c r="N18">
        <f t="shared" si="2"/>
        <v>4.3501475948059554</v>
      </c>
      <c r="O18" s="136">
        <f t="shared" si="8"/>
        <v>0.15036342559073643</v>
      </c>
      <c r="P18">
        <f t="shared" si="3"/>
        <v>4.3501475948059554</v>
      </c>
      <c r="Q18" s="136">
        <f t="shared" si="9"/>
        <v>0.1840459527973852</v>
      </c>
      <c r="R18" s="156">
        <f t="shared" ca="1" si="4"/>
        <v>0.10305534480078953</v>
      </c>
      <c r="S18" s="156">
        <f t="shared" ca="1" si="5"/>
        <v>0.12046262588472405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0.23942067000219142</v>
      </c>
      <c r="F19">
        <f ca="1">VLOOKUP(B19,OUTPUT_COUNTRY!$B$6:$N$18, 9, FALSE)</f>
        <v>14.2</v>
      </c>
      <c r="G19" s="47">
        <f>IFERROR(VLOOKUP(B19,OUTPUT_COUNTRY!$B$6:$N$18, 7, FALSE),0)</f>
        <v>28.499999999999996</v>
      </c>
      <c r="H19">
        <f>VLOOKUP(B19,OUTPUT_COUNTRY!$B$6:$N$18, 8, FALSE)</f>
        <v>78.5</v>
      </c>
      <c r="I19">
        <f>VLOOKUP(B19,OUTPUT_COUNTRY!$B$6:$N$18, 11, FALSE)</f>
        <v>57.099999999999994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4.1767488161771791</v>
      </c>
      <c r="O19" s="136">
        <f t="shared" si="8"/>
        <v>0.1443698739284886</v>
      </c>
      <c r="P19">
        <f t="shared" si="3"/>
        <v>0</v>
      </c>
      <c r="Q19" s="136">
        <f t="shared" si="9"/>
        <v>0</v>
      </c>
      <c r="R19" s="156">
        <f t="shared" ca="1" si="4"/>
        <v>1.4436987392848861E-2</v>
      </c>
      <c r="S19" s="156">
        <f t="shared" ca="1" si="5"/>
        <v>1.6875567342664467E-2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0.26662425725254874</v>
      </c>
      <c r="F20">
        <f ca="1">VLOOKUP(B20,OUTPUT_COUNTRY!$B$6:$N$18, 9, FALSE)</f>
        <v>57.099999999999994</v>
      </c>
      <c r="G20" s="47">
        <f>IFERROR(VLOOKUP(B20,OUTPUT_COUNTRY!$B$6:$N$18, 7, FALSE),0)</f>
        <v>14.2</v>
      </c>
      <c r="H20">
        <f>VLOOKUP(B20,OUTPUT_COUNTRY!$B$6:$N$18, 8, FALSE)</f>
        <v>50</v>
      </c>
      <c r="I20">
        <f>VLOOKUP(B20,OUTPUT_COUNTRY!$B$6:$N$18, 11, FALSE)</f>
        <v>42.8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3.7505964772469729</v>
      </c>
      <c r="O20" s="136">
        <f t="shared" si="8"/>
        <v>0.12963986210508319</v>
      </c>
      <c r="P20">
        <f t="shared" si="3"/>
        <v>0</v>
      </c>
      <c r="Q20" s="136">
        <f t="shared" si="9"/>
        <v>0</v>
      </c>
      <c r="R20" s="156">
        <f t="shared" ca="1" si="4"/>
        <v>1.2963986210508319E-2</v>
      </c>
      <c r="S20" s="156">
        <f t="shared" ca="1" si="5"/>
        <v>1.5153758632024108E-2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0.24606307638809971</v>
      </c>
      <c r="F21" s="13">
        <f ca="1">VLOOKUP(B21,OUTPUT_COUNTRY!$B$6:$N$18, 9, FALSE)</f>
        <v>35.699999999999996</v>
      </c>
      <c r="G21" s="138">
        <f>IFERROR(VLOOKUP(B21,OUTPUT_COUNTRY!$B$6:$N$18, 7, FALSE),0)</f>
        <v>35.699999999999996</v>
      </c>
      <c r="H21" s="13">
        <f>VLOOKUP(B21,OUTPUT_COUNTRY!$B$6:$N$18, 8, FALSE)</f>
        <v>78.5</v>
      </c>
      <c r="I21" s="13">
        <f>VLOOKUP(B21,OUTPUT_COUNTRY!$B$6:$N$18, 11, FALSE)</f>
        <v>50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4.0639986083192881</v>
      </c>
      <c r="O21" s="137">
        <f t="shared" si="8"/>
        <v>0.14047264811715696</v>
      </c>
      <c r="P21" s="13">
        <f t="shared" si="3"/>
        <v>0</v>
      </c>
      <c r="Q21" s="137">
        <f t="shared" si="9"/>
        <v>0</v>
      </c>
      <c r="R21" s="157">
        <f t="shared" ca="1" si="4"/>
        <v>1.4047264811715697E-2</v>
      </c>
      <c r="S21" s="157">
        <f t="shared" ca="1" si="5"/>
        <v>1.6420015953450991E-2</v>
      </c>
    </row>
    <row r="22" spans="2:21" x14ac:dyDescent="0.35">
      <c r="J22" s="47">
        <f ca="1">SUM(J9:J21)</f>
        <v>16.714631664432446</v>
      </c>
      <c r="K22" s="169"/>
      <c r="L22">
        <f>SUM(L9:L21)</f>
        <v>18.74675567019608</v>
      </c>
      <c r="N22">
        <f>SUM(N9:N21)</f>
        <v>28.930889128891721</v>
      </c>
      <c r="P22">
        <f>SUM(P9:P21)</f>
        <v>23.636203506170006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--</v>
      </c>
      <c r="J4" s="120" t="str">
        <f ca="1">IF(VLOOKUP(C4,OUTPUT_COUNTRY!$B$6:$N$18,9,FALSE)&gt;75,"++",(IF(VLOOKUP(C4,OUTPUT_COUNTRY!$B$6:$N$18,9,FALSE)&gt;50,"+",(IF(VLOOKUP(C4,OUTPUT_COUNTRY!$B$6:$N$18,9,FALSE)&gt;25,"-","--")))))</f>
        <v>-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-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--</v>
      </c>
      <c r="K6" s="159" t="str">
        <f>IF(VLOOKUP(C6,OUTPUT_COUNTRY!$B$6:$N$18,11,FALSE)&gt;75,"++",(IF(VLOOKUP(C6,OUTPUT_COUNTRY!$B$6:$N$18,11,FALSE)&gt;50,"+",(IF(VLOOKUP(C6,OUTPUT_COUNTRY!$B$6:$N$18,11,FALSE)&gt;25,"-","--")))))</f>
        <v>--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--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++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++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+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++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++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+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++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49.9402680213677</v>
      </c>
      <c r="H3" s="4" cm="1">
        <f t="array" ref="H3">_xll.FDS(D3,"FMA_PE(NTMA,0,,,""PORTAGG"",""MEANR"")")</f>
        <v>24.053155300444399</v>
      </c>
      <c r="I3" cm="1">
        <f t="array" ref="I3">_xll.FDS(D3,"FMA_DIV_YLD(NTMA,NOW,NOW,M,""PORTAGG"",""MEANR"")")</f>
        <v>2.5139272453512902</v>
      </c>
      <c r="J3" s="52" cm="1">
        <f t="array" ref="J3">IFERROR(_xll.FDS(D3,"FG_FCF_YIELD_NTM(0)"),(1/G3*100))</f>
        <v>1.7703664159869701</v>
      </c>
      <c r="K3" s="3" cm="1">
        <f t="array" ref="K3">_xll.FDS(D3,"FMA_EVAL_EBITDA(NTMA,0,,,""PORTAGG"",""MEANR"")")</f>
        <v>12.7451341115485</v>
      </c>
      <c r="L3" cm="1">
        <f t="array" ref="L3">_xll.FDS(D3,"FMA_EVAL_EBIT(LTMA,NOW,NOW,M,""PORTAGG"",""MEANR"")")</f>
        <v>21.617507865526399</v>
      </c>
      <c r="M3">
        <f>HLOOKUP(D3,'Index ROE'!$A$1:$N$25,25,FALSE)</f>
        <v>6.5791075391831502</v>
      </c>
      <c r="N3">
        <f>VLOOKUP(A3,'LIQIDITY 2'!$A$3:$E$16,5,FALSE)</f>
        <v>4.2190000000000003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-1.7050727546487101</v>
      </c>
      <c r="R3" s="52">
        <f t="shared" ref="R3:R11" si="1">J3-N3</f>
        <v>-2.44863358401303</v>
      </c>
      <c r="S3">
        <f t="shared" ref="S3:S11" si="2">M3-N3</f>
        <v>2.3601075391831499</v>
      </c>
      <c r="T3">
        <f t="shared" ref="T3:T11" si="3">M3-O3</f>
        <v>3.2484815391831501</v>
      </c>
      <c r="U3" cm="1">
        <f t="array" ref="U3">_xlfn.PERCENTRANK.EXC(_xlfn._xlws.FILTER(Q$3:Q$15, ISNUMBER(Q$3:Q$15)),Q3)*100</f>
        <v>7.1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8.9250000000000007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19.623700817139401</v>
      </c>
      <c r="H4" s="4" cm="1">
        <f t="array" ref="H4">_xll.FDS(D4,"FMA_PE(NTMA,0,,,""PORTAGG"",""MEANR"")")</f>
        <v>18.375063462897501</v>
      </c>
      <c r="I4" cm="1">
        <f t="array" ref="I4">_xll.FDS(D4,"FMA_DIV_YLD(NTMA,NOW,NOW,M,""PORTAGG"",""MEANR"")")</f>
        <v>3.7043448527937199</v>
      </c>
      <c r="J4" s="52" cm="1">
        <f t="array" ref="J4">IFERROR(_xll.FDS(D4,"FG_FCF_YIELD_NTM(0)"),(1/G4*100))</f>
        <v>4.6194982866837799</v>
      </c>
      <c r="K4" s="3" cm="1">
        <f t="array" ref="K4">_xll.FDS(D4,"FMA_EVAL_EBITDA(NTMA,0,,,""PORTAGG"",""MEANR"")")</f>
        <v>8.9992427769451506</v>
      </c>
      <c r="L4" cm="1">
        <f t="array" ref="L4">_xll.FDS(D4,"FMA_EVAL_EBIT(LTMA,NOW,NOW,M,""PORTAGG"",""MEANR"")")</f>
        <v>12.869600149249299</v>
      </c>
      <c r="M4">
        <f>HLOOKUP(D4,'Index ROE'!$A$1:$N$25,25,FALSE)</f>
        <v>13.226394097123199</v>
      </c>
      <c r="N4">
        <f>VLOOKUP(A4,'LIQIDITY 2'!$A$3:$E$16,5,FALSE)</f>
        <v>3.9670000000000001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-0.26265514720628014</v>
      </c>
      <c r="R4" s="52">
        <f t="shared" si="1"/>
        <v>0.65249828668377985</v>
      </c>
      <c r="S4">
        <f t="shared" si="2"/>
        <v>9.2593940971231987</v>
      </c>
      <c r="T4">
        <f t="shared" si="3"/>
        <v>9.411884097123199</v>
      </c>
      <c r="U4" cm="1">
        <f t="array" ref="U4">_xlfn.PERCENTRANK.EXC(_xlfn._xlws.FILTER(Q$3:Q$15, ISNUMBER(Q$3:Q$15)),Q4)*100</f>
        <v>14.2</v>
      </c>
      <c r="V4" cm="1">
        <f t="array" ref="V4">_xlfn.PERCENTRANK.EXC(_xlfn._xlws.FILTER(R$3:R$15, ISNUMBER(R$3:R$15)),R4)*100</f>
        <v>14.2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26.415000000000003</v>
      </c>
      <c r="AC4" cm="1">
        <f t="array" ref="AC4">_xlfn.PERCENTRANK.EXC(_xlfn._xlws.FILTER(AB$3:AB$15, ISNUMBER(AB$3:AB$15)),AB4)*100</f>
        <v>14.2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18.966023771700701</v>
      </c>
      <c r="H5" s="4" cm="1">
        <f t="array" ref="H5">_xll.FDS(D5,"FMA_PE(NTMA,0,,,""PORTAGG"",""MEANR"")")</f>
        <v>15.061603226847099</v>
      </c>
      <c r="I5" cm="1">
        <f t="array" ref="I5">_xll.FDS(D5,"FMA_DIV_YLD(NTMA,NOW,NOW,M,""PORTAGG"",""MEANR"")")</f>
        <v>3.1435911719948302</v>
      </c>
      <c r="J5" s="52" cm="1">
        <f t="array" ref="J5">IFERROR(_xll.FDS(D5,"FG_FCF_YIELD_NTM(0)"),(1/G5*100))</f>
        <v>4.8173172046820802</v>
      </c>
      <c r="K5" s="3" cm="1">
        <f t="array" ref="K5">_xll.FDS(D5,"FMA_EVAL_EBITDA(NTMA,0,,,""PORTAGG"",""MEANR"")")</f>
        <v>9.89884898885105</v>
      </c>
      <c r="L5" cm="1">
        <f t="array" ref="L5">_xll.FDS(D5,"FMA_EVAL_EBIT(LTMA,NOW,NOW,M,""PORTAGG"",""MEANR"")")</f>
        <v>16.121528234016601</v>
      </c>
      <c r="M5">
        <f>HLOOKUP(D5,'Index ROE'!$A$1:$N$25,25,FALSE)</f>
        <v>13.1491479008301</v>
      </c>
      <c r="N5">
        <f>VLOOKUP(A5,'LIQIDITY 2'!$A$3:$E$16,5,FALSE)</f>
        <v>0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3.1435911719948302</v>
      </c>
      <c r="R5" s="52">
        <f t="shared" si="1"/>
        <v>4.8173172046820802</v>
      </c>
      <c r="S5">
        <f t="shared" si="2"/>
        <v>13.1491479008301</v>
      </c>
      <c r="T5">
        <f t="shared" si="3"/>
        <v>10.407963700830098</v>
      </c>
      <c r="U5" cm="1">
        <f t="array" ref="U5">_xlfn.PERCENTRANK.EXC(_xlfn._xlws.FILTER(Q$3:Q$15, ISNUMBER(Q$3:Q$15)),Q5)*100</f>
        <v>92.800000000000011</v>
      </c>
      <c r="V5" cm="1">
        <f t="array" ref="V5">_xlfn.PERCENTRANK.EXC(_xlfn._xlws.FILTER(R$3:R$15, ISNUMBER(R$3:R$15)),R5)*100</f>
        <v>85.7</v>
      </c>
      <c r="W5" cm="1">
        <f t="array" ref="W5">_xlfn.PERCENTRANK.EXC(_xlfn._xlws.FILTER(S$3:S$15, ISNUMBER(S$3:S$15)),S5)*100</f>
        <v>64.2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57.2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63.564999999999998</v>
      </c>
      <c r="AC5" cm="1">
        <f t="array" ref="AC5">_xlfn.PERCENTRANK.EXC(_xlfn._xlws.FILTER(AB$3:AB$15, ISNUMBER(AB$3:AB$15)),AB5)*100</f>
        <v>71.399999999999991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15.410148469827501</v>
      </c>
      <c r="H6" s="4" cm="1">
        <f t="array" ref="H6">_xll.FDS(D6,"FMA_PE(NTMA,0,,,""PORTAGG"",""MEANR"")")</f>
        <v>12.2068099097259</v>
      </c>
      <c r="I6" cm="1">
        <f t="array" ref="I6">_xll.FDS(D6,"FMA_DIV_YLD(NTMA,NOW,NOW,M,""PORTAGG"",""MEANR"")")</f>
        <v>3.3328752187489701</v>
      </c>
      <c r="J6" s="52" cm="1">
        <f t="array" ref="J6">IFERROR(_xll.FDS(D6,"FG_FCF_YIELD_NTM(0)"),(1/G6*100))</f>
        <v>5.87675630956271</v>
      </c>
      <c r="K6" s="3" cm="1">
        <f t="array" ref="K6">_xll.FDS(D6,"FMA_EVAL_EBITDA(NTMA,0,,,""PORTAGG"",""MEANR"")")</f>
        <v>8.59814446005878</v>
      </c>
      <c r="L6" cm="1">
        <f t="array" ref="L6">_xll.FDS(D6,"FMA_EVAL_EBIT(LTMA,NOW,NOW,M,""PORTAGG"",""MEANR"")")</f>
        <v>13.866475485098301</v>
      </c>
      <c r="M6">
        <f>HLOOKUP(D6,'Index ROE'!$A$1:$N$25,25,FALSE)</f>
        <v>11.93889064433</v>
      </c>
      <c r="N6">
        <f>VLOOKUP(A6,'LIQIDITY 2'!$A$3:$E$16,5,FALSE)</f>
        <v>2.1829999999999998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1.1498752187489703</v>
      </c>
      <c r="R6" s="52">
        <f t="shared" si="1"/>
        <v>3.6937563095627102</v>
      </c>
      <c r="S6">
        <f t="shared" si="2"/>
        <v>9.75589064433</v>
      </c>
      <c r="T6">
        <f t="shared" si="3"/>
        <v>9.6525225443300009</v>
      </c>
      <c r="U6" cm="1">
        <f t="array" ref="U6">_xlfn.PERCENTRANK.EXC(_xlfn._xlws.FILTER(Q$3:Q$15, ISNUMBER(Q$3:Q$15)),Q6)*100</f>
        <v>50</v>
      </c>
      <c r="V6" cm="1">
        <f t="array" ref="V6">_xlfn.PERCENTRANK.EXC(_xlfn._xlws.FILTER(R$3:R$15, ISNUMBER(R$3:R$15)),R6)*100</f>
        <v>71.399999999999991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63.575000000000003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17.0247695277397</v>
      </c>
      <c r="H7" s="4" cm="1">
        <f t="array" ref="H7">_xll.FDS(D7,"FMA_PE(NTMA,0,,,""PORTAGG"",""MEANR"")")</f>
        <v>13.674559456749099</v>
      </c>
      <c r="I7" cm="1">
        <f t="array" ref="I7">_xll.FDS(D7,"FMA_DIV_YLD(NTMA,NOW,NOW,M,""PORTAGG"",""MEANR"")")</f>
        <v>2.37520994994013</v>
      </c>
      <c r="J7" s="52" cm="1">
        <f t="array" ref="J7">IFERROR(_xll.FDS(D7,"FG_FCF_YIELD_NTM(0)"),(1/G7*100))</f>
        <v>4.2627311643050403</v>
      </c>
      <c r="K7" s="3" cm="1">
        <f t="array" ref="K7">_xll.FDS(D7,"FMA_EVAL_EBITDA(NTMA,0,,,""PORTAGG"",""MEANR"")")</f>
        <v>9.6627844620449697</v>
      </c>
      <c r="L7" cm="1">
        <f t="array" ref="L7">_xll.FDS(D7,"FMA_EVAL_EBIT(LTMA,NOW,NOW,M,""PORTAGG"",""MEANR"")")</f>
        <v>17.094035246520601</v>
      </c>
      <c r="M7">
        <f>HLOOKUP(D7,'Index ROE'!$A$1:$N$25,25,FALSE)</f>
        <v>9.2997687113842105</v>
      </c>
      <c r="N7">
        <f>VLOOKUP(A7,'LIQIDITY 2'!$A$3:$E$16,5,FALSE)</f>
        <v>0.85919999999999996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1.5160099499401301</v>
      </c>
      <c r="R7" s="52">
        <f t="shared" si="1"/>
        <v>3.4035311643050403</v>
      </c>
      <c r="S7">
        <f t="shared" si="2"/>
        <v>8.4405687113842109</v>
      </c>
      <c r="T7">
        <f t="shared" si="3"/>
        <v>6.5730741113842104</v>
      </c>
      <c r="U7" cm="1">
        <f t="array" ref="U7">_xlfn.PERCENTRANK.EXC(_xlfn._xlws.FILTER(Q$3:Q$15, ISNUMBER(Q$3:Q$15)),Q7)*100</f>
        <v>71.399999999999991</v>
      </c>
      <c r="V7" cm="1">
        <f t="array" ref="V7">_xlfn.PERCENTRANK.EXC(_xlfn._xlws.FILTER(R$3:R$15, ISNUMBER(R$3:R$15)),R7)*100</f>
        <v>57.099999999999994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51.06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21.6333502640265</v>
      </c>
      <c r="H8" s="4" cm="1">
        <f t="array" ref="H8">_xll.FDS(D8,"FMA_PE(NTMA,0,,,""PORTAGG"",""MEANR"")")</f>
        <v>17.057813629803601</v>
      </c>
      <c r="I8" cm="1">
        <f t="array" ref="I8">_xll.FDS(D8,"FMA_DIV_YLD(NTMA,NOW,NOW,M,""PORTAGG"",""MEANR"")")</f>
        <v>3.0847125341827901</v>
      </c>
      <c r="J8" s="52" cm="1">
        <f t="array" ref="J8">IFERROR(_xll.FDS(D8,"FG_FCF_YIELD_NTM(0)"),(1/G8*100))</f>
        <v>4.8178193548630404</v>
      </c>
      <c r="K8" s="3" cm="1">
        <f t="array" ref="K8">_xll.FDS(D8,"FMA_EVAL_EBITDA(NTMA,0,,,""PORTAGG"",""MEANR"")")</f>
        <v>13.025532304751801</v>
      </c>
      <c r="L8" cm="1">
        <f t="array" ref="L8">_xll.FDS(D8,"FMA_EVAL_EBIT(LTMA,NOW,NOW,M,""PORTAGG"",""MEANR"")")</f>
        <v>17.101561545368501</v>
      </c>
      <c r="M8">
        <f>HLOOKUP(D8,'Index ROE'!$A$1:$N$25,25,FALSE)</f>
        <v>19.302463641340701</v>
      </c>
      <c r="N8">
        <f>VLOOKUP(A8,'LIQIDITY 2'!$A$3:$E$16,5,FALSE)</f>
        <v>0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3.0847125341827901</v>
      </c>
      <c r="R8" s="52">
        <f t="shared" si="1"/>
        <v>4.8178193548630404</v>
      </c>
      <c r="S8">
        <f t="shared" si="2"/>
        <v>19.302463641340701</v>
      </c>
      <c r="T8">
        <f t="shared" si="3"/>
        <v>17.9404810413407</v>
      </c>
      <c r="U8" cm="1">
        <f t="array" ref="U8">_xlfn.PERCENTRANK.EXC(_xlfn._xlws.FILTER(Q$3:Q$15, ISNUMBER(Q$3:Q$15)),Q8)*100</f>
        <v>85.7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78.5</v>
      </c>
      <c r="X8" cm="1">
        <f t="array" ref="X8">(1-_xlfn.PERCENTRANK.EXC(_xlfn._xlws.FILTER(G$3:G$15, ISNUMBER(G$3:G$15)),G8))*100</f>
        <v>35.799999999999997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61.805000000000007</v>
      </c>
      <c r="AC8" cm="1">
        <f t="array" ref="AC8">_xlfn.PERCENTRANK.EXC(_xlfn._xlws.FILTER(AB$3:AB$15, ISNUMBER(AB$3:AB$15)),AB8)*100</f>
        <v>64.2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13.9179801166469</v>
      </c>
      <c r="H9" s="4" cm="1">
        <f t="array" ref="H9">_xll.FDS(D9,"FMA_PE(NTMA,0,,,""PORTAGG"",""MEANR"")")</f>
        <v>11.6388360869661</v>
      </c>
      <c r="I9" cm="1">
        <f t="array" ref="I9">_xll.FDS(D9,"FMA_DIV_YLD(NTMA,NOW,NOW,M,""PORTAGG"",""MEANR"")")</f>
        <v>3.8107962887261002</v>
      </c>
      <c r="J9" s="52" cm="1">
        <f t="array" ref="J9">IFERROR(_xll.FDS(D9,"FG_FCF_YIELD_NTM(0)"),(1/G9*100))</f>
        <v>6.2570436922150003</v>
      </c>
      <c r="K9" s="3" cm="1">
        <f t="array" ref="K9">_xll.FDS(D9,"FMA_EVAL_EBITDA(NTMA,0,,,""PORTAGG"",""MEANR"")")</f>
        <v>7.6135028290901303</v>
      </c>
      <c r="L9" cm="1">
        <f t="array" ref="L9">_xll.FDS(D9,"FMA_EVAL_EBIT(LTMA,NOW,NOW,M,""PORTAGG"",""MEANR"")")</f>
        <v>10.932512631932401</v>
      </c>
      <c r="M9">
        <f>HLOOKUP(D9,'Index ROE'!$A$1:$N$25,25,FALSE)</f>
        <v>14.7202942014685</v>
      </c>
      <c r="N9">
        <f>VLOOKUP(A9,'LIQIDITY 2'!$A$3:$E$16,5,FALSE)</f>
        <v>3.9340000000000002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-0.12320371127389995</v>
      </c>
      <c r="R9" s="52">
        <f t="shared" si="1"/>
        <v>2.3230436922150002</v>
      </c>
      <c r="S9">
        <f t="shared" si="2"/>
        <v>10.7862942014685</v>
      </c>
      <c r="T9">
        <f t="shared" si="3"/>
        <v>11.850593801468499</v>
      </c>
      <c r="U9" cm="1">
        <f t="array" ref="U9">_xlfn.PERCENTRANK.EXC(_xlfn._xlws.FILTER(Q$3:Q$15, ISNUMBER(Q$3:Q$15)),Q9)*100</f>
        <v>21.4</v>
      </c>
      <c r="V9" cm="1">
        <f t="array" ref="V9">_xlfn.PERCENTRANK.EXC(_xlfn._xlws.FILTER(R$3:R$15, ISNUMBER(R$3:R$15)),R9)*100</f>
        <v>35.699999999999996</v>
      </c>
      <c r="W9" cm="1">
        <f t="array" ref="W9">_xlfn.PERCENTRANK.EXC(_xlfn._xlws.FILTER(S$3:S$15, ISNUMBER(S$3:S$15)),S9)*100</f>
        <v>57.099999999999994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64.314999999999998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35.7821142975722</v>
      </c>
      <c r="H10" s="4" cm="1">
        <f t="array" ref="H10">_xll.FDS(D10,"FMA_PE(NTMA,0,,,""PORTAGG"",""MEANR"")")</f>
        <v>26.2381129367776</v>
      </c>
      <c r="I10" cm="1">
        <f t="array" ref="I10">_xll.FDS(D10,"FMA_DIV_YLD(NTMA,NOW,NOW,M,""PORTAGG"",""MEANR"")")</f>
        <v>0.83581193447465196</v>
      </c>
      <c r="J10" s="52" cm="1">
        <f t="array" ref="J10">IFERROR(_xll.FDS(D10,"FG_FCF_YIELD_NTM(0)"),(1/G10*100))</f>
        <v>3.5553492886656701</v>
      </c>
      <c r="K10" s="3" cm="1">
        <f t="array" ref="K10">_xll.FDS(D10,"FMA_EVAL_EBITDA(NTMA,0,,,""PORTAGG"",""MEANR"")")</f>
        <v>16.550823239362401</v>
      </c>
      <c r="L10" cm="1">
        <f t="array" ref="L10">_xll.FDS(D10,"FMA_EVAL_EBIT(LTMA,NOW,NOW,M,""PORTAGG"",""MEANR"")")</f>
        <v>24.779035795729499</v>
      </c>
      <c r="M10">
        <f>HLOOKUP(D10,'Index ROE'!$A$1:$N$25,25,FALSE)</f>
        <v>26.0524047586362</v>
      </c>
      <c r="N10">
        <f>VLOOKUP(A10,'LIQIDITY 2'!$A$3:$E$16,5,FALSE)</f>
        <v>0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0.83581193447465196</v>
      </c>
      <c r="R10" s="52">
        <f t="shared" si="1"/>
        <v>3.5553492886656701</v>
      </c>
      <c r="S10">
        <f t="shared" si="2"/>
        <v>26.0524047586362</v>
      </c>
      <c r="T10">
        <f t="shared" si="3"/>
        <v>22.853514758636202</v>
      </c>
      <c r="U10" cm="1">
        <f t="array" ref="U10">_xlfn.PERCENTRANK.EXC(_xlfn._xlws.FILTER(Q$3:Q$15, ISNUMBER(Q$3:Q$15)),Q10)*100</f>
        <v>42.8</v>
      </c>
      <c r="V10" cm="1">
        <f t="array" ref="V10">_xlfn.PERCENTRANK.EXC(_xlfn._xlws.FILTER(R$3:R$15, ISNUMBER(R$3:R$15)),R10)*100</f>
        <v>64.2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42.125</v>
      </c>
      <c r="AC10" cm="1">
        <f t="array" ref="AC10">_xlfn.PERCENTRANK.EXC(_xlfn._xlws.FILTER(AB$3:AB$15, ISNUMBER(AB$3:AB$15)),AB10)*100</f>
        <v>28.499999999999996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26.6466814025123</v>
      </c>
      <c r="H11" s="4" cm="1">
        <f t="array" ref="H11">_xll.FDS(D11,"FMA_PE(NTMA,0,,,""PORTAGG"",""MEANR"")")</f>
        <v>21.394503014714001</v>
      </c>
      <c r="I11" cm="1">
        <f t="array" ref="I11">_xll.FDS(D11,"FMA_DIV_YLD(NTMA,NOW,NOW,M,""PORTAGG"",""MEANR"")")</f>
        <v>1.37400168510707</v>
      </c>
      <c r="J11" s="52" cm="1">
        <f t="array" ref="J11">IFERROR(_xll.FDS(D11,"FG_FCF_YIELD_NTM(0)"),(1/G11*100))</f>
        <v>3.9774048809362799</v>
      </c>
      <c r="K11" s="3" cm="1">
        <f t="array" ref="K11">_xll.FDS(D11,"FMA_EVAL_EBITDA(NTMA,0,,,""PORTAGG"",""MEANR"")")</f>
        <v>14.7035276313793</v>
      </c>
      <c r="L11" cm="1">
        <f t="array" ref="L11">_xll.FDS(D11,"FMA_EVAL_EBIT(LTMA,NOW,NOW,M,""PORTAGG"",""MEANR"")")</f>
        <v>21.0499976232196</v>
      </c>
      <c r="M11">
        <f>HLOOKUP(D11,'Index ROE'!$A$1:$N$25,25,FALSE)</f>
        <v>20.3440340816855</v>
      </c>
      <c r="N11">
        <f>VLOOKUP(A11,'LIQIDITY 2'!$A$3:$E$16,5,FALSE)</f>
        <v>0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1.37400168510707</v>
      </c>
      <c r="R11" s="52">
        <f t="shared" si="1"/>
        <v>3.9774048809362799</v>
      </c>
      <c r="S11">
        <f t="shared" si="2"/>
        <v>20.3440340816855</v>
      </c>
      <c r="T11">
        <f t="shared" si="3"/>
        <v>17.145144081685501</v>
      </c>
      <c r="U11" cm="1">
        <f t="array" ref="U11">_xlfn.PERCENTRANK.EXC(_xlfn._xlws.FILTER(Q$3:Q$15, ISNUMBER(Q$3:Q$15)),Q11)*100</f>
        <v>64.2</v>
      </c>
      <c r="V11" cm="1">
        <f t="array" ref="V11">_xlfn.PERCENTRANK.EXC(_xlfn._xlws.FILTER(R$3:R$15, ISNUMBER(R$3:R$15)),R11)*100</f>
        <v>78.5</v>
      </c>
      <c r="W11" cm="1">
        <f t="array" ref="W11">_xlfn.PERCENTRANK.EXC(_xlfn._xlws.FILTER(S$3:S$15, ISNUMBER(S$3:S$15)),S11)*100</f>
        <v>85.7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50.005000000000003</v>
      </c>
      <c r="AC11" cm="1">
        <f t="array" ref="AC11">_xlfn.PERCENTRANK.EXC(_xlfn._xlws.FILTER(AB$3:AB$15, ISNUMBER(AB$3:AB$15)),AB11)*100</f>
        <v>35.699999999999996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16.615948254152698</v>
      </c>
      <c r="H12" s="4" cm="1">
        <f t="array" ref="H12">_xll.FDS(D12,"FMA_PE(NTMA,0,,,""PORTAGG"",""MEANR"")")</f>
        <v>13.528371068888999</v>
      </c>
      <c r="I12" cm="1">
        <f t="array" ref="I12">_xll.FDS(D12,"FMA_DIV_YLD(NTMA,NOW,NOW,M,""PORTAGG"",""MEANR"")")</f>
        <v>3.3458174438737398</v>
      </c>
      <c r="J12" s="52" cm="1">
        <f t="array" ref="J12">IFERROR(_xll.FDS(D12,"FG_FCF_YIELD_NTM(0)"),(1/G12*100))</f>
        <v>5.9895770714723398</v>
      </c>
      <c r="K12" s="3" cm="1">
        <f t="array" ref="K12">_xll.FDS(D12,"FMA_EVAL_EBITDA(NTMA,0,,,""PORTAGG"",""MEANR"")")</f>
        <v>9.0228117063522308</v>
      </c>
      <c r="L12" cm="1">
        <f t="array" ref="L12">_xll.FDS(D12,"FMA_EVAL_EBIT(LTMA,NOW,NOW,M,""PORTAGG"",""MEANR"")")</f>
        <v>13.353623075915699</v>
      </c>
      <c r="M12">
        <f>HLOOKUP(D12,'Index ROE'!$A$1:$N$25,25,FALSE)</f>
        <v>13.2312741384504</v>
      </c>
      <c r="N12">
        <f>VLOOKUP(A12,'LIQIDITY 2'!$A$3:$E$16,5,FALSE)</f>
        <v>2.9590000000000001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0.38681744387373973</v>
      </c>
      <c r="R12" s="52">
        <f t="shared" ref="R12:R15" si="5">J12-N12</f>
        <v>3.0305770714723397</v>
      </c>
      <c r="S12">
        <f t="shared" ref="S12:S15" si="6">M12-N12</f>
        <v>10.272274138450401</v>
      </c>
      <c r="T12">
        <f t="shared" ref="T12:T15" si="7">M12-O12</f>
        <v>11.0219059384504</v>
      </c>
      <c r="U12" cm="1">
        <f t="array" ref="U12">_xlfn.PERCENTRANK.EXC(_xlfn._xlws.FILTER(Q$3:Q$15, ISNUMBER(Q$3:Q$15)),Q12)*100</f>
        <v>35.699999999999996</v>
      </c>
      <c r="V12" cm="1">
        <f t="array" ref="V12">_xlfn.PERCENTRANK.EXC(_xlfn._xlws.FILTER(R$3:R$15, ISNUMBER(R$3:R$15)),R12)*100</f>
        <v>42.8</v>
      </c>
      <c r="W12" cm="1">
        <f t="array" ref="W12">_xlfn.PERCENTRANK.EXC(_xlfn._xlws.FILTER(S$3:S$15, ISNUMBER(S$3:S$15)),S12)*100</f>
        <v>50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56.435000000000002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21.652423424957899</v>
      </c>
      <c r="H13" s="4" cm="1">
        <f t="array" ref="H13">_xll.FDS(D13,"FMA_PE(NTMA,0,,,""PORTAGG"",""MEANR"")")</f>
        <v>15.1001802426334</v>
      </c>
      <c r="I13" cm="1">
        <f t="array" ref="I13">_xll.FDS(D13,"FMA_DIV_YLD(NTMA,NOW,NOW,M,""PORTAGG"",""MEANR"")")</f>
        <v>2.5645647141835601</v>
      </c>
      <c r="J13" s="52" cm="1">
        <f t="array" ref="J13">IFERROR(_xll.FDS(D13,"FG_FCF_YIELD_NTM(0)"),(1/G13*100))</f>
        <v>4.0832159470988802</v>
      </c>
      <c r="K13" s="3" cm="1">
        <f t="array" ref="K13">_xll.FDS(D13,"FMA_EVAL_EBITDA(NTMA,0,,,""PORTAGG"",""MEANR"")")</f>
        <v>11.9766225211053</v>
      </c>
      <c r="L13" cm="1">
        <f t="array" ref="L13">_xll.FDS(D13,"FMA_EVAL_EBIT(LTMA,NOW,NOW,M,""PORTAGG"",""MEANR"")")</f>
        <v>21.3452483802701</v>
      </c>
      <c r="M13">
        <f>HLOOKUP(D13,'Index ROE'!$A$1:$N$25,25,FALSE)</f>
        <v>12.750726724682799</v>
      </c>
      <c r="N13">
        <f>VLOOKUP(A13,'LIQIDITY 2'!$A$3:$E$16,5,FALSE)</f>
        <v>2.4830000000000001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8.1564714183560039E-2</v>
      </c>
      <c r="R13" s="52">
        <f t="shared" si="5"/>
        <v>1.6002159470988802</v>
      </c>
      <c r="S13">
        <f t="shared" si="6"/>
        <v>10.267726724682799</v>
      </c>
      <c r="T13">
        <f t="shared" si="7"/>
        <v>9.8626097246827999</v>
      </c>
      <c r="U13" cm="1">
        <f t="array" ref="U13">_xlfn.PERCENTRANK.EXC(_xlfn._xlws.FILTER(Q$3:Q$15, ISNUMBER(Q$3:Q$15)),Q13)*100</f>
        <v>28.499999999999996</v>
      </c>
      <c r="V13" cm="1">
        <f t="array" ref="V13">_xlfn.PERCENTRANK.EXC(_xlfn._xlws.FILTER(R$3:R$15, ISNUMBER(R$3:R$15)),R13)*100</f>
        <v>21.4</v>
      </c>
      <c r="W13" cm="1">
        <f t="array" ref="W13">_xlfn.PERCENTRANK.EXC(_xlfn._xlws.FILTER(S$3:S$15, ISNUMBER(S$3:S$15)),S13)*100</f>
        <v>42.8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34.274999999999999</v>
      </c>
      <c r="AC13" cm="1">
        <f t="array" ref="AC13">_xlfn.PERCENTRANK.EXC(_xlfn._xlws.FILTER(AB$3:AB$15, ISNUMBER(AB$3:AB$15)),AB13)*100</f>
        <v>21.4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14.6854875100226</v>
      </c>
      <c r="H14" s="4" cm="1">
        <f t="array" ref="H14">_xll.FDS(D14,"FMA_PE(NTMA,0,,,""PORTAGG"",""MEANR"")")</f>
        <v>15.9514913986572</v>
      </c>
      <c r="I14" cm="1">
        <f t="array" ref="I14">_xll.FDS(D14,"FMA_DIV_YLD(NTMA,NOW,NOW,M,""PORTAGG"",""MEANR"")")</f>
        <v>3.2049431047209702</v>
      </c>
      <c r="J14" s="52" cm="1">
        <f t="array" ref="J14">IFERROR(_xll.FDS(D14,"FG_FCF_YIELD_NTM(0)"),(1/G14*100))</f>
        <v>5.1214399580824397</v>
      </c>
      <c r="K14" s="3" cm="1">
        <f t="array" ref="K14">_xll.FDS(D14,"FMA_EVAL_EBITDA(NTMA,0,,,""PORTAGG"",""MEANR"")")</f>
        <v>10.8068361658501</v>
      </c>
      <c r="L14" cm="1">
        <f t="array" ref="L14">_xll.FDS(D14,"FMA_EVAL_EBIT(LTMA,NOW,NOW,M,""PORTAGG"",""MEANR"")")</f>
        <v>16.377221287824099</v>
      </c>
      <c r="M14">
        <f>HLOOKUP(D14,'Index ROE'!$A$1:$N$25,25,FALSE)</f>
        <v>15.368050598586001</v>
      </c>
      <c r="N14">
        <f>VLOOKUP(A14,'LIQIDITY 2'!$A$3:$E$16,5,FALSE)</f>
        <v>1.9950000000000001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1.2099431047209701</v>
      </c>
      <c r="R14" s="52">
        <f t="shared" si="5"/>
        <v>3.1264399580824396</v>
      </c>
      <c r="S14">
        <f t="shared" si="6"/>
        <v>13.373050598586001</v>
      </c>
      <c r="T14">
        <f t="shared" si="7"/>
        <v>11.975900598586001</v>
      </c>
      <c r="U14" cm="1">
        <f t="array" ref="U14">_xlfn.PERCENTRANK.EXC(_xlfn._xlws.FILTER(Q$3:Q$15, ISNUMBER(Q$3:Q$15)),Q14)*100</f>
        <v>57.099999999999994</v>
      </c>
      <c r="V14" cm="1">
        <f t="array" ref="V14">_xlfn.PERCENTRANK.EXC(_xlfn._xlws.FILTER(R$3:R$15, ISNUMBER(R$3:R$15)),R14)*100</f>
        <v>50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59.290000000000006</v>
      </c>
      <c r="AC14" cm="1">
        <f t="array" ref="AC14">_xlfn.PERCENTRANK.EXC(_xlfn._xlws.FILTER(AB$3:AB$15, ISNUMBER(AB$3:AB$15)),AB14)*100</f>
        <v>57.099999999999994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11.420486217548801</v>
      </c>
      <c r="H15" s="4" cm="1">
        <f t="array" ref="H15">_xll.FDS(D15,"FMA_PE(NTMA,0,,,""PORTAGG"",""MEANR"")")</f>
        <v>9.9865194804019897</v>
      </c>
      <c r="I15" cm="1">
        <f t="array" ref="I15">_xll.FDS(D15,"FMA_DIV_YLD(NTMA,NOW,NOW,M,""PORTAGG"",""MEANR"")")</f>
        <v>5.2757532177159199</v>
      </c>
      <c r="J15" s="52" cm="1">
        <f t="array" ref="J15">IFERROR(_xll.FDS(D15,"FG_FCF_YIELD_NTM(0)"),(1/G15*100))</f>
        <v>5.3774876122362203</v>
      </c>
      <c r="K15" s="3" cm="1">
        <f t="array" ref="K15">_xll.FDS(D15,"FMA_EVAL_EBITDA(NTMA,0,,,""PORTAGG"",""MEANR"")")</f>
        <v>7.4838652727912001</v>
      </c>
      <c r="L15" cm="1">
        <f t="array" ref="L15">_xll.FDS(D15,"FMA_EVAL_EBIT(LTMA,NOW,NOW,M,""PORTAGG"",""MEANR"")")</f>
        <v>11.484240205091901</v>
      </c>
      <c r="M15">
        <f>HLOOKUP(D15,'Index ROE'!$A$1:$N$25,25,FALSE)</f>
        <v>13.3572149047324</v>
      </c>
      <c r="N15">
        <f>VLOOKUP(A15,'LIQIDITY 2'!$A$3:$E$16,5,FALSE)</f>
        <v>3.5310000000000001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1.7447532177159197</v>
      </c>
      <c r="R15" s="52">
        <f t="shared" si="5"/>
        <v>1.8464876122362202</v>
      </c>
      <c r="S15">
        <f t="shared" si="6"/>
        <v>9.8262149047323994</v>
      </c>
      <c r="T15">
        <f t="shared" si="7"/>
        <v>12.548741434732399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28.499999999999996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68.209999999999994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14.436606164076499</v>
      </c>
      <c r="H19" s="4" cm="1">
        <f t="array" ref="H19">_xll.FDS(D19,"FG_PE_NTM(0,,,90,0)")</f>
        <v>13.3760019851574</v>
      </c>
      <c r="I19" cm="1">
        <f t="array" ref="I19">_xll.FDS(D19,"FMA_DIV_YLD(NTMA,NOW,NOW,M,""PORTAGG"",""MEANR"")")</f>
        <v>3.4757708374086</v>
      </c>
      <c r="J19" s="52" cm="1">
        <f t="array" ref="J19">_xll.FDS(D19,"FG_FCF_YIELD_NTM(0)")</f>
        <v>5.2832203069865802</v>
      </c>
      <c r="K19" s="3" cm="1">
        <f t="array" ref="K19">_xll.FDS(D19,"FMA_EVAL_EBITDA(NTMA,0,,,""PORTAGG"",""MEANR"")")</f>
        <v>8.8630069650211496</v>
      </c>
      <c r="L19" cm="1">
        <f t="array" ref="L19">_xll.FDS(D19,"FMA_EVAL_EBIT(LTMA,NOW,NOW,M,""PORTAGG"",""MEANR"")")</f>
        <v>13.3468213202118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45504</v>
      </c>
      <c r="G20" s="4" cm="1">
        <f t="array" ref="G20">_xll.FDS(D20,"FG_PE(0)")</f>
        <v>15.1276869728042</v>
      </c>
      <c r="H20" s="4" cm="1">
        <f t="array" ref="H20">_xll.FDS(D20,"FG_PE_NTM(0,,,90,0)")</f>
        <v>12.8727492418253</v>
      </c>
      <c r="I20" cm="1">
        <f t="array" ref="I20">_xll.FDS(D20,"FMA_DIV_YLD(NTMA,NOW,NOW,M,""PORTAGG"",""MEANR"")")</f>
        <v>2.9445411961838199</v>
      </c>
      <c r="J20" s="52" cm="1">
        <f t="array" ref="J20">_xll.FDS(D20,"FG_FCF_YIELD_NTM(0)")</f>
        <v>5.4625687623488801</v>
      </c>
      <c r="K20" s="3" cm="1">
        <f t="array" ref="K20">_xll.FDS(D20,"FMA_EVAL_EBITDA(NTMA,0,,,""PORTAGG"",""MEANR"")")</f>
        <v>8.9505092482435504</v>
      </c>
      <c r="L20" cm="1">
        <f t="array" ref="L20">_xll.FDS(D20,"FMA_EVAL_EBIT(LTMA,NOW,NOW,M,""PORTAGG"",""MEANR"")")</f>
        <v>14.413864787304901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4.2190000000000003</v>
      </c>
      <c r="G3" s="26" cm="1">
        <f t="array" ref="G3">_xll.FDSB(C3,"PCTCHG(FG_YIELD(0,,,,""YTM""),FG_YIELD(-1AM,,,,""YTM""))")</f>
        <v>0.34486060000000002</v>
      </c>
      <c r="H3" s="26" cm="1">
        <f t="array" ref="H3">_xll.FDSB(C3,"PCTCHG(FG_YIELD(0,,,,""YTM""),FG_YIELD(-3AM,,,,""YTM""))")</f>
        <v>-8.6539540000000006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1.0309999999999997</v>
      </c>
      <c r="S3">
        <f t="shared" ref="S3:S15" si="1">IF(M3&gt; 0, 0, 1)</f>
        <v>1</v>
      </c>
      <c r="T3">
        <f t="shared" ref="T3:T15" si="2">IF(G3&lt;0, 1, 0)</f>
        <v>0</v>
      </c>
      <c r="U3">
        <f t="shared" ref="U3:U15" si="3">IF(H3&lt;0, 1, 0)</f>
        <v>1</v>
      </c>
      <c r="V3" s="47">
        <f t="shared" ref="V3:V15" si="4">SUMPRODUCT($S$1:$U$1,S3:U3)</f>
        <v>0.75</v>
      </c>
      <c r="X3">
        <f>_xlfn.PERCENTRANK.EXC($V$3:$V$15,V3)*100</f>
        <v>50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3.9670000000000001</v>
      </c>
      <c r="G4" s="26" cm="1">
        <f t="array" ref="G4">_xll.FDSB(C4,"PCTCHG(FG_YIELD(0,,,,""YTM""),FG_YIELD(-1AM,,,,""YTM""))")</f>
        <v>1.2248048</v>
      </c>
      <c r="H4" s="26" cm="1">
        <f t="array" ref="H4">_xll.FDSB(C4,"PCTCHG(FG_YIELD(0,,,,""YTM""),FG_YIELD(-3AM,,,,""YTM""))")</f>
        <v>-5.8167114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0.38299999999999956</v>
      </c>
      <c r="S4">
        <f t="shared" si="1"/>
        <v>0</v>
      </c>
      <c r="T4">
        <f t="shared" si="2"/>
        <v>0</v>
      </c>
      <c r="U4">
        <f t="shared" si="3"/>
        <v>1</v>
      </c>
      <c r="V4" s="47">
        <f t="shared" si="4"/>
        <v>0.25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0</v>
      </c>
      <c r="G5" s="26" t="str" cm="1">
        <f t="array" ref="G5">_xll.FDSB(C5,"PCTCHG(FG_YIELD(0,,,,""YTM""),FG_YIELD(-1AM,,,,""YTM""))")</f>
        <v/>
      </c>
      <c r="H5" s="26" t="str" cm="1">
        <f t="array" ref="H5">_xll.FDSB(C5,"PCTCHG(FG_YIELD(0,,,,""YTM""),FG_YIELD(-3AM,,,,""YTM""))")</f>
        <v/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4.25</v>
      </c>
      <c r="S5">
        <f t="shared" si="1"/>
        <v>1</v>
      </c>
      <c r="T5">
        <f t="shared" si="2"/>
        <v>0</v>
      </c>
      <c r="U5">
        <f t="shared" si="3"/>
        <v>0</v>
      </c>
      <c r="V5" s="47">
        <f t="shared" si="4"/>
        <v>0.5</v>
      </c>
      <c r="X5">
        <f t="shared" si="6"/>
        <v>14.2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2.1829999999999998</v>
      </c>
      <c r="G6" s="26" cm="1">
        <f t="array" ref="G6">_xll.FDSB(C6,"PCTCHG(FG_YIELD(0,,,,""YTM""),FG_YIELD(-1AM,,,,""YTM""))")</f>
        <v>-1.9757480999999999</v>
      </c>
      <c r="H6" s="26" cm="1">
        <f t="array" ref="H6">_xll.FDSB(C6,"PCTCHG(FG_YIELD(0,,,,""YTM""),FG_YIELD(-3AM,,,,""YTM""))")</f>
        <v>-9.0416670000000003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3.65</v>
      </c>
      <c r="M6" s="36" cm="1">
        <f t="array" ref="M6">_xll.FDSB(J6,"(SUBARRAY(NOT_NA(NO_REPEAT_F(FG_YIELD(now,-10AY,D))),0,1)-SUBARRAY(NOT_NA(NO_REPEAT_F(FG_YIELD(now,-10AY,D))),1,1))*100")</f>
        <v>-60</v>
      </c>
      <c r="N6" s="38">
        <f t="shared" si="0"/>
        <v>60</v>
      </c>
      <c r="O6" s="26">
        <f t="shared" si="5"/>
        <v>1.4670000000000001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78.5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0.85919999999999996</v>
      </c>
      <c r="G7" s="26" cm="1">
        <f t="array" ref="G7">_xll.FDSB(C7,"PCTCHG(FG_YIELD(0,,,,""YTM""),FG_YIELD(-1AM,,,,""YTM""))")</f>
        <v>-4.2247209999999997</v>
      </c>
      <c r="H7" s="26" cm="1">
        <f t="array" ref="H7">_xll.FDSB(C7,"PCTCHG(FG_YIELD(0,,,,""YTM""),FG_YIELD(-3AM,,,,""YTM""))")</f>
        <v>-11.867884999999999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-0.60919999999999996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14.2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</v>
      </c>
      <c r="G8" s="26" t="str" cm="1">
        <f t="array" ref="G8">_xll.FDSB(C8,"PCTCHG(FG_YIELD(0,,,,""YTM""),FG_YIELD(-1AM,,,,""YTM""))")</f>
        <v/>
      </c>
      <c r="H8" s="26" t="str" cm="1">
        <f t="array" ref="H8">_xll.FDSB(C8,"PCTCHG(FG_YIELD(0,,,,""YTM""),FG_YIELD(-3AM,,,,""YTM""))")</f>
        <v/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1.25</v>
      </c>
      <c r="S8">
        <f t="shared" si="1"/>
        <v>1</v>
      </c>
      <c r="T8">
        <f t="shared" si="2"/>
        <v>0</v>
      </c>
      <c r="U8">
        <f t="shared" si="3"/>
        <v>0</v>
      </c>
      <c r="V8" s="47">
        <f t="shared" si="4"/>
        <v>0.5</v>
      </c>
      <c r="X8">
        <f t="shared" si="6"/>
        <v>14.2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3.9340000000000002</v>
      </c>
      <c r="G9" s="26" cm="1">
        <f t="array" ref="G9">_xll.FDSB(C9,"PCTCHG(FG_YIELD(0,,,,""YTM""),FG_YIELD(-1AM,,,,""YTM""))")</f>
        <v>0.43400460000000002</v>
      </c>
      <c r="H9" s="26" cm="1">
        <f t="array" ref="H9">_xll.FDSB(C9,"PCTCHG(FG_YIELD(0,,,,""YTM""),FG_YIELD(-3AM,,,,""YTM""))")</f>
        <v>-3.5784292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1.0659999999999998</v>
      </c>
      <c r="S9">
        <f t="shared" si="1"/>
        <v>1</v>
      </c>
      <c r="T9">
        <f t="shared" si="2"/>
        <v>0</v>
      </c>
      <c r="U9">
        <f t="shared" si="3"/>
        <v>1</v>
      </c>
      <c r="V9" s="47">
        <f t="shared" si="4"/>
        <v>0.75</v>
      </c>
      <c r="X9">
        <f t="shared" si="6"/>
        <v>50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0</v>
      </c>
      <c r="G10" s="26" t="str" cm="1">
        <f t="array" ref="G10">_xll.FDSB(C10,"PCTCHG(FG_YIELD(0,,,,""YTM""),FG_YIELD(-1AM,,,,""YTM""))")</f>
        <v/>
      </c>
      <c r="H10" s="26" t="str" cm="1">
        <f t="array" ref="H10">_xll.FDSB(C10,"PCTCHG(FG_YIELD(0,,,,""YTM""),FG_YIELD(-3AM,,,,""YTM""))")</f>
        <v/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</v>
      </c>
      <c r="M10" s="36" cm="1">
        <f t="array" ref="M10">_xll.FDSB(J10,"(SUBARRAY(NOT_NA(NO_REPEAT_F(FG_YIELD(now,-10AY,D))),0,1)-SUBARRAY(NOT_NA(NO_REPEAT_F(FG_YIELD(now,-10AY,D))),1,1))*100")</f>
        <v>-50</v>
      </c>
      <c r="N10" s="38">
        <f t="shared" si="0"/>
        <v>50</v>
      </c>
      <c r="O10" s="26">
        <f t="shared" si="5"/>
        <v>5</v>
      </c>
      <c r="S10">
        <f t="shared" si="1"/>
        <v>1</v>
      </c>
      <c r="T10">
        <f t="shared" si="2"/>
        <v>0</v>
      </c>
      <c r="U10">
        <f t="shared" si="3"/>
        <v>0</v>
      </c>
      <c r="V10" s="47">
        <f t="shared" si="4"/>
        <v>0.5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0</v>
      </c>
      <c r="G11" s="26" t="str" cm="1">
        <f t="array" ref="G11">_xll.FDSB(C11,"PCTCHG(FG_YIELD(0,,,,""YTM""),FG_YIELD(-1AM,,,,""YTM""))")</f>
        <v/>
      </c>
      <c r="H11" s="26" t="str" cm="1">
        <f t="array" ref="H11">_xll.FDSB(C11,"PCTCHG(FG_YIELD(0,,,,""YTM""),FG_YIELD(-3AM,,,,""YTM""))")</f>
        <v/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</v>
      </c>
      <c r="M11" s="36" cm="1">
        <f t="array" ref="M11">_xll.FDSB(J11,"(SUBARRAY(NOT_NA(NO_REPEAT_F(FG_YIELD(now,-10AY,D))),0,1)-SUBARRAY(NOT_NA(NO_REPEAT_F(FG_YIELD(now,-10AY,D))),1,1))*100")</f>
        <v>-50</v>
      </c>
      <c r="N11" s="38">
        <f t="shared" si="0"/>
        <v>50</v>
      </c>
      <c r="O11" s="26">
        <f t="shared" si="5"/>
        <v>5</v>
      </c>
      <c r="S11">
        <f t="shared" si="1"/>
        <v>1</v>
      </c>
      <c r="T11">
        <f t="shared" si="2"/>
        <v>0</v>
      </c>
      <c r="U11">
        <f t="shared" si="3"/>
        <v>0</v>
      </c>
      <c r="V11" s="47">
        <f t="shared" si="4"/>
        <v>0.5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2.9590000000000001</v>
      </c>
      <c r="G12" s="26" cm="1">
        <f t="array" ref="G12">_xll.FDSB(C12,"PCTCHG(FG_YIELD(0,,,,""YTM""),FG_YIELD(-1AM,,,,""YTM""))")</f>
        <v>0.98976260000000005</v>
      </c>
      <c r="H12" s="26" cm="1">
        <f t="array" ref="H12">_xll.FDSB(C12,"PCTCHG(FG_YIELD(0,,,,""YTM""),FG_YIELD(-3AM,,,,""YTM""))")</f>
        <v>-5.6742100000000004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3.65</v>
      </c>
      <c r="M12" s="36" cm="1">
        <f t="array" ref="M12">_xll.FDSB(J12,"(SUBARRAY(NOT_NA(NO_REPEAT_F(FG_YIELD(now,-10AY,D))),0,1)-SUBARRAY(NOT_NA(NO_REPEAT_F(FG_YIELD(now,-10AY,D))),1,1))*100")</f>
        <v>-60</v>
      </c>
      <c r="N12" s="38">
        <f t="shared" si="0"/>
        <v>60</v>
      </c>
      <c r="O12" s="26">
        <f t="shared" si="5"/>
        <v>0.69099999999999984</v>
      </c>
      <c r="S12">
        <f t="shared" si="1"/>
        <v>1</v>
      </c>
      <c r="T12">
        <f t="shared" si="2"/>
        <v>0</v>
      </c>
      <c r="U12">
        <f t="shared" si="3"/>
        <v>1</v>
      </c>
      <c r="V12" s="47">
        <f t="shared" si="4"/>
        <v>0.75</v>
      </c>
      <c r="X12">
        <f t="shared" si="6"/>
        <v>50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2.4830000000000001</v>
      </c>
      <c r="G13" s="26" cm="1">
        <f t="array" ref="G13">_xll.FDSB(C13,"PCTCHG(FG_YIELD(0,,,,""YTM""),FG_YIELD(-1AM,,,,""YTM""))")</f>
        <v>-0.7197076</v>
      </c>
      <c r="H13" s="26" cm="1">
        <f t="array" ref="H13">_xll.FDSB(C13,"PCTCHG(FG_YIELD(0,,,,""YTM""),FG_YIELD(-3AM,,,,""YTM""))")</f>
        <v>-9.9709880000000002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3.65</v>
      </c>
      <c r="M13" s="36" cm="1">
        <f t="array" ref="M13">_xll.FDSB(J13,"(SUBARRAY(NOT_NA(NO_REPEAT_F(FG_YIELD(now,-10AY,D))),0,1)-SUBARRAY(NOT_NA(NO_REPEAT_F(FG_YIELD(now,-10AY,D))),1,1))*100")</f>
        <v>-60</v>
      </c>
      <c r="N13" s="38">
        <f t="shared" si="0"/>
        <v>60</v>
      </c>
      <c r="O13" s="26">
        <f t="shared" si="5"/>
        <v>1.1669999999999998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78.5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1.9950000000000001</v>
      </c>
      <c r="G14" s="26" cm="1">
        <f t="array" ref="G14">_xll.FDSB(C14,"PCTCHG(FG_YIELD(0,,,,""YTM""),FG_YIELD(-1AM,,,,""YTM""))")</f>
        <v>2.0982604</v>
      </c>
      <c r="H14" s="26" cm="1">
        <f t="array" ref="H14">_xll.FDSB(C14,"PCTCHG(FG_YIELD(0,,,,""YTM""),FG_YIELD(-3AM,,,,""YTM""))")</f>
        <v>-11.333333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1.5049999999999999</v>
      </c>
      <c r="S14">
        <f t="shared" si="1"/>
        <v>1</v>
      </c>
      <c r="T14">
        <f t="shared" si="2"/>
        <v>0</v>
      </c>
      <c r="U14">
        <f t="shared" si="3"/>
        <v>1</v>
      </c>
      <c r="V14" s="47">
        <f t="shared" si="4"/>
        <v>0.75</v>
      </c>
      <c r="X14">
        <f t="shared" si="6"/>
        <v>50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3.5310000000000001</v>
      </c>
      <c r="G15" s="26" cm="1">
        <f t="array" ref="G15">_xll.FDSB(C15,"PCTCHG(FG_YIELD(0,,,,""YTM""),FG_YIELD(-1AM,,,,""YTM""))")</f>
        <v>-0.92592569999999996</v>
      </c>
      <c r="H15" s="26" cm="1">
        <f t="array" ref="H15">_xll.FDSB(C15,"PCTCHG(FG_YIELD(0,,,,""YTM""),FG_YIELD(-3AM,,,,""YTM""))")</f>
        <v>-10.584958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O15" s="26">
        <f t="shared" si="5"/>
        <v>0.11899999999999977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78.5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0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4.2190000000000003</v>
      </c>
      <c r="H2" cm="1">
        <f t="array" ref="H2">_xll.FDS(B2,"FG_ROE(0)")</f>
        <v>3.4243215253072301</v>
      </c>
      <c r="I2">
        <f>HLOOKUP(B2,'Index ROE'!$B$1:$N$25,24,FALSE)</f>
        <v>9.8238973987983247</v>
      </c>
      <c r="J2" cm="1">
        <f t="array" ref="J2">_xll.FDS(B2, "FMA_RBICS_REV_CURRENT(30, LOC, ""PORTAGG"")")</f>
        <v>14.636334616221401</v>
      </c>
      <c r="K2" s="74">
        <f>HLOOKUP(B2,'Index earnings'!$B$1:$N$25,25,FALSE)</f>
        <v>-9.3828148339384354E-3</v>
      </c>
      <c r="L2">
        <f>HLOOKUP(A2,'Yearly returns'!$B$1:$N$128,126,FALSE)</f>
        <v>-33.132182999999998</v>
      </c>
      <c r="M2">
        <f t="shared" ref="M2:M10" si="0">I2-G2</f>
        <v>5.6048973987983244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N2*Assumption!$F$64 + O2*Assumption!$F$61 + P2*Assumption!$F$62 + Q2*Assumption!$F$63</f>
        <v>33.924999999999997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3.9670000000000001</v>
      </c>
      <c r="H3" cm="1">
        <f t="array" ref="H3">_xll.FDS(B3,"FG_ROE(0)")</f>
        <v>13.1047099392615</v>
      </c>
      <c r="I3">
        <f>HLOOKUP(B3,'Index ROE'!$B$1:$N$25,24,FALSE)</f>
        <v>13.020733299173699</v>
      </c>
      <c r="J3" cm="1">
        <f t="array" ref="J3">_xll.FDS(B3, "FMA_RBICS_REV_CURRENT(30, LOC, ""PORTAGG"")")</f>
        <v>43.494012002379897</v>
      </c>
      <c r="K3" s="74">
        <f>HLOOKUP(B3,'Index earnings'!$B$1:$N$25,25,FALSE)</f>
        <v>1.1174820218081027E-2</v>
      </c>
      <c r="L3">
        <f>HLOOKUP(A3,'Yearly returns'!$B$1:$N$128,126,FALSE)</f>
        <v>-37.148243000000001</v>
      </c>
      <c r="M3">
        <f t="shared" si="0"/>
        <v>9.0537332991736985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0</v>
      </c>
      <c r="H4" cm="1">
        <f t="array" ref="H4">_xll.FDS(B4,"FG_ROE(0)")</f>
        <v>10.775051845163199</v>
      </c>
      <c r="I4">
        <f>HLOOKUP(B4,'Index ROE'!$B$1:$N$25,24,FALSE)</f>
        <v>12.7516875895064</v>
      </c>
      <c r="J4" cm="1">
        <f t="array" ref="J4">_xll.FDS(B4, "FMA_RBICS_REV_CURRENT(30, LOC, ""PORTAGG"")")</f>
        <v>40.919776568347302</v>
      </c>
      <c r="K4" s="74">
        <f>HLOOKUP(B4,'Index earnings'!$B$1:$N$25,25,FALSE)</f>
        <v>4.091721115481306E-2</v>
      </c>
      <c r="L4">
        <f>HLOOKUP(A4,'Yearly returns'!$B$1:$N$128,126,FALSE)</f>
        <v>-34.203029999999998</v>
      </c>
      <c r="M4">
        <f t="shared" si="0"/>
        <v>12.7516875895064</v>
      </c>
      <c r="N4" cm="1">
        <f t="array" ref="N4">_xlfn.PERCENTRANK.EXC(_xlfn._xlws.FILTER(M$2:M$14, ISNUMBER(M$2:M$14)),M4)*100</f>
        <v>71.399999999999991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42.8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2.1829999999999998</v>
      </c>
      <c r="H5" cm="1">
        <f t="array" ref="H5">_xll.FDS(B5,"FG_ROE(0)")</f>
        <v>10.828656819859299</v>
      </c>
      <c r="I5">
        <f>HLOOKUP(B5,'Index ROE'!$B$1:$N$25,24,FALSE)</f>
        <v>11.983677793053701</v>
      </c>
      <c r="J5" cm="1">
        <f t="array" ref="J5">_xll.FDS(B5, "FMA_RBICS_REV_CURRENT(30, LOC, ""PORTAGG"")")</f>
        <v>23.4666496440462</v>
      </c>
      <c r="K5" s="74">
        <f>HLOOKUP(B5,'Index earnings'!$B$1:$N$25,25,FALSE)</f>
        <v>2.8283515901657452E-2</v>
      </c>
      <c r="L5">
        <f>HLOOKUP(A5,'Yearly returns'!$B$1:$N$128,126,FALSE)</f>
        <v>-39.221496999999999</v>
      </c>
      <c r="M5">
        <f t="shared" si="0"/>
        <v>9.8006777930537012</v>
      </c>
      <c r="N5" cm="1">
        <f t="array" ref="N5">_xlfn.PERCENTRANK.EXC(_xlfn._xlws.FILTER(M$2:M$14, ISNUMBER(M$2:M$14)),M5)*100</f>
        <v>42.8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41.050000000000004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0.85919999999999996</v>
      </c>
      <c r="H6" cm="1">
        <f t="array" ref="H6">_xll.FDS(B6,"FG_ROE(0)")</f>
        <v>8.70219331020642</v>
      </c>
      <c r="I6">
        <f>HLOOKUP(B6,'Index ROE'!$B$1:$N$25,24,FALSE)</f>
        <v>8.994618118763011</v>
      </c>
      <c r="J6" cm="1">
        <f t="array" ref="J6">_xll.FDS(B6, "FMA_RBICS_REV_CURRENT(30, LOC, ""PORTAGG"")")</f>
        <v>18.4737986742213</v>
      </c>
      <c r="K6" s="74">
        <f>HLOOKUP(B6,'Index earnings'!$B$1:$N$25,25,FALSE)</f>
        <v>2.4111181364210088E-2</v>
      </c>
      <c r="L6">
        <f>HLOOKUP(A6,'Yearly returns'!$B$1:$N$128,126,FALSE)</f>
        <v>-29.775815999999999</v>
      </c>
      <c r="M6">
        <f t="shared" si="0"/>
        <v>8.1354181187630115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</v>
      </c>
      <c r="H7" cm="1">
        <f t="array" ref="H7">_xll.FDS(B7,"FG_ROE(0)")</f>
        <v>18.7002293381939</v>
      </c>
      <c r="I7">
        <f>HLOOKUP(B7,'Index ROE'!$B$1:$N$25,24,FALSE)</f>
        <v>15.55096443559315</v>
      </c>
      <c r="J7" cm="1">
        <f t="array" ref="J7">_xll.FDS(B7, "FMA_RBICS_REV_CURRENT(30, LOC, ""PORTAGG"")")</f>
        <v>17.528437374512102</v>
      </c>
      <c r="K7" s="74">
        <f>HLOOKUP(B7,'Index earnings'!$B$1:$N$25,25,FALSE)</f>
        <v>4.6616158051884682E-2</v>
      </c>
      <c r="L7">
        <f>HLOOKUP(A7,'Yearly returns'!$B$1:$N$128,126,FALSE)</f>
        <v>-21.253342</v>
      </c>
      <c r="M7">
        <f t="shared" si="0"/>
        <v>15.55096443559315</v>
      </c>
      <c r="N7" cm="1">
        <f t="array" ref="N7">_xlfn.PERCENTRANK.EXC(_xlfn._xlws.FILTER(M$2:M$14, ISNUMBER(M$2:M$14)),M7)*100</f>
        <v>78.5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76.75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3.9340000000000002</v>
      </c>
      <c r="H8" cm="1">
        <f t="array" ref="H8">_xll.FDS(B8,"FG_ROE(0)")</f>
        <v>13.8500495801777</v>
      </c>
      <c r="I8">
        <f>HLOOKUP(B8,'Index ROE'!$B$1:$N$25,24,FALSE)</f>
        <v>14.561964916400001</v>
      </c>
      <c r="J8" cm="1">
        <f t="array" ref="J8">_xll.FDS(B8, "FMA_RBICS_REV_CURRENT(30, LOC, ""PORTAGG"")")</f>
        <v>19.2590072352383</v>
      </c>
      <c r="K8" s="74">
        <f>HLOOKUP(B8,'Index earnings'!$B$1:$N$25,25,FALSE)</f>
        <v>3.714974898957335E-3</v>
      </c>
      <c r="L8">
        <f>HLOOKUP(A8,'Yearly returns'!$B$1:$N$128,126,FALSE)</f>
        <v>-37.750100000000003</v>
      </c>
      <c r="M8">
        <f t="shared" si="0"/>
        <v>10.6279649164</v>
      </c>
      <c r="N8" cm="1">
        <f t="array" ref="N8">_xlfn.PERCENTRANK.EXC(_xlfn._xlws.FILTER(M$2:M$14, ISNUMBER(M$2:M$14)),M8)*100</f>
        <v>57.099999999999994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28.499999999999996</v>
      </c>
      <c r="R8">
        <f>N8*Assumption!$F$64 + O8*Assumption!$F$61 + P8*Assumption!$F$62 + Q8*Assumption!$F$63</f>
        <v>37.449999999999996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0</v>
      </c>
      <c r="H9" cm="1">
        <f t="array" ref="H9">_xll.FDS(B9,"FG_ROE(0)")</f>
        <v>22.327287186853201</v>
      </c>
      <c r="I9">
        <f>HLOOKUP(B9,'Index ROE'!$B$1:$N$25,24,FALSE)</f>
        <v>21.036882269896502</v>
      </c>
      <c r="J9" cm="1">
        <f t="array" ref="J9">_xll.FDS(B9, "FMA_RBICS_REV_CURRENT(30, LOC, ""PORTAGG"")")</f>
        <v>0.92389603226094297</v>
      </c>
      <c r="K9" s="74">
        <f>HLOOKUP(B9,'Index earnings'!$B$1:$N$25,25,FALSE)</f>
        <v>0.13099604038839674</v>
      </c>
      <c r="L9">
        <f>HLOOKUP(A9,'Yearly returns'!$B$1:$N$128,126,FALSE)</f>
        <v>-32.146500000000003</v>
      </c>
      <c r="M9">
        <f t="shared" si="0"/>
        <v>21.036882269896502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57.099999999999994</v>
      </c>
      <c r="R9">
        <f>N9*Assumption!$F$64 + O9*Assumption!$F$61 + P9*Assumption!$F$62 + Q9*Assumption!$F$63</f>
        <v>83.9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0</v>
      </c>
      <c r="H10" cm="1">
        <f t="array" ref="H10">_xll.FDS(B10,"FG_ROE(0)")</f>
        <v>18.5998452041955</v>
      </c>
      <c r="I10">
        <f>HLOOKUP(B10,'Index ROE'!$B$1:$N$25,24,FALSE)</f>
        <v>16.391058174766847</v>
      </c>
      <c r="J10" cm="1">
        <f t="array" ref="J10">_xll.FDS(B10, "FMA_RBICS_REV_CURRENT(30, LOC, ""PORTAGG"")")</f>
        <v>12.804463433590801</v>
      </c>
      <c r="K10" s="74">
        <f>HLOOKUP(B10,'Index earnings'!$B$1:$N$25,25,FALSE)</f>
        <v>5.9884631589629977E-2</v>
      </c>
      <c r="L10">
        <f>HLOOKUP(A10,'Yearly returns'!$B$1:$N$128,126,FALSE)</f>
        <v>-18.508112000000001</v>
      </c>
      <c r="M10">
        <f t="shared" si="0"/>
        <v>16.391058174766847</v>
      </c>
      <c r="N10" cm="1">
        <f t="array" ref="N10">_xlfn.PERCENTRANK.EXC(_xlfn._xlws.FILTER(M$2:M$14, ISNUMBER(M$2:M$14)),M10)*100</f>
        <v>85.7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85.7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2.9590000000000001</v>
      </c>
      <c r="H11" cm="1">
        <f t="array" ref="H11">_xll.FDS(B11,"FG_ROE(0)")</f>
        <v>12.1513267023902</v>
      </c>
      <c r="I11">
        <f>HLOOKUP(B11,'Index ROE'!$B$1:$N$25,24,FALSE)</f>
        <v>11.16089938202855</v>
      </c>
      <c r="J11" cm="1">
        <f t="array" ref="J11">_xll.FDS(B11, "FMA_RBICS_REV_CURRENT(30, LOC, ""PORTAGG"")")</f>
        <v>11.598844152413299</v>
      </c>
      <c r="K11" s="74">
        <f>HLOOKUP(B11,'Index earnings'!$B$1:$N$25,25,FALSE)</f>
        <v>1.8533351250322294E-2</v>
      </c>
      <c r="L11">
        <f>HLOOKUP(A11,'Yearly returns'!$B$1:$N$128,126,FALSE)</f>
        <v>-28.051727</v>
      </c>
      <c r="M11">
        <f t="shared" ref="M11:M14" si="1">I11-G11</f>
        <v>8.2018993820285502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2.4830000000000001</v>
      </c>
      <c r="H12" cm="1">
        <f t="array" ref="H12">_xll.FDS(B12,"FG_ROE(0)")</f>
        <v>11.0104126981375</v>
      </c>
      <c r="I12">
        <f>HLOOKUP(B12,'Index ROE'!$B$1:$N$25,24,FALSE)</f>
        <v>13.04966082823935</v>
      </c>
      <c r="J12" cm="1">
        <f t="array" ref="J12">_xll.FDS(B12, "FMA_RBICS_REV_CURRENT(30, LOC, ""PORTAGG"")")</f>
        <v>25.711875275245699</v>
      </c>
      <c r="K12" s="74">
        <f>HLOOKUP(B12,'Index earnings'!$B$1:$N$25,25,FALSE)</f>
        <v>3.4820198321761975E-2</v>
      </c>
      <c r="L12">
        <f>HLOOKUP(A12,'Yearly returns'!$B$1:$N$128,126,FALSE)</f>
        <v>-40.682989999999997</v>
      </c>
      <c r="M12">
        <f t="shared" si="1"/>
        <v>10.56666082823935</v>
      </c>
      <c r="N12" cm="1">
        <f t="array" ref="N12">_xlfn.PERCENTRANK.EXC(_xlfn._xlws.FILTER(M$2:M$14, ISNUMBER(M$2:M$14)),M12)*100</f>
        <v>50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39.274999999999999</v>
      </c>
      <c r="S12" cm="1">
        <f t="array" ref="S12">_xlfn.PERCENTRANK.EXC(_xlfn._xlws.FILTER(R$2:R$14, ISNUMBER(R$2:R$14)),R12)*100</f>
        <v>42.8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1.9950000000000001</v>
      </c>
      <c r="H13" cm="1">
        <f t="array" ref="H13">_xll.FDS(B13,"FG_ROE(0)")</f>
        <v>16.994515108649299</v>
      </c>
      <c r="I13">
        <f>HLOOKUP(B13,'Index ROE'!$B$1:$N$25,24,FALSE)</f>
        <v>14.442959457883351</v>
      </c>
      <c r="J13" cm="1">
        <f t="array" ref="J13">_xll.FDS(B13, "FMA_RBICS_REV_CURRENT(30, LOC, ""PORTAGG"")")</f>
        <v>27.3013128847697</v>
      </c>
      <c r="K13" s="74">
        <f>HLOOKUP(B13,'Index earnings'!$B$1:$N$25,25,FALSE)</f>
        <v>2.4305006375947347E-2</v>
      </c>
      <c r="L13">
        <f>HLOOKUP(A13,'Yearly returns'!$B$1:$N$128,126,FALSE)</f>
        <v>-39.550080000000001</v>
      </c>
      <c r="M13">
        <f t="shared" si="1"/>
        <v>12.44795945788335</v>
      </c>
      <c r="N13" cm="1">
        <f t="array" ref="N13">_xlfn.PERCENTRANK.EXC(_xlfn._xlws.FILTER(M$2:M$14, ISNUMBER(M$2:M$14)),M13)*100</f>
        <v>64.2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39.25</v>
      </c>
      <c r="S13" cm="1">
        <f t="array" ref="S13">_xlfn.PERCENTRANK.EXC(_xlfn._xlws.FILTER(R$2:R$14, ISNUMBER(R$2:R$14)),R13)*100</f>
        <v>35.699999999999996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3.5310000000000001</v>
      </c>
      <c r="H14" cm="1">
        <f t="array" ref="H14">_xll.FDS(B14,"FG_ROE(0)")</f>
        <v>13.3681866426372</v>
      </c>
      <c r="I14">
        <f>HLOOKUP(B14,'Index ROE'!$B$1:$N$25,24,FALSE)</f>
        <v>9.6445775045501065</v>
      </c>
      <c r="J14" cm="1">
        <f t="array" ref="J14">_xll.FDS(B14, "FMA_RBICS_REV_CURRENT(30, LOC, ""PORTAGG"")")</f>
        <v>38.051183628650897</v>
      </c>
      <c r="K14" s="74">
        <f>HLOOKUP(B14,'Index earnings'!$B$1:$N$25,25,FALSE)</f>
        <v>9.2743946932130061E-3</v>
      </c>
      <c r="L14">
        <f>HLOOKUP(A14,'Yearly returns'!$B$1:$N$128,126,FALSE)</f>
        <v>-30.053335000000001</v>
      </c>
      <c r="M14">
        <f t="shared" si="1"/>
        <v>6.113577504550106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64.2</v>
      </c>
      <c r="R14">
        <f>N14*Assumption!$F$64 + O14*Assumption!$F$61 + P14*Assumption!$F$62 + Q14*Assumption!$F$63</f>
        <v>30.324999999999999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98874.03</v>
      </c>
      <c r="E3" cm="1">
        <f t="array" ref="E3">_xll.FDS(C3,"FMA_COS_UP(""EPS"",""1M"",+1,0,,,""PORTAGG"",""MEANR"")")</f>
        <v>8</v>
      </c>
      <c r="F3" cm="1">
        <f t="array" ref="F3">_xll.FDS(C3,"FMA_COS_DOWN(""EPS"",""1M"",+1,0,,,""PORTAGG"",""MEANR"")")</f>
        <v>13</v>
      </c>
      <c r="G3" cm="1">
        <f t="array" ref="G3">_xll.FDS(A3,"SIZE(FG_CONSTITUENTS)")</f>
        <v>26</v>
      </c>
      <c r="H3" s="9">
        <f t="shared" ref="H3:H11" si="0">E3/$G3</f>
        <v>0.30769230769230771</v>
      </c>
      <c r="I3" s="9">
        <f t="shared" ref="I3:I11" si="1">F3/$G3</f>
        <v>0.5</v>
      </c>
      <c r="J3" s="9">
        <f t="shared" ref="J3:J11" si="2">H3-I3</f>
        <v>-0.19230769230769229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16.676993743014599</v>
      </c>
      <c r="M3" s="41" cm="1">
        <f t="array" ref="M3">_xll.FDSB(A3,"PERCENT_CHANGE(FMA_EPS(+1,0,,,,""PORTAGG"",""MEAN""),FMA_EPS(+1,-3AM,,,,""PORTAGG"",""MEAN""))")</f>
        <v>14.3973268287527</v>
      </c>
      <c r="N3" s="3" cm="1">
        <f t="array" ref="N3">_xll.FDS(C3,"FG_TOTAL_RETURNC(0,-1AM)")</f>
        <v>0.31142235000000001</v>
      </c>
      <c r="O3" s="3" cm="1">
        <f t="array" ref="O3">_xll.FDS(C3,"FG_TOTAL_RETURNC(0,-3AM)")</f>
        <v>8.7330100000000002</v>
      </c>
      <c r="P3" s="3" cm="1">
        <f t="array" ref="P3">_xll.FDS(C3,"FG_TOTAL_RETURNC(0,-6AM)")</f>
        <v>10.364532000000001</v>
      </c>
      <c r="Q3" s="9" cm="1">
        <f t="array" ref="Q3">_xll.FDS(C3,"P_PRICE(0)/P_PRICE_HIGH_PR(0,,,,,,""PRICE"",""INTRA"",""52W"")")</f>
        <v>0.98401110000000003</v>
      </c>
      <c r="R3" s="9" cm="1">
        <f t="array" ref="R3">_xll.FDS(C3,"P_PRICE(0)/P_PRICE_low_PR(0,,,,,,""PRICE"",""INTRA"",""52W"")-1")</f>
        <v>0.20896602</v>
      </c>
      <c r="S3" s="3" cm="1">
        <f t="array" ref="S3">_xll.FDS(C3,"FG_TOTAL_RETURNC(0,-12AM)")</f>
        <v>14.301681500000001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42.8</v>
      </c>
      <c r="W3" s="4" cm="1">
        <f t="array" ref="W3">_xlfn.PERCENTRANK.EXC(_xlfn._xlws.FILTER($O$3:$O$15, ISNUMBER($O$3:$O$15)),O3)*100</f>
        <v>78.5</v>
      </c>
      <c r="X3" s="4" cm="1">
        <f t="array" ref="X3">_xlfn.PERCENTRANK.EXC(_xlfn._xlws.FILTER($P$3:$P$15, ISNUMBER($P$3:$P$15)),P3)*100</f>
        <v>78.5</v>
      </c>
      <c r="Y3" s="201" cm="1">
        <f t="array" ref="Y3">_xlfn.PERCENTRANK.EXC(_xlfn._xlws.FILTER($S$3:$S$15, ISNUMBER($S$3:$S$15)),S3)*100</f>
        <v>14.2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42.8</v>
      </c>
      <c r="AB3" s="4" cm="1">
        <f t="array" ref="AB3">_xlfn.PERCENTRANK.EXC(_xlfn._xlws.FILTER($J$3:$J$15, ISNUMBER($J$3:$J$15)),J3)*100</f>
        <v>21.4</v>
      </c>
      <c r="AC3" s="4">
        <f t="shared" ref="AC3:AC15" si="4">_xlfn.PERCENTRANK.EXC($L$3:$L$15,L3)*100</f>
        <v>92.800000000000011</v>
      </c>
      <c r="AD3" s="4">
        <f t="shared" ref="AD3:AD15" si="5">_xlfn.PERCENTRANK.EXC($M$3:$M$15,M3)*100</f>
        <v>92.800000000000011</v>
      </c>
      <c r="AE3" s="4">
        <f t="shared" ref="AE3:AE15" si="6">_xlfn.PERCENTRANK.EXC($D$3:$D$15,D3)*100</f>
        <v>7.1</v>
      </c>
      <c r="AF3" s="4">
        <f>'Economic Momentum'!Q4</f>
        <v>21.4</v>
      </c>
      <c r="AG3" s="4">
        <f ca="1">'Economic Momentum'!R4</f>
        <v>14.2</v>
      </c>
      <c r="AH3" s="4">
        <f t="shared" ref="AH3:AH15" ca="1" si="7">SUMPRODUCT($U$2:$AG$2,U3:AG3)</f>
        <v>64.22</v>
      </c>
      <c r="AJ3" s="3" cm="1">
        <f t="array" aca="1" ref="AJ3" ca="1">_xlfn.PERCENTRANK.EXC(_xlfn._xlws.FILTER($AH$3:$AH$15, ISNUMBER($AH$3:$AH$15)),AH3)*100</f>
        <v>64.2</v>
      </c>
      <c r="AK3">
        <f t="shared" ref="AK3:AK15" si="8">COUNTIF(V3:AB3,"&gt;70")</f>
        <v>2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1808581.8</v>
      </c>
      <c r="E4" cm="1">
        <f t="array" ref="E4">_xll.FDS(C4,"FMA_COS_UP(""EPS"",""1M"",+1,0,,,""PORTAGG"",""MEANR"")")</f>
        <v>25</v>
      </c>
      <c r="F4" cm="1">
        <f t="array" ref="F4">_xll.FDS(C4,"FMA_COS_DOWN(""EPS"",""1M"",+1,0,,,""PORTAGG"",""MEANR"")")</f>
        <v>19</v>
      </c>
      <c r="G4" cm="1">
        <f t="array" ref="G4">_xll.FDS(A4,"SIZE(FG_CONSTITUENTS)")</f>
        <v>58</v>
      </c>
      <c r="H4" s="9">
        <f t="shared" si="0"/>
        <v>0.43103448275862066</v>
      </c>
      <c r="I4" s="9">
        <f t="shared" si="1"/>
        <v>0.32758620689655171</v>
      </c>
      <c r="J4" s="9">
        <f t="shared" si="2"/>
        <v>0.10344827586206895</v>
      </c>
      <c r="K4" s="5" cm="1">
        <f t="array" ref="K4">_xll.FDS(A4,"FMA_PCT_ABOVE_MAVG(200,0,,,,""PORTAGG"")")/100</f>
        <v>0.62068965517241403</v>
      </c>
      <c r="L4" s="41" cm="1">
        <f t="array" ref="L4">_xll.FDSB(A4,"PERCENT_CHANGE(FMA_EPS(+1,0,,,,""PORTAGG"",""MEAN""),FMA_EPS(+1,-1AM,,,,""PORTAGG"",""MEAN""))")</f>
        <v>4.9889489210268201E-2</v>
      </c>
      <c r="M4" s="41" cm="1">
        <f t="array" ref="M4">_xll.FDSB(A4,"PERCENT_CHANGE(FMA_EPS(+1,0,,,,""PORTAGG"",""MEAN""),FMA_EPS(+1,-3AM,,,,""PORTAGG"",""MEAN""))")</f>
        <v>1.44883908544914</v>
      </c>
      <c r="N4" s="3" cm="1">
        <f t="array" ref="N4">_xll.FDS(C4,"FG_TOTAL_RETURNC(0,-1AM)")</f>
        <v>2.7606130000000002</v>
      </c>
      <c r="O4" s="3" cm="1">
        <f t="array" ref="O4">_xll.FDS(C4,"FG_TOTAL_RETURNC(0,-3AM)")</f>
        <v>9.2121359999999992</v>
      </c>
      <c r="P4" s="3" cm="1">
        <f t="array" ref="P4">_xll.FDS(C4,"FG_TOTAL_RETURNC(0,-6AM)")</f>
        <v>11.845088000000001</v>
      </c>
      <c r="Q4" s="9" cm="1">
        <f t="array" ref="Q4">_xll.FDS(C4,"P_PRICE(0)/P_PRICE_HIGH_PR(0,,,,,,""PRICE"",""INTRA"",""52W"")")</f>
        <v>0.98940519999999998</v>
      </c>
      <c r="R4" s="9" cm="1">
        <f t="array" ref="R4">_xll.FDS(C4,"P_PRICE(0)/P_PRICE_low_PR(0,,,,,,""PRICE"",""INTRA"",""52W"")-1")</f>
        <v>0.30083095999999998</v>
      </c>
      <c r="S4" s="3" cm="1">
        <f t="array" ref="S4">_xll.FDS(C4,"FG_TOTAL_RETURNC(0,-12AM)")</f>
        <v>27.969799999999999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85.7</v>
      </c>
      <c r="X4" s="4" cm="1">
        <f t="array" ref="X4">_xlfn.PERCENTRANK.EXC(_xlfn._xlws.FILTER($P$3:$P$15, ISNUMBER($P$3:$P$15)),P4)*100</f>
        <v>85.7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92.800000000000011</v>
      </c>
      <c r="AC4" s="4">
        <f t="shared" si="4"/>
        <v>64.2</v>
      </c>
      <c r="AD4" s="4">
        <f t="shared" si="5"/>
        <v>57.099999999999994</v>
      </c>
      <c r="AE4" s="4">
        <f t="shared" si="6"/>
        <v>35.699999999999996</v>
      </c>
      <c r="AF4" s="4">
        <f>'Economic Momentum'!Q5</f>
        <v>57.099999999999994</v>
      </c>
      <c r="AG4" s="4">
        <f ca="1">'Economic Momentum'!R5</f>
        <v>57.099999999999994</v>
      </c>
      <c r="AH4" s="4">
        <f t="shared" ca="1" si="7"/>
        <v>74.259999999999991</v>
      </c>
      <c r="AJ4" s="3" cm="1">
        <f t="array" aca="1" ref="AJ4" ca="1">_xlfn.PERCENTRANK.EXC(_xlfn._xlws.FILTER($AH$3:$AH$15, ISNUMBER($AH$3:$AH$15)),AH4)*100</f>
        <v>85.7</v>
      </c>
      <c r="AK4">
        <f t="shared" si="8"/>
        <v>4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2944525.8</v>
      </c>
      <c r="E5" cm="1">
        <f t="array" ref="E5">_xll.FDS(C5,"FMA_COS_UP(""EPS"",""1M"",+1,0,,,""PORTAGG"",""MEANR"")")</f>
        <v>15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86</v>
      </c>
      <c r="H5" s="9">
        <f t="shared" si="0"/>
        <v>0.1744186046511628</v>
      </c>
      <c r="I5" s="9">
        <f t="shared" si="1"/>
        <v>0.43023255813953487</v>
      </c>
      <c r="J5" s="9">
        <f t="shared" si="2"/>
        <v>-0.2558139534883721</v>
      </c>
      <c r="K5" s="5" cm="1">
        <f t="array" ref="K5">_xll.FDS(A5,"FMA_PCT_ABOVE_MAVG(200,0,,,,""PORTAGG"")")/100</f>
        <v>0.73255813953488402</v>
      </c>
      <c r="L5" s="41" cm="1">
        <f t="array" ref="L5">_xll.FDSB(A5,"PERCENT_CHANGE(FMA_EPS(+1,0,,,,""PORTAGG"",""MEAN""),FMA_EPS(+1,-1AM,,,,""PORTAGG"",""MEAN""))")</f>
        <v>-0.92071678887935005</v>
      </c>
      <c r="M5" s="41" cm="1">
        <f t="array" ref="M5">_xll.FDSB(A5,"PERCENT_CHANGE(FMA_EPS(+1,0,,,,""PORTAGG"",""MEAN""),FMA_EPS(+1,-3AM,,,,""PORTAGG"",""MEAN""))")</f>
        <v>1.1803011792508999</v>
      </c>
      <c r="N5" s="3" cm="1">
        <f t="array" ref="N5">_xll.FDS(C5,"FG_TOTAL_RETURNC(0,-1AM)")</f>
        <v>2.7853846999999998</v>
      </c>
      <c r="O5" s="3" cm="1">
        <f t="array" ref="O5">_xll.FDS(C5,"FG_TOTAL_RETURNC(0,-3AM)")</f>
        <v>13.263904999999999</v>
      </c>
      <c r="P5" s="3" cm="1">
        <f t="array" ref="P5">_xll.FDS(C5,"FG_TOTAL_RETURNC(0,-6AM)")</f>
        <v>10.344685</v>
      </c>
      <c r="Q5" s="9" cm="1">
        <f t="array" ref="Q5">_xll.FDS(C5,"P_PRICE(0)/P_PRICE_HIGH_PR(0,,,,,,""PRICE"",""INTRA"",""52W"")")</f>
        <v>0.99722529999999998</v>
      </c>
      <c r="R5" s="9" cm="1">
        <f t="array" ref="R5">_xll.FDS(C5,"P_PRICE(0)/P_PRICE_low_PR(0,,,,,,""PRICE"",""INTRA"",""52W"")-1")</f>
        <v>0.31582307999999998</v>
      </c>
      <c r="S5" s="3" cm="1">
        <f t="array" ref="S5">_xll.FDS(C5,"FG_TOTAL_RETURNC(0,-12AM)")</f>
        <v>24.564910000000001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71.399999999999991</v>
      </c>
      <c r="Y5" s="201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7.1</v>
      </c>
      <c r="AB5" s="4" cm="1">
        <f t="array" ref="AB5">_xlfn.PERCENTRANK.EXC(_xlfn._xlws.FILTER($J$3:$J$15, ISNUMBER($J$3:$J$15)),J5)*100</f>
        <v>7.1</v>
      </c>
      <c r="AC5" s="4">
        <f t="shared" si="4"/>
        <v>35.699999999999996</v>
      </c>
      <c r="AD5" s="4">
        <f t="shared" si="5"/>
        <v>50</v>
      </c>
      <c r="AE5" s="4">
        <f t="shared" si="6"/>
        <v>57.099999999999994</v>
      </c>
      <c r="AF5" s="4">
        <f>'Economic Momentum'!Q6</f>
        <v>78.5</v>
      </c>
      <c r="AG5" s="4">
        <f ca="1">'Economic Momentum'!R6</f>
        <v>42.8</v>
      </c>
      <c r="AH5" s="4">
        <f t="shared" ca="1" si="7"/>
        <v>86.38000000000001</v>
      </c>
      <c r="AJ5" s="3" cm="1">
        <f t="array" aca="1" ref="AJ5" ca="1">_xlfn.PERCENTRANK.EXC(_xlfn._xlws.FILTER($AH$3:$AH$15, ISNUMBER($AH$3:$AH$15)),AH5)*100</f>
        <v>92.800000000000011</v>
      </c>
      <c r="AK5">
        <f t="shared" si="8"/>
        <v>4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2339435.2999999998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9">
        <f t="shared" si="0"/>
        <v>0.38596491228070173</v>
      </c>
      <c r="I6" s="9">
        <f t="shared" si="1"/>
        <v>0.47368421052631576</v>
      </c>
      <c r="J6" s="9">
        <f t="shared" si="2"/>
        <v>-8.771929824561403E-2</v>
      </c>
      <c r="K6" s="5" cm="1">
        <f t="array" ref="K6">_xll.FDS(A6,"FMA_PCT_ABOVE_MAVG(200,0,,,,""PORTAGG"")")/100</f>
        <v>0.59649122807017496</v>
      </c>
      <c r="L6" s="41" cm="1">
        <f t="array" ref="L6">_xll.FDSB(A6,"PERCENT_CHANGE(FMA_EPS(+1,0,,,,""PORTAGG"",""MEAN""),FMA_EPS(+1,-1AM,,,,""PORTAGG"",""MEAN""))")</f>
        <v>-2.6383974109225798</v>
      </c>
      <c r="M6" s="41" cm="1">
        <f t="array" ref="M6">_xll.FDSB(A6,"PERCENT_CHANGE(FMA_EPS(+1,0,,,,""PORTAGG"",""MEAN""),FMA_EPS(+1,-3AM,,,,""PORTAGG"",""MEAN""))")</f>
        <v>2.2574876134488601E-2</v>
      </c>
      <c r="N6" s="3" cm="1">
        <f t="array" ref="N6">_xll.FDS(C6,"FG_TOTAL_RETURNC(0,-1AM)")</f>
        <v>1.1721134</v>
      </c>
      <c r="O6" s="3" cm="1">
        <f t="array" ref="O6">_xll.FDS(C6,"FG_TOTAL_RETURNC(0,-3AM)")</f>
        <v>8.6812380000000005</v>
      </c>
      <c r="P6" s="3" cm="1">
        <f t="array" ref="P6">_xll.FDS(C6,"FG_TOTAL_RETURNC(0,-6AM)")</f>
        <v>7.4114440000000004</v>
      </c>
      <c r="Q6" s="9" cm="1">
        <f t="array" ref="Q6">_xll.FDS(C6,"P_PRICE(0)/P_PRICE_HIGH_PR(0,,,,,,""PRICE"",""INTRA"",""52W"")")</f>
        <v>0.98735695999999995</v>
      </c>
      <c r="R6" s="9" cm="1">
        <f t="array" ref="R6">_xll.FDS(C6,"P_PRICE(0)/P_PRICE_low_PR(0,,,,,,""PRICE"",""INTRA"",""52W"")-1")</f>
        <v>0.32766640000000002</v>
      </c>
      <c r="S6" s="3" cm="1">
        <f t="array" ref="S6">_xll.FDS(C6,"FG_TOTAL_RETURNC(0,-12AM)")</f>
        <v>25.836013999999999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42.8</v>
      </c>
      <c r="Y6" s="201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42.8</v>
      </c>
      <c r="AC6" s="4">
        <f t="shared" si="4"/>
        <v>14.2</v>
      </c>
      <c r="AD6" s="4">
        <f t="shared" si="5"/>
        <v>35.699999999999996</v>
      </c>
      <c r="AE6" s="4">
        <f t="shared" si="6"/>
        <v>50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54.26</v>
      </c>
      <c r="AJ6" s="3" cm="1">
        <f t="array" aca="1" ref="AJ6" ca="1">_xlfn.PERCENTRANK.EXC(_xlfn._xlws.FILTER($AH$3:$AH$15, ISNUMBER($AH$3:$AH$15)),AH6)*100</f>
        <v>50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6691552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200</v>
      </c>
      <c r="H7" s="9">
        <f t="shared" si="0"/>
        <v>0.48499999999999999</v>
      </c>
      <c r="I7" s="9">
        <f t="shared" si="1"/>
        <v>0.42</v>
      </c>
      <c r="J7" s="9">
        <f t="shared" si="2"/>
        <v>6.5000000000000002E-2</v>
      </c>
      <c r="K7" s="5" cm="1">
        <f t="array" ref="K7">_xll.FDS(A7,"FMA_PCT_ABOVE_MAVG(200,0,,,,""PORTAGG"")")/100</f>
        <v>0.45226130653266305</v>
      </c>
      <c r="L7" s="41" cm="1">
        <f t="array" ref="L7">_xll.FDSB(A7,"PERCENT_CHANGE(FMA_EPS(+1,0,,,,""PORTAGG"",""MEAN""),FMA_EPS(+1,-1AM,,,,""PORTAGG"",""MEAN""))")</f>
        <v>2.0313185905173601</v>
      </c>
      <c r="M7" s="41" cm="1">
        <f t="array" ref="M7">_xll.FDSB(A7,"PERCENT_CHANGE(FMA_EPS(+1,0,,,,""PORTAGG"",""MEAN""),FMA_EPS(+1,-3AM,,,,""PORTAGG"",""MEAN""))")</f>
        <v>13.750483106760401</v>
      </c>
      <c r="N7" s="3" cm="1">
        <f t="array" ref="N7">_xll.FDS(C7,"FG_TOTAL_RETURNC(0,-1AM)")</f>
        <v>-0.33365487999999999</v>
      </c>
      <c r="O7" s="3" cm="1">
        <f t="array" ref="O7">_xll.FDS(C7,"FG_TOTAL_RETURNC(0,-3AM)")</f>
        <v>8.6047534999999993</v>
      </c>
      <c r="P7" s="3" cm="1">
        <f t="array" ref="P7">_xll.FDS(C7,"FG_TOTAL_RETURNC(0,-6AM)")</f>
        <v>0.56499239999999995</v>
      </c>
      <c r="Q7" s="9" cm="1">
        <f t="array" ref="Q7">_xll.FDS(C7,"P_PRICE(0)/P_PRICE_HIGH_PR(0,,,,,,""PRICE"",""INTRA"",""52W"")")</f>
        <v>0.99122023999999997</v>
      </c>
      <c r="R7" s="9" cm="1">
        <f t="array" ref="R7">_xll.FDS(C7,"P_PRICE(0)/P_PRICE_low_PR(0,,,,,,""PRICE"",""INTRA"",""52W"")-1")</f>
        <v>0.25332165000000001</v>
      </c>
      <c r="S7" s="3" cm="1">
        <f t="array" ref="S7">_xll.FDS(C7,"FG_TOTAL_RETURNC(0,-12AM)")</f>
        <v>18.517458000000001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28.499999999999996</v>
      </c>
      <c r="Z7" s="4" cm="1">
        <f t="array" ref="Z7">_xlfn.PERCENTRANK.EXC(_xlfn._xlws.FILTER($K$3:$K$15, ISNUMBER($K$3:$K$15)),K7)*100</f>
        <v>7.1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4"/>
        <v>85.7</v>
      </c>
      <c r="AD7" s="4">
        <f t="shared" si="5"/>
        <v>85.7</v>
      </c>
      <c r="AE7" s="4">
        <f t="shared" si="6"/>
        <v>78.5</v>
      </c>
      <c r="AF7" s="4">
        <f>'Economic Momentum'!Q8</f>
        <v>85.7</v>
      </c>
      <c r="AG7" s="4">
        <f ca="1">'Economic Momentum'!R8</f>
        <v>92.800000000000011</v>
      </c>
      <c r="AH7" s="4">
        <f t="shared" ca="1" si="7"/>
        <v>49.2</v>
      </c>
      <c r="AJ7" s="3" cm="1">
        <f t="array" aca="1" ref="AJ7" ca="1">_xlfn.PERCENTRANK.EXC(_xlfn._xlws.FILTER($AH$3:$AH$15, ISNUMBER($AH$3:$AH$15)),AH7)*100</f>
        <v>42.8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2283042.2999999998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25</v>
      </c>
      <c r="G8" cm="1">
        <f t="array" ref="G8">_xll.FDS(A8,"SIZE(FG_CONSTITUENTS)")</f>
        <v>47</v>
      </c>
      <c r="H8" s="9">
        <f t="shared" si="0"/>
        <v>0.2978723404255319</v>
      </c>
      <c r="I8" s="9">
        <f t="shared" si="1"/>
        <v>0.53191489361702127</v>
      </c>
      <c r="J8" s="9">
        <f t="shared" si="2"/>
        <v>-0.23404255319148937</v>
      </c>
      <c r="K8" s="5" cm="1">
        <f t="array" ref="K8">_xll.FDS(A8,"FMA_PCT_ABOVE_MAVG(200,0,,,,""PORTAGG"")")/100</f>
        <v>0.54347826086956497</v>
      </c>
      <c r="L8" s="41" cm="1">
        <f t="array" ref="L8">_xll.FDSB(A8,"PERCENT_CHANGE(FMA_EPS(+1,0,,,,""PORTAGG"",""MEAN""),FMA_EPS(+1,-1AM,,,,""PORTAGG"",""MEAN""))")</f>
        <v>-4.7494773940737103E-2</v>
      </c>
      <c r="M8" s="41" cm="1">
        <f t="array" ref="M8">_xll.FDSB(A8,"PERCENT_CHANGE(FMA_EPS(+1,0,,,,""PORTAGG"",""MEAN""),FMA_EPS(+1,-3AM,,,,""PORTAGG"",""MEAN""))")</f>
        <v>4.6041302814017397</v>
      </c>
      <c r="N8" s="3" cm="1">
        <f t="array" ref="N8">_xll.FDS(C8,"FG_TOTAL_RETURNC(0,-1AM)")</f>
        <v>-2.8661132</v>
      </c>
      <c r="O8" s="3" cm="1">
        <f t="array" ref="O8">_xll.FDS(C8,"FG_TOTAL_RETURNC(0,-3AM)")</f>
        <v>4.9701570000000004</v>
      </c>
      <c r="P8" s="3" cm="1">
        <f t="array" ref="P8">_xll.FDS(C8,"FG_TOTAL_RETURNC(0,-6AM)")</f>
        <v>9.8627570000000002</v>
      </c>
      <c r="Q8" s="9" cm="1">
        <f t="array" ref="Q8">_xll.FDS(C8,"P_PRICE(0)/P_PRICE_HIGH_PR(0,,,,,,""PRICE"",""INTRA"",""52W"")")</f>
        <v>0.96181410000000001</v>
      </c>
      <c r="R8" s="9" cm="1">
        <f t="array" ref="R8">_xll.FDS(C8,"P_PRICE(0)/P_PRICE_low_PR(0,,,,,,""PRICE"",""INTRA"",""52W"")-1")</f>
        <v>0.22755718</v>
      </c>
      <c r="S8" s="3" cm="1">
        <f t="array" ref="S8">_xll.FDS(C8,"FG_TOTAL_RETURNC(0,-12AM)")</f>
        <v>17.471111000000001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28.499999999999996</v>
      </c>
      <c r="W8" s="4" cm="1">
        <f t="array" ref="W8">_xlfn.PERCENTRANK.EXC(_xlfn._xlws.FILTER($O$3:$O$15, ISNUMBER($O$3:$O$15)),O8)*100</f>
        <v>28.499999999999996</v>
      </c>
      <c r="X8" s="4" cm="1">
        <f t="array" ref="X8">_xlfn.PERCENTRANK.EXC(_xlfn._xlws.FILTER($P$3:$P$15, ISNUMBER($P$3:$P$15)),P8)*100</f>
        <v>57.099999999999994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35.699999999999996</v>
      </c>
      <c r="AB8" s="4" cm="1">
        <f t="array" ref="AB8">_xlfn.PERCENTRANK.EXC(_xlfn._xlws.FILTER($J$3:$J$15, ISNUMBER($J$3:$J$15)),J8)*100</f>
        <v>14.2</v>
      </c>
      <c r="AC8" s="4">
        <f t="shared" si="4"/>
        <v>57.099999999999994</v>
      </c>
      <c r="AD8" s="4">
        <f t="shared" si="5"/>
        <v>78.5</v>
      </c>
      <c r="AE8" s="4">
        <f t="shared" si="6"/>
        <v>42.8</v>
      </c>
      <c r="AF8" s="4">
        <f>'Economic Momentum'!Q9</f>
        <v>64.2</v>
      </c>
      <c r="AG8" s="4">
        <f ca="1">'Economic Momentum'!R9</f>
        <v>35.699999999999996</v>
      </c>
      <c r="AH8" s="4">
        <f t="shared" ca="1" si="7"/>
        <v>37.08</v>
      </c>
      <c r="AJ8" s="3" cm="1">
        <f t="array" aca="1" ref="AJ8" ca="1">_xlfn.PERCENTRANK.EXC(_xlfn._xlws.FILTER($AH$3:$AH$15, ISNUMBER($AH$3:$AH$15)),AH8)*100</f>
        <v>28.499999999999996</v>
      </c>
      <c r="AK8">
        <f t="shared" si="8"/>
        <v>0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3384746.5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28</v>
      </c>
      <c r="G9" cm="1">
        <f t="array" ref="G9">_xll.FDS(A9,"SIZE(FG_CONSTITUENTS)")</f>
        <v>79</v>
      </c>
      <c r="H9" s="9">
        <f t="shared" si="0"/>
        <v>0.41772151898734178</v>
      </c>
      <c r="I9" s="9">
        <f t="shared" si="1"/>
        <v>0.35443037974683544</v>
      </c>
      <c r="J9" s="9">
        <f t="shared" si="2"/>
        <v>6.3291139240506333E-2</v>
      </c>
      <c r="K9" s="5" cm="1">
        <f t="array" ref="K9">_xll.FDS(A9,"FMA_PCT_ABOVE_MAVG(200,0,,,,""PORTAGG"")")/100</f>
        <v>0.64102564102564097</v>
      </c>
      <c r="L9" s="41" cm="1">
        <f t="array" ref="L9">_xll.FDSB(A9,"PERCENT_CHANGE(FMA_EPS(+1,0,,,,""PORTAGG"",""MEAN""),FMA_EPS(+1,-1AM,,,,""PORTAGG"",""MEAN""))")</f>
        <v>-0.25075131888749103</v>
      </c>
      <c r="M9" s="41" cm="1">
        <f t="array" ref="M9">_xll.FDSB(A9,"PERCENT_CHANGE(FMA_EPS(+1,0,,,,""PORTAGG"",""MEAN""),FMA_EPS(+1,-3AM,,,,""PORTAGG"",""MEAN""))")</f>
        <v>1.7381716768597599</v>
      </c>
      <c r="N9" s="3" cm="1">
        <f t="array" ref="N9">_xll.FDS(C9,"FG_TOTAL_RETURNC(0,-1AM)")</f>
        <v>-1.3369321999999999E-2</v>
      </c>
      <c r="O9" s="3" cm="1">
        <f t="array" ref="O9">_xll.FDS(C9,"FG_TOTAL_RETURNC(0,-3AM)")</f>
        <v>6.5081119999999997</v>
      </c>
      <c r="P9" s="3" cm="1">
        <f t="array" ref="P9">_xll.FDS(C9,"FG_TOTAL_RETURNC(0,-6AM)")</f>
        <v>12.469970999999999</v>
      </c>
      <c r="Q9" s="9" cm="1">
        <f t="array" ref="Q9">_xll.FDS(C9,"P_PRICE(0)/P_PRICE_HIGH_PR(0,,,,,,""PRICE"",""INTRA"",""52W"")")</f>
        <v>0.99243630000000005</v>
      </c>
      <c r="R9" s="9" cm="1">
        <f t="array" ref="R9">_xll.FDS(C9,"P_PRICE(0)/P_PRICE_low_PR(0,,,,,,""PRICE"",""INTRA"",""52W"")-1")</f>
        <v>0.24071002</v>
      </c>
      <c r="S9" s="3" cm="1">
        <f t="array" ref="S9">_xll.FDS(C9,"FG_TOTAL_RETURNC(0,-12AM)")</f>
        <v>21.852779999999999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35.699999999999996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78.5</v>
      </c>
      <c r="AC9" s="4">
        <f t="shared" si="4"/>
        <v>50</v>
      </c>
      <c r="AD9" s="4">
        <f t="shared" si="5"/>
        <v>64.2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71.400000000000006</v>
      </c>
      <c r="AJ9" s="3" cm="1">
        <f t="array" aca="1" ref="AJ9" ca="1">_xlfn.PERCENTRANK.EXC(_xlfn._xlws.FILTER($AH$3:$AH$15, ISNUMBER($AH$3:$AH$15)),AH9)*100</f>
        <v>78.5</v>
      </c>
      <c r="AK9">
        <f t="shared" si="8"/>
        <v>5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59223420</v>
      </c>
      <c r="E10" cm="1">
        <f t="array" ref="E10">_xll.FDS(C10,"FMA_COS_UP(""EPS"",""1M"",+1,0,,,""PORTAGG"",""MEANR"")")</f>
        <v>35</v>
      </c>
      <c r="F10" cm="1">
        <f t="array" ref="F10">_xll.FDS(C10,"FMA_COS_DOWN(""EPS"",""1M"",+1,0,,,""PORTAGG"",""MEANR"")")</f>
        <v>30</v>
      </c>
      <c r="G10" cm="1">
        <f t="array" ref="G10">_xll.FDS(A10,"SIZE(FG_CONSTITUENTS)")</f>
        <v>102</v>
      </c>
      <c r="H10" s="9">
        <f t="shared" si="0"/>
        <v>0.34313725490196079</v>
      </c>
      <c r="I10" s="9">
        <f t="shared" si="1"/>
        <v>0.29411764705882354</v>
      </c>
      <c r="J10" s="9">
        <f t="shared" si="2"/>
        <v>4.9019607843137247E-2</v>
      </c>
      <c r="K10" s="5" cm="1">
        <f t="array" ref="K10">_xll.FDS(A10,"FMA_PCT_ABOVE_MAVG(200,0,,,,""PORTAGG"")")/100</f>
        <v>0.58823529411764708</v>
      </c>
      <c r="L10" s="41" cm="1">
        <f t="array" ref="L10">_xll.FDSB(A10,"PERCENT_CHANGE(FMA_EPS(+1,0,,,,""PORTAGG"",""MEAN""),FMA_EPS(+1,-1AM,,,,""PORTAGG"",""MEAN""))")</f>
        <v>0.58076351029153905</v>
      </c>
      <c r="M10" s="41" cm="1">
        <f t="array" ref="M10">_xll.FDSB(A10,"PERCENT_CHANGE(FMA_EPS(+1,0,,,,""PORTAGG"",""MEAN""),FMA_EPS(+1,-3AM,,,,""PORTAGG"",""MEAN""))")</f>
        <v>-4.5526381076884501</v>
      </c>
      <c r="N10" s="3" cm="1">
        <f t="array" ref="N10">_xll.FDS(C10,"FG_TOTAL_RETURNC(0,-1AM)")</f>
        <v>0.87853669999999995</v>
      </c>
      <c r="O10" s="3" cm="1">
        <f t="array" ref="O10">_xll.FDS(C10,"FG_TOTAL_RETURNC(0,-3AM)")</f>
        <v>1.0027409</v>
      </c>
      <c r="P10" s="3" cm="1">
        <f t="array" ref="P10">_xll.FDS(C10,"FG_TOTAL_RETURNC(0,-6AM)")</f>
        <v>8.650684</v>
      </c>
      <c r="Q10" s="9" cm="1">
        <f t="array" ref="Q10">_xll.FDS(C10,"P_PRICE(0)/P_PRICE_HIGH_PR(0,,,,,,""PRICE"",""INTRA"",""52W"")")</f>
        <v>0.96043855</v>
      </c>
      <c r="R10" s="9" cm="1">
        <f t="array" ref="R10">_xll.FDS(C10,"P_PRICE(0)/P_PRICE_low_PR(0,,,,,,""PRICE"",""INTRA"",""52W"")-1")</f>
        <v>0.41258942999999998</v>
      </c>
      <c r="S10" s="3" cm="1">
        <f t="array" ref="S10">_xll.FDS(C10,"FG_TOTAL_RETURNC(0,-12AM)")</f>
        <v>36.042667000000002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50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78.5</v>
      </c>
      <c r="AD10" s="4">
        <f t="shared" si="5"/>
        <v>7.1</v>
      </c>
      <c r="AE10" s="4">
        <f t="shared" si="6"/>
        <v>85.7</v>
      </c>
      <c r="AF10" s="4">
        <f>'Economic Momentum'!Q11</f>
        <v>35.699999999999996</v>
      </c>
      <c r="AG10" s="4">
        <f ca="1">'Economic Momentum'!R11</f>
        <v>21.4</v>
      </c>
      <c r="AH10" s="4">
        <f t="shared" ca="1" si="7"/>
        <v>27.82</v>
      </c>
      <c r="AJ10" s="3" cm="1">
        <f t="array" aca="1" ref="AJ10" ca="1">_xlfn.PERCENTRANK.EXC(_xlfn._xlws.FILTER($AH$3:$AH$15, ISNUMBER($AH$3:$AH$15)),AH10)*100</f>
        <v>21.4</v>
      </c>
      <c r="AK10">
        <f t="shared" si="8"/>
        <v>2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59223420</v>
      </c>
      <c r="E11" cm="1">
        <f t="array" ref="E11">_xll.FDS(C11,"FMA_COS_UP(""EPS"",""1M"",+1,0,,,""PORTAGG"",""MEANR"")")</f>
        <v>155</v>
      </c>
      <c r="F11" cm="1">
        <f t="array" ref="F11">_xll.FDS(C11,"FMA_COS_DOWN(""EPS"",""1M"",+1,0,,,""PORTAGG"",""MEANR"")")</f>
        <v>171</v>
      </c>
      <c r="G11" cm="1">
        <f t="array" ref="G11">_xll.FDS(A11,"SIZE(FG_CONSTITUENTS)")</f>
        <v>503</v>
      </c>
      <c r="H11" s="9">
        <f t="shared" si="0"/>
        <v>0.30815109343936381</v>
      </c>
      <c r="I11" s="9">
        <f t="shared" si="1"/>
        <v>0.33996023856858848</v>
      </c>
      <c r="J11" s="9">
        <f t="shared" si="2"/>
        <v>-3.180914512922467E-2</v>
      </c>
      <c r="K11" s="5" cm="1">
        <f t="array" ref="K11">_xll.FDS(A11,"FMA_PCT_ABOVE_MAVG(200,0,,,,""PORTAGG"")")/100</f>
        <v>0.77445109780439092</v>
      </c>
      <c r="L11" s="41" cm="1">
        <f t="array" ref="L11">_xll.FDSB(A11,"PERCENT_CHANGE(FMA_EPS(+1,0,,,,""PORTAGG"",""MEAN""),FMA_EPS(+1,-1AM,,,,""PORTAGG"",""MEAN""))")</f>
        <v>6.3130168114153104E-2</v>
      </c>
      <c r="M11" s="41" cm="1">
        <f t="array" ref="M11">_xll.FDSB(A11,"PERCENT_CHANGE(FMA_EPS(+1,0,,,,""PORTAGG"",""MEAN""),FMA_EPS(+1,-3AM,,,,""PORTAGG"",""MEAN""))")</f>
        <v>-0.67410967090660101</v>
      </c>
      <c r="N11" s="3" cm="1">
        <f t="array" ref="N11">_xll.FDS(C11,"FG_TOTAL_RETURNC(0,-1AM)")</f>
        <v>1.6883135</v>
      </c>
      <c r="O11" s="3" cm="1">
        <f t="array" ref="O11">_xll.FDS(C11,"FG_TOTAL_RETURNC(0,-3AM)")</f>
        <v>4.9788832999999997</v>
      </c>
      <c r="P11" s="3" cm="1">
        <f t="array" ref="P11">_xll.FDS(C11,"FG_TOTAL_RETURNC(0,-6AM)")</f>
        <v>10.026109999999999</v>
      </c>
      <c r="Q11" s="9" cm="1">
        <f t="array" ref="Q11">_xll.FDS(C11,"P_PRICE(0)/P_PRICE_HIGH_PR(0,,,,,,""PRICE"",""INTRA"",""52W"")")</f>
        <v>0.99490279999999998</v>
      </c>
      <c r="R11" s="9" cm="1">
        <f t="array" ref="R11">_xll.FDS(C11,"P_PRICE(0)/P_PRICE_low_PR(0,,,,,,""PRICE"",""INTRA"",""52W"")-1")</f>
        <v>0.39282990000000001</v>
      </c>
      <c r="S11" s="3" cm="1">
        <f t="array" ref="S11">_xll.FDS(C11,"FG_TOTAL_RETURNC(0,-12AM)")</f>
        <v>34.215069999999997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35.699999999999996</v>
      </c>
      <c r="X11" s="4" cm="1">
        <f t="array" ref="X11">_xlfn.PERCENTRANK.EXC(_xlfn._xlws.FILTER($P$3:$P$15, ISNUMBER($P$3:$P$15)),P11)*100</f>
        <v>64.2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4"/>
        <v>71.399999999999991</v>
      </c>
      <c r="AD11" s="4">
        <f t="shared" si="5"/>
        <v>21.4</v>
      </c>
      <c r="AE11" s="4">
        <f t="shared" si="6"/>
        <v>85.7</v>
      </c>
      <c r="AF11" s="4">
        <f>'Economic Momentum'!Q12</f>
        <v>35.699999999999996</v>
      </c>
      <c r="AG11" s="4">
        <f ca="1">'Economic Momentum'!R12</f>
        <v>21.4</v>
      </c>
      <c r="AH11" s="4">
        <f t="shared" ca="1" si="7"/>
        <v>64.25</v>
      </c>
      <c r="AJ11" s="3" cm="1">
        <f t="array" aca="1" ref="AJ11" ca="1">_xlfn.PERCENTRANK.EXC(_xlfn._xlws.FILTER($AH$3:$AH$15, ISNUMBER($AH$3:$AH$15)),AH11)*100</f>
        <v>71.399999999999991</v>
      </c>
      <c r="AK11">
        <f t="shared" si="8"/>
        <v>3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3179112.3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23</v>
      </c>
      <c r="G12" cm="1">
        <f t="array" ref="G12">_xll.FDS(A12,"SIZE(FG_CONSTITUENTS)")</f>
        <v>61</v>
      </c>
      <c r="H12" s="9">
        <f t="shared" ref="H12:H15" si="9">E12/$G12</f>
        <v>0.34426229508196721</v>
      </c>
      <c r="I12" s="9">
        <f t="shared" ref="I12:I15" si="10">F12/$G12</f>
        <v>0.37704918032786883</v>
      </c>
      <c r="J12" s="9">
        <f t="shared" ref="J12:J15" si="11">H12-I12</f>
        <v>-3.278688524590162E-2</v>
      </c>
      <c r="K12" s="5" cm="1">
        <f t="array" ref="K12">_xll.FDS(A12,"FMA_PCT_ABOVE_MAVG(200,0,,,,""PORTAGG"")")/100</f>
        <v>0.54098360655737698</v>
      </c>
      <c r="L12" s="41" cm="1">
        <f t="array" ref="L12">_xll.FDSB(A12,"PERCENT_CHANGE(FMA_EPS(+1,0,,,,""PORTAGG"",""MEAN""),FMA_EPS(+1,-1AM,,,,""PORTAGG"",""MEAN""))")</f>
        <v>-0.89823418080461004</v>
      </c>
      <c r="M12" s="41" cm="1">
        <f t="array" ref="M12">_xll.FDSB(A12,"PERCENT_CHANGE(FMA_EPS(+1,0,,,,""PORTAGG"",""MEAN""),FMA_EPS(+1,-3AM,,,,""PORTAGG"",""MEAN""))")</f>
        <v>0.48271934824255902</v>
      </c>
      <c r="N12" s="3" cm="1">
        <f t="array" ref="N12">_xll.FDS(C12,"FG_TOTAL_RETURNC(0,-1AM)")</f>
        <v>-1.2228549</v>
      </c>
      <c r="O12" s="3" cm="1">
        <f t="array" ref="O12">_xll.FDS(C12,"FG_TOTAL_RETURNC(0,-3AM)")</f>
        <v>3.1266332000000001</v>
      </c>
      <c r="P12" s="3" cm="1">
        <f t="array" ref="P12">_xll.FDS(C12,"FG_TOTAL_RETURNC(0,-6AM)")</f>
        <v>-1.4850855000000001</v>
      </c>
      <c r="Q12" s="9" cm="1">
        <f t="array" ref="Q12">_xll.FDS(C12,"P_PRICE(0)/P_PRICE_HIGH_PR(0,,,,,,""PRICE"",""INTRA"",""52W"")")</f>
        <v>0.92910809999999999</v>
      </c>
      <c r="R12" s="9" cm="1">
        <f t="array" ref="R12">_xll.FDS(C12,"P_PRICE(0)/P_PRICE_low_PR(0,,,,,,""PRICE"",""INTRA"",""52W"")-1")</f>
        <v>0.17587649999999999</v>
      </c>
      <c r="S12" s="3" cm="1">
        <f t="array" ref="S12">_xll.FDS(C12,"FG_TOTAL_RETURNC(0,-12AM)")</f>
        <v>13.136983000000001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21.4</v>
      </c>
      <c r="AA12" s="4" cm="1">
        <f t="array" ref="AA12">_xlfn.PERCENTRANK.EXC(_xlfn._xlws.FILTER($H$3:$H$15, ISNUMBER($H$3:$H$15)),H12)*100</f>
        <v>64.2</v>
      </c>
      <c r="AB12" s="4" cm="1">
        <f t="array" ref="AB12">_xlfn.PERCENTRANK.EXC(_xlfn._xlws.FILTER($J$3:$J$15, ISNUMBER($J$3:$J$15)),J12)*100</f>
        <v>57.099999999999994</v>
      </c>
      <c r="AC12" s="4">
        <f t="shared" si="4"/>
        <v>42.8</v>
      </c>
      <c r="AD12" s="4">
        <f t="shared" si="5"/>
        <v>42.8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50</v>
      </c>
      <c r="AH12" s="4">
        <f t="shared" ca="1" si="7"/>
        <v>11.389999999999997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1095794.8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55</v>
      </c>
      <c r="H13" s="9">
        <f t="shared" si="9"/>
        <v>0.29090909090909089</v>
      </c>
      <c r="I13" s="9">
        <f t="shared" si="10"/>
        <v>0.38181818181818183</v>
      </c>
      <c r="J13" s="9">
        <f t="shared" si="11"/>
        <v>-9.0909090909090939E-2</v>
      </c>
      <c r="K13" s="5" cm="1">
        <f t="array" ref="K13">_xll.FDS(A13,"FMA_PCT_ABOVE_MAVG(200,0,,,,""PORTAGG"")")/100</f>
        <v>0.55555555555555602</v>
      </c>
      <c r="L13" s="41" cm="1">
        <f t="array" ref="L13">_xll.FDSB(A13,"PERCENT_CHANGE(FMA_EPS(+1,0,,,,""PORTAGG"",""MEAN""),FMA_EPS(+1,-1AM,,,,""PORTAGG"",""MEAN""))")</f>
        <v>-1.54895673409215</v>
      </c>
      <c r="M13" s="41" cm="1">
        <f t="array" ref="M13">_xll.FDSB(A13,"PERCENT_CHANGE(FMA_EPS(+1,0,,,,""PORTAGG"",""MEAN""),FMA_EPS(+1,-3AM,,,,""PORTAGG"",""MEAN""))")</f>
        <v>3.00099837390546</v>
      </c>
      <c r="N13" s="3" cm="1">
        <f t="array" ref="N13">_xll.FDS(C13,"FG_TOTAL_RETURNC(0,-1AM)")</f>
        <v>-2.2061765000000002</v>
      </c>
      <c r="O13" s="3" cm="1">
        <f t="array" ref="O13">_xll.FDS(C13,"FG_TOTAL_RETURNC(0,-3AM)")</f>
        <v>-2.3992895999999999</v>
      </c>
      <c r="P13" s="3" cm="1">
        <f t="array" ref="P13">_xll.FDS(C13,"FG_TOTAL_RETURNC(0,-6AM)")</f>
        <v>1.8805027000000001</v>
      </c>
      <c r="Q13" s="9" cm="1">
        <f t="array" ref="Q13">_xll.FDS(C13,"P_PRICE(0)/P_PRICE_HIGH_PR(0,,,,,,""PRICE"",""INTRA"",""52W"")")</f>
        <v>0.93201959999999995</v>
      </c>
      <c r="R13" s="9" cm="1">
        <f t="array" ref="R13">_xll.FDS(C13,"P_PRICE(0)/P_PRICE_low_PR(0,,,,,,""PRICE"",""INTRA"",""52W"")-1")</f>
        <v>0.36194539999999997</v>
      </c>
      <c r="S13" s="3" cm="1">
        <f t="array" ref="S13">_xll.FDS(C13,"FG_TOTAL_RETURNC(0,-12AM)")</f>
        <v>31.247520000000002</v>
      </c>
      <c r="T13" s="4" cm="1">
        <f t="array" ref="T13">_xlfn.PERCENTRANK.EXC(_xlfn._xlws.FILTER($R$3:$R$15, ISNUMBER($R$3:$R$15)),R13)*100</f>
        <v>71.399999999999991</v>
      </c>
      <c r="U13" s="4">
        <f t="shared" si="12"/>
        <v>28.600000000000009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35.699999999999996</v>
      </c>
      <c r="AC13" s="4">
        <f t="shared" si="4"/>
        <v>28.499999999999996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28.499999999999996</v>
      </c>
      <c r="AG13" s="4">
        <f ca="1">'Economic Momentum'!R14</f>
        <v>85.7</v>
      </c>
      <c r="AH13" s="4">
        <f t="shared" ca="1" si="7"/>
        <v>14.229999999999999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1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1079401.8999999999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47</v>
      </c>
      <c r="H14" s="9">
        <f t="shared" si="9"/>
        <v>0.27659574468085107</v>
      </c>
      <c r="I14" s="9">
        <f t="shared" si="10"/>
        <v>0.46808510638297873</v>
      </c>
      <c r="J14" s="9">
        <f t="shared" si="11"/>
        <v>-0.19148936170212766</v>
      </c>
      <c r="K14" s="5" cm="1">
        <f t="array" ref="K14">_xll.FDS(A14,"FMA_PCT_ABOVE_MAVG(200,0,,,,""PORTAGG"")")/100</f>
        <v>0.62222222222222201</v>
      </c>
      <c r="L14" s="41" cm="1">
        <f t="array" ref="L14">_xll.FDSB(A14,"PERCENT_CHANGE(FMA_EPS(+1,0,,,,""PORTAGG"",""MEAN""),FMA_EPS(+1,-1AM,,,,""PORTAGG"",""MEAN""))")</f>
        <v>-3.0448912082783099</v>
      </c>
      <c r="M14" s="41" cm="1">
        <f t="array" ref="M14">_xll.FDSB(A14,"PERCENT_CHANGE(FMA_EPS(+1,0,,,,""PORTAGG"",""MEAN""),FMA_EPS(+1,-3AM,,,,""PORTAGG"",""MEAN""))")</f>
        <v>-3.3982697211996702</v>
      </c>
      <c r="N14" s="3" cm="1">
        <f t="array" ref="N14">_xll.FDS(C14,"FG_TOTAL_RETURNC(0,-1AM)")</f>
        <v>1.1203765999999999</v>
      </c>
      <c r="O14" s="3" cm="1">
        <f t="array" ref="O14">_xll.FDS(C14,"FG_TOTAL_RETURNC(0,-3AM)")</f>
        <v>5.3128123</v>
      </c>
      <c r="P14" s="3" cm="1">
        <f t="array" ref="P14">_xll.FDS(C14,"FG_TOTAL_RETURNC(0,-6AM)")</f>
        <v>5.9575440000000004</v>
      </c>
      <c r="Q14" s="9" cm="1">
        <f t="array" ref="Q14">_xll.FDS(C14,"P_PRICE(0)/P_PRICE_HIGH_PR(0,,,,,,""PRICE"",""INTRA"",""52W"")")</f>
        <v>0.99297743999999999</v>
      </c>
      <c r="R14" s="9" cm="1">
        <f t="array" ref="R14">_xll.FDS(C14,"P_PRICE(0)/P_PRICE_low_PR(0,,,,,,""PRICE"",""INTRA"",""52W"")-1")</f>
        <v>0.38243437000000002</v>
      </c>
      <c r="S14" s="3" cm="1">
        <f t="array" ref="S14">_xll.FDS(C14,"FG_TOTAL_RETURNC(0,-12AM)")</f>
        <v>35.943187999999999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78.5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35.699999999999996</v>
      </c>
      <c r="Y14" s="201" cm="1">
        <f t="array" ref="Y14">_xlfn.PERCENTRANK.EXC(_xlfn._xlws.FILTER($S$3:$S$15, ISNUMBER($S$3:$S$15)),S14)*100</f>
        <v>85.7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28.499999999999996</v>
      </c>
      <c r="AC14" s="4">
        <f t="shared" si="4"/>
        <v>7.1</v>
      </c>
      <c r="AD14" s="4">
        <f t="shared" si="5"/>
        <v>14.2</v>
      </c>
      <c r="AE14" s="4">
        <f t="shared" si="6"/>
        <v>21.4</v>
      </c>
      <c r="AF14" s="4">
        <f>'Economic Momentum'!Q15</f>
        <v>50</v>
      </c>
      <c r="AG14" s="4">
        <f ca="1">'Economic Momentum'!R15</f>
        <v>71.399999999999991</v>
      </c>
      <c r="AH14" s="4">
        <f t="shared" ca="1" si="7"/>
        <v>54.95</v>
      </c>
      <c r="AJ14" s="3" cm="1">
        <f t="array" aca="1" ref="AJ14" ca="1">_xlfn.PERCENTRANK.EXC(_xlfn._xlws.FILTER($AH$3:$AH$15, ISNUMBER($AH$3:$AH$15)),AH14)*100</f>
        <v>57.099999999999994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888950.75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9">
        <f t="shared" si="9"/>
        <v>0.26923076923076922</v>
      </c>
      <c r="I15" s="9">
        <f t="shared" si="10"/>
        <v>0.34615384615384615</v>
      </c>
      <c r="J15" s="9">
        <f t="shared" si="11"/>
        <v>-7.6923076923076927E-2</v>
      </c>
      <c r="K15" s="5" cm="1">
        <f t="array" ref="K15">_xll.FDS(A15,"FMA_PCT_ABOVE_MAVG(200,0,,,,""PORTAGG"")")/100</f>
        <v>0.72</v>
      </c>
      <c r="L15" s="41" cm="1">
        <f t="array" ref="L15">_xll.FDSB(A15,"PERCENT_CHANGE(FMA_EPS(+1,0,,,,""PORTAGG"",""MEAN""),FMA_EPS(+1,-1AM,,,,""PORTAGG"",""MEAN""))")</f>
        <v>-1.7989902657050201</v>
      </c>
      <c r="M15" s="41" cm="1">
        <f t="array" ref="M15">_xll.FDSB(A15,"PERCENT_CHANGE(FMA_EPS(+1,0,,,,""PORTAGG"",""MEAN""),FMA_EPS(+1,-3AM,,,,""PORTAGG"",""MEAN""))")</f>
        <v>-7.8271263965913093E-2</v>
      </c>
      <c r="N15" s="3" cm="1">
        <f t="array" ref="N15">_xll.FDS(C15,"FG_TOTAL_RETURNC(0,-1AM)")</f>
        <v>-1.2999772999999999E-2</v>
      </c>
      <c r="O15" s="3" cm="1">
        <f t="array" ref="O15">_xll.FDS(C15,"FG_TOTAL_RETURNC(0,-3AM)")</f>
        <v>6.7342519999999997</v>
      </c>
      <c r="P15" s="3" cm="1">
        <f t="array" ref="P15">_xll.FDS(C15,"FG_TOTAL_RETURNC(0,-6AM)")</f>
        <v>5.3406120000000001</v>
      </c>
      <c r="Q15" s="9" cm="1">
        <f t="array" ref="Q15">_xll.FDS(C15,"P_PRICE(0)/P_PRICE_HIGH_PR(0,,,,,,""PRICE"",""INTRA"",""52W"")")</f>
        <v>0.97625099999999998</v>
      </c>
      <c r="R15" s="9" cm="1">
        <f t="array" ref="R15">_xll.FDS(C15,"P_PRICE(0)/P_PRICE_low_PR(0,,,,,,""PRICE"",""INTRA"",""52W"")-1")</f>
        <v>0.3246597</v>
      </c>
      <c r="S15" s="3" cm="1">
        <f t="array" ref="S15">_xll.FDS(C15,"FG_TOTAL_RETURNC(0,-12AM)")</f>
        <v>28.574348000000001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28.499999999999996</v>
      </c>
      <c r="Y15" s="201" cm="1">
        <f t="array" ref="Y15">_xlfn.PERCENTRANK.EXC(_xlfn._xlws.FILTER($S$3:$S$15, ISNUMBER($S$3:$S$15)),S15)*100</f>
        <v>64.2</v>
      </c>
      <c r="Z15" s="4" cm="1">
        <f t="array" ref="Z15">_xlfn.PERCENTRANK.EXC(_xlfn._xlws.FILTER($K$3:$K$15, ISNUMBER($K$3:$K$15)),K15)*100</f>
        <v>78.5</v>
      </c>
      <c r="AA15" s="4" cm="1">
        <f t="array" ref="AA15">_xlfn.PERCENTRANK.EXC(_xlfn._xlws.FILTER($H$3:$H$15, ISNUMBER($H$3:$H$15)),H15)*100</f>
        <v>14.2</v>
      </c>
      <c r="AB15" s="4" cm="1">
        <f t="array" ref="AB15">_xlfn.PERCENTRANK.EXC(_xlfn._xlws.FILTER($J$3:$J$15, ISNUMBER($J$3:$J$15)),J15)*100</f>
        <v>50</v>
      </c>
      <c r="AC15" s="4">
        <f t="shared" si="4"/>
        <v>21.4</v>
      </c>
      <c r="AD15" s="4">
        <f t="shared" si="5"/>
        <v>28.499999999999996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7.1</v>
      </c>
      <c r="AH15" s="4">
        <f t="shared" ca="1" si="7"/>
        <v>39.959999999999994</v>
      </c>
      <c r="AJ15" s="3" cm="1">
        <f t="array" aca="1" ref="AJ15" ca="1">_xlfn.PERCENTRANK.EXC(_xlfn._xlws.FILTER($AH$3:$AH$15, ISNUMBER($AH$3:$AH$15)),AH15)*100</f>
        <v>35.699999999999996</v>
      </c>
      <c r="AK15">
        <f t="shared" si="8"/>
        <v>1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1287</v>
      </c>
      <c r="H18" s="9">
        <f>E18/$G18</f>
        <v>0.33177933177933178</v>
      </c>
      <c r="I18" s="9">
        <f>F18/$G18</f>
        <v>0.46620046620046618</v>
      </c>
      <c r="J18" s="9">
        <f t="shared" ref="J18" si="13">H18-I18</f>
        <v>-0.1344211344211344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-2.9696508416082099</v>
      </c>
      <c r="N18" s="3" cm="1">
        <f t="array" ref="N18">_xll.FDS(C18,"FG_TOTAL_RETURNC(0,-1AM)")</f>
        <v>-0.83894729999999995</v>
      </c>
      <c r="O18" s="3" cm="1">
        <f t="array" ref="O18">_xll.FDS(C18,"FG_TOTAL_RETURNC(0,-3AM)")</f>
        <v>4.6469927000000002</v>
      </c>
      <c r="P18" s="3" cm="1">
        <f t="array" ref="P18">_xll.FDS(C18,"FG_TOTAL_RETURNC(0,-6AM)")</f>
        <v>6.5429329999999997</v>
      </c>
      <c r="Q18" s="9" cm="1">
        <f t="array" ref="Q18">_xll.FDS(C18,"P_PRICE(0)/P_PRICE_HIGH_PR(0,,,,,,""PRICE"",""INTRA"",""52W"")")</f>
        <v>0.98328656000000003</v>
      </c>
      <c r="R18" s="9" cm="1">
        <f t="array" ref="R18">_xll.FDS(C18,"P_PRICE(0)/P_PRICE_low_PR(0,,,,,,""PRICE"",""INTRA"",""52W"")-1")</f>
        <v>0.27152193000000002</v>
      </c>
      <c r="S18" s="3" cm="1">
        <f t="array" ref="S18">_xll.FDS(C18,"FG_TOTAL_RETURNC(0,-12AM)")</f>
        <v>23.018550000000001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969</v>
      </c>
      <c r="F19" cm="1">
        <f t="array" ref="F19">_xll.FDS(C19,"FMA_COS_DOWN(""EPS"",""1M"",+1,0,,,""PORTAGG"",""MEANR"")")</f>
        <v>1194</v>
      </c>
      <c r="G19" cm="1">
        <f t="array" ref="G19">_xll.FDS(A19,"SIZE(FG_CONSTITUENTS)")</f>
        <v>4826</v>
      </c>
      <c r="H19" s="9">
        <f>E19/$G19</f>
        <v>0.20078740157480315</v>
      </c>
      <c r="I19" s="9">
        <f>F19/$G19</f>
        <v>0.24740986324077913</v>
      </c>
      <c r="J19" s="9">
        <f t="shared" ref="J19" si="14">H19-I19</f>
        <v>-4.6622461665975973E-2</v>
      </c>
      <c r="K19" s="5" cm="1">
        <f t="array" ref="K19">_xll.FDS(A19,"FMA_PCT_ABOVE_MAVG(200,0,,,,""PORTAGG"")")/100</f>
        <v>0.40851970181043695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-1.4519561535065599</v>
      </c>
      <c r="N19" s="3" cm="1">
        <f t="array" ref="N19">_xll.FDS(C19,"FG_TOTAL_RETURNC(0,-1AM)")</f>
        <v>1.7988801000000001</v>
      </c>
      <c r="O19" s="3" cm="1">
        <f t="array" ref="O19">_xll.FDS(C19,"FG_TOTAL_RETURNC(0,-3AM)")</f>
        <v>4.393065</v>
      </c>
      <c r="P19" s="3" cm="1">
        <f t="array" ref="P19">_xll.FDS(C19,"FG_TOTAL_RETURNC(0,-6AM)")</f>
        <v>10.691273000000001</v>
      </c>
      <c r="Q19" s="9" cm="1">
        <f t="array" ref="Q19">_xll.FDS(C19,"P_PRICE(0)/P_PRICE_HIGH_PR(0,,,,,,""PRICE"",""INTRA"",""52W"")")</f>
        <v>0.99890833999999995</v>
      </c>
      <c r="R19" s="9" cm="1">
        <f t="array" ref="R19">_xll.FDS(C19,"P_PRICE(0)/P_PRICE_low_PR(0,,,,,,""PRICE"",""INTRA"",""52W"")-1")</f>
        <v>0.22146569999999999</v>
      </c>
      <c r="S19" s="3" cm="1">
        <f t="array" ref="S19">_xll.FDS(C19,"FG_TOTAL_RETURNC(0,-12AM)")</f>
        <v>18.785048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495</v>
      </c>
      <c r="F20" cm="1">
        <f t="array" ref="F20">_xll.FDS(C20,"FMA_COS_DOWN(""EPS"",""1M"",+1,0,,,""PORTAGG"",""MEANR"")")</f>
        <v>539</v>
      </c>
      <c r="G20" cm="1">
        <f t="array" ref="G20">_xll.FDS(A20,"SIZE(FG_CONSTITUENTS)")</f>
        <v>1411</v>
      </c>
      <c r="H20" s="9">
        <f t="shared" ref="H20" si="16">E20/$G20</f>
        <v>0.35081502480510274</v>
      </c>
      <c r="I20" s="9">
        <f t="shared" ref="I20" si="17">F20/$G20</f>
        <v>0.38199858256555635</v>
      </c>
      <c r="J20" s="9">
        <f t="shared" ref="J20" si="18">H20-I20</f>
        <v>-3.1183557760453617E-2</v>
      </c>
      <c r="K20" s="5" cm="1">
        <f t="array" ref="K20">_xll.FDS(A20,"FMA_PCT_ABOVE_MAVG(200,0,,,,""PORTAGG"")")/100</f>
        <v>0.64818763326226003</v>
      </c>
      <c r="L20" s="41" cm="1">
        <f t="array" ref="L20">_xll.FDSB(A20,"PERCENT_CHANGE(FMA_EPS(+1,0,,,,""PORTAGG"",""MEAN""),FMA_EPS(+1,-1AM,,,,""PORTAGG"",""MEAN""))")</f>
        <v>-0.14443058592529701</v>
      </c>
      <c r="M20" s="41" cm="1">
        <f t="array" ref="M20">_xll.FDSB(A20,"PERCENT_CHANGE(FMA_EPS(+1,0,,,,""PORTAGG"",""MEAN""),FMA_EPS(+1,-3AM,,,,""PORTAGG"",""MEAN""))")</f>
        <v>1.3832705982945599</v>
      </c>
      <c r="N20" s="3" cm="1">
        <f t="array" ref="N20">_xll.FDS(C20,"FG_TOTAL_RETURNC(0,-1AM)")</f>
        <v>1.1735916</v>
      </c>
      <c r="O20" s="3" cm="1">
        <f t="array" ref="O20">_xll.FDS(C20,"FG_TOTAL_RETURNC(0,-3AM)")</f>
        <v>5.6883809999999997</v>
      </c>
      <c r="P20" s="3" cm="1">
        <f t="array" ref="P20">_xll.FDS(C20,"FG_TOTAL_RETURNC(0,-6AM)")</f>
        <v>8.6376910000000002</v>
      </c>
      <c r="Q20" s="9" cm="1">
        <f t="array" ref="Q20">_xll.FDS(C20,"P_PRICE(0)/P_PRICE_HIGH_PR(0,,,,,,""PRICE"",""INTRA"",""52W"")")</f>
        <v>0.9964459</v>
      </c>
      <c r="R20" s="9" cm="1">
        <f t="array" ref="R20">_xll.FDS(C20,"P_PRICE(0)/P_PRICE_low_PR(0,,,,,,""PRICE"",""INTRA"",""52W"")-1")</f>
        <v>0.35662602999999998</v>
      </c>
      <c r="S20" s="3" cm="1">
        <f t="array" ref="S20">_xll.FDS(C20,"FG_TOTAL_RETURNC(0,-12AM)")</f>
        <v>30.544709999999998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200</v>
      </c>
      <c r="H21" s="9">
        <f t="shared" ref="H21:H22" si="20">E21/$G21</f>
        <v>0.48499999999999999</v>
      </c>
      <c r="I21" s="9">
        <f t="shared" ref="I21:I22" si="21">F21/$G21</f>
        <v>0.42</v>
      </c>
      <c r="J21" s="9">
        <f t="shared" ref="J21:J22" si="22">H21-I21</f>
        <v>6.5000000000000002E-2</v>
      </c>
      <c r="K21" s="5" cm="1">
        <f t="array" ref="K21">_xll.FDS(A21,"FMA_PCT_ABOVE_MAVG(200,0,,,,""PORTAGG"")")/100</f>
        <v>0.45226130653266305</v>
      </c>
      <c r="L21" s="41" cm="1">
        <f t="array" ref="L21">_xll.FDSB(A21,"PERCENT_CHANGE(FMA_EPS(+1,0,,,,""PORTAGG"",""MEAN""),FMA_EPS(+1,-1AM,,,,""PORTAGG"",""MEAN""))")</f>
        <v>2.0313185905173601</v>
      </c>
      <c r="M21" s="41" cm="1">
        <f t="array" ref="M21">_xll.FDSB(A21,"PERCENT_CHANGE(FMA_EPS(+1,0,,,,""PORTAGG"",""MEAN""),FMA_EPS(+1,-3AM,,,,""PORTAGG"",""MEAN""))")</f>
        <v>13.750483106760401</v>
      </c>
      <c r="N21" s="3" cm="1">
        <f t="array" ref="N21">_xll.FDS(C21,"FG_TOTAL_RETURNC(0,-1AM)")</f>
        <v>-0.33365487999999999</v>
      </c>
      <c r="O21" s="3" cm="1">
        <f t="array" ref="O21">_xll.FDS(C21,"FG_TOTAL_RETURNC(0,-3AM)")</f>
        <v>8.6047534999999993</v>
      </c>
      <c r="P21" s="3" cm="1">
        <f t="array" ref="P21">_xll.FDS(C21,"FG_TOTAL_RETURNC(0,-6AM)")</f>
        <v>0.56499239999999995</v>
      </c>
      <c r="Q21" s="9" cm="1">
        <f t="array" ref="Q21">_xll.FDS(C21,"P_PRICE(0)/P_PRICE_HIGH_PR(0,,,,,,""PRICE"",""INTRA"",""52W"")")</f>
        <v>0.99122023999999997</v>
      </c>
      <c r="R21" s="9" cm="1">
        <f t="array" ref="R21">_xll.FDS(C21,"P_PRICE(0)/P_PRICE_low_PR(0,,,,,,""PRICE"",""INTRA"",""52W"")-1")</f>
        <v>0.25332165000000001</v>
      </c>
      <c r="S21" s="3" cm="1">
        <f t="array" ref="S21">_xll.FDS(C21,"FG_TOTAL_RETURNC(0,-12AM)")</f>
        <v>18.517458000000001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155</v>
      </c>
      <c r="F22" cm="1">
        <f t="array" ref="F22">_xll.FDS(C22,"FMA_COS_DOWN(""EPS"",""1M"",+1,0,,,""PORTAGG"",""MEANR"")")</f>
        <v>171</v>
      </c>
      <c r="G22" cm="1">
        <f t="array" ref="G22">_xll.FDS(A22,"SIZE(FG_CONSTITUENTS)")</f>
        <v>503</v>
      </c>
      <c r="H22" s="9">
        <f t="shared" si="20"/>
        <v>0.30815109343936381</v>
      </c>
      <c r="I22" s="9">
        <f t="shared" si="21"/>
        <v>0.33996023856858848</v>
      </c>
      <c r="J22" s="9">
        <f t="shared" si="22"/>
        <v>-3.180914512922467E-2</v>
      </c>
      <c r="K22" s="5" cm="1">
        <f t="array" ref="K22">_xll.FDS(A22,"FMA_PCT_ABOVE_MAVG(200,0,,,,""PORTAGG"")")/100</f>
        <v>0.77445109780439092</v>
      </c>
      <c r="L22" s="41" cm="1">
        <f t="array" ref="L22">_xll.FDSB(A22,"PERCENT_CHANGE(FMA_EPS(+1,0,,,,""PORTAGG"",""MEAN""),FMA_EPS(+1,-1AM,,,,""PORTAGG"",""MEAN""))")</f>
        <v>6.3130168114153104E-2</v>
      </c>
      <c r="M22" s="41" cm="1">
        <f t="array" ref="M22">_xll.FDSB(A22,"PERCENT_CHANGE(FMA_EPS(+1,0,,,,""PORTAGG"",""MEAN""),FMA_EPS(+1,-3AM,,,,""PORTAGG"",""MEAN""))")</f>
        <v>-0.67410967090660101</v>
      </c>
      <c r="N22" s="3" cm="1">
        <f t="array" ref="N22">_xll.FDS(C22,"FG_TOTAL_RETURNC(0,-1AM)")</f>
        <v>1.6883135</v>
      </c>
      <c r="O22" s="3" cm="1">
        <f t="array" ref="O22">_xll.FDS(C22,"FG_TOTAL_RETURNC(0,-3AM)")</f>
        <v>4.9788832999999997</v>
      </c>
      <c r="P22" s="3" cm="1">
        <f t="array" ref="P22">_xll.FDS(C22,"FG_TOTAL_RETURNC(0,-6AM)")</f>
        <v>10.026109999999999</v>
      </c>
      <c r="Q22" s="9" cm="1">
        <f t="array" ref="Q22">_xll.FDS(C22,"P_PRICE(0)/P_PRICE_HIGH_PR(0,,,,,,""PRICE"",""INTRA"",""52W"")")</f>
        <v>0.99490279999999998</v>
      </c>
      <c r="R22" s="9" cm="1">
        <f t="array" ref="R22">_xll.FDS(C22,"P_PRICE(0)/P_PRICE_low_PR(0,,,,,,""PRICE"",""INTRA"",""52W"")-1")</f>
        <v>0.39282990000000001</v>
      </c>
      <c r="S22" s="3" cm="1">
        <f t="array" ref="S22">_xll.FDS(C22,"FG_TOTAL_RETURNC(0,-12AM)")</f>
        <v>34.215069999999997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25</v>
      </c>
      <c r="F23" cm="1">
        <f t="array" ref="F23">_xll.FDS(C23,"FMA_COS_DOWN(""EPS"",""1M"",+1,0,,,""PORTAGG"",""MEANR"")")</f>
        <v>19</v>
      </c>
      <c r="G23" cm="1">
        <f t="array" ref="G23">_xll.FDS(A23,"SIZE(FG_CONSTITUENTS)")</f>
        <v>52</v>
      </c>
      <c r="H23" s="9">
        <f t="shared" ref="H23" si="24">E23/$G23</f>
        <v>0.48076923076923078</v>
      </c>
      <c r="I23" s="9">
        <f t="shared" ref="I23" si="25">F23/$G23</f>
        <v>0.36538461538461536</v>
      </c>
      <c r="J23" s="9">
        <f t="shared" ref="J23" si="26">H23-I23</f>
        <v>0.11538461538461542</v>
      </c>
      <c r="K23" s="5" cm="1">
        <f t="array" ref="K23">_xll.FDS(A23,"FMA_PCT_ABOVE_MAVG(200,0,,,,""PORTAGG"")")/100</f>
        <v>0.49019607843137303</v>
      </c>
      <c r="L23" s="41" cm="1">
        <f t="array" ref="L23">_xll.FDSB(A23,"PERCENT_CHANGE(FMA_EPS(+1,0,,,,""PORTAGG"",""MEAN""),FMA_EPS(+1,-1AM,,,,""PORTAGG"",""MEAN""))")</f>
        <v>1.5316990319266399</v>
      </c>
      <c r="M23" s="41" cm="1">
        <f t="array" ref="M23">_xll.FDSB(A23,"PERCENT_CHANGE(FMA_EPS(+1,0,,,,""PORTAGG"",""MEAN""),FMA_EPS(+1,-3AM,,,,""PORTAGG"",""MEAN""))")</f>
        <v>7.4655032628558402</v>
      </c>
      <c r="N23" s="3" cm="1">
        <f t="array" ref="N23">_xll.FDS(C23,"FG_TOTAL_RETURNC(0,-1AM)")</f>
        <v>4.7583102999999998</v>
      </c>
      <c r="O23" s="3" cm="1">
        <f t="array" ref="O23">_xll.FDS(C23,"FG_TOTAL_RETURNC(0,-3AM)")</f>
        <v>4.9962163000000004</v>
      </c>
      <c r="P23" s="3" cm="1">
        <f t="array" ref="P23">_xll.FDS(C23,"FG_TOTAL_RETURNC(0,-6AM)")</f>
        <v>17.52056</v>
      </c>
      <c r="Q23" s="9" cm="1">
        <f t="array" ref="Q23">_xll.FDS(C23,"P_PRICE(0)/P_PRICE_HIGH_PR(0,,,,,,""PRICE"",""INTRA"",""52W"")")</f>
        <v>0.93938359999999999</v>
      </c>
      <c r="R23" s="9" cm="1">
        <f t="array" ref="R23">_xll.FDS(C23,"P_PRICE(0)/P_PRICE_low_PR(0,,,,,,""PRICE"",""INTRA"",""52W"")-1")</f>
        <v>0.32981777000000001</v>
      </c>
      <c r="S23" s="3" cm="1">
        <f t="array" ref="S23">_xll.FDS(C23,"FG_TOTAL_RETURNC(0,-12AM)")</f>
        <v>5.2569270000000001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-0.35311169999999997</v>
      </c>
      <c r="E4" s="9">
        <f>HLOOKUP(B4,'Monthly Returns'!$A$1:$Q$134, 132, FALSE)</f>
        <v>0.13223140495867769</v>
      </c>
      <c r="H4" s="9">
        <f>HLOOKUP(B4,'Yearly returns'!$B$1:$N$140, 133, FALSE)</f>
        <v>0.14049586776859505</v>
      </c>
      <c r="I4" s="9">
        <f>HLOOKUP(B4,'Yearly returns'!$B$1:$N$140, 138, FALSE)</f>
        <v>0.745</v>
      </c>
      <c r="J4" s="183">
        <f>1/E4</f>
        <v>7.5625</v>
      </c>
      <c r="K4" s="185">
        <f>PERCENTRANK($J$4:$J$16,J4)*100</f>
        <v>16.600000000000001</v>
      </c>
      <c r="L4" s="47">
        <f>(1-PERCENTRANK($E$4:$E$16,E4))*100</f>
        <v>50</v>
      </c>
      <c r="M4" s="47">
        <f>(1-PERCENTRANK($H$4:$H$16,H4))*100</f>
        <v>58.400000000000006</v>
      </c>
      <c r="N4" s="47">
        <f>(1-PERCENTRANK($I$4:$I$16,I4))*100</f>
        <v>91.7</v>
      </c>
      <c r="P4">
        <f>L4*Assumption!$E$53 + M4*Assumption!$F$53 + N4*Assumption!$G$53</f>
        <v>72.95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-0.43623572999999999</v>
      </c>
      <c r="E5" s="9">
        <f>HLOOKUP(B5,'Monthly Returns'!$A$1:$Q$134, 132, FALSE)</f>
        <v>0.13223140495867769</v>
      </c>
      <c r="H5" s="9">
        <f>HLOOKUP(B5,'Yearly returns'!$B$1:$N$140, 133, FALSE)</f>
        <v>0.16528925619834711</v>
      </c>
      <c r="I5" s="9">
        <f>HLOOKUP(B5,'Yearly returns'!$B$1:$N$140, 138, FALSE)</f>
        <v>0.91800000000000004</v>
      </c>
      <c r="J5" s="183">
        <f t="shared" ref="J5:J16" si="0">1/E5</f>
        <v>7.5625</v>
      </c>
      <c r="K5" s="185">
        <f t="shared" ref="K5:K16" si="1">PERCENTRANK($J$4:$J$16,J5)*100</f>
        <v>16.600000000000001</v>
      </c>
      <c r="L5" s="47">
        <f t="shared" ref="L5:L16" si="2">(1-PERCENTRANK($E$4:$E$16,E5))*100</f>
        <v>50</v>
      </c>
      <c r="M5" s="47">
        <f t="shared" ref="M5:M16" si="3">(1-PERCENTRANK($H$4:$H$16,H5))*100</f>
        <v>41.7</v>
      </c>
      <c r="N5" s="47">
        <f t="shared" ref="N5:N16" si="4">(1-PERCENTRANK($I$4:$I$16,I5))*100</f>
        <v>16.700000000000003</v>
      </c>
      <c r="P5">
        <f>L5*Assumption!$E$53 + M5*Assumption!$F$53 + N5*Assumption!$G$53</f>
        <v>31.275000000000002</v>
      </c>
      <c r="R5" cm="1">
        <f t="array" ref="R5">_xlfn.PERCENTRANK.EXC(_xlfn._xlws.FILTER(P$4:P$16, ISNUMBER(P$4:P$16)),P5)*100</f>
        <v>14.2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-0.42376755000000005</v>
      </c>
      <c r="E6" s="9">
        <f>HLOOKUP(B6,'Monthly Returns'!$A$1:$Q$134, 132, FALSE)</f>
        <v>0.13223140495867769</v>
      </c>
      <c r="H6" s="9">
        <f>HLOOKUP(B6,'Yearly returns'!$B$1:$N$140, 133, FALSE)</f>
        <v>0.18181818181818182</v>
      </c>
      <c r="I6" s="9">
        <f>HLOOKUP(B6,'Yearly returns'!$B$1:$N$140, 138, FALSE)</f>
        <v>0.88500000000000001</v>
      </c>
      <c r="J6" s="183">
        <f t="shared" si="0"/>
        <v>7.5625</v>
      </c>
      <c r="K6" s="185">
        <f t="shared" si="1"/>
        <v>16.600000000000001</v>
      </c>
      <c r="L6" s="47">
        <f t="shared" si="2"/>
        <v>50</v>
      </c>
      <c r="M6" s="47">
        <f t="shared" si="3"/>
        <v>25</v>
      </c>
      <c r="N6" s="47">
        <f t="shared" si="4"/>
        <v>41.7</v>
      </c>
      <c r="P6">
        <f>L6*Assumption!$E$53 + M6*Assumption!$F$53 + N6*Assumption!$G$53</f>
        <v>39.6</v>
      </c>
      <c r="R6" cm="1">
        <f t="array" ref="R6">_xlfn.PERCENTRANK.EXC(_xlfn._xlws.FILTER(P$4:P$16, ISNUMBER(P$4:P$16)),P6)*100</f>
        <v>28.499999999999996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-0.36204529999999996</v>
      </c>
      <c r="E7" s="9">
        <f>HLOOKUP(B7,'Monthly Returns'!$A$1:$Q$134, 132, FALSE)</f>
        <v>0.13223140495867769</v>
      </c>
      <c r="H7" s="9">
        <f>HLOOKUP(B7,'Yearly returns'!$B$1:$N$140, 133, FALSE)</f>
        <v>0.24793388429752067</v>
      </c>
      <c r="I7" s="9">
        <f>HLOOKUP(B7,'Yearly returns'!$B$1:$N$140, 138, FALSE)</f>
        <v>0.88500000000000001</v>
      </c>
      <c r="J7" s="183">
        <f t="shared" si="0"/>
        <v>7.5625</v>
      </c>
      <c r="K7" s="185">
        <f t="shared" si="1"/>
        <v>16.600000000000001</v>
      </c>
      <c r="L7" s="47">
        <f t="shared" si="2"/>
        <v>50</v>
      </c>
      <c r="M7" s="47">
        <f t="shared" si="3"/>
        <v>8.3999999999999968</v>
      </c>
      <c r="N7" s="47">
        <f t="shared" si="4"/>
        <v>41.7</v>
      </c>
      <c r="P7">
        <f>L7*Assumption!$E$53 + M7*Assumption!$F$53 + N7*Assumption!$G$53</f>
        <v>35.450000000000003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-0.21172523000000001</v>
      </c>
      <c r="E8" s="9">
        <f>HLOOKUP(B8,'Monthly Returns'!$A$1:$Q$134, 132, FALSE)</f>
        <v>0.11570247933884298</v>
      </c>
      <c r="H8" s="9">
        <f>HLOOKUP(B8,'Yearly returns'!$B$1:$N$140, 133, FALSE)</f>
        <v>0.14049586776859505</v>
      </c>
      <c r="I8" s="9">
        <f>HLOOKUP(B8,'Yearly returns'!$B$1:$N$140, 138, FALSE)</f>
        <v>0.80300000000000005</v>
      </c>
      <c r="J8" s="183">
        <f t="shared" si="0"/>
        <v>8.6428571428571423</v>
      </c>
      <c r="K8" s="185">
        <f t="shared" si="1"/>
        <v>66.600000000000009</v>
      </c>
      <c r="L8" s="47">
        <f t="shared" si="2"/>
        <v>75</v>
      </c>
      <c r="M8" s="47">
        <f t="shared" si="3"/>
        <v>58.400000000000006</v>
      </c>
      <c r="N8" s="47">
        <f t="shared" si="4"/>
        <v>75</v>
      </c>
      <c r="P8">
        <f>L8*Assumption!$E$53 + M8*Assumption!$F$53 + N8*Assumption!$G$53</f>
        <v>70.849999999999994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-0.27235872</v>
      </c>
      <c r="E9" s="9">
        <f>HLOOKUP(B9,'Monthly Returns'!$A$1:$Q$134, 132, FALSE)</f>
        <v>9.0909090909090912E-2</v>
      </c>
      <c r="H9" s="9">
        <f>HLOOKUP(B9,'Yearly returns'!$B$1:$N$140, 133, FALSE)</f>
        <v>9.9173553719008267E-2</v>
      </c>
      <c r="I9" s="9">
        <f>HLOOKUP(B9,'Yearly returns'!$B$1:$N$140, 138, FALSE)</f>
        <v>0.81100000000000005</v>
      </c>
      <c r="J9" s="183">
        <f t="shared" si="0"/>
        <v>11</v>
      </c>
      <c r="K9" s="185">
        <f t="shared" si="1"/>
        <v>91.600000000000009</v>
      </c>
      <c r="L9" s="47">
        <f t="shared" si="2"/>
        <v>91.7</v>
      </c>
      <c r="M9" s="47">
        <f t="shared" si="3"/>
        <v>83.399999999999991</v>
      </c>
      <c r="N9" s="47">
        <f t="shared" si="4"/>
        <v>58.400000000000006</v>
      </c>
      <c r="P9">
        <f>L9*Assumption!$E$53 + M9*Assumption!$F$53 + N9*Assumption!$G$53</f>
        <v>72.974999999999994</v>
      </c>
      <c r="R9" cm="1">
        <f t="array" ref="R9">_xlfn.PERCENTRANK.EXC(_xlfn._xlws.FILTER(P$4:P$16, ISNUMBER(P$4:P$16)),P9)*100</f>
        <v>85.7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-0.39877678000000005</v>
      </c>
      <c r="E10" s="9">
        <f>HLOOKUP(B10,'Monthly Returns'!$A$1:$Q$134, 132, FALSE)</f>
        <v>0.11570247933884298</v>
      </c>
      <c r="H10" s="9">
        <f>HLOOKUP(B10,'Yearly returns'!$B$1:$N$140, 133, FALSE)</f>
        <v>0.16528925619834711</v>
      </c>
      <c r="I10" s="9">
        <f>HLOOKUP(B10,'Yearly returns'!$B$1:$N$140, 138, FALSE)</f>
        <v>0.90900000000000003</v>
      </c>
      <c r="J10" s="183">
        <f t="shared" si="0"/>
        <v>8.6428571428571423</v>
      </c>
      <c r="K10" s="185">
        <f t="shared" si="1"/>
        <v>66.600000000000009</v>
      </c>
      <c r="L10" s="47">
        <f t="shared" si="2"/>
        <v>75</v>
      </c>
      <c r="M10" s="47">
        <f t="shared" si="3"/>
        <v>41.7</v>
      </c>
      <c r="N10" s="47">
        <f t="shared" si="4"/>
        <v>25</v>
      </c>
      <c r="P10">
        <f>L10*Assumption!$E$53 + M10*Assumption!$F$53 + N10*Assumption!$G$53</f>
        <v>41.674999999999997</v>
      </c>
      <c r="R10" cm="1">
        <f t="array" ref="R10">_xlfn.PERCENTRANK.EXC(_xlfn._xlws.FILTER(P$4:P$16, ISNUMBER(P$4:P$16)),P10)*100</f>
        <v>35.699999999999996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-0.25816349999999999</v>
      </c>
      <c r="E11" s="9">
        <f>HLOOKUP(B11,'Monthly Returns'!$A$1:$Q$134, 132, FALSE)</f>
        <v>0.13223140495867769</v>
      </c>
      <c r="H11" s="9">
        <f>HLOOKUP(B11,'Yearly returns'!$B$1:$N$140, 133, FALSE)</f>
        <v>7.43801652892562E-2</v>
      </c>
      <c r="I11" s="9">
        <f>HLOOKUP(B11,'Yearly returns'!$B$1:$N$140, 138, FALSE)</f>
        <v>0.80300000000000005</v>
      </c>
      <c r="J11" s="183">
        <f t="shared" si="0"/>
        <v>7.5625</v>
      </c>
      <c r="K11" s="185">
        <f t="shared" si="1"/>
        <v>16.600000000000001</v>
      </c>
      <c r="L11" s="47">
        <f t="shared" si="2"/>
        <v>50</v>
      </c>
      <c r="M11" s="47">
        <f t="shared" si="3"/>
        <v>91.7</v>
      </c>
      <c r="N11" s="47">
        <f t="shared" si="4"/>
        <v>75</v>
      </c>
      <c r="P11">
        <f>L11*Assumption!$E$53 + M11*Assumption!$F$53 + N11*Assumption!$G$53</f>
        <v>72.924999999999997</v>
      </c>
      <c r="R11" cm="1">
        <f t="array" ref="R11">_xlfn.PERCENTRANK.EXC(_xlfn._xlws.FILTER(P$4:P$16, ISNUMBER(P$4:P$16)),P11)*100</f>
        <v>71.399999999999991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-0.32733714999999997</v>
      </c>
      <c r="E12" s="9">
        <f>HLOOKUP(B12,'Monthly Returns'!$A$1:$Q$134, 132, FALSE)</f>
        <v>8.2644628099173556E-2</v>
      </c>
      <c r="H12" s="9">
        <f>HLOOKUP(B12,'Yearly returns'!$B$1:$N$140, 133, FALSE)</f>
        <v>4.1322314049586778E-2</v>
      </c>
      <c r="I12" s="9">
        <f>HLOOKUP(B12,'Yearly returns'!$B$1:$N$140, 138, FALSE)</f>
        <v>0.92600000000000005</v>
      </c>
      <c r="J12" s="183">
        <f t="shared" si="0"/>
        <v>12.1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8.3999999999999968</v>
      </c>
      <c r="P12">
        <f>L12*Assumption!$E$53 + M12*Assumption!$F$53 + N12*Assumption!$G$53</f>
        <v>54.199999999999996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-0.36272979999999999</v>
      </c>
      <c r="E13" s="9">
        <f>HLOOKUP(B13,'Monthly Returns'!$A$1:$Q$134, 132, FALSE)</f>
        <v>0.10743801652892562</v>
      </c>
      <c r="H13" s="9">
        <f>HLOOKUP(B13,'Yearly returns'!$B$1:$N$140, 133, FALSE)</f>
        <v>0.12396694214876033</v>
      </c>
      <c r="I13" s="9">
        <f>HLOOKUP(B13,'Yearly returns'!$B$1:$N$140, 138, FALSE)</f>
        <v>0.67200000000000004</v>
      </c>
      <c r="J13" s="183">
        <f t="shared" si="0"/>
        <v>9.3076923076923066</v>
      </c>
      <c r="K13" s="185">
        <f t="shared" si="1"/>
        <v>83.3</v>
      </c>
      <c r="L13" s="47">
        <f t="shared" si="2"/>
        <v>83.399999999999991</v>
      </c>
      <c r="M13" s="47">
        <f t="shared" si="3"/>
        <v>66.7</v>
      </c>
      <c r="N13" s="47">
        <f t="shared" si="4"/>
        <v>100</v>
      </c>
      <c r="P13">
        <f>L13*Assumption!$E$53 + M13*Assumption!$F$53 + N13*Assumption!$G$53</f>
        <v>87.525000000000006</v>
      </c>
      <c r="R13" cm="1">
        <f t="array" ref="R13">_xlfn.PERCENTRANK.EXC(_xlfn._xlws.FILTER(P$4:P$16, ISNUMBER(P$4:P$16)),P13)*100</f>
        <v>92.800000000000011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-0.31889182999999999</v>
      </c>
      <c r="E14" s="9">
        <f>HLOOKUP(B14,'Monthly Returns'!$A$1:$Q$134, 132, FALSE)</f>
        <v>0.12396694214876033</v>
      </c>
      <c r="H14" s="9">
        <f>HLOOKUP(B14,'Yearly returns'!$B$1:$N$140, 133, FALSE)</f>
        <v>0.10743801652892562</v>
      </c>
      <c r="I14" s="9">
        <f>HLOOKUP(B14,'Yearly returns'!$B$1:$N$140, 138, FALSE)</f>
        <v>0.85199999999999998</v>
      </c>
      <c r="J14" s="183">
        <f t="shared" si="0"/>
        <v>8.0666666666666664</v>
      </c>
      <c r="K14" s="185">
        <f t="shared" si="1"/>
        <v>58.3</v>
      </c>
      <c r="L14" s="47">
        <f t="shared" si="2"/>
        <v>58.400000000000006</v>
      </c>
      <c r="M14" s="47">
        <f t="shared" si="3"/>
        <v>75</v>
      </c>
      <c r="N14" s="47">
        <f t="shared" si="4"/>
        <v>50</v>
      </c>
      <c r="P14">
        <f>L14*Assumption!$E$53 + M14*Assumption!$F$53 + N14*Assumption!$G$53</f>
        <v>58.35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-0.3602263</v>
      </c>
      <c r="E15" s="9">
        <f>HLOOKUP(B15,'Monthly Returns'!$A$1:$Q$134, 132, FALSE)</f>
        <v>0.14049586776859505</v>
      </c>
      <c r="H15" s="9">
        <f>HLOOKUP(B15,'Yearly returns'!$B$1:$N$140, 133, FALSE)</f>
        <v>0.19008264462809918</v>
      </c>
      <c r="I15" s="9">
        <f>HLOOKUP(B15,'Yearly returns'!$B$1:$N$140, 138, FALSE)</f>
        <v>0.92600000000000005</v>
      </c>
      <c r="J15" s="183">
        <f t="shared" si="0"/>
        <v>7.117647058823529</v>
      </c>
      <c r="K15" s="185">
        <f t="shared" si="1"/>
        <v>8.3000000000000007</v>
      </c>
      <c r="L15" s="47">
        <f t="shared" si="2"/>
        <v>8.3999999999999968</v>
      </c>
      <c r="M15" s="47">
        <f t="shared" si="3"/>
        <v>16.700000000000003</v>
      </c>
      <c r="N15" s="47">
        <f t="shared" si="4"/>
        <v>8.3999999999999968</v>
      </c>
      <c r="P15">
        <f>L15*Assumption!$E$53 + M15*Assumption!$F$53 + N15*Assumption!$G$53</f>
        <v>10.474999999999998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-0.36675635999999995</v>
      </c>
      <c r="E16" s="9">
        <f>HLOOKUP(B16,'Monthly Returns'!$A$1:$Q$134, 132, FALSE)</f>
        <v>0.16528925619834711</v>
      </c>
      <c r="H16" s="9">
        <f>HLOOKUP(B16,'Yearly returns'!$B$1:$N$140, 133, FALSE)</f>
        <v>0.28099173553719009</v>
      </c>
      <c r="I16" s="9">
        <f>HLOOKUP(B16,'Yearly returns'!$B$1:$N$140, 138, FALSE)</f>
        <v>0.79500000000000004</v>
      </c>
      <c r="J16" s="183">
        <f t="shared" si="0"/>
        <v>6.05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83.399999999999991</v>
      </c>
      <c r="P16">
        <f>L16*Assumption!$E$53 + M16*Assumption!$F$53 + N16*Assumption!$G$53</f>
        <v>41.699999999999996</v>
      </c>
      <c r="R16" cm="1">
        <f t="array" ref="R16">_xlfn.PERCENTRANK.EXC(_xlfn._xlws.FILTER(P$4:P$16, ISNUMBER(P$4:P$16)),P16)*100</f>
        <v>42.8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0.47499999999999998</v>
      </c>
      <c r="G5" s="141" cm="1">
        <f t="array" ref="G5">_xll.FDSZ(C5,"FG_PRICE(0)")</f>
        <v>49.603999999999999</v>
      </c>
      <c r="H5" s="141" cm="1">
        <f t="array" ref="H5">_xll.FDSZ(C5,"FG_PRICE_MAVG(0,,,,30)")</f>
        <v>48.911034000000001</v>
      </c>
      <c r="I5" s="141" cm="1">
        <f t="array" ref="I5">_xll.FDSZ(C5,"FG_PRICE_MAVG(0,,,,60)")</f>
        <v>47.434849999999997</v>
      </c>
      <c r="J5" s="141" cm="1">
        <f t="array" ref="J5">_xll.FDSZ(C5,"FG_PRICE_MAVG(0,,,,200)")</f>
        <v>46.374232999999997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412.15219999999999</v>
      </c>
      <c r="T5" s="7" cm="1">
        <f t="array" ref="T5">_xll.FDSZ($R5,"FG_PRICE(0)")</f>
        <v>412.15219999999999</v>
      </c>
      <c r="U5" s="7" cm="1">
        <f t="array" ref="U5">_xll.FDSZ($R5,"FG_PRICE(0)")</f>
        <v>412.15219999999999</v>
      </c>
      <c r="V5" s="7" cm="1">
        <f t="array" ref="V5">_xll.FDSZ($R5,"FG_PRICE(0)")</f>
        <v>412.15219999999999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0.68</v>
      </c>
      <c r="G6" s="141" cm="1">
        <f t="array" ref="G6">_xll.FDSZ(C6,"FG_PRICE(0)")</f>
        <v>26.614999999999998</v>
      </c>
      <c r="H6" s="141" cm="1">
        <f t="array" ref="H6">_xll.FDSZ(C6,"FG_PRICE_MAVG(0,,,,30)")</f>
        <v>25.623833000000001</v>
      </c>
      <c r="I6" s="141" cm="1">
        <f t="array" ref="I6">_xll.FDSZ(C6,"FG_PRICE_MAVG(0,,,,60)")</f>
        <v>25.143084000000002</v>
      </c>
      <c r="J6" s="141" cm="1">
        <f t="array" ref="J6">_xll.FDSZ(C6,"FG_PRICE_MAVG(0,,,,200)")</f>
        <v>24.384274999999999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388.46285999999998</v>
      </c>
      <c r="T6" s="7" cm="1">
        <f t="array" ref="T6">_xll.FDSZ($R6,"FG_PRICE(0)")</f>
        <v>388.46285999999998</v>
      </c>
      <c r="U6" s="7" cm="1">
        <f t="array" ref="U6">_xll.FDSZ($R6,"FG_PRICE(0)")</f>
        <v>388.46285999999998</v>
      </c>
      <c r="V6" s="7" cm="1">
        <f t="array" ref="V6">_xll.FDSZ($R6,"FG_PRICE(0)")</f>
        <v>388.46285999999998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0.64700000000000002</v>
      </c>
      <c r="G7" s="141" cm="1">
        <f t="array" ref="G7">_xll.FDSZ(C7,"FG_PRICE(0)")</f>
        <v>41.33</v>
      </c>
      <c r="H7" s="141" cm="1">
        <f t="array" ref="H7">_xll.FDSZ(C7,"FG_PRICE_MAVG(0,,,,30)")</f>
        <v>39.926000000000002</v>
      </c>
      <c r="I7" s="141" cm="1">
        <f t="array" ref="I7">_xll.FDSZ(C7,"FG_PRICE_MAVG(0,,,,60)")</f>
        <v>38.938667000000002</v>
      </c>
      <c r="J7" s="141" cm="1">
        <f t="array" ref="J7">_xll.FDSZ(C7,"FG_PRICE_MAVG(0,,,,200)")</f>
        <v>37.614699999999999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314.49849999999998</v>
      </c>
      <c r="T7" s="7" cm="1">
        <f t="array" ref="T7">_xll.FDSZ($R7,"FG_PRICE(0)")</f>
        <v>314.49849999999998</v>
      </c>
      <c r="U7" s="7" cm="1">
        <f t="array" ref="U7">_xll.FDSZ($R7,"FG_PRICE(0)")</f>
        <v>314.49849999999998</v>
      </c>
      <c r="V7" s="7" cm="1">
        <f t="array" ref="V7">_xll.FDSZ($R7,"FG_PRICE(0)")</f>
        <v>314.49849999999998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0.59</v>
      </c>
      <c r="G8" s="141" cm="1">
        <f t="array" ref="G8">_xll.FDSZ(C8,"FG_PRICE(0)")</f>
        <v>32.799999999999997</v>
      </c>
      <c r="H8" s="141" cm="1">
        <f t="array" ref="H8">_xll.FDSZ(C8,"FG_PRICE_MAVG(0,,,,30)")</f>
        <v>32.012999999999998</v>
      </c>
      <c r="I8" s="141" cm="1">
        <f t="array" ref="I8">_xll.FDSZ(C8,"FG_PRICE_MAVG(0,,,,60)")</f>
        <v>31.44</v>
      </c>
      <c r="J8" s="141" cm="1">
        <f t="array" ref="J8">_xll.FDSZ(C8,"FG_PRICE_MAVG(0,,,,200)")</f>
        <v>30.758050000000001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9.8378739999999993</v>
      </c>
      <c r="T8" s="7" cm="1">
        <f t="array" ref="T8">_xll.FDSZ($R8,"FG_PRICE(0)")</f>
        <v>9.8378739999999993</v>
      </c>
      <c r="U8" s="7" cm="1">
        <f t="array" ref="U8">_xll.FDSZ($R8,"FG_PRICE(0)")</f>
        <v>9.8378739999999993</v>
      </c>
      <c r="V8" s="7" cm="1">
        <f t="array" ref="V8">_xll.FDSZ($R8,"FG_PRICE(0)")</f>
        <v>9.8378739999999993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0.38500000000000001</v>
      </c>
      <c r="G9" s="141" cm="1">
        <f t="array" ref="G9">_xll.FDSZ(C9,"FG_PRICE(0)")</f>
        <v>71.69</v>
      </c>
      <c r="H9" s="141" cm="1">
        <f t="array" ref="H9">_xll.FDSZ(C9,"FG_PRICE_MAVG(0,,,,30)")</f>
        <v>70.075670000000002</v>
      </c>
      <c r="I9" s="141" cm="1">
        <f t="array" ref="I9">_xll.FDSZ(C9,"FG_PRICE_MAVG(0,,,,60)")</f>
        <v>69.386170000000007</v>
      </c>
      <c r="J9" s="141" cm="1">
        <f t="array" ref="J9">_xll.FDSZ(C9,"FG_PRICE_MAVG(0,,,,200)")</f>
        <v>68.038150000000002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180.93647999999999</v>
      </c>
      <c r="T9" s="7" cm="1">
        <f t="array" ref="T9">_xll.FDSZ($R9,"FG_PRICE(0)")</f>
        <v>180.93647999999999</v>
      </c>
      <c r="U9" s="7" cm="1">
        <f t="array" ref="U9">_xll.FDSZ($R9,"FG_PRICE(0)")</f>
        <v>180.93647999999999</v>
      </c>
      <c r="V9" s="7" cm="1">
        <f t="array" ref="V9">_xll.FDSZ($R9,"FG_PRICE(0)")</f>
        <v>180.93647999999999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0.188</v>
      </c>
      <c r="G10" s="141" cm="1">
        <f t="array" ref="G10">_xll.FDSZ(C10,"FG_PRICE(0)")</f>
        <v>51.005000000000003</v>
      </c>
      <c r="H10" s="141" cm="1">
        <f t="array" ref="H10">_xll.FDSZ(C10,"FG_PRICE_MAVG(0,,,,30)")</f>
        <v>51.430500000000002</v>
      </c>
      <c r="I10" s="141" cm="1">
        <f t="array" ref="I10">_xll.FDSZ(C10,"FG_PRICE_MAVG(0,,,,60)")</f>
        <v>50.376083000000001</v>
      </c>
      <c r="J10" s="141" cm="1">
        <f t="array" ref="J10">_xll.FDSZ(C10,"FG_PRICE_MAVG(0,,,,200)")</f>
        <v>48.319724999999998</v>
      </c>
      <c r="L10">
        <f t="shared" si="0"/>
        <v>0</v>
      </c>
      <c r="M10">
        <f t="shared" si="1"/>
        <v>1</v>
      </c>
      <c r="N10">
        <f t="shared" si="2"/>
        <v>1</v>
      </c>
      <c r="P10">
        <f t="shared" si="3"/>
        <v>2</v>
      </c>
      <c r="R10" t="s">
        <v>843</v>
      </c>
      <c r="S10" s="7" cm="1">
        <f t="array" ref="S10">_xll.FDSZ($R10,"FG_PRICE(0)")</f>
        <v>346.16034000000002</v>
      </c>
      <c r="T10" s="7" cm="1">
        <f t="array" ref="T10">_xll.FDSZ($R10,"FG_PRICE(0)")</f>
        <v>346.16034000000002</v>
      </c>
      <c r="U10" s="7" cm="1">
        <f t="array" ref="U10">_xll.FDSZ($R10,"FG_PRICE(0)")</f>
        <v>346.16034000000002</v>
      </c>
      <c r="V10" s="7" cm="1">
        <f t="array" ref="V10">_xll.FDSZ($R10,"FG_PRICE(0)")</f>
        <v>346.16034000000002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0.442</v>
      </c>
      <c r="G11" s="141" cm="1">
        <f t="array" ref="G11">_xll.FDSZ(C11,"FG_PRICE(0)")</f>
        <v>37.395000000000003</v>
      </c>
      <c r="H11" s="141" cm="1">
        <f t="array" ref="H11">_xll.FDSZ(C11,"FG_PRICE_MAVG(0,,,,30)")</f>
        <v>36.872166</v>
      </c>
      <c r="I11" s="141" cm="1">
        <f t="array" ref="I11">_xll.FDSZ(C11,"FG_PRICE_MAVG(0,,,,60)")</f>
        <v>36.15925</v>
      </c>
      <c r="J11" s="141" cm="1">
        <f t="array" ref="J11">_xll.FDSZ(C11,"FG_PRICE_MAVG(0,,,,200)")</f>
        <v>34.563026000000001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134.09592000000001</v>
      </c>
      <c r="T11" s="7" cm="1">
        <f t="array" ref="T11">_xll.FDSZ($R11,"FG_PRICE(0)")</f>
        <v>134.09592000000001</v>
      </c>
      <c r="U11" s="7" cm="1">
        <f t="array" ref="U11">_xll.FDSZ($R11,"FG_PRICE(0)")</f>
        <v>134.09592000000001</v>
      </c>
      <c r="V11" s="7" cm="1">
        <f t="array" ref="V11">_xll.FDSZ($R11,"FG_PRICE(0)")</f>
        <v>134.09592000000001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0.38500000000000001</v>
      </c>
      <c r="G12" s="141" cm="1">
        <f t="array" ref="G12">_xll.FDSZ(C12,"FG_PRICE(0)")</f>
        <v>483.6</v>
      </c>
      <c r="H12" s="141" cm="1">
        <f t="array" ref="H12">_xll.FDSZ(C12,"FG_PRICE_MAVG(0,,,,30)")</f>
        <v>470.84732000000002</v>
      </c>
      <c r="I12" s="141" cm="1">
        <f t="array" ref="I12">_xll.FDSZ(C12,"FG_PRICE_MAVG(0,,,,60)")</f>
        <v>472.18432999999999</v>
      </c>
      <c r="J12" s="141" cm="1">
        <f t="array" ref="J12">_xll.FDSZ(C12,"FG_PRICE_MAVG(0,,,,200)")</f>
        <v>445.9665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426.70562999999999</v>
      </c>
      <c r="T12" s="7" cm="1">
        <f t="array" ref="T12">_xll.FDSZ($R12,"FG_PRICE(0)")</f>
        <v>426.70562999999999</v>
      </c>
      <c r="U12" s="7" cm="1">
        <f t="array" ref="U12">_xll.FDSZ($R12,"FG_PRICE(0)")</f>
        <v>426.70562999999999</v>
      </c>
      <c r="V12" s="7" cm="1">
        <f t="array" ref="V12">_xll.FDSZ($R12,"FG_PRICE(0)")</f>
        <v>426.70562999999999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0.5</v>
      </c>
      <c r="G13" s="141" cm="1">
        <f t="array" ref="G13">_xll.FDSZ(C13,"FG_PRICE(0)")</f>
        <v>569.95989999999995</v>
      </c>
      <c r="H13" s="141" cm="1">
        <f t="array" ref="H13">_xll.FDSZ(C13,"FG_PRICE_MAVG(0,,,,30)")</f>
        <v>556.22064</v>
      </c>
      <c r="I13" s="141" cm="1">
        <f t="array" ref="I13">_xll.FDSZ(C13,"FG_PRICE_MAVG(0,,,,60)")</f>
        <v>551.21630000000005</v>
      </c>
      <c r="J13" s="141" cm="1">
        <f t="array" ref="J13">_xll.FDSZ(C13,"FG_PRICE_MAVG(0,,,,200)")</f>
        <v>519.24036000000001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426.70562999999999</v>
      </c>
      <c r="T13" s="7" cm="1">
        <f t="array" ref="T13">_xll.FDSZ($R13,"FG_PRICE(0)")</f>
        <v>426.70562999999999</v>
      </c>
      <c r="U13" s="7" cm="1">
        <f t="array" ref="U13">_xll.FDSZ($R13,"FG_PRICE(0)")</f>
        <v>426.70562999999999</v>
      </c>
      <c r="V13" s="7" cm="1">
        <f t="array" ref="V13">_xll.FDSZ($R13,"FG_PRICE(0)")</f>
        <v>426.70562999999999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0.28599999999999998</v>
      </c>
      <c r="G14" s="141" cm="1">
        <f t="array" ref="G14">_xll.FDSZ(C14,"FG_PRICE(0)")</f>
        <v>39.58</v>
      </c>
      <c r="H14" s="141" cm="1">
        <f t="array" ref="H14">_xll.FDSZ(C14,"FG_PRICE_MAVG(0,,,,30)")</f>
        <v>39.203000000000003</v>
      </c>
      <c r="I14" s="141" cm="1">
        <f t="array" ref="I14">_xll.FDSZ(C14,"FG_PRICE_MAVG(0,,,,60)")</f>
        <v>38.765335</v>
      </c>
      <c r="J14" s="141" cm="1">
        <f t="array" ref="J14">_xll.FDSZ(C14,"FG_PRICE_MAVG(0,,,,200)")</f>
        <v>39.581874999999997</v>
      </c>
      <c r="L14">
        <f t="shared" si="0"/>
        <v>1</v>
      </c>
      <c r="M14">
        <f t="shared" si="1"/>
        <v>1</v>
      </c>
      <c r="N14">
        <f t="shared" si="2"/>
        <v>0</v>
      </c>
      <c r="P14">
        <f t="shared" si="3"/>
        <v>2</v>
      </c>
      <c r="R14" t="s">
        <v>845</v>
      </c>
      <c r="S14" s="7" cm="1">
        <f t="array" ref="S14">_xll.FDSZ($R14,"FG_PRICE(0)")</f>
        <v>426.70562999999999</v>
      </c>
      <c r="T14" s="7" cm="1">
        <f t="array" ref="T14">_xll.FDSZ($R14,"FG_PRICE(0)")</f>
        <v>426.70562999999999</v>
      </c>
      <c r="U14" s="7" cm="1">
        <f t="array" ref="U14">_xll.FDSZ($R14,"FG_PRICE(0)")</f>
        <v>426.70562999999999</v>
      </c>
      <c r="V14" s="7" cm="1">
        <f t="array" ref="V14">_xll.FDSZ($R14,"FG_PRICE(0)")</f>
        <v>426.70562999999999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0.26200000000000001</v>
      </c>
      <c r="G15" s="141" cm="1">
        <f t="array" ref="G15">_xll.FDSZ(C15,"FG_PRICE(0)")</f>
        <v>49.424999999999997</v>
      </c>
      <c r="H15" s="141" cm="1">
        <f t="array" ref="H15">_xll.FDSZ(C15,"FG_PRICE_MAVG(0,,,,30)")</f>
        <v>49.448166000000001</v>
      </c>
      <c r="I15" s="141" cm="1">
        <f t="array" ref="I15">_xll.FDSZ(C15,"FG_PRICE_MAVG(0,,,,60)")</f>
        <v>49.580081999999997</v>
      </c>
      <c r="J15" s="141" cm="1">
        <f t="array" ref="J15">_xll.FDSZ(C15,"FG_PRICE_MAVG(0,,,,200)")</f>
        <v>48.356335000000001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426.70562999999999</v>
      </c>
      <c r="T15" s="7" cm="1">
        <f t="array" ref="T15">_xll.FDSZ($R15,"FG_PRICE(0)")</f>
        <v>426.70562999999999</v>
      </c>
      <c r="U15" s="7" cm="1">
        <f t="array" ref="U15">_xll.FDSZ($R15,"FG_PRICE(0)")</f>
        <v>426.70562999999999</v>
      </c>
      <c r="V15" s="7" cm="1">
        <f t="array" ref="V15">_xll.FDSZ($R15,"FG_PRICE(0)")</f>
        <v>426.70562999999999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0.55700000000000005</v>
      </c>
      <c r="G16" s="141" cm="1">
        <f t="array" ref="G16">_xll.FDSZ(C16,"FG_PRICE(0)")</f>
        <v>42.42</v>
      </c>
      <c r="H16" s="141" cm="1">
        <f t="array" ref="H16">_xll.FDSZ(C16,"FG_PRICE_MAVG(0,,,,30)")</f>
        <v>41.075670000000002</v>
      </c>
      <c r="I16" s="141" cm="1">
        <f t="array" ref="I16">_xll.FDSZ(C16,"FG_PRICE_MAVG(0,,,,60)")</f>
        <v>40.505499999999998</v>
      </c>
      <c r="J16" s="141" cm="1">
        <f t="array" ref="J16">_xll.FDSZ(C16,"FG_PRICE_MAVG(0,,,,200)")</f>
        <v>39.754973999999997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426.70562999999999</v>
      </c>
      <c r="T16" s="7" cm="1">
        <f t="array" ref="T16">_xll.FDSZ($R16,"FG_PRICE(0)")</f>
        <v>426.70562999999999</v>
      </c>
      <c r="U16" s="7" cm="1">
        <f t="array" ref="U16">_xll.FDSZ($R16,"FG_PRICE(0)")</f>
        <v>426.70562999999999</v>
      </c>
      <c r="V16" s="7" cm="1">
        <f t="array" ref="V16">_xll.FDSZ($R16,"FG_PRICE(0)")</f>
        <v>426.70562999999999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0.45</v>
      </c>
      <c r="G17" s="141" cm="1">
        <f t="array" ref="G17">_xll.FDSZ(C17,"FG_PRICE(0)")</f>
        <v>38.435000000000002</v>
      </c>
      <c r="H17" s="141" cm="1">
        <f t="array" ref="H17">_xll.FDSZ(C17,"FG_PRICE_MAVG(0,,,,30)")</f>
        <v>37.911166999999999</v>
      </c>
      <c r="I17" s="141" cm="1">
        <f t="array" ref="I17">_xll.FDSZ(C17,"FG_PRICE_MAVG(0,,,,60)")</f>
        <v>37.359585000000003</v>
      </c>
      <c r="J17" s="141" cm="1">
        <f t="array" ref="J17">_xll.FDSZ(C17,"FG_PRICE_MAVG(0,,,,200)")</f>
        <v>36.339325000000002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426.70562999999999</v>
      </c>
      <c r="T17" s="7" cm="1">
        <f t="array" ref="T17">_xll.FDSZ($R17,"FG_PRICE(0)")</f>
        <v>426.70562999999999</v>
      </c>
      <c r="U17" s="7" cm="1">
        <f t="array" ref="U17">_xll.FDSZ($R17,"FG_PRICE(0)")</f>
        <v>426.70562999999999</v>
      </c>
      <c r="V17" s="7" cm="1">
        <f t="array" ref="V17">_xll.FDSZ($R17,"FG_PRICE(0)")</f>
        <v>426.70562999999999</v>
      </c>
    </row>
    <row r="19" spans="1:22" x14ac:dyDescent="0.35">
      <c r="K19" s="1" t="s">
        <v>906</v>
      </c>
      <c r="L19" s="1">
        <f>SUM(L5:L17)</f>
        <v>11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0.84615384615384615</v>
      </c>
      <c r="M22" s="182">
        <f t="shared" ref="M22:N22" si="6">M19/M20</f>
        <v>0.92307692307692313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91.93</v>
      </c>
      <c r="D3" cm="1">
        <f t="array" ref="D3">_xll.FDS($A3,"FG_PRICE_MAVG(0,,,,30)")</f>
        <v>95.613335000000006</v>
      </c>
      <c r="E3" s="47" cm="1">
        <f t="array" ref="E3">_xll.FDS($A3,"FG_PRICE_CHANGE(0,-1AM)")</f>
        <v>-6.2417134115247199</v>
      </c>
      <c r="F3" s="47" cm="1">
        <f t="array" ref="F3">_xll.FDS($A3,"FG_PRICE_CHANGE(0,-3AM)")</f>
        <v>-14.0519820493642</v>
      </c>
      <c r="G3" s="47" cm="1">
        <f t="array" ref="G3">_xll.FDS($A3,"FG_PRICE_CHANGE(0,-6AM)")</f>
        <v>-16.910701373824999</v>
      </c>
      <c r="H3" s="47" cm="1">
        <f t="array" ref="H3">_xll.FDS($A3,"FG_PRICE_CHANGE(0,-1AY)")</f>
        <v>-24.231434929531002</v>
      </c>
      <c r="I3" s="47" cm="1">
        <f t="array" ref="I3">_xll.FDS($A3,"FG_PRICE(0)/MAX(FG_PRICE(0,-1AY))")</f>
        <v>0.63769422863485004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4.2815000000000003</v>
      </c>
      <c r="D4" cm="1">
        <f t="array" ref="D4">_xll.FDS($A4,"FG_PRICE_MAVG(0,,,,30)")</f>
        <v>4.1422667999999998</v>
      </c>
      <c r="E4" s="47" cm="1">
        <f t="array" ref="E4">_xll.FDS($A4,"FG_PRICE_CHANGE(0,-1AM)")</f>
        <v>2.0741447133150599</v>
      </c>
      <c r="F4" s="47" cm="1">
        <f t="array" ref="F4">_xll.FDS($A4,"FG_PRICE_CHANGE(0,-3AM)")</f>
        <v>-4.7285269247885999</v>
      </c>
      <c r="G4" s="47" cm="1">
        <f t="array" ref="G4">_xll.FDS($A4,"FG_PRICE_CHANGE(0,-6AM)")</f>
        <v>7.1446446446446599</v>
      </c>
      <c r="H4" s="47" cm="1">
        <f t="array" ref="H4">_xll.FDS($A4,"FG_PRICE_CHANGE(0,-1AY)")</f>
        <v>16.8053471559132</v>
      </c>
      <c r="I4" s="47" cm="1">
        <f t="array" ref="I4">_xll.FDS($A4,"FG_PRICE(0)/MAX(FG_PRICE(0,-1AY))")</f>
        <v>0.83639382691931996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-9.6495843417868095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5.6849999999999996</v>
      </c>
      <c r="D6" cm="1">
        <f t="array" ref="D6">_xll.FDS($A6,"FG_PRICE_MAVG(0,,,,30)")</f>
        <v>5.4357499999999996</v>
      </c>
      <c r="E6" s="47" cm="1">
        <f t="array" ref="E6">_xll.FDS($A6,"FG_PRICE_CHANGE(0,-1AM)")</f>
        <v>13.190642110502701</v>
      </c>
      <c r="F6" s="47" cm="1">
        <f t="array" ref="F6">_xll.FDS($A6,"FG_PRICE_CHANGE(0,-3AM)")</f>
        <v>1.2466607301870001</v>
      </c>
      <c r="G6" s="47" cm="1">
        <f t="array" ref="G6">_xll.FDS($A6,"FG_PRICE_CHANGE(0,-6AM)")</f>
        <v>2.4785939612437899</v>
      </c>
      <c r="H6" s="47" cm="1">
        <f t="array" ref="H6">_xll.FDS($A6,"FG_PRICE_CHANGE(0,-1AY)")</f>
        <v>-1.89818809318378</v>
      </c>
      <c r="I6" s="47" cm="1">
        <f t="array" ref="I6">_xll.FDS($A6,"FG_PRICE(0)/MAX(FG_PRICE(0,-1AY))")</f>
        <v>0.81185290967511603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4027</v>
      </c>
      <c r="D7" cm="1">
        <f t="array" ref="D7">_xll.FDS($A7,"FG_PRICE_MAVG(0,,,,30)")</f>
        <v>3955.4666000000002</v>
      </c>
      <c r="E7" s="47" cm="1">
        <f t="array" ref="E7">_xll.FDS($A7,"FG_PRICE_CHANGE(0,-1AM)")</f>
        <v>1.2826961770623799</v>
      </c>
      <c r="F7" s="47" cm="1">
        <f t="array" ref="F7">_xll.FDS($A7,"FG_PRICE_CHANGE(0,-3AM)")</f>
        <v>2.4681933842239299</v>
      </c>
      <c r="G7" s="47" cm="1">
        <f t="array" ref="G7">_xll.FDS($A7,"FG_PRICE_CHANGE(0,-6AM)")</f>
        <v>-6.50104481077316</v>
      </c>
      <c r="H7" s="47" cm="1">
        <f t="array" ref="H7">_xll.FDS($A7,"FG_PRICE_CHANGE(0,-1AY)")</f>
        <v>10.4195228955306</v>
      </c>
      <c r="I7" s="47" cm="1">
        <f t="array" ref="I7">_xll.FDS($A7,"FG_PRICE(0)/MAX(FG_PRICE(0,-1AY))")</f>
        <v>0.87944966149814396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992</v>
      </c>
      <c r="D8" cm="1">
        <f t="array" ref="D8">_xll.FDS($A8,"FG_PRICE_MAVG(0,,,,30)")</f>
        <v>959.2</v>
      </c>
      <c r="E8" s="47" cm="1">
        <f t="array" ref="E8">_xll.FDS($A8,"FG_PRICE_CHANGE(0,-1AM)")</f>
        <v>4.0923399790136399</v>
      </c>
      <c r="F8" s="47" cm="1">
        <f t="array" ref="F8">_xll.FDS($A8,"FG_PRICE_CHANGE(0,-3AM)")</f>
        <v>-0.99800399201597201</v>
      </c>
      <c r="G8" s="47" cm="1">
        <f t="array" ref="G8">_xll.FDS($A8,"FG_PRICE_CHANGE(0,-6AM)")</f>
        <v>9.0109890109890003</v>
      </c>
      <c r="H8" s="47" cm="1">
        <f t="array" ref="H8">_xll.FDS($A8,"FG_PRICE_CHANGE(0,-1AY)")</f>
        <v>4.8625792811839403</v>
      </c>
      <c r="I8" s="47" cm="1">
        <f t="array" ref="I8">_xll.FDS($A8,"FG_PRICE(0)/MAX(FG_PRICE(0,-1AY))")</f>
        <v>0.92797006548175898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16175</v>
      </c>
      <c r="D9" cm="1">
        <f t="array" ref="D9">_xll.FDS($A9,"FG_PRICE_MAVG(0,,,,30)")</f>
        <v>16149.166999999999</v>
      </c>
      <c r="E9" s="47" cm="1">
        <f t="array" ref="E9">_xll.FDS($A9,"FG_PRICE_CHANGE(0,-1AM)")</f>
        <v>-1.4320536258379</v>
      </c>
      <c r="F9" s="47" cm="1">
        <f t="array" ref="F9">_xll.FDS($A9,"FG_PRICE_CHANGE(0,-3AM)")</f>
        <v>-4.4877472689695903</v>
      </c>
      <c r="G9" s="47" cm="1">
        <f t="array" ref="G9">_xll.FDS($A9,"FG_PRICE_CHANGE(0,-6AM)")</f>
        <v>-5.7400932400932403</v>
      </c>
      <c r="H9" s="47" cm="1">
        <f t="array" ref="H9">_xll.FDS($A9,"FG_PRICE_CHANGE(0,-1AY)")</f>
        <v>-15.0918635170604</v>
      </c>
      <c r="I9" s="47" cm="1">
        <f t="array" ref="I9">_xll.FDS($A9,"FG_PRICE(0)/MAX(FG_PRICE(0,-1AY))")</f>
        <v>0.76028202115158605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1075</v>
      </c>
      <c r="D10" cm="1">
        <f t="array" ref="D10">_xll.FDS($A10,"FG_PRICE_MAVG(0,,,,30)")</f>
        <v>993.6</v>
      </c>
      <c r="E10" s="47" cm="1">
        <f t="array" ref="E10">_xll.FDS($A10,"FG_PRICE_CHANGE(0,-1AM)")</f>
        <v>12.4476987447699</v>
      </c>
      <c r="F10" s="47" cm="1">
        <f t="array" ref="F10">_xll.FDS($A10,"FG_PRICE_CHANGE(0,-3AM)")</f>
        <v>6.9651741293532199</v>
      </c>
      <c r="G10" s="47" cm="1">
        <f t="array" ref="G10">_xll.FDS($A10,"FG_PRICE_CHANGE(0,-6AM)")</f>
        <v>5.3921568627451002</v>
      </c>
      <c r="H10" s="47" cm="1">
        <f t="array" ref="H10">_xll.FDS($A10,"FG_PRICE_CHANGE(0,-1AY)")</f>
        <v>-16.537267080745298</v>
      </c>
      <c r="I10" s="47" cm="1">
        <f t="array" ref="I10">_xll.FDS($A10,"FG_PRICE(0)/MAX(FG_PRICE(0,-1AY))")</f>
        <v>0.825019186492709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584.9</v>
      </c>
      <c r="D11" cm="1">
        <f t="array" ref="D11">_xll.FDS($A11,"FG_PRICE_MAVG(0,,,,30)")</f>
        <v>534.53</v>
      </c>
      <c r="E11" s="47" cm="1">
        <f t="array" ref="E11">_xll.FDS($A11,"FG_PRICE_CHANGE(0,-1AM)")</f>
        <v>11.2611755754232</v>
      </c>
      <c r="F11" s="47" cm="1">
        <f t="array" ref="F11">_xll.FDS($A11,"FG_PRICE_CHANGE(0,-3AM)")</f>
        <v>4.7832318165532</v>
      </c>
      <c r="G11" s="47" cm="1">
        <f t="array" ref="G11">_xll.FDS($A11,"FG_PRICE_CHANGE(0,-6AM)")</f>
        <v>-8.4520269212709405</v>
      </c>
      <c r="H11" s="47" cm="1">
        <f t="array" ref="H11">_xll.FDS($A11,"FG_PRICE_CHANGE(0,-1AY)")</f>
        <v>-19.964422550629401</v>
      </c>
      <c r="I11" s="47" cm="1">
        <f t="array" ref="I11">_xll.FDS($A11,"FG_PRICE(0)/MAX(FG_PRICE(0,-1AY))")</f>
        <v>0.766177626408174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0.88315710000000003</v>
      </c>
      <c r="D12" cm="1">
        <f t="array" ref="D12">_xll.FDS($A12,"FG_PRICE_MAVG(0,,,,30)")</f>
        <v>0.88777119999999998</v>
      </c>
      <c r="E12" s="47" cm="1">
        <f t="array" ref="E12">_xll.FDS($A12,"FG_PRICE_CHANGE(0,-1AM)")</f>
        <v>-1.32450135782607</v>
      </c>
      <c r="F12" s="47" cm="1">
        <f t="array" ref="F12">_xll.FDS($A12,"FG_PRICE_CHANGE(0,-3AM)")</f>
        <v>-6.7463408937369804</v>
      </c>
      <c r="G12" s="47" cm="1">
        <f t="array" ref="G12">_xll.FDS($A12,"FG_PRICE_CHANGE(0,-6AM)")</f>
        <v>-7.9121698852745999</v>
      </c>
      <c r="H12" s="47" cm="1">
        <f t="array" ref="H12">_xll.FDS($A12,"FG_PRICE_CHANGE(0,-1AY)")</f>
        <v>-11.5607934920323</v>
      </c>
      <c r="I12" s="47" cm="1">
        <f t="array" ref="I12">_xll.FDS($A12,"FG_PRICE(0)/MAX(FG_PRICE(0,-1AY))")</f>
        <v>0.84918951923076902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41905</v>
      </c>
      <c r="B2" s="3" cm="1">
        <f t="array" ref="B2:B122">_xll.FDS(B1,"FMA_PE(LTMA,-10AY,0,AM,""PORTAGG"",""MEANR"")")</f>
        <v>17.9728586273838</v>
      </c>
      <c r="C2" s="3" cm="1">
        <f t="array" ref="C2:C122">_xll.FDS(C1,"FMA_PE(LTMA,-10AY,0,AM,""PORTAGG"",""MEANR"")")</f>
        <v>14.9368584793799</v>
      </c>
      <c r="D2" s="3" cm="1">
        <f t="array" ref="D2:D122">_xll.FDS(D1,"FMA_PE(LTMA,-10AY,0,AM,""PORTAGG"",""MEANR"")")</f>
        <v>16.113911753584699</v>
      </c>
      <c r="E2" s="3" cm="1">
        <f t="array" ref="E2:E122">_xll.FDS(E1,"FMA_PE(LTMA,-10AY,0,AM,""PORTAGG"",""MEANR"")")</f>
        <v>14.1767228610949</v>
      </c>
      <c r="F2" s="3" cm="1">
        <f t="array" ref="F2:F122">_xll.FDS(F1,"FMA_PE(LTMA,-10AY,0,AM,""PORTAGG"",""MEANR"")")</f>
        <v>15.4478392457388</v>
      </c>
      <c r="G2" s="3" cm="1">
        <f t="array" ref="G2:G122">_xll.FDS(G1,"FMA_PE(LTMA,-10AY,0,AM,""PORTAGG"",""MEANR"")")</f>
        <v>17.328325843869401</v>
      </c>
      <c r="H2" s="3" cm="1">
        <f t="array" ref="H2:H122">_xll.FDS(H1,"FMA_PE(LTMA,-10AY,0,AM,""PORTAGG"",""MEANR"")")</f>
        <v>14.024810379791401</v>
      </c>
      <c r="I2" s="3" cm="1">
        <f t="array" ref="I2:I122">_xll.FDS(I1,"FMA_PE(LTMA,-10AY,0,AM,""PORTAGG"",""MEANR"")")</f>
        <v>19.3309076779083</v>
      </c>
      <c r="J2" s="3" cm="1">
        <f t="array" ref="J2:J122">_xll.FDS(J1,"FMA_PE(LTMA,-10AY,0,AM,""PORTAGG"",""MEANR"")")</f>
        <v>16.434526852296699</v>
      </c>
      <c r="K2" s="3" cm="1">
        <f t="array" ref="K2:K122">_xll.FDS(K1,"FMA_PE(LTMA,-10AY,0,AM,""PORTAGG"",""MEANR"")")</f>
        <v>15.2872203774836</v>
      </c>
      <c r="L2" s="3" cm="1">
        <f t="array" ref="L2:L122">_xll.FDS(L1,"FMA_PE(LTMA,-10AY,0,AM,""PORTAGG"",""MEANR"")")</f>
        <v>16.718031291373698</v>
      </c>
      <c r="M2" s="3" cm="1">
        <f t="array" ref="M2:M122">_xll.FDS(M1,"FMA_PE(LTMA,-10AY,0,AM,""PORTAGG"",""MEANR"")")</f>
        <v>16.0490449827217</v>
      </c>
      <c r="N2" s="3" cm="1">
        <f t="array" ref="N2:N122">_xll.FDS(N1,"FMA_PE(LTMA,-10AY,0,AM,""PORTAGG"",""MEANR"")")</f>
        <v>17.561417794154099</v>
      </c>
    </row>
    <row r="3" spans="1:14" x14ac:dyDescent="0.35">
      <c r="A3" s="2">
        <v>41935</v>
      </c>
      <c r="B3" s="3">
        <v>18.126975575817202</v>
      </c>
      <c r="C3" s="3">
        <v>15.0148448358718</v>
      </c>
      <c r="D3" s="3">
        <v>15.5755549267066</v>
      </c>
      <c r="E3" s="3">
        <v>13.471873864412499</v>
      </c>
      <c r="F3" s="3">
        <v>14.5228248065127</v>
      </c>
      <c r="G3" s="3">
        <v>16.914297282059501</v>
      </c>
      <c r="H3" s="3">
        <v>13.5788345415182</v>
      </c>
      <c r="I3" s="3">
        <v>19.086933034210499</v>
      </c>
      <c r="J3" s="3">
        <v>16.284721381012801</v>
      </c>
      <c r="K3" s="3">
        <v>14.7669832403424</v>
      </c>
      <c r="L3" s="3">
        <v>16.0396985035343</v>
      </c>
      <c r="M3" s="3">
        <v>15.8043018439276</v>
      </c>
      <c r="N3" s="3">
        <v>16.913313838561699</v>
      </c>
    </row>
    <row r="4" spans="1:14" x14ac:dyDescent="0.35">
      <c r="A4" s="2">
        <v>41964</v>
      </c>
      <c r="B4" s="3">
        <v>18.778410043570201</v>
      </c>
      <c r="C4" s="3">
        <v>14.718794927565501</v>
      </c>
      <c r="D4" s="3">
        <v>16.036749567471599</v>
      </c>
      <c r="E4" s="3">
        <v>14.2076848643679</v>
      </c>
      <c r="F4" s="3">
        <v>15.9308748861918</v>
      </c>
      <c r="G4" s="3">
        <v>17.7146325569223</v>
      </c>
      <c r="H4" s="3">
        <v>14.062116188722801</v>
      </c>
      <c r="I4" s="3">
        <v>20.1544623531315</v>
      </c>
      <c r="J4" s="3">
        <v>17.073005354291801</v>
      </c>
      <c r="K4" s="3">
        <v>15.288669103313699</v>
      </c>
      <c r="L4" s="3">
        <v>17.471511102869801</v>
      </c>
      <c r="M4" s="3">
        <v>17.065647177760901</v>
      </c>
      <c r="N4" s="3">
        <v>18.334508887236499</v>
      </c>
    </row>
    <row r="5" spans="1:14" x14ac:dyDescent="0.35">
      <c r="A5" s="2">
        <v>41996</v>
      </c>
      <c r="B5" s="3">
        <v>19.1175336025468</v>
      </c>
      <c r="C5" s="3">
        <v>14.504930349661301</v>
      </c>
      <c r="D5" s="3">
        <v>15.621079341458</v>
      </c>
      <c r="E5" s="3">
        <v>14.4772497830304</v>
      </c>
      <c r="F5" s="3">
        <v>15.893069772965299</v>
      </c>
      <c r="G5" s="3">
        <v>17.3680417147262</v>
      </c>
      <c r="H5" s="3">
        <v>13.831628902888401</v>
      </c>
      <c r="I5" s="3">
        <v>20.309884919798499</v>
      </c>
      <c r="J5" s="3">
        <v>17.462047576874301</v>
      </c>
      <c r="K5" s="3">
        <v>15.195571739206599</v>
      </c>
      <c r="L5" s="3">
        <v>17.715981077087498</v>
      </c>
      <c r="M5" s="3">
        <v>17.7095340866809</v>
      </c>
      <c r="N5" s="3">
        <v>18.56319803912</v>
      </c>
    </row>
    <row r="6" spans="1:14" x14ac:dyDescent="0.35">
      <c r="A6" s="2">
        <v>42027</v>
      </c>
      <c r="B6" s="3">
        <v>19.6148479074336</v>
      </c>
      <c r="C6" s="3">
        <v>14.995008005436</v>
      </c>
      <c r="D6" s="3">
        <v>15.8017948474787</v>
      </c>
      <c r="E6" s="3">
        <v>15.5215169369101</v>
      </c>
      <c r="F6" s="3">
        <v>15.7763440600683</v>
      </c>
      <c r="G6" s="3">
        <v>16.466840345127402</v>
      </c>
      <c r="H6" s="3">
        <v>14.247817652647401</v>
      </c>
      <c r="I6" s="3">
        <v>20.124261953247</v>
      </c>
      <c r="J6" s="3">
        <v>17.251219804112502</v>
      </c>
      <c r="K6" s="3">
        <v>16.2579426270356</v>
      </c>
      <c r="L6" s="3">
        <v>18.798351035883599</v>
      </c>
      <c r="M6" s="3">
        <v>18.3941062652464</v>
      </c>
      <c r="N6" s="3">
        <v>21.9515741975931</v>
      </c>
    </row>
    <row r="7" spans="1:14" x14ac:dyDescent="0.35">
      <c r="A7" s="2">
        <v>42058</v>
      </c>
      <c r="B7" s="3">
        <v>20.0869518607978</v>
      </c>
      <c r="C7" s="3">
        <v>16.115527259532001</v>
      </c>
      <c r="D7" s="3">
        <v>16.939100722899202</v>
      </c>
      <c r="E7" s="3">
        <v>16.090785482983499</v>
      </c>
      <c r="F7" s="3">
        <v>16.711813004108901</v>
      </c>
      <c r="G7" s="3">
        <v>17.9281923320445</v>
      </c>
      <c r="H7" s="3">
        <v>15.106133963574401</v>
      </c>
      <c r="I7" s="3">
        <v>20.753405861473599</v>
      </c>
      <c r="J7" s="3">
        <v>17.633976914295602</v>
      </c>
      <c r="K7" s="3">
        <v>17.251762773355502</v>
      </c>
      <c r="L7" s="3">
        <v>19.842858551265198</v>
      </c>
      <c r="M7" s="3">
        <v>20.170450449164601</v>
      </c>
      <c r="N7" s="3">
        <v>44.846893937669101</v>
      </c>
    </row>
    <row r="8" spans="1:14" x14ac:dyDescent="0.35">
      <c r="A8" s="2">
        <v>42086</v>
      </c>
      <c r="B8" s="3">
        <v>20.2086812804339</v>
      </c>
      <c r="C8" s="3">
        <v>16.296008337550401</v>
      </c>
      <c r="D8" s="3">
        <v>17.066352624724502</v>
      </c>
      <c r="E8" s="3">
        <v>16.5284264642926</v>
      </c>
      <c r="F8" s="3">
        <v>16.972767342861101</v>
      </c>
      <c r="G8" s="3">
        <v>18.1177356517756</v>
      </c>
      <c r="H8" s="3">
        <v>15.3180117096964</v>
      </c>
      <c r="I8" s="3">
        <v>20.633853445674099</v>
      </c>
      <c r="J8" s="3">
        <v>17.577266802792199</v>
      </c>
      <c r="K8" s="3">
        <v>17.579077959195001</v>
      </c>
      <c r="L8" s="3">
        <v>20.047989104421799</v>
      </c>
      <c r="M8" s="3">
        <v>20.103774961760401</v>
      </c>
      <c r="N8" s="3">
        <v>43.152519989915803</v>
      </c>
    </row>
    <row r="9" spans="1:14" x14ac:dyDescent="0.35">
      <c r="A9" s="2">
        <v>42117</v>
      </c>
      <c r="B9" s="3">
        <v>20.051142793049699</v>
      </c>
      <c r="C9" s="3">
        <v>16.327376640164001</v>
      </c>
      <c r="D9" s="3">
        <v>17.328475829934298</v>
      </c>
      <c r="E9" s="3">
        <v>16.3856022435345</v>
      </c>
      <c r="F9" s="3">
        <v>17.003410270855099</v>
      </c>
      <c r="G9" s="3">
        <v>18.210549089428198</v>
      </c>
      <c r="H9" s="3">
        <v>15.600796924483101</v>
      </c>
      <c r="I9" s="3">
        <v>20.505288470177</v>
      </c>
      <c r="J9" s="3">
        <v>17.603284951447399</v>
      </c>
      <c r="K9" s="3">
        <v>17.6253265924543</v>
      </c>
      <c r="L9" s="3">
        <v>19.853451737782599</v>
      </c>
      <c r="M9" s="3">
        <v>19.611802015869898</v>
      </c>
      <c r="N9" s="3">
        <v>40.2920594430256</v>
      </c>
    </row>
    <row r="10" spans="1:14" x14ac:dyDescent="0.35">
      <c r="A10" s="2">
        <v>42146</v>
      </c>
      <c r="B10" s="3">
        <v>19.993846719718199</v>
      </c>
      <c r="C10" s="3">
        <v>16.1597134242243</v>
      </c>
      <c r="D10" s="3">
        <v>17.302113497179601</v>
      </c>
      <c r="E10" s="3">
        <v>16.166733465481101</v>
      </c>
      <c r="F10" s="3">
        <v>17.107839918715801</v>
      </c>
      <c r="G10" s="3">
        <v>18.161941956644799</v>
      </c>
      <c r="H10" s="3">
        <v>15.7913333867444</v>
      </c>
      <c r="I10" s="3">
        <v>20.349911959570999</v>
      </c>
      <c r="J10" s="3">
        <v>17.580670858395901</v>
      </c>
      <c r="K10" s="3">
        <v>17.573208693613701</v>
      </c>
      <c r="L10" s="3">
        <v>19.6328178002545</v>
      </c>
      <c r="M10" s="3">
        <v>19.1508079681224</v>
      </c>
      <c r="N10" s="3">
        <v>37.753324323970297</v>
      </c>
    </row>
    <row r="11" spans="1:14" x14ac:dyDescent="0.35">
      <c r="A11" s="2">
        <v>42178</v>
      </c>
      <c r="B11" s="3">
        <v>19.715604366235699</v>
      </c>
      <c r="C11" s="3">
        <v>16.185035015303001</v>
      </c>
      <c r="D11" s="3">
        <v>17.2305661704249</v>
      </c>
      <c r="E11" s="3">
        <v>15.807234029740201</v>
      </c>
      <c r="F11" s="3">
        <v>17.025032031853701</v>
      </c>
      <c r="G11" s="3">
        <v>18.012578020717299</v>
      </c>
      <c r="H11" s="3">
        <v>15.7760547331156</v>
      </c>
      <c r="I11" s="3">
        <v>20.216382514557701</v>
      </c>
      <c r="J11" s="3">
        <v>17.570681840347898</v>
      </c>
      <c r="K11" s="3">
        <v>17.419230760167199</v>
      </c>
      <c r="L11" s="3">
        <v>19.292907557889698</v>
      </c>
      <c r="M11" s="3">
        <v>18.9322833011462</v>
      </c>
      <c r="N11" s="3">
        <v>34.635888168481003</v>
      </c>
    </row>
    <row r="12" spans="1:14" x14ac:dyDescent="0.35">
      <c r="A12" s="2">
        <v>42208</v>
      </c>
      <c r="B12" s="3">
        <v>19.851704974419199</v>
      </c>
      <c r="C12" s="3">
        <v>15.989751375775899</v>
      </c>
      <c r="D12" s="3">
        <v>16.841320234458099</v>
      </c>
      <c r="E12" s="3">
        <v>15.5795695214129</v>
      </c>
      <c r="F12" s="3">
        <v>16.874355619008199</v>
      </c>
      <c r="G12" s="3">
        <v>18.204663243115199</v>
      </c>
      <c r="H12" s="3">
        <v>15.6444089309457</v>
      </c>
      <c r="I12" s="3">
        <v>20.380191072445399</v>
      </c>
      <c r="J12" s="3">
        <v>17.520385329124402</v>
      </c>
      <c r="K12" s="3">
        <v>17.351995815338199</v>
      </c>
      <c r="L12" s="3">
        <v>19.175314187908398</v>
      </c>
      <c r="M12" s="3">
        <v>18.6294266427732</v>
      </c>
      <c r="N12" s="3">
        <v>31.944192360112702</v>
      </c>
    </row>
    <row r="13" spans="1:14" x14ac:dyDescent="0.35">
      <c r="A13" s="2">
        <v>42237</v>
      </c>
      <c r="B13" s="3">
        <v>19.408203237642901</v>
      </c>
      <c r="C13" s="3">
        <v>15.503975459305099</v>
      </c>
      <c r="D13" s="3">
        <v>16.339359026338801</v>
      </c>
      <c r="E13" s="3">
        <v>14.385990829826101</v>
      </c>
      <c r="F13" s="3">
        <v>16.204230246685199</v>
      </c>
      <c r="G13" s="3">
        <v>17.4562018374396</v>
      </c>
      <c r="H13" s="3">
        <v>15.0825483082746</v>
      </c>
      <c r="I13" s="3">
        <v>19.288900434924301</v>
      </c>
      <c r="J13" s="3">
        <v>16.835473164622901</v>
      </c>
      <c r="K13" s="3">
        <v>16.176658940808402</v>
      </c>
      <c r="L13" s="3">
        <v>17.548157161130799</v>
      </c>
      <c r="M13" s="3">
        <v>17.591073526573801</v>
      </c>
      <c r="N13" s="3">
        <v>28.658088306683599</v>
      </c>
    </row>
    <row r="14" spans="1:14" x14ac:dyDescent="0.35">
      <c r="A14" s="2">
        <v>42270</v>
      </c>
      <c r="B14" s="3">
        <v>18.930868054204499</v>
      </c>
      <c r="C14" s="3">
        <v>15.007349331276499</v>
      </c>
      <c r="D14" s="3">
        <v>16.3594277599951</v>
      </c>
      <c r="E14" s="3">
        <v>13.633659653732</v>
      </c>
      <c r="F14" s="3">
        <v>15.245393514175699</v>
      </c>
      <c r="G14" s="3">
        <v>16.902848468640801</v>
      </c>
      <c r="H14" s="3">
        <v>14.8755441934958</v>
      </c>
      <c r="I14" s="3">
        <v>19.296597087090198</v>
      </c>
      <c r="J14" s="3">
        <v>16.569085055294799</v>
      </c>
      <c r="K14" s="3">
        <v>15.5153285047365</v>
      </c>
      <c r="L14" s="3">
        <v>16.660826050702699</v>
      </c>
      <c r="M14" s="3">
        <v>16.619111568634299</v>
      </c>
      <c r="N14" s="3">
        <v>25.270464626144602</v>
      </c>
    </row>
    <row r="15" spans="1:14" x14ac:dyDescent="0.35">
      <c r="A15" s="2">
        <v>42300</v>
      </c>
      <c r="B15" s="3">
        <v>19.506421780401102</v>
      </c>
      <c r="C15" s="3">
        <v>15.839894649243799</v>
      </c>
      <c r="D15" s="3">
        <v>17.017800666400099</v>
      </c>
      <c r="E15" s="3">
        <v>14.5462654149188</v>
      </c>
      <c r="F15" s="3">
        <v>15.8165656488718</v>
      </c>
      <c r="G15" s="3">
        <v>17.7672682015824</v>
      </c>
      <c r="H15" s="3">
        <v>15.8898580663455</v>
      </c>
      <c r="I15" s="3">
        <v>20.325284721211901</v>
      </c>
      <c r="J15" s="3">
        <v>17.456419977711001</v>
      </c>
      <c r="K15" s="3">
        <v>16.4895952231028</v>
      </c>
      <c r="L15" s="3">
        <v>17.6691638541351</v>
      </c>
      <c r="M15" s="3">
        <v>17.3280514789062</v>
      </c>
      <c r="N15" s="3">
        <v>23.881704100574801</v>
      </c>
    </row>
    <row r="16" spans="1:14" x14ac:dyDescent="0.35">
      <c r="A16" s="2">
        <v>42331</v>
      </c>
      <c r="B16" s="3">
        <v>19.5512943067728</v>
      </c>
      <c r="C16" s="3">
        <v>15.7549536500811</v>
      </c>
      <c r="D16" s="3">
        <v>16.663534165230502</v>
      </c>
      <c r="E16" s="3">
        <v>14.7725401862668</v>
      </c>
      <c r="F16" s="3">
        <v>16.3214410687354</v>
      </c>
      <c r="G16" s="3">
        <v>17.5149727096906</v>
      </c>
      <c r="H16" s="3">
        <v>15.834567547165699</v>
      </c>
      <c r="I16" s="3">
        <v>20.429092788348498</v>
      </c>
      <c r="J16" s="3">
        <v>17.470187981449499</v>
      </c>
      <c r="K16" s="3">
        <v>16.2732823288469</v>
      </c>
      <c r="L16" s="3">
        <v>18.042693553979401</v>
      </c>
      <c r="M16" s="3">
        <v>16.886078553280601</v>
      </c>
      <c r="N16" s="3">
        <v>21.846984279706302</v>
      </c>
    </row>
    <row r="17" spans="1:14" x14ac:dyDescent="0.35">
      <c r="A17" s="2">
        <v>42361</v>
      </c>
      <c r="B17" s="3">
        <v>19.7071892506357</v>
      </c>
      <c r="C17" s="3">
        <v>15.505663380856401</v>
      </c>
      <c r="D17" s="3">
        <v>16.539711454952101</v>
      </c>
      <c r="E17" s="3">
        <v>14.0918070943532</v>
      </c>
      <c r="F17" s="3">
        <v>15.5722426658015</v>
      </c>
      <c r="G17" s="3">
        <v>17.317219220056</v>
      </c>
      <c r="H17" s="3">
        <v>15.695638175116301</v>
      </c>
      <c r="I17" s="3">
        <v>20.2491949722443</v>
      </c>
      <c r="J17" s="3">
        <v>17.296159683528099</v>
      </c>
      <c r="K17" s="3">
        <v>15.539555547180401</v>
      </c>
      <c r="L17" s="3">
        <v>17.222129117676101</v>
      </c>
      <c r="M17" s="3">
        <v>16.128062263483901</v>
      </c>
      <c r="N17" s="3">
        <v>18.704799237941501</v>
      </c>
    </row>
    <row r="18" spans="1:14" x14ac:dyDescent="0.35">
      <c r="A18" s="2">
        <v>42391</v>
      </c>
      <c r="B18" s="3">
        <v>19.1245719582198</v>
      </c>
      <c r="C18" s="3">
        <v>14.847907727126101</v>
      </c>
      <c r="D18" s="3">
        <v>14.9701933290753</v>
      </c>
      <c r="E18" s="3">
        <v>12.7180712173608</v>
      </c>
      <c r="F18" s="3">
        <v>14.055933095584599</v>
      </c>
      <c r="G18" s="3">
        <v>16.478389343320298</v>
      </c>
      <c r="H18" s="3">
        <v>14.8609796449499</v>
      </c>
      <c r="I18" s="3">
        <v>18.756515110398901</v>
      </c>
      <c r="J18" s="3">
        <v>16.0079553312653</v>
      </c>
      <c r="K18" s="3">
        <v>14.422748950098599</v>
      </c>
      <c r="L18" s="3">
        <v>16.021774484352399</v>
      </c>
      <c r="M18" s="3">
        <v>14.952343157575999</v>
      </c>
      <c r="N18" s="3">
        <v>16.3055593642544</v>
      </c>
    </row>
    <row r="19" spans="1:14" x14ac:dyDescent="0.35">
      <c r="A19" s="2">
        <v>42423</v>
      </c>
      <c r="B19" s="3">
        <v>19.307928821731799</v>
      </c>
      <c r="C19" s="3">
        <v>15.3403849772955</v>
      </c>
      <c r="D19" s="3">
        <v>15.3695276346784</v>
      </c>
      <c r="E19" s="3">
        <v>12.497949027184101</v>
      </c>
      <c r="F19" s="3">
        <v>13.702347386707601</v>
      </c>
      <c r="G19" s="3">
        <v>16.4569870429387</v>
      </c>
      <c r="H19" s="3">
        <v>15.227575897848499</v>
      </c>
      <c r="I19" s="3">
        <v>18.1788537879778</v>
      </c>
      <c r="J19" s="3">
        <v>16.2966838906097</v>
      </c>
      <c r="K19" s="3">
        <v>14.782956086256799</v>
      </c>
      <c r="L19" s="3">
        <v>16.1702143848043</v>
      </c>
      <c r="M19" s="3">
        <v>15.245423371476701</v>
      </c>
      <c r="N19" s="3">
        <v>14.916200165852199</v>
      </c>
    </row>
    <row r="20" spans="1:14" x14ac:dyDescent="0.35">
      <c r="A20" s="2">
        <v>42452</v>
      </c>
      <c r="B20" s="3">
        <v>19.257300288968601</v>
      </c>
      <c r="C20" s="3">
        <v>15.184414592492001</v>
      </c>
      <c r="D20" s="3">
        <v>15.9863277433295</v>
      </c>
      <c r="E20" s="3">
        <v>12.7834015143236</v>
      </c>
      <c r="F20" s="3">
        <v>13.8802641638376</v>
      </c>
      <c r="G20" s="3">
        <v>16.656587794984901</v>
      </c>
      <c r="H20" s="3">
        <v>15.710329610836199</v>
      </c>
      <c r="I20" s="3">
        <v>18.308738069931099</v>
      </c>
      <c r="J20" s="3">
        <v>16.188193427520002</v>
      </c>
      <c r="K20" s="3">
        <v>15.168641508550801</v>
      </c>
      <c r="L20" s="3">
        <v>16.426311869135802</v>
      </c>
      <c r="M20" s="3">
        <v>15.5681890563063</v>
      </c>
      <c r="N20" s="3">
        <v>15.387156040855899</v>
      </c>
    </row>
    <row r="21" spans="1:14" x14ac:dyDescent="0.35">
      <c r="A21" s="2">
        <v>42482</v>
      </c>
      <c r="B21" s="3">
        <v>19.487714819496301</v>
      </c>
      <c r="C21" s="3">
        <v>15.4020052666275</v>
      </c>
      <c r="D21" s="3">
        <v>16.3086845032749</v>
      </c>
      <c r="E21" s="3">
        <v>12.9896998755229</v>
      </c>
      <c r="F21" s="3">
        <v>14.013854186272299</v>
      </c>
      <c r="G21" s="3">
        <v>16.8554743561801</v>
      </c>
      <c r="H21" s="3">
        <v>15.9936211326135</v>
      </c>
      <c r="I21" s="3">
        <v>18.428026616451302</v>
      </c>
      <c r="J21" s="3">
        <v>16.445215307047398</v>
      </c>
      <c r="K21" s="3">
        <v>15.311615809197599</v>
      </c>
      <c r="L21" s="3">
        <v>16.355568770728802</v>
      </c>
      <c r="M21" s="3">
        <v>15.7739570157585</v>
      </c>
      <c r="N21" s="3">
        <v>15.359376326540101</v>
      </c>
    </row>
    <row r="22" spans="1:14" x14ac:dyDescent="0.35">
      <c r="A22" s="2">
        <v>42513</v>
      </c>
      <c r="B22" s="3">
        <v>19.628794606442199</v>
      </c>
      <c r="C22" s="3">
        <v>15.6424318002719</v>
      </c>
      <c r="D22" s="3">
        <v>16.519079906353301</v>
      </c>
      <c r="E22" s="3">
        <v>12.7524141884022</v>
      </c>
      <c r="F22" s="3">
        <v>13.928755831974</v>
      </c>
      <c r="G22" s="3">
        <v>16.9639365050542</v>
      </c>
      <c r="H22" s="3">
        <v>15.870567641674899</v>
      </c>
      <c r="I22" s="3">
        <v>18.339140288020499</v>
      </c>
      <c r="J22" s="3">
        <v>16.565182572190999</v>
      </c>
      <c r="K22" s="3">
        <v>15.047835684948399</v>
      </c>
      <c r="L22" s="3">
        <v>16.106556787760798</v>
      </c>
      <c r="M22" s="3">
        <v>15.4412712864154</v>
      </c>
      <c r="N22" s="3">
        <v>15.2769134429091</v>
      </c>
    </row>
    <row r="23" spans="1:14" x14ac:dyDescent="0.35">
      <c r="A23" s="2">
        <v>42544</v>
      </c>
      <c r="B23" s="3">
        <v>19.575229434707801</v>
      </c>
      <c r="C23" s="3">
        <v>15.8145252919588</v>
      </c>
      <c r="D23" s="3">
        <v>16.823692882599399</v>
      </c>
      <c r="E23" s="3">
        <v>12.957216194816001</v>
      </c>
      <c r="F23" s="3">
        <v>13.9296943351686</v>
      </c>
      <c r="G23" s="3">
        <v>17.131790996544701</v>
      </c>
      <c r="H23" s="3">
        <v>16.327118632966201</v>
      </c>
      <c r="I23" s="3">
        <v>18.686313986732401</v>
      </c>
      <c r="J23" s="3">
        <v>16.920365789872999</v>
      </c>
      <c r="K23" s="3">
        <v>15.1782463986209</v>
      </c>
      <c r="L23" s="3">
        <v>16.120844169720801</v>
      </c>
      <c r="M23" s="3">
        <v>15.5856495692724</v>
      </c>
      <c r="N23" s="3">
        <v>15.062856660247901</v>
      </c>
    </row>
    <row r="24" spans="1:14" x14ac:dyDescent="0.35">
      <c r="A24" s="2">
        <v>42573</v>
      </c>
      <c r="B24" s="3">
        <v>20.3246849664894</v>
      </c>
      <c r="C24" s="3">
        <v>16.295734003256399</v>
      </c>
      <c r="D24" s="3">
        <v>17.2136514717</v>
      </c>
      <c r="E24" s="3">
        <v>12.992449420669599</v>
      </c>
      <c r="F24" s="3">
        <v>14.2350986704684</v>
      </c>
      <c r="G24" s="3">
        <v>17.4339392869737</v>
      </c>
      <c r="H24" s="3">
        <v>16.525771479474098</v>
      </c>
      <c r="I24" s="3">
        <v>19.2121303906337</v>
      </c>
      <c r="J24" s="3">
        <v>17.345129976865</v>
      </c>
      <c r="K24" s="3">
        <v>15.0154388935205</v>
      </c>
      <c r="L24" s="3">
        <v>16.110187708035799</v>
      </c>
      <c r="M24" s="3">
        <v>15.7270414109909</v>
      </c>
      <c r="N24" s="3">
        <v>14.6898500792443</v>
      </c>
    </row>
    <row r="25" spans="1:14" x14ac:dyDescent="0.35">
      <c r="A25" s="2">
        <v>42605</v>
      </c>
      <c r="B25" s="3">
        <v>20.913706898802499</v>
      </c>
      <c r="C25" s="3">
        <v>16.756396253251399</v>
      </c>
      <c r="D25" s="3">
        <v>17.6106996816983</v>
      </c>
      <c r="E25" s="3">
        <v>13.3814632984837</v>
      </c>
      <c r="F25" s="3">
        <v>14.025216324875</v>
      </c>
      <c r="G25" s="3">
        <v>17.902943010628199</v>
      </c>
      <c r="H25" s="3">
        <v>16.9947491415993</v>
      </c>
      <c r="I25" s="3">
        <v>19.619588761924</v>
      </c>
      <c r="J25" s="3">
        <v>17.593794799297701</v>
      </c>
      <c r="K25" s="3">
        <v>14.9149296332996</v>
      </c>
      <c r="L25" s="3">
        <v>16.1423005522003</v>
      </c>
      <c r="M25" s="3">
        <v>16.013801520954299</v>
      </c>
      <c r="N25" s="3">
        <v>15.0251101112746</v>
      </c>
    </row>
    <row r="26" spans="1:14" x14ac:dyDescent="0.35">
      <c r="A26" s="2">
        <v>42636</v>
      </c>
      <c r="B26" s="3">
        <v>20.8325956296427</v>
      </c>
      <c r="C26" s="3">
        <v>16.697076629926698</v>
      </c>
      <c r="D26" s="3">
        <v>17.767163157675601</v>
      </c>
      <c r="E26" s="3">
        <v>13.664307937711101</v>
      </c>
      <c r="F26" s="3">
        <v>14.401406680932199</v>
      </c>
      <c r="G26" s="3">
        <v>18.1506020704389</v>
      </c>
      <c r="H26" s="3">
        <v>17.028883251156</v>
      </c>
      <c r="I26" s="3">
        <v>19.885621407605001</v>
      </c>
      <c r="J26" s="3">
        <v>17.687069062864499</v>
      </c>
      <c r="K26" s="3">
        <v>14.985675333262</v>
      </c>
      <c r="L26" s="3">
        <v>16.196516969098699</v>
      </c>
      <c r="M26" s="3">
        <v>16.4325035033532</v>
      </c>
      <c r="N26" s="3">
        <v>14.737941437257801</v>
      </c>
    </row>
    <row r="27" spans="1:14" x14ac:dyDescent="0.35">
      <c r="A27" s="2">
        <v>42664</v>
      </c>
      <c r="B27" s="3">
        <v>20.1075417451936</v>
      </c>
      <c r="C27" s="3">
        <v>16.836032157203899</v>
      </c>
      <c r="D27" s="3">
        <v>18.274070959554201</v>
      </c>
      <c r="E27" s="3">
        <v>13.825702901413401</v>
      </c>
      <c r="F27" s="3">
        <v>14.540499335854401</v>
      </c>
      <c r="G27" s="3">
        <v>17.8424162090338</v>
      </c>
      <c r="H27" s="3">
        <v>16.893381112399499</v>
      </c>
      <c r="I27" s="3">
        <v>19.938904255531799</v>
      </c>
      <c r="J27" s="3">
        <v>17.634343719001802</v>
      </c>
      <c r="K27" s="3">
        <v>15.072601224526901</v>
      </c>
      <c r="L27" s="3">
        <v>16.013613436661899</v>
      </c>
      <c r="M27" s="3">
        <v>17.574084708573199</v>
      </c>
      <c r="N27" s="3">
        <v>15.22514073566</v>
      </c>
    </row>
    <row r="28" spans="1:14" x14ac:dyDescent="0.35">
      <c r="A28" s="2">
        <v>42697</v>
      </c>
      <c r="B28" s="3">
        <v>20.000840246748002</v>
      </c>
      <c r="C28" s="3">
        <v>17.3342748491485</v>
      </c>
      <c r="D28" s="3">
        <v>18.8143476428457</v>
      </c>
      <c r="E28" s="3">
        <v>13.692489148082499</v>
      </c>
      <c r="F28" s="3">
        <v>15.354933317474501</v>
      </c>
      <c r="G28" s="3">
        <v>17.2832345401015</v>
      </c>
      <c r="H28" s="3">
        <v>16.4393713672833</v>
      </c>
      <c r="I28" s="3">
        <v>20.029452516258001</v>
      </c>
      <c r="J28" s="3">
        <v>18.261717362634801</v>
      </c>
      <c r="K28" s="3">
        <v>14.834090285434799</v>
      </c>
      <c r="L28" s="3">
        <v>15.6228567067845</v>
      </c>
      <c r="M28" s="3">
        <v>17.353229067202701</v>
      </c>
      <c r="N28" s="3">
        <v>14.2917032273344</v>
      </c>
    </row>
    <row r="29" spans="1:14" x14ac:dyDescent="0.35">
      <c r="A29" s="2">
        <v>42727</v>
      </c>
      <c r="B29" s="3">
        <v>19.985796736772699</v>
      </c>
      <c r="C29" s="3">
        <v>17.542486066542899</v>
      </c>
      <c r="D29" s="3">
        <v>19.345795208613801</v>
      </c>
      <c r="E29" s="3">
        <v>14.716453867307701</v>
      </c>
      <c r="F29" s="3">
        <v>16.6002770747317</v>
      </c>
      <c r="G29" s="3">
        <v>18.154187078983501</v>
      </c>
      <c r="H29" s="3">
        <v>16.9863977375723</v>
      </c>
      <c r="I29" s="3">
        <v>20.5712874187743</v>
      </c>
      <c r="J29" s="3">
        <v>18.947440677000198</v>
      </c>
      <c r="K29" s="3">
        <v>15.6855725147825</v>
      </c>
      <c r="L29" s="3">
        <v>16.321554481800799</v>
      </c>
      <c r="M29" s="3">
        <v>18.2220308462426</v>
      </c>
      <c r="N29" s="3">
        <v>27.530033272413899</v>
      </c>
    </row>
    <row r="30" spans="1:14" x14ac:dyDescent="0.35">
      <c r="A30" s="2">
        <v>42758</v>
      </c>
      <c r="B30" s="3">
        <v>20.457169273916001</v>
      </c>
      <c r="C30" s="3">
        <v>17.5025819186456</v>
      </c>
      <c r="D30" s="3">
        <v>19.8155468943228</v>
      </c>
      <c r="E30" s="3">
        <v>14.860641224759499</v>
      </c>
      <c r="F30" s="3">
        <v>16.310080353507001</v>
      </c>
      <c r="G30" s="3">
        <v>18.339461112692899</v>
      </c>
      <c r="H30" s="3">
        <v>17.036258337769201</v>
      </c>
      <c r="I30" s="3">
        <v>20.9811160641062</v>
      </c>
      <c r="J30" s="3">
        <v>18.872774817800099</v>
      </c>
      <c r="K30" s="3">
        <v>15.7099947361415</v>
      </c>
      <c r="L30" s="3">
        <v>16.2265468951658</v>
      </c>
      <c r="M30" s="3">
        <v>17.989347740346599</v>
      </c>
      <c r="N30" s="3">
        <v>27.5750073551418</v>
      </c>
    </row>
    <row r="31" spans="1:14" x14ac:dyDescent="0.35">
      <c r="A31" s="2">
        <v>42789</v>
      </c>
      <c r="B31" s="3">
        <v>20.309447382035099</v>
      </c>
      <c r="C31" s="3">
        <v>17.865719290618301</v>
      </c>
      <c r="D31" s="3">
        <v>19.8021368822988</v>
      </c>
      <c r="E31" s="3">
        <v>15.195443964028801</v>
      </c>
      <c r="F31" s="3">
        <v>16.237360623348899</v>
      </c>
      <c r="G31" s="3">
        <v>19.7256651391709</v>
      </c>
      <c r="H31" s="3">
        <v>17.422128433809501</v>
      </c>
      <c r="I31" s="3">
        <v>21.764067467581899</v>
      </c>
      <c r="J31" s="3">
        <v>19.514851033043499</v>
      </c>
      <c r="K31" s="3">
        <v>15.731577774161099</v>
      </c>
      <c r="L31" s="3">
        <v>16.524108004907699</v>
      </c>
      <c r="M31" s="3">
        <v>17.6497686993368</v>
      </c>
      <c r="N31" s="3">
        <v>86.024198809841195</v>
      </c>
    </row>
    <row r="32" spans="1:14" x14ac:dyDescent="0.35">
      <c r="A32" s="2">
        <v>42817</v>
      </c>
      <c r="B32" s="3">
        <v>19.715625876510199</v>
      </c>
      <c r="C32" s="3">
        <v>17.3328136043977</v>
      </c>
      <c r="D32" s="3">
        <v>19.154414251303699</v>
      </c>
      <c r="E32" s="3">
        <v>14.931834010477401</v>
      </c>
      <c r="F32" s="3">
        <v>15.7986964754892</v>
      </c>
      <c r="G32" s="3">
        <v>19.581114387037701</v>
      </c>
      <c r="H32" s="3">
        <v>17.1963804568373</v>
      </c>
      <c r="I32" s="3">
        <v>21.6383903891379</v>
      </c>
      <c r="J32" s="3">
        <v>19.3580294665989</v>
      </c>
      <c r="K32" s="3">
        <v>15.6276427006167</v>
      </c>
      <c r="L32" s="3">
        <v>16.482009467314601</v>
      </c>
      <c r="M32" s="3">
        <v>17.486985025982602</v>
      </c>
      <c r="N32" s="3">
        <v>80.686673607006199</v>
      </c>
    </row>
    <row r="33" spans="1:14" x14ac:dyDescent="0.35">
      <c r="A33" s="2">
        <v>42846</v>
      </c>
      <c r="B33" s="3">
        <v>19.776196805424799</v>
      </c>
      <c r="C33" s="3">
        <v>17.270652957472102</v>
      </c>
      <c r="D33" s="3">
        <v>18.906962939606998</v>
      </c>
      <c r="E33" s="3">
        <v>14.8135449589263</v>
      </c>
      <c r="F33" s="3">
        <v>15.5172844717712</v>
      </c>
      <c r="G33" s="3">
        <v>19.326618713215499</v>
      </c>
      <c r="H33" s="3">
        <v>16.8648592560914</v>
      </c>
      <c r="I33" s="3">
        <v>21.592976308064799</v>
      </c>
      <c r="J33" s="3">
        <v>19.199427861670902</v>
      </c>
      <c r="K33" s="3">
        <v>15.5827654365435</v>
      </c>
      <c r="L33" s="3">
        <v>16.568253179233899</v>
      </c>
      <c r="M33" s="3">
        <v>17.556590259981601</v>
      </c>
      <c r="N33" s="3">
        <v>73.718766189630202</v>
      </c>
    </row>
    <row r="34" spans="1:14" x14ac:dyDescent="0.35">
      <c r="A34" s="2">
        <v>42878</v>
      </c>
      <c r="B34" s="3">
        <v>19.952544487637098</v>
      </c>
      <c r="C34" s="3">
        <v>16.993426429122401</v>
      </c>
      <c r="D34" s="3">
        <v>18.6561478064121</v>
      </c>
      <c r="E34" s="3">
        <v>14.814270664596201</v>
      </c>
      <c r="F34" s="3">
        <v>15.6284689723719</v>
      </c>
      <c r="G34" s="3">
        <v>19.576355447249</v>
      </c>
      <c r="H34" s="3">
        <v>16.8322028770855</v>
      </c>
      <c r="I34" s="3">
        <v>21.842422878027602</v>
      </c>
      <c r="J34" s="3">
        <v>19.150904776849998</v>
      </c>
      <c r="K34" s="3">
        <v>15.806704620795401</v>
      </c>
      <c r="L34" s="3">
        <v>16.724866498571799</v>
      </c>
      <c r="M34" s="3">
        <v>18.118222780825601</v>
      </c>
      <c r="N34" s="3">
        <v>66.524162785987301</v>
      </c>
    </row>
    <row r="35" spans="1:14" x14ac:dyDescent="0.35">
      <c r="A35" s="2">
        <v>42909</v>
      </c>
      <c r="B35" s="3">
        <v>20.108197347906199</v>
      </c>
      <c r="C35" s="3">
        <v>16.759866775304999</v>
      </c>
      <c r="D35" s="3">
        <v>18.14994518664</v>
      </c>
      <c r="E35" s="3">
        <v>14.7329810796739</v>
      </c>
      <c r="F35" s="3">
        <v>15.623965306722299</v>
      </c>
      <c r="G35" s="3">
        <v>19.477418535365</v>
      </c>
      <c r="H35" s="3">
        <v>16.495406100638299</v>
      </c>
      <c r="I35" s="3">
        <v>21.948343308655101</v>
      </c>
      <c r="J35" s="3">
        <v>19.161302924323699</v>
      </c>
      <c r="K35" s="3">
        <v>15.719107262490001</v>
      </c>
      <c r="L35" s="3">
        <v>16.647379308322201</v>
      </c>
      <c r="M35" s="3">
        <v>17.694586083871599</v>
      </c>
      <c r="N35" s="3">
        <v>59.093743555112098</v>
      </c>
    </row>
    <row r="36" spans="1:14" x14ac:dyDescent="0.35">
      <c r="A36" s="2">
        <v>42937</v>
      </c>
      <c r="B36" s="3">
        <v>20.3497145820659</v>
      </c>
      <c r="C36" s="3">
        <v>16.829439482748199</v>
      </c>
      <c r="D36" s="3">
        <v>18.063213897384699</v>
      </c>
      <c r="E36" s="3">
        <v>14.396123751914599</v>
      </c>
      <c r="F36" s="3">
        <v>15.4918062304213</v>
      </c>
      <c r="G36" s="3">
        <v>19.358744455329401</v>
      </c>
      <c r="H36" s="3">
        <v>16.506055682764298</v>
      </c>
      <c r="I36" s="3">
        <v>22.241534105339099</v>
      </c>
      <c r="J36" s="3">
        <v>19.243898471926499</v>
      </c>
      <c r="K36" s="3">
        <v>15.590000505585801</v>
      </c>
      <c r="L36" s="3">
        <v>16.6358583319115</v>
      </c>
      <c r="M36" s="3">
        <v>17.439304409353699</v>
      </c>
      <c r="N36" s="3">
        <v>52.748443852613299</v>
      </c>
    </row>
    <row r="37" spans="1:14" x14ac:dyDescent="0.35">
      <c r="A37" s="2">
        <v>42970</v>
      </c>
      <c r="B37" s="3">
        <v>20.720408046473899</v>
      </c>
      <c r="C37" s="3">
        <v>16.7328755815787</v>
      </c>
      <c r="D37" s="3">
        <v>17.656317246681599</v>
      </c>
      <c r="E37" s="3">
        <v>14.187203762427499</v>
      </c>
      <c r="F37" s="3">
        <v>14.9566509218349</v>
      </c>
      <c r="G37" s="3">
        <v>19.190867411938601</v>
      </c>
      <c r="H37" s="3">
        <v>16.081025421295799</v>
      </c>
      <c r="I37" s="3">
        <v>21.9743522077408</v>
      </c>
      <c r="J37" s="3">
        <v>18.966005017894499</v>
      </c>
      <c r="K37" s="3">
        <v>15.4846383465004</v>
      </c>
      <c r="L37" s="3">
        <v>16.610614837572399</v>
      </c>
      <c r="M37" s="3">
        <v>16.827474955698001</v>
      </c>
      <c r="N37" s="3">
        <v>44.960115006453002</v>
      </c>
    </row>
    <row r="38" spans="1:14" x14ac:dyDescent="0.35">
      <c r="A38" s="2">
        <v>43000</v>
      </c>
      <c r="B38" s="3">
        <v>20.5208291321795</v>
      </c>
      <c r="C38" s="3">
        <v>16.436828715303399</v>
      </c>
      <c r="D38" s="3">
        <v>17.551429517012402</v>
      </c>
      <c r="E38" s="3">
        <v>14.430108446613</v>
      </c>
      <c r="F38" s="3">
        <v>15.042275778739199</v>
      </c>
      <c r="G38" s="3">
        <v>19.3845666971113</v>
      </c>
      <c r="H38" s="3">
        <v>15.8716690641046</v>
      </c>
      <c r="I38" s="3">
        <v>22.199099506068599</v>
      </c>
      <c r="J38" s="3">
        <v>19.229988738905501</v>
      </c>
      <c r="K38" s="3">
        <v>15.847994525153799</v>
      </c>
      <c r="L38" s="3">
        <v>16.800788396123998</v>
      </c>
      <c r="M38" s="3">
        <v>17.402332290453799</v>
      </c>
      <c r="N38" s="3">
        <v>38.223042182489003</v>
      </c>
    </row>
    <row r="39" spans="1:14" x14ac:dyDescent="0.35">
      <c r="A39" s="2">
        <v>43031</v>
      </c>
      <c r="B39" s="3">
        <v>21.007424399749802</v>
      </c>
      <c r="C39" s="3">
        <v>16.667224915508601</v>
      </c>
      <c r="D39" s="3">
        <v>17.5195608232928</v>
      </c>
      <c r="E39" s="3">
        <v>14.7913433253782</v>
      </c>
      <c r="F39" s="3">
        <v>15.3807107259291</v>
      </c>
      <c r="G39" s="3">
        <v>20.189245902422101</v>
      </c>
      <c r="H39" s="3">
        <v>15.716375766720899</v>
      </c>
      <c r="I39" s="3">
        <v>22.589147618661901</v>
      </c>
      <c r="J39" s="3">
        <v>19.6470074902989</v>
      </c>
      <c r="K39" s="3">
        <v>16.117967091753599</v>
      </c>
      <c r="L39" s="3">
        <v>17.249072767126101</v>
      </c>
      <c r="M39" s="3">
        <v>18.446306921687</v>
      </c>
      <c r="N39" s="3">
        <v>31.071975541977299</v>
      </c>
    </row>
    <row r="40" spans="1:14" x14ac:dyDescent="0.35">
      <c r="A40" s="2">
        <v>43061</v>
      </c>
      <c r="B40" s="3">
        <v>21.320205756094001</v>
      </c>
      <c r="C40" s="3">
        <v>16.6949898575444</v>
      </c>
      <c r="D40" s="3">
        <v>17.377197498723501</v>
      </c>
      <c r="E40" s="3">
        <v>15.1840292036711</v>
      </c>
      <c r="F40" s="3">
        <v>15.447054018918999</v>
      </c>
      <c r="G40" s="3">
        <v>20.412445941111098</v>
      </c>
      <c r="H40" s="3">
        <v>15.2915012648883</v>
      </c>
      <c r="I40" s="3">
        <v>23.234826005429401</v>
      </c>
      <c r="J40" s="3">
        <v>19.687520014058201</v>
      </c>
      <c r="K40" s="3">
        <v>15.958212820729999</v>
      </c>
      <c r="L40" s="3">
        <v>17.224486642899699</v>
      </c>
      <c r="M40" s="3">
        <v>18.1062090756629</v>
      </c>
      <c r="N40" s="3">
        <v>24.158902481889601</v>
      </c>
    </row>
    <row r="41" spans="1:14" x14ac:dyDescent="0.35">
      <c r="A41" s="2">
        <v>43091</v>
      </c>
      <c r="B41" s="3">
        <v>22.345228229021298</v>
      </c>
      <c r="C41" s="3">
        <v>16.7731043961764</v>
      </c>
      <c r="D41" s="3">
        <v>17.219119189399599</v>
      </c>
      <c r="E41" s="3">
        <v>15.4389176365497</v>
      </c>
      <c r="F41" s="3">
        <v>16.369080682367901</v>
      </c>
      <c r="G41" s="3">
        <v>20.615983878710399</v>
      </c>
      <c r="H41" s="3">
        <v>15.3534206057366</v>
      </c>
      <c r="I41" s="3">
        <v>23.7486875513565</v>
      </c>
      <c r="J41" s="3">
        <v>20.303906252734599</v>
      </c>
      <c r="K41" s="3">
        <v>16.096801433841701</v>
      </c>
      <c r="L41" s="3">
        <v>17.325044014959701</v>
      </c>
      <c r="M41" s="3">
        <v>18.203614959242401</v>
      </c>
      <c r="N41" s="3">
        <v>17.350528589574999</v>
      </c>
    </row>
    <row r="42" spans="1:14" x14ac:dyDescent="0.35">
      <c r="A42" s="2">
        <v>43123</v>
      </c>
      <c r="B42" s="3">
        <v>22.022494987291001</v>
      </c>
      <c r="C42" s="3">
        <v>16.726410932297402</v>
      </c>
      <c r="D42" s="3">
        <v>17.264883918384498</v>
      </c>
      <c r="E42" s="3">
        <v>15.818684164894499</v>
      </c>
      <c r="F42" s="3">
        <v>17.132525985720399</v>
      </c>
      <c r="G42" s="3">
        <v>22.290163332043299</v>
      </c>
      <c r="H42" s="3">
        <v>15.702846050912401</v>
      </c>
      <c r="I42" s="3">
        <v>25.412526207122799</v>
      </c>
      <c r="J42" s="3">
        <v>21.261473551679899</v>
      </c>
      <c r="K42" s="3">
        <v>16.663134128438301</v>
      </c>
      <c r="L42" s="3">
        <v>17.550313074353799</v>
      </c>
      <c r="M42" s="3">
        <v>18.654126891351599</v>
      </c>
      <c r="N42" s="3">
        <v>16.127778246585599</v>
      </c>
    </row>
    <row r="43" spans="1:14" x14ac:dyDescent="0.35">
      <c r="A43" s="2">
        <v>43154</v>
      </c>
      <c r="B43" s="3">
        <v>22.419391239094502</v>
      </c>
      <c r="C43" s="3">
        <v>16.537607097185401</v>
      </c>
      <c r="D43" s="3">
        <v>16.1138430434758</v>
      </c>
      <c r="E43" s="3">
        <v>14.3408972975433</v>
      </c>
      <c r="F43" s="3">
        <v>14.5062127566047</v>
      </c>
      <c r="G43" s="3">
        <v>21.481435205163201</v>
      </c>
      <c r="H43" s="3">
        <v>14.500853928182799</v>
      </c>
      <c r="I43" s="3">
        <v>24.333268814324999</v>
      </c>
      <c r="J43" s="3">
        <v>20.077322290439</v>
      </c>
      <c r="K43" s="3">
        <v>15.650811459220501</v>
      </c>
      <c r="L43" s="3">
        <v>16.689626253792301</v>
      </c>
      <c r="M43" s="3">
        <v>16.944033007751798</v>
      </c>
      <c r="N43" s="3">
        <v>14.2433880988696</v>
      </c>
    </row>
    <row r="44" spans="1:14" x14ac:dyDescent="0.35">
      <c r="A44" s="2">
        <v>43182</v>
      </c>
      <c r="B44" s="3">
        <v>22.553774791928099</v>
      </c>
      <c r="C44" s="3">
        <v>16.3529175505601</v>
      </c>
      <c r="D44" s="3">
        <v>15.682828731778701</v>
      </c>
      <c r="E44" s="3">
        <v>14.0694899620201</v>
      </c>
      <c r="F44" s="3">
        <v>14.2249049813488</v>
      </c>
      <c r="G44" s="3">
        <v>20.7485630246859</v>
      </c>
      <c r="H44" s="3">
        <v>13.8570120339281</v>
      </c>
      <c r="I44" s="3">
        <v>23.659391454425901</v>
      </c>
      <c r="J44" s="3">
        <v>19.426914070758802</v>
      </c>
      <c r="K44" s="3">
        <v>15.4427028491414</v>
      </c>
      <c r="L44" s="3">
        <v>16.5372507736678</v>
      </c>
      <c r="M44" s="3">
        <v>16.791908415381901</v>
      </c>
      <c r="N44" s="3">
        <v>14.085607131027899</v>
      </c>
    </row>
    <row r="45" spans="1:14" x14ac:dyDescent="0.35">
      <c r="A45" s="2">
        <v>43213</v>
      </c>
      <c r="B45" s="3">
        <v>22.235604025157102</v>
      </c>
      <c r="C45" s="3">
        <v>16.252191881345698</v>
      </c>
      <c r="D45" s="3">
        <v>15.6205244656394</v>
      </c>
      <c r="E45" s="3">
        <v>14.1702488782337</v>
      </c>
      <c r="F45" s="3">
        <v>14.2467249587017</v>
      </c>
      <c r="G45" s="3">
        <v>20.375586733266701</v>
      </c>
      <c r="H45" s="3">
        <v>14.0135607372886</v>
      </c>
      <c r="I45" s="3">
        <v>23.408690279222299</v>
      </c>
      <c r="J45" s="3">
        <v>19.2362307108823</v>
      </c>
      <c r="K45" s="3">
        <v>15.5763385320595</v>
      </c>
      <c r="L45" s="3">
        <v>16.5536932272922</v>
      </c>
      <c r="M45" s="3">
        <v>16.865013670854999</v>
      </c>
      <c r="N45" s="3">
        <v>14.2149252808235</v>
      </c>
    </row>
    <row r="46" spans="1:14" x14ac:dyDescent="0.35">
      <c r="A46" s="2">
        <v>43243</v>
      </c>
      <c r="B46" s="3">
        <v>22.314289834552198</v>
      </c>
      <c r="C46" s="3">
        <v>16.266196844045702</v>
      </c>
      <c r="D46" s="3">
        <v>15.566088986061599</v>
      </c>
      <c r="E46" s="3">
        <v>14.164971584230599</v>
      </c>
      <c r="F46" s="3">
        <v>14.262886556694401</v>
      </c>
      <c r="G46" s="3">
        <v>19.954131851111502</v>
      </c>
      <c r="H46" s="3">
        <v>14.0816285439416</v>
      </c>
      <c r="I46" s="3">
        <v>23.227631324934698</v>
      </c>
      <c r="J46" s="3">
        <v>19.000152497279299</v>
      </c>
      <c r="K46" s="3">
        <v>15.5783066081373</v>
      </c>
      <c r="L46" s="3">
        <v>16.6622953809004</v>
      </c>
      <c r="M46" s="3">
        <v>16.784026687093</v>
      </c>
      <c r="N46" s="3">
        <v>13.7910583571899</v>
      </c>
    </row>
    <row r="47" spans="1:14" x14ac:dyDescent="0.35">
      <c r="A47" s="2">
        <v>43273</v>
      </c>
      <c r="B47" s="3">
        <v>22.8558728627725</v>
      </c>
      <c r="C47" s="3">
        <v>16.329033837213</v>
      </c>
      <c r="D47" s="3">
        <v>15.6307962871846</v>
      </c>
      <c r="E47" s="3">
        <v>14.0487835640798</v>
      </c>
      <c r="F47" s="3">
        <v>13.991116651518</v>
      </c>
      <c r="G47" s="3">
        <v>19.384661998633401</v>
      </c>
      <c r="H47" s="3">
        <v>13.936329469615201</v>
      </c>
      <c r="I47" s="3">
        <v>23.264965340472902</v>
      </c>
      <c r="J47" s="3">
        <v>18.789003828337201</v>
      </c>
      <c r="K47" s="3">
        <v>15.2569471997246</v>
      </c>
      <c r="L47" s="3">
        <v>16.6653187208655</v>
      </c>
      <c r="M47" s="3">
        <v>16.438431481380899</v>
      </c>
      <c r="N47" s="3">
        <v>13.4045498385653</v>
      </c>
    </row>
    <row r="48" spans="1:14" x14ac:dyDescent="0.35">
      <c r="A48" s="2">
        <v>43304</v>
      </c>
      <c r="B48" s="3">
        <v>22.729856079618301</v>
      </c>
      <c r="C48" s="3">
        <v>16.258493388544</v>
      </c>
      <c r="D48" s="3">
        <v>15.4809505155847</v>
      </c>
      <c r="E48" s="3">
        <v>14.039418893906801</v>
      </c>
      <c r="F48" s="3">
        <v>13.864375411924501</v>
      </c>
      <c r="G48" s="3">
        <v>19.2964887138845</v>
      </c>
      <c r="H48" s="3">
        <v>13.7808304634317</v>
      </c>
      <c r="I48" s="3">
        <v>23.264556401646502</v>
      </c>
      <c r="J48" s="3">
        <v>18.669942650940499</v>
      </c>
      <c r="K48" s="3">
        <v>15.202039434081</v>
      </c>
      <c r="L48" s="3">
        <v>16.793915782594901</v>
      </c>
      <c r="M48" s="3">
        <v>16.464162792628802</v>
      </c>
      <c r="N48" s="3">
        <v>13.1342100878687</v>
      </c>
    </row>
    <row r="49" spans="1:14" x14ac:dyDescent="0.35">
      <c r="A49" s="2">
        <v>43335</v>
      </c>
      <c r="B49" s="3">
        <v>23.359421221180799</v>
      </c>
      <c r="C49" s="3">
        <v>16.223400476762901</v>
      </c>
      <c r="D49" s="3">
        <v>15.3391933143901</v>
      </c>
      <c r="E49" s="3">
        <v>14.014672598511</v>
      </c>
      <c r="F49" s="3">
        <v>13.5261712958717</v>
      </c>
      <c r="G49" s="3">
        <v>18.8919122184091</v>
      </c>
      <c r="H49" s="3">
        <v>13.6264550184932</v>
      </c>
      <c r="I49" s="3">
        <v>23.0427609911461</v>
      </c>
      <c r="J49" s="3">
        <v>18.577643796617799</v>
      </c>
      <c r="K49" s="3">
        <v>15.0660055027772</v>
      </c>
      <c r="L49" s="3">
        <v>16.580567068613</v>
      </c>
      <c r="M49" s="3">
        <v>16.731605337949599</v>
      </c>
      <c r="N49" s="3">
        <v>12.6524987092365</v>
      </c>
    </row>
    <row r="50" spans="1:14" x14ac:dyDescent="0.35">
      <c r="A50" s="2">
        <v>43364</v>
      </c>
      <c r="B50" s="3">
        <v>23.735286351707</v>
      </c>
      <c r="C50" s="3">
        <v>16.081606393949599</v>
      </c>
      <c r="D50" s="3">
        <v>15.1683550205227</v>
      </c>
      <c r="E50" s="3">
        <v>14.0446504385728</v>
      </c>
      <c r="F50" s="3">
        <v>13.931603871778499</v>
      </c>
      <c r="G50" s="3">
        <v>18.6228279071752</v>
      </c>
      <c r="H50" s="3">
        <v>13.6282517354131</v>
      </c>
      <c r="I50" s="3">
        <v>23.071069744894601</v>
      </c>
      <c r="J50" s="3">
        <v>18.688739503824699</v>
      </c>
      <c r="K50" s="3">
        <v>15.1459028549283</v>
      </c>
      <c r="L50" s="3">
        <v>16.456653478528601</v>
      </c>
      <c r="M50" s="3">
        <v>16.931080189215098</v>
      </c>
      <c r="N50" s="3">
        <v>12.712206352154301</v>
      </c>
    </row>
    <row r="51" spans="1:14" x14ac:dyDescent="0.35">
      <c r="A51" s="2">
        <v>43396</v>
      </c>
      <c r="B51" s="3">
        <v>22.3451310879883</v>
      </c>
      <c r="C51" s="3">
        <v>15.264344116678499</v>
      </c>
      <c r="D51" s="3">
        <v>14.3231128618798</v>
      </c>
      <c r="E51" s="3">
        <v>13.043024888206601</v>
      </c>
      <c r="F51" s="3">
        <v>12.8883751299274</v>
      </c>
      <c r="G51" s="3">
        <v>17.598907789540402</v>
      </c>
      <c r="H51" s="3">
        <v>12.7538917281484</v>
      </c>
      <c r="I51" s="3">
        <v>21.9177158508543</v>
      </c>
      <c r="J51" s="3">
        <v>17.579770665745599</v>
      </c>
      <c r="K51" s="3">
        <v>13.9314884204307</v>
      </c>
      <c r="L51" s="3">
        <v>15.337261374243599</v>
      </c>
      <c r="M51" s="3">
        <v>15.180562876206899</v>
      </c>
      <c r="N51" s="3">
        <v>11.379080804386099</v>
      </c>
    </row>
    <row r="52" spans="1:14" x14ac:dyDescent="0.35">
      <c r="A52" s="2">
        <v>43427</v>
      </c>
      <c r="B52" s="3">
        <v>22.4360294410039</v>
      </c>
      <c r="C52" s="3">
        <v>15.0282777504154</v>
      </c>
      <c r="D52" s="3">
        <v>13.946365578168599</v>
      </c>
      <c r="E52" s="3">
        <v>12.834198721932699</v>
      </c>
      <c r="F52" s="3">
        <v>12.582172982720699</v>
      </c>
      <c r="G52" s="3">
        <v>17.5154244808814</v>
      </c>
      <c r="H52" s="3">
        <v>12.550738687662299</v>
      </c>
      <c r="I52" s="3">
        <v>19.727104476599902</v>
      </c>
      <c r="J52" s="3">
        <v>16.621200988352399</v>
      </c>
      <c r="K52" s="3">
        <v>13.6779318101848</v>
      </c>
      <c r="L52" s="3">
        <v>15.307170541302099</v>
      </c>
      <c r="M52" s="3">
        <v>14.6201695321841</v>
      </c>
      <c r="N52" s="3">
        <v>11.0851895741432</v>
      </c>
    </row>
    <row r="53" spans="1:14" x14ac:dyDescent="0.35">
      <c r="A53" s="2">
        <v>43455</v>
      </c>
      <c r="B53" s="3">
        <v>22.6722839931872</v>
      </c>
      <c r="C53" s="3">
        <v>14.245480078526599</v>
      </c>
      <c r="D53" s="3">
        <v>12.8216128933924</v>
      </c>
      <c r="E53" s="3">
        <v>12.1663180402705</v>
      </c>
      <c r="F53" s="3">
        <v>11.524981961317</v>
      </c>
      <c r="G53" s="3">
        <v>16.3196747627285</v>
      </c>
      <c r="H53" s="3">
        <v>11.9906287576816</v>
      </c>
      <c r="I53" s="3">
        <v>18.074765152587101</v>
      </c>
      <c r="J53" s="3">
        <v>15.0645704519365</v>
      </c>
      <c r="K53" s="3">
        <v>12.9039449751081</v>
      </c>
      <c r="L53" s="3">
        <v>14.215783463117999</v>
      </c>
      <c r="M53" s="3">
        <v>13.818594901978599</v>
      </c>
      <c r="N53" s="3">
        <v>10.566444188132101</v>
      </c>
    </row>
    <row r="54" spans="1:14" x14ac:dyDescent="0.35">
      <c r="A54" s="2">
        <v>43488</v>
      </c>
      <c r="B54" s="3">
        <v>23.5431373284339</v>
      </c>
      <c r="C54" s="3">
        <v>15.1625254186786</v>
      </c>
      <c r="D54" s="3">
        <v>14.019239228028001</v>
      </c>
      <c r="E54" s="3">
        <v>12.7119238857216</v>
      </c>
      <c r="F54" s="3">
        <v>11.937602448058</v>
      </c>
      <c r="G54" s="3">
        <v>17.4390293186324</v>
      </c>
      <c r="H54" s="3">
        <v>12.328163207754301</v>
      </c>
      <c r="I54" s="3">
        <v>19.6734850220849</v>
      </c>
      <c r="J54" s="3">
        <v>16.310634086973199</v>
      </c>
      <c r="K54" s="3">
        <v>13.3453699870919</v>
      </c>
      <c r="L54" s="3">
        <v>14.9072803755937</v>
      </c>
      <c r="M54" s="3">
        <v>15.0100007901711</v>
      </c>
      <c r="N54" s="3">
        <v>10.9521759824183</v>
      </c>
    </row>
    <row r="55" spans="1:14" x14ac:dyDescent="0.35">
      <c r="A55" s="2">
        <v>43518</v>
      </c>
      <c r="B55" s="3">
        <v>24.1558951925164</v>
      </c>
      <c r="C55" s="3">
        <v>15.9108723124367</v>
      </c>
      <c r="D55" s="3">
        <v>14.8131700909783</v>
      </c>
      <c r="E55" s="3">
        <v>13.1620442077484</v>
      </c>
      <c r="F55" s="3">
        <v>12.6717568149952</v>
      </c>
      <c r="G55" s="3">
        <v>18.239061766688199</v>
      </c>
      <c r="H55" s="3">
        <v>13.040957194473499</v>
      </c>
      <c r="I55" s="3">
        <v>20.842891157473701</v>
      </c>
      <c r="J55" s="3">
        <v>17.1761735558756</v>
      </c>
      <c r="K55" s="3">
        <v>14.456514204366099</v>
      </c>
      <c r="L55" s="3">
        <v>16.148617978413601</v>
      </c>
      <c r="M55" s="3">
        <v>18.3831883941636</v>
      </c>
      <c r="N55" s="3">
        <v>11.1584027463661</v>
      </c>
    </row>
    <row r="56" spans="1:14" x14ac:dyDescent="0.35">
      <c r="A56" s="2">
        <v>43546</v>
      </c>
      <c r="B56" s="3">
        <v>24.0493860396254</v>
      </c>
      <c r="C56" s="3">
        <v>15.8864824651815</v>
      </c>
      <c r="D56" s="3">
        <v>14.7081899597915</v>
      </c>
      <c r="E56" s="3">
        <v>13.156877480939301</v>
      </c>
      <c r="F56" s="3">
        <v>12.731206328730099</v>
      </c>
      <c r="G56" s="3">
        <v>18.241294402523</v>
      </c>
      <c r="H56" s="3">
        <v>12.943921598667799</v>
      </c>
      <c r="I56" s="3">
        <v>21.004248470739299</v>
      </c>
      <c r="J56" s="3">
        <v>17.098035434663998</v>
      </c>
      <c r="K56" s="3">
        <v>14.518659533209201</v>
      </c>
      <c r="L56" s="3">
        <v>16.126938528918298</v>
      </c>
      <c r="M56" s="3">
        <v>17.955381199480399</v>
      </c>
      <c r="N56" s="3">
        <v>11.3059615425333</v>
      </c>
    </row>
    <row r="57" spans="1:14" x14ac:dyDescent="0.35">
      <c r="A57" s="2">
        <v>43578</v>
      </c>
      <c r="B57" s="3">
        <v>24.212065307872699</v>
      </c>
      <c r="C57" s="3">
        <v>15.8820480939311</v>
      </c>
      <c r="D57" s="3">
        <v>14.676800959197999</v>
      </c>
      <c r="E57" s="3">
        <v>13.3703171051487</v>
      </c>
      <c r="F57" s="3">
        <v>12.7782192014609</v>
      </c>
      <c r="G57" s="3">
        <v>18.296740666241401</v>
      </c>
      <c r="H57" s="3">
        <v>13.0526200859991</v>
      </c>
      <c r="I57" s="3">
        <v>21.419148609619999</v>
      </c>
      <c r="J57" s="3">
        <v>17.290339210375901</v>
      </c>
      <c r="K57" s="3">
        <v>14.681971127235601</v>
      </c>
      <c r="L57" s="3">
        <v>16.321157470631199</v>
      </c>
      <c r="M57" s="3">
        <v>17.869910888816701</v>
      </c>
      <c r="N57" s="3">
        <v>11.3605766032591</v>
      </c>
    </row>
    <row r="58" spans="1:14" x14ac:dyDescent="0.35">
      <c r="A58" s="2">
        <v>43608</v>
      </c>
      <c r="B58" s="3">
        <v>24.476102455104702</v>
      </c>
      <c r="C58" s="3">
        <v>16.025699531087099</v>
      </c>
      <c r="D58" s="3">
        <v>14.420942045872</v>
      </c>
      <c r="E58" s="3">
        <v>13.1566369208225</v>
      </c>
      <c r="F58" s="3">
        <v>12.643859117478801</v>
      </c>
      <c r="G58" s="3">
        <v>18.128614749691799</v>
      </c>
      <c r="H58" s="3">
        <v>12.819381960161801</v>
      </c>
      <c r="I58" s="3">
        <v>21.0059874903557</v>
      </c>
      <c r="J58" s="3">
        <v>17.050847728425602</v>
      </c>
      <c r="K58" s="3">
        <v>14.3974932881722</v>
      </c>
      <c r="L58" s="3">
        <v>16.038120973963601</v>
      </c>
      <c r="M58" s="3">
        <v>17.2899663252328</v>
      </c>
      <c r="N58" s="3">
        <v>10.9917122054059</v>
      </c>
    </row>
    <row r="59" spans="1:14" x14ac:dyDescent="0.35">
      <c r="A59" s="2">
        <v>43637</v>
      </c>
      <c r="B59" s="3">
        <v>24.424390992237502</v>
      </c>
      <c r="C59" s="3">
        <v>16.265281359375901</v>
      </c>
      <c r="D59" s="3">
        <v>14.547214013050599</v>
      </c>
      <c r="E59" s="3">
        <v>13.355439858653501</v>
      </c>
      <c r="F59" s="3">
        <v>12.818777615767299</v>
      </c>
      <c r="G59" s="3">
        <v>18.360951897354401</v>
      </c>
      <c r="H59" s="3">
        <v>13.0156240262751</v>
      </c>
      <c r="I59" s="3">
        <v>21.704009776572398</v>
      </c>
      <c r="J59" s="3">
        <v>17.425120097818098</v>
      </c>
      <c r="K59" s="3">
        <v>13.6782161478527</v>
      </c>
      <c r="L59" s="3">
        <v>16.358442128978002</v>
      </c>
      <c r="M59" s="3">
        <v>17.261337940440502</v>
      </c>
      <c r="N59" s="3">
        <v>11.174811728915101</v>
      </c>
    </row>
    <row r="60" spans="1:14" x14ac:dyDescent="0.35">
      <c r="A60" s="2">
        <v>43669</v>
      </c>
      <c r="B60" s="3">
        <v>25.2755442158576</v>
      </c>
      <c r="C60" s="3">
        <v>16.409624273145699</v>
      </c>
      <c r="D60" s="3">
        <v>14.5535005295002</v>
      </c>
      <c r="E60" s="3">
        <v>13.6300734842058</v>
      </c>
      <c r="F60" s="3">
        <v>12.986439878271099</v>
      </c>
      <c r="G60" s="3">
        <v>18.392255163431798</v>
      </c>
      <c r="H60" s="3">
        <v>13.1677850790363</v>
      </c>
      <c r="I60" s="3">
        <v>22.094425238787402</v>
      </c>
      <c r="J60" s="3">
        <v>17.716784415628801</v>
      </c>
      <c r="K60" s="3">
        <v>14.9042826633658</v>
      </c>
      <c r="L60" s="3">
        <v>16.750991140480298</v>
      </c>
      <c r="M60" s="3">
        <v>17.062775439863401</v>
      </c>
      <c r="N60" s="3">
        <v>11.3185207763136</v>
      </c>
    </row>
    <row r="61" spans="1:14" x14ac:dyDescent="0.35">
      <c r="A61" s="2">
        <v>43700</v>
      </c>
      <c r="B61" s="3">
        <v>27.723063924011701</v>
      </c>
      <c r="C61" s="3">
        <v>16.2976128328634</v>
      </c>
      <c r="D61" s="3">
        <v>14.2215061605306</v>
      </c>
      <c r="E61" s="3">
        <v>13.3156986913792</v>
      </c>
      <c r="F61" s="3">
        <v>12.7680534567317</v>
      </c>
      <c r="G61" s="3">
        <v>18.1522009510701</v>
      </c>
      <c r="H61" s="3">
        <v>12.7052847391674</v>
      </c>
      <c r="I61" s="3">
        <v>21.388422358937699</v>
      </c>
      <c r="J61" s="3">
        <v>17.210950349341601</v>
      </c>
      <c r="K61" s="3">
        <v>14.518294032319099</v>
      </c>
      <c r="L61" s="3">
        <v>16.229671261992198</v>
      </c>
      <c r="M61" s="3">
        <v>15.6970194280811</v>
      </c>
      <c r="N61" s="3">
        <v>10.838665999288301</v>
      </c>
    </row>
    <row r="62" spans="1:14" x14ac:dyDescent="0.35">
      <c r="A62" s="2">
        <v>43731</v>
      </c>
      <c r="B62" s="3">
        <v>28.512236436423201</v>
      </c>
      <c r="C62" s="3">
        <v>16.855619769494801</v>
      </c>
      <c r="D62" s="3">
        <v>14.768098236284301</v>
      </c>
      <c r="E62" s="3">
        <v>13.988987750947601</v>
      </c>
      <c r="F62" s="3">
        <v>13.564753332694</v>
      </c>
      <c r="G62" s="3">
        <v>18.3714050552259</v>
      </c>
      <c r="H62" s="3">
        <v>13.0676347531173</v>
      </c>
      <c r="I62" s="3">
        <v>21.884698449003899</v>
      </c>
      <c r="J62" s="3">
        <v>17.907961430140102</v>
      </c>
      <c r="K62" s="3">
        <v>15.092128278253499</v>
      </c>
      <c r="L62" s="3">
        <v>17.0584178135333</v>
      </c>
      <c r="M62" s="3">
        <v>16.108297454382601</v>
      </c>
      <c r="N62" s="3">
        <v>11.276657610039299</v>
      </c>
    </row>
    <row r="63" spans="1:14" x14ac:dyDescent="0.35">
      <c r="A63" s="2">
        <v>43761</v>
      </c>
      <c r="B63" s="3">
        <v>28.685990967464999</v>
      </c>
      <c r="C63" s="3">
        <v>17.119281270321601</v>
      </c>
      <c r="D63" s="3">
        <v>14.6207538904495</v>
      </c>
      <c r="E63" s="3">
        <v>14.595497392363299</v>
      </c>
      <c r="F63" s="3">
        <v>13.862233722247799</v>
      </c>
      <c r="G63" s="3">
        <v>18.377588340980299</v>
      </c>
      <c r="H63" s="3">
        <v>13.236556122394999</v>
      </c>
      <c r="I63" s="3">
        <v>22.137021487090099</v>
      </c>
      <c r="J63" s="3">
        <v>18.150855859258701</v>
      </c>
      <c r="K63" s="3">
        <v>15.3763649443968</v>
      </c>
      <c r="L63" s="3">
        <v>17.226293498581299</v>
      </c>
      <c r="M63" s="3">
        <v>16.8455312770059</v>
      </c>
      <c r="N63" s="3">
        <v>11.5396192510993</v>
      </c>
    </row>
    <row r="64" spans="1:14" x14ac:dyDescent="0.35">
      <c r="A64" s="2">
        <v>43791</v>
      </c>
      <c r="B64" s="3">
        <v>29.886016402011698</v>
      </c>
      <c r="C64" s="3">
        <v>17.402648689466201</v>
      </c>
      <c r="D64" s="3">
        <v>15.05791976559</v>
      </c>
      <c r="E64" s="3">
        <v>15.0748126789443</v>
      </c>
      <c r="F64" s="3">
        <v>14.4928730405086</v>
      </c>
      <c r="G64" s="3">
        <v>18.8931824523657</v>
      </c>
      <c r="H64" s="3">
        <v>13.409334881193001</v>
      </c>
      <c r="I64" s="3">
        <v>23.319121913657298</v>
      </c>
      <c r="J64" s="3">
        <v>18.881242219408001</v>
      </c>
      <c r="K64" s="3">
        <v>16.0152041671349</v>
      </c>
      <c r="L64" s="3">
        <v>17.847178937587699</v>
      </c>
      <c r="M64" s="3">
        <v>15.910852918309599</v>
      </c>
      <c r="N64" s="3">
        <v>11.844483740686799</v>
      </c>
    </row>
    <row r="65" spans="1:14" x14ac:dyDescent="0.35">
      <c r="A65" s="2">
        <v>43822</v>
      </c>
      <c r="B65" s="3">
        <v>32.435545635705203</v>
      </c>
      <c r="C65" s="3">
        <v>17.915477006232301</v>
      </c>
      <c r="D65" s="3">
        <v>15.335332710305</v>
      </c>
      <c r="E65" s="3">
        <v>15.501518210214201</v>
      </c>
      <c r="F65" s="3">
        <v>15.3148233716152</v>
      </c>
      <c r="G65" s="3">
        <v>19.703068487629899</v>
      </c>
      <c r="H65" s="3">
        <v>14.0970807455846</v>
      </c>
      <c r="I65" s="3">
        <v>24.7573854133183</v>
      </c>
      <c r="J65" s="3">
        <v>19.780819735995099</v>
      </c>
      <c r="K65" s="3">
        <v>16.552469707112401</v>
      </c>
      <c r="L65" s="3">
        <v>18.738501527125798</v>
      </c>
      <c r="M65" s="3">
        <v>16.4537188239423</v>
      </c>
      <c r="N65" s="3">
        <v>12.3015726394982</v>
      </c>
    </row>
    <row r="66" spans="1:14" x14ac:dyDescent="0.35">
      <c r="A66" s="2">
        <v>43853</v>
      </c>
      <c r="B66" s="3">
        <v>33.326164153530499</v>
      </c>
      <c r="C66" s="3">
        <v>18.744908752834998</v>
      </c>
      <c r="D66" s="3">
        <v>15.726565401923599</v>
      </c>
      <c r="E66" s="3">
        <v>15.547546381774101</v>
      </c>
      <c r="F66" s="3">
        <v>15.404544534517299</v>
      </c>
      <c r="G66" s="3">
        <v>20.055200334843398</v>
      </c>
      <c r="H66" s="3">
        <v>14.093282926863299</v>
      </c>
      <c r="I66" s="3">
        <v>26.076566297353398</v>
      </c>
      <c r="J66" s="3">
        <v>20.368688344834698</v>
      </c>
      <c r="K66" s="3">
        <v>16.484127183520201</v>
      </c>
      <c r="L66" s="3">
        <v>18.5328331346624</v>
      </c>
      <c r="M66" s="3">
        <v>13.6646950553799</v>
      </c>
      <c r="N66" s="3">
        <v>12.077049143295101</v>
      </c>
    </row>
    <row r="67" spans="1:14" x14ac:dyDescent="0.35">
      <c r="A67" s="2">
        <v>43882</v>
      </c>
      <c r="B67" s="3">
        <v>33.710327317369703</v>
      </c>
      <c r="C67" s="3">
        <v>18.911266085758299</v>
      </c>
      <c r="D67" s="3">
        <v>15.7139396786178</v>
      </c>
      <c r="E67" s="3">
        <v>16.0014112377083</v>
      </c>
      <c r="F67" s="3">
        <v>15.3133524478949</v>
      </c>
      <c r="G67" s="3">
        <v>20.261267567650901</v>
      </c>
      <c r="H67" s="3">
        <v>13.940806902133399</v>
      </c>
      <c r="I67" s="3">
        <v>26.100027017521899</v>
      </c>
      <c r="J67" s="3">
        <v>20.2408416046359</v>
      </c>
      <c r="K67" s="3">
        <v>16.5709115068037</v>
      </c>
      <c r="L67" s="3">
        <v>19.633435197806399</v>
      </c>
      <c r="M67" s="3">
        <v>14.334215700755999</v>
      </c>
      <c r="N67" s="3">
        <v>12.6890162128706</v>
      </c>
    </row>
    <row r="68" spans="1:14" x14ac:dyDescent="0.35">
      <c r="A68" s="2">
        <v>43913</v>
      </c>
      <c r="B68" s="3">
        <v>29.7161015530742</v>
      </c>
      <c r="C68" s="3">
        <v>15.9258225461232</v>
      </c>
      <c r="D68" s="3">
        <v>13.649506955364901</v>
      </c>
      <c r="E68" s="3">
        <v>13.343996706705999</v>
      </c>
      <c r="F68" s="3">
        <v>13.49621602121</v>
      </c>
      <c r="G68" s="3">
        <v>17.2879230917593</v>
      </c>
      <c r="H68" s="3">
        <v>11.8313712702058</v>
      </c>
      <c r="I68" s="3">
        <v>22.468117267316099</v>
      </c>
      <c r="J68" s="3">
        <v>17.058120676711098</v>
      </c>
      <c r="K68" s="3">
        <v>13.951933684646299</v>
      </c>
      <c r="L68" s="3">
        <v>16.505604848681401</v>
      </c>
      <c r="M68" s="3">
        <v>12.3424778760289</v>
      </c>
      <c r="N68" s="3">
        <v>10.804360448338601</v>
      </c>
    </row>
    <row r="69" spans="1:14" x14ac:dyDescent="0.35">
      <c r="A69" s="2">
        <v>43944</v>
      </c>
      <c r="B69" s="3">
        <v>31.363386097847901</v>
      </c>
      <c r="C69" s="3">
        <v>16.854923796985702</v>
      </c>
      <c r="D69" s="3">
        <v>15.126214558617299</v>
      </c>
      <c r="E69" s="3">
        <v>14.6165895407185</v>
      </c>
      <c r="F69" s="3">
        <v>14.1183922781072</v>
      </c>
      <c r="G69" s="3">
        <v>18.4166921103674</v>
      </c>
      <c r="H69" s="3">
        <v>13.220948810551301</v>
      </c>
      <c r="I69" s="3">
        <v>24.0048838392071</v>
      </c>
      <c r="J69" s="3">
        <v>18.8142656437869</v>
      </c>
      <c r="K69" s="3">
        <v>15.431603984658</v>
      </c>
      <c r="L69" s="3">
        <v>17.593740002335402</v>
      </c>
      <c r="M69" s="3">
        <v>14.245825365396501</v>
      </c>
      <c r="N69" s="3">
        <v>11.9724105275262</v>
      </c>
    </row>
    <row r="70" spans="1:14" x14ac:dyDescent="0.35">
      <c r="A70" s="2">
        <v>43973</v>
      </c>
      <c r="B70" s="3">
        <v>32.466623556616</v>
      </c>
      <c r="C70" s="3">
        <v>17.565553064686899</v>
      </c>
      <c r="D70" s="3">
        <v>16.8469288742427</v>
      </c>
      <c r="E70" s="3">
        <v>15.6923108394446</v>
      </c>
      <c r="F70" s="3">
        <v>14.833538948241801</v>
      </c>
      <c r="G70" s="3">
        <v>18.930381478785002</v>
      </c>
      <c r="H70" s="3">
        <v>14.2780079278409</v>
      </c>
      <c r="I70" s="3">
        <v>25.594575193433101</v>
      </c>
      <c r="J70" s="3">
        <v>20.037816813197299</v>
      </c>
      <c r="K70" s="3">
        <v>16.278155516683501</v>
      </c>
      <c r="L70" s="3">
        <v>18.2736441166474</v>
      </c>
      <c r="M70" s="3">
        <v>15.213429087012701</v>
      </c>
      <c r="N70" s="3">
        <v>13.7712344166652</v>
      </c>
    </row>
    <row r="71" spans="1:14" x14ac:dyDescent="0.35">
      <c r="A71" s="2">
        <v>44005</v>
      </c>
      <c r="B71" s="3">
        <v>32.205026157785703</v>
      </c>
      <c r="C71" s="3">
        <v>18.531477514692199</v>
      </c>
      <c r="D71" s="3">
        <v>17.314244814784701</v>
      </c>
      <c r="E71" s="3">
        <v>17.552381464832099</v>
      </c>
      <c r="F71" s="3">
        <v>16.884033024453</v>
      </c>
      <c r="G71" s="3">
        <v>19.656365506334701</v>
      </c>
      <c r="H71" s="3">
        <v>15.283607250765399</v>
      </c>
      <c r="I71" s="3">
        <v>27.007347258201001</v>
      </c>
      <c r="J71" s="3">
        <v>21.210321235120102</v>
      </c>
      <c r="K71" s="3">
        <v>18.406466736986999</v>
      </c>
      <c r="L71" s="3">
        <v>19.6733259362321</v>
      </c>
      <c r="M71" s="3">
        <v>17.120264475425099</v>
      </c>
      <c r="N71" s="3">
        <v>16.2880762509362</v>
      </c>
    </row>
    <row r="72" spans="1:14" x14ac:dyDescent="0.35">
      <c r="A72" s="2">
        <v>44035</v>
      </c>
      <c r="B72" s="3">
        <v>33.755318633539297</v>
      </c>
      <c r="C72" s="3">
        <v>19.2077153874448</v>
      </c>
      <c r="D72" s="3">
        <v>17.697331961003101</v>
      </c>
      <c r="E72" s="3">
        <v>19.069488620805799</v>
      </c>
      <c r="F72" s="3">
        <v>17.710729992971402</v>
      </c>
      <c r="G72" s="3">
        <v>20.209774665772098</v>
      </c>
      <c r="H72" s="3">
        <v>15.736950507991599</v>
      </c>
      <c r="I72" s="3">
        <v>27.9829101818681</v>
      </c>
      <c r="J72" s="3">
        <v>22.1211717386328</v>
      </c>
      <c r="K72" s="3">
        <v>20.3394593049604</v>
      </c>
      <c r="L72" s="3">
        <v>20.576783904337098</v>
      </c>
      <c r="M72" s="3">
        <v>17.2650232343975</v>
      </c>
      <c r="N72" s="3">
        <v>17.738728159710899</v>
      </c>
    </row>
    <row r="73" spans="1:14" x14ac:dyDescent="0.35">
      <c r="A73" s="2">
        <v>44064</v>
      </c>
      <c r="B73" s="3">
        <v>34.215490619615501</v>
      </c>
      <c r="C73" s="3">
        <v>19.666551091423901</v>
      </c>
      <c r="D73" s="3">
        <v>18.257028345266701</v>
      </c>
      <c r="E73" s="3">
        <v>19.564767340319801</v>
      </c>
      <c r="F73" s="3">
        <v>18.439137403649799</v>
      </c>
      <c r="G73" s="3">
        <v>20.4634910160168</v>
      </c>
      <c r="H73" s="3">
        <v>16.223022850375202</v>
      </c>
      <c r="I73" s="3">
        <v>29.4356667698279</v>
      </c>
      <c r="J73" s="3">
        <v>22.976985985146602</v>
      </c>
      <c r="K73" s="3">
        <v>21.964301537783701</v>
      </c>
      <c r="L73" s="3">
        <v>20.890862859353099</v>
      </c>
      <c r="M73" s="3">
        <v>16.902836605345598</v>
      </c>
      <c r="N73" s="3">
        <v>17.513787399299598</v>
      </c>
    </row>
    <row r="74" spans="1:14" x14ac:dyDescent="0.35">
      <c r="A74" s="2">
        <v>44097</v>
      </c>
      <c r="B74" s="3">
        <v>33.248153407206303</v>
      </c>
      <c r="C74" s="3">
        <v>19.338265060670199</v>
      </c>
      <c r="D74" s="3">
        <v>17.9777608139946</v>
      </c>
      <c r="E74" s="3">
        <v>19.990635469390298</v>
      </c>
      <c r="F74" s="3">
        <v>20.040420656091001</v>
      </c>
      <c r="G74" s="3">
        <v>20.694355065779899</v>
      </c>
      <c r="H74" s="3">
        <v>16.683178325924199</v>
      </c>
      <c r="I74" s="3">
        <v>28.800887285658401</v>
      </c>
      <c r="J74" s="3">
        <v>22.739517824898002</v>
      </c>
      <c r="K74" s="3">
        <v>22.7340496253697</v>
      </c>
      <c r="L74" s="3">
        <v>21.467932613232499</v>
      </c>
      <c r="M74" s="3">
        <v>17.758760662315801</v>
      </c>
      <c r="N74" s="3">
        <v>18.030666435258698</v>
      </c>
    </row>
    <row r="75" spans="1:14" x14ac:dyDescent="0.35">
      <c r="A75" s="2">
        <v>44127</v>
      </c>
      <c r="B75" s="3">
        <v>35.455909978668203</v>
      </c>
      <c r="C75" s="3">
        <v>20.100611606081099</v>
      </c>
      <c r="D75" s="3">
        <v>18.6390567672745</v>
      </c>
      <c r="E75" s="3">
        <v>20.257372521617999</v>
      </c>
      <c r="F75" s="3">
        <v>20.609339181409201</v>
      </c>
      <c r="G75" s="3">
        <v>20.559266255332599</v>
      </c>
      <c r="H75" s="3">
        <v>16.9289645159316</v>
      </c>
      <c r="I75" s="3">
        <v>31.124997435357098</v>
      </c>
      <c r="J75" s="3">
        <v>24.301572003970101</v>
      </c>
      <c r="K75" s="3">
        <v>24.2342078693388</v>
      </c>
      <c r="L75" s="3">
        <v>22.2701337592203</v>
      </c>
      <c r="M75" s="3">
        <v>15.7357577725366</v>
      </c>
      <c r="N75" s="3">
        <v>19.081193533985399</v>
      </c>
    </row>
    <row r="76" spans="1:14" x14ac:dyDescent="0.35">
      <c r="A76" s="2">
        <v>44158</v>
      </c>
      <c r="B76" s="3">
        <v>35.402833225491598</v>
      </c>
      <c r="C76" s="3">
        <v>21.956453663965799</v>
      </c>
      <c r="D76" s="3">
        <v>19.6273396582177</v>
      </c>
      <c r="E76" s="3">
        <v>21.4499675568313</v>
      </c>
      <c r="F76" s="3">
        <v>22.062021845550198</v>
      </c>
      <c r="G76" s="3">
        <v>21.1829805356173</v>
      </c>
      <c r="H76" s="3">
        <v>18.498705686222099</v>
      </c>
      <c r="I76" s="3">
        <v>31.3425671877628</v>
      </c>
      <c r="J76" s="3">
        <v>24.920160690822499</v>
      </c>
      <c r="K76" s="3">
        <v>27.521217288339599</v>
      </c>
      <c r="L76" s="3">
        <v>24.668098258803099</v>
      </c>
      <c r="M76" s="3">
        <v>16.664651755484801</v>
      </c>
      <c r="N76" s="3">
        <v>21.960214197440202</v>
      </c>
    </row>
    <row r="77" spans="1:14" x14ac:dyDescent="0.35">
      <c r="A77" s="2">
        <v>44188</v>
      </c>
      <c r="B77" s="3">
        <v>37.747245012842399</v>
      </c>
      <c r="C77" s="3">
        <v>22.928804742786401</v>
      </c>
      <c r="D77" s="3">
        <v>20.443576652678999</v>
      </c>
      <c r="E77" s="3">
        <v>21.686572994824399</v>
      </c>
      <c r="F77" s="3">
        <v>22.835551606555502</v>
      </c>
      <c r="G77" s="3">
        <v>21.384587452051701</v>
      </c>
      <c r="H77" s="3">
        <v>19.543138697805698</v>
      </c>
      <c r="I77" s="3">
        <v>33.552203055746602</v>
      </c>
      <c r="J77" s="3">
        <v>26.760051539465199</v>
      </c>
      <c r="K77" s="3">
        <v>28.418878830139601</v>
      </c>
      <c r="L77" s="3">
        <v>26.8635158515265</v>
      </c>
      <c r="M77" s="3">
        <v>17.067380153101201</v>
      </c>
      <c r="N77" s="3">
        <v>23.021714901484899</v>
      </c>
    </row>
    <row r="78" spans="1:14" x14ac:dyDescent="0.35">
      <c r="A78" s="2">
        <v>44218</v>
      </c>
      <c r="B78" s="3">
        <v>37.763876530495097</v>
      </c>
      <c r="C78" s="3">
        <v>23.3163820308569</v>
      </c>
      <c r="D78" s="3">
        <v>20.8358582234059</v>
      </c>
      <c r="E78" s="3">
        <v>21.906232443431399</v>
      </c>
      <c r="F78" s="3">
        <v>23.7951554934541</v>
      </c>
      <c r="G78" s="3">
        <v>21.936835067778901</v>
      </c>
      <c r="H78" s="3">
        <v>19.973004239542401</v>
      </c>
      <c r="I78" s="3">
        <v>35.096388493483801</v>
      </c>
      <c r="J78" s="3">
        <v>27.431493559073399</v>
      </c>
      <c r="K78" s="3">
        <v>28.498601906195699</v>
      </c>
      <c r="L78" s="3">
        <v>28.0768819388731</v>
      </c>
      <c r="M78" s="3">
        <v>18.3812541526015</v>
      </c>
      <c r="N78" s="3">
        <v>20.749281382624101</v>
      </c>
    </row>
    <row r="79" spans="1:14" x14ac:dyDescent="0.35">
      <c r="A79" s="2">
        <v>44250</v>
      </c>
      <c r="B79" s="3">
        <v>34.4905403262646</v>
      </c>
      <c r="C79" s="3">
        <v>22.5355852443281</v>
      </c>
      <c r="D79" s="3">
        <v>20.440368510256899</v>
      </c>
      <c r="E79" s="3">
        <v>20.735809477817298</v>
      </c>
      <c r="F79" s="3">
        <v>22.9177556857444</v>
      </c>
      <c r="G79" s="3">
        <v>20.7410514320629</v>
      </c>
      <c r="H79" s="3">
        <v>19.4305958346627</v>
      </c>
      <c r="I79" s="3">
        <v>32.993424438546</v>
      </c>
      <c r="J79" s="3">
        <v>26.8586993874878</v>
      </c>
      <c r="K79" s="3">
        <v>27.246525472590001</v>
      </c>
      <c r="L79" s="3">
        <v>29.709595016198801</v>
      </c>
      <c r="M79" s="3">
        <v>17.604051099751999</v>
      </c>
      <c r="N79" s="3">
        <v>20.004205954796301</v>
      </c>
    </row>
    <row r="80" spans="1:14" x14ac:dyDescent="0.35">
      <c r="A80" s="2">
        <v>44278</v>
      </c>
      <c r="B80" s="3">
        <v>34.401600815197298</v>
      </c>
      <c r="C80" s="3">
        <v>21.421083937957501</v>
      </c>
      <c r="D80" s="3">
        <v>19.677449137647201</v>
      </c>
      <c r="E80" s="3">
        <v>20.1033092533321</v>
      </c>
      <c r="F80" s="3">
        <v>21.435491325776301</v>
      </c>
      <c r="G80" s="3">
        <v>20.491785830556399</v>
      </c>
      <c r="H80" s="3">
        <v>18.407261667442</v>
      </c>
      <c r="I80" s="3">
        <v>31.881796417773099</v>
      </c>
      <c r="J80" s="3">
        <v>26.041348554625401</v>
      </c>
      <c r="K80" s="3">
        <v>26.466256905741801</v>
      </c>
      <c r="L80" s="3">
        <v>28.566622186727201</v>
      </c>
      <c r="M80" s="3">
        <v>17.997925192331</v>
      </c>
      <c r="N80" s="3">
        <v>19.914048101105099</v>
      </c>
    </row>
    <row r="81" spans="1:14" x14ac:dyDescent="0.35">
      <c r="A81" s="2">
        <v>44309</v>
      </c>
      <c r="B81" s="3">
        <v>34.500865665412903</v>
      </c>
      <c r="C81" s="3">
        <v>21.150642999700299</v>
      </c>
      <c r="D81" s="3">
        <v>19.308585880087399</v>
      </c>
      <c r="E81" s="3">
        <v>19.604957841404399</v>
      </c>
      <c r="F81" s="3">
        <v>20.8776564504509</v>
      </c>
      <c r="G81" s="3">
        <v>20.309290141115</v>
      </c>
      <c r="H81" s="3">
        <v>17.848005078528701</v>
      </c>
      <c r="I81" s="3">
        <v>32.013064122750698</v>
      </c>
      <c r="J81" s="3">
        <v>25.866114944156099</v>
      </c>
      <c r="K81" s="3">
        <v>25.708132384729801</v>
      </c>
      <c r="L81" s="3">
        <v>28.196563617803299</v>
      </c>
      <c r="M81" s="3">
        <v>18.043937580649601</v>
      </c>
      <c r="N81" s="3">
        <v>19.316006492268698</v>
      </c>
    </row>
    <row r="82" spans="1:14" x14ac:dyDescent="0.35">
      <c r="A82" s="2">
        <v>44337</v>
      </c>
      <c r="B82" s="3">
        <v>34.885187542185299</v>
      </c>
      <c r="C82" s="3">
        <v>20.680208993528598</v>
      </c>
      <c r="D82" s="3">
        <v>18.884187424017199</v>
      </c>
      <c r="E82" s="3">
        <v>18.934436783690298</v>
      </c>
      <c r="F82" s="3">
        <v>20.262564125335501</v>
      </c>
      <c r="G82" s="3">
        <v>20.496191724367701</v>
      </c>
      <c r="H82" s="3">
        <v>17.303053214031799</v>
      </c>
      <c r="I82" s="3">
        <v>30.750385828727602</v>
      </c>
      <c r="J82" s="3">
        <v>25.140130094636199</v>
      </c>
      <c r="K82" s="3">
        <v>24.803263359042599</v>
      </c>
      <c r="L82" s="3">
        <v>27.235159527804299</v>
      </c>
      <c r="M82" s="3">
        <v>17.561998141166999</v>
      </c>
      <c r="N82" s="3">
        <v>18.677306611085001</v>
      </c>
    </row>
    <row r="83" spans="1:14" x14ac:dyDescent="0.35">
      <c r="A83" s="2">
        <v>44370</v>
      </c>
      <c r="B83" s="3">
        <v>35.731900456815801</v>
      </c>
      <c r="C83" s="3">
        <v>20.260175619721501</v>
      </c>
      <c r="D83" s="3">
        <v>18.581489928865501</v>
      </c>
      <c r="E83" s="3">
        <v>18.443732502803599</v>
      </c>
      <c r="F83" s="3">
        <v>19.903933641753401</v>
      </c>
      <c r="G83" s="3">
        <v>20.877603034860499</v>
      </c>
      <c r="H83" s="3">
        <v>16.6429050675574</v>
      </c>
      <c r="I83" s="3">
        <v>30.9984853190156</v>
      </c>
      <c r="J83" s="3">
        <v>24.802605328394201</v>
      </c>
      <c r="K83" s="3">
        <v>23.987795359023099</v>
      </c>
      <c r="L83" s="3">
        <v>26.618125133454299</v>
      </c>
      <c r="M83" s="3">
        <v>17.818542567336198</v>
      </c>
      <c r="N83" s="3">
        <v>18.140306517252</v>
      </c>
    </row>
    <row r="84" spans="1:14" x14ac:dyDescent="0.35">
      <c r="A84" s="2">
        <v>44400</v>
      </c>
      <c r="B84" s="3">
        <v>36.673392063785599</v>
      </c>
      <c r="C84" s="3">
        <v>19.345001090100801</v>
      </c>
      <c r="D84" s="3">
        <v>18.009345034344701</v>
      </c>
      <c r="E84" s="3">
        <v>17.861287711085101</v>
      </c>
      <c r="F84" s="3">
        <v>19.160067074021502</v>
      </c>
      <c r="G84" s="3">
        <v>20.915467244250301</v>
      </c>
      <c r="H84" s="3">
        <v>15.711220933777099</v>
      </c>
      <c r="I84" s="3">
        <v>31.5431305631685</v>
      </c>
      <c r="J84" s="3">
        <v>24.556986141854001</v>
      </c>
      <c r="K84" s="3">
        <v>22.783753375648299</v>
      </c>
      <c r="L84" s="3">
        <v>26.451842479699899</v>
      </c>
      <c r="M84" s="3">
        <v>17.881998874173</v>
      </c>
      <c r="N84" s="3">
        <v>17.439755826039399</v>
      </c>
    </row>
    <row r="85" spans="1:14" x14ac:dyDescent="0.35">
      <c r="A85" s="2">
        <v>44431</v>
      </c>
      <c r="B85" s="3">
        <v>37.790857200373402</v>
      </c>
      <c r="C85" s="3">
        <v>18.987475191676001</v>
      </c>
      <c r="D85" s="3">
        <v>17.365629053827298</v>
      </c>
      <c r="E85" s="3">
        <v>17.0636079355485</v>
      </c>
      <c r="F85" s="3">
        <v>18.384349567859999</v>
      </c>
      <c r="G85" s="3">
        <v>21.240109490636801</v>
      </c>
      <c r="H85" s="3">
        <v>14.871373828477299</v>
      </c>
      <c r="I85" s="3">
        <v>30.7242462913322</v>
      </c>
      <c r="J85" s="3">
        <v>23.9839165335997</v>
      </c>
      <c r="K85" s="3">
        <v>21.297293130464698</v>
      </c>
      <c r="L85" s="3">
        <v>26.009618461433899</v>
      </c>
      <c r="M85" s="3">
        <v>17.499297654891201</v>
      </c>
      <c r="N85" s="3">
        <v>15.9281581669551</v>
      </c>
    </row>
    <row r="86" spans="1:14" x14ac:dyDescent="0.35">
      <c r="A86" s="2">
        <v>44462</v>
      </c>
      <c r="B86" s="3">
        <v>39.019036972722901</v>
      </c>
      <c r="C86" s="3">
        <v>18.683891553624498</v>
      </c>
      <c r="D86" s="3">
        <v>16.7077249614719</v>
      </c>
      <c r="E86" s="3">
        <v>16.287465058264999</v>
      </c>
      <c r="F86" s="3">
        <v>18.336653299621201</v>
      </c>
      <c r="G86" s="3">
        <v>20.575646979759199</v>
      </c>
      <c r="H86" s="3">
        <v>14.159659025267301</v>
      </c>
      <c r="I86" s="3">
        <v>30.532343093204599</v>
      </c>
      <c r="J86" s="3">
        <v>23.513364556170899</v>
      </c>
      <c r="K86" s="3">
        <v>20.275245934963799</v>
      </c>
      <c r="L86" s="3">
        <v>25.494820290252601</v>
      </c>
      <c r="M86" s="3">
        <v>17.396255054508401</v>
      </c>
      <c r="N86" s="3">
        <v>15.0144798915863</v>
      </c>
    </row>
    <row r="87" spans="1:14" x14ac:dyDescent="0.35">
      <c r="A87" s="2">
        <v>44491</v>
      </c>
      <c r="B87" s="3">
        <v>38.933657919557497</v>
      </c>
      <c r="C87" s="3">
        <v>18.760943252633002</v>
      </c>
      <c r="D87" s="3">
        <v>16.899375358966999</v>
      </c>
      <c r="E87" s="3">
        <v>15.7819433695401</v>
      </c>
      <c r="F87" s="3">
        <v>17.633821494089901</v>
      </c>
      <c r="G87" s="3">
        <v>20.662965438246498</v>
      </c>
      <c r="H87" s="3">
        <v>13.739308583223</v>
      </c>
      <c r="I87" s="3">
        <v>30.150877853735899</v>
      </c>
      <c r="J87" s="3">
        <v>23.286899802791801</v>
      </c>
      <c r="K87" s="3">
        <v>19.0267750500504</v>
      </c>
      <c r="L87" s="3">
        <v>24.836083195333298</v>
      </c>
      <c r="M87" s="3">
        <v>17.426124134498998</v>
      </c>
      <c r="N87" s="3">
        <v>14.3619282206619</v>
      </c>
    </row>
    <row r="88" spans="1:14" x14ac:dyDescent="0.35">
      <c r="A88" s="2">
        <v>44523</v>
      </c>
      <c r="B88" s="3">
        <v>38.352844363203801</v>
      </c>
      <c r="C88" s="3">
        <v>18.073286108815399</v>
      </c>
      <c r="D88" s="3">
        <v>16.2123362144951</v>
      </c>
      <c r="E88" s="3">
        <v>14.910442406661399</v>
      </c>
      <c r="F88" s="3">
        <v>17.348132315196199</v>
      </c>
      <c r="G88" s="3">
        <v>20.613864795013601</v>
      </c>
      <c r="H88" s="3">
        <v>12.957788826426899</v>
      </c>
      <c r="I88" s="3">
        <v>31.298170091315601</v>
      </c>
      <c r="J88" s="3">
        <v>23.283443065833499</v>
      </c>
      <c r="K88" s="3">
        <v>18.0883330800899</v>
      </c>
      <c r="L88" s="3">
        <v>23.587210334105698</v>
      </c>
      <c r="M88" s="3">
        <v>16.4182619374326</v>
      </c>
      <c r="N88" s="3">
        <v>13.2914851093037</v>
      </c>
    </row>
    <row r="89" spans="1:14" x14ac:dyDescent="0.35">
      <c r="A89" s="2">
        <v>44553</v>
      </c>
      <c r="B89" s="3">
        <v>38.910821715592803</v>
      </c>
      <c r="C89" s="3">
        <v>17.8141057744119</v>
      </c>
      <c r="D89" s="3">
        <v>15.509443829075</v>
      </c>
      <c r="E89" s="3">
        <v>14.1969419195821</v>
      </c>
      <c r="F89" s="3">
        <v>16.252139571702902</v>
      </c>
      <c r="G89" s="3">
        <v>21.421454981571401</v>
      </c>
      <c r="H89" s="3">
        <v>12.461510496017899</v>
      </c>
      <c r="I89" s="3">
        <v>31.2467904329852</v>
      </c>
      <c r="J89" s="3">
        <v>23.132149607612199</v>
      </c>
      <c r="K89" s="3">
        <v>17.339672438641902</v>
      </c>
      <c r="L89" s="3">
        <v>22.7155727823048</v>
      </c>
      <c r="M89" s="3">
        <v>16.622728855566699</v>
      </c>
      <c r="N89" s="3">
        <v>12.150165438302199</v>
      </c>
    </row>
    <row r="90" spans="1:14" x14ac:dyDescent="0.35">
      <c r="A90" s="2">
        <v>44582</v>
      </c>
      <c r="B90" s="3">
        <v>37.113321683106903</v>
      </c>
      <c r="C90" s="3">
        <v>16.9738165590657</v>
      </c>
      <c r="D90" s="3">
        <v>14.9995068318366</v>
      </c>
      <c r="E90" s="3">
        <v>13.788144104552099</v>
      </c>
      <c r="F90" s="3">
        <v>15.420916625649401</v>
      </c>
      <c r="G90" s="3">
        <v>20.469588715385498</v>
      </c>
      <c r="H90" s="3">
        <v>12.5968884907473</v>
      </c>
      <c r="I90" s="3">
        <v>27.4191121752913</v>
      </c>
      <c r="J90" s="3">
        <v>21.265512413269299</v>
      </c>
      <c r="K90" s="3">
        <v>16.718710065613902</v>
      </c>
      <c r="L90" s="3">
        <v>20.982381527259498</v>
      </c>
      <c r="M90" s="3">
        <v>12.319351542107499</v>
      </c>
      <c r="N90" s="3">
        <v>11.9810773374981</v>
      </c>
    </row>
    <row r="91" spans="1:14" x14ac:dyDescent="0.35">
      <c r="A91" s="2">
        <v>44615</v>
      </c>
      <c r="B91" s="3">
        <v>35.922902881250202</v>
      </c>
      <c r="C91" s="3">
        <v>16.054913373429201</v>
      </c>
      <c r="D91" s="3">
        <v>14.9629781620906</v>
      </c>
      <c r="E91" s="3">
        <v>12.822048107274799</v>
      </c>
      <c r="F91" s="3">
        <v>14.7023959793363</v>
      </c>
      <c r="G91" s="3">
        <v>18.315266942124399</v>
      </c>
      <c r="H91" s="3">
        <v>12.6197566025418</v>
      </c>
      <c r="I91" s="3">
        <v>24.849266158823902</v>
      </c>
      <c r="J91" s="3">
        <v>20.067525947656701</v>
      </c>
      <c r="K91" s="3">
        <v>15.7538885189698</v>
      </c>
      <c r="L91" s="3">
        <v>18.263658460597199</v>
      </c>
      <c r="M91" s="3">
        <v>11.6098654970093</v>
      </c>
      <c r="N91" s="3">
        <v>10.856264152432001</v>
      </c>
    </row>
    <row r="92" spans="1:14" x14ac:dyDescent="0.35">
      <c r="A92" s="2">
        <v>44643</v>
      </c>
      <c r="B92" s="3">
        <v>35.094462423251699</v>
      </c>
      <c r="C92" s="3">
        <v>15.8121272708297</v>
      </c>
      <c r="D92" s="3">
        <v>15.131850965050599</v>
      </c>
      <c r="E92" s="3">
        <v>12.448595158016699</v>
      </c>
      <c r="F92" s="3">
        <v>14.7041276596663</v>
      </c>
      <c r="G92" s="3">
        <v>18.534694280622698</v>
      </c>
      <c r="H92" s="3">
        <v>12.423153007859399</v>
      </c>
      <c r="I92" s="3">
        <v>26.1266457322448</v>
      </c>
      <c r="J92" s="3">
        <v>20.665533699633301</v>
      </c>
      <c r="K92" s="3">
        <v>15.274079775958601</v>
      </c>
      <c r="L92" s="3">
        <v>18.426986178040099</v>
      </c>
      <c r="M92" s="3">
        <v>12.0169951770508</v>
      </c>
      <c r="N92" s="3">
        <v>10.5159918666587</v>
      </c>
    </row>
    <row r="93" spans="1:14" x14ac:dyDescent="0.35">
      <c r="A93" s="2">
        <v>44673</v>
      </c>
      <c r="B93" s="3">
        <v>34.5497679034006</v>
      </c>
      <c r="C93" s="3">
        <v>15.5455596090202</v>
      </c>
      <c r="D93" s="3">
        <v>14.754094273449899</v>
      </c>
      <c r="E93" s="3">
        <v>12.3409731064797</v>
      </c>
      <c r="F93" s="3">
        <v>14.4295348329894</v>
      </c>
      <c r="G93" s="3">
        <v>18.5936450258361</v>
      </c>
      <c r="H93" s="3">
        <v>12.125756094797</v>
      </c>
      <c r="I93" s="3">
        <v>25.456574569146198</v>
      </c>
      <c r="J93" s="3">
        <v>20.231354274618401</v>
      </c>
      <c r="K93" s="3">
        <v>15.0180528827504</v>
      </c>
      <c r="L93" s="3">
        <v>18.4595948238725</v>
      </c>
      <c r="M93" s="3">
        <v>12.307610773345299</v>
      </c>
      <c r="N93" s="3">
        <v>10.414799726905899</v>
      </c>
    </row>
    <row r="94" spans="1:14" x14ac:dyDescent="0.35">
      <c r="A94" s="2">
        <v>44704</v>
      </c>
      <c r="B94" s="3">
        <v>33.957292403496503</v>
      </c>
      <c r="C94" s="3">
        <v>15.122284860602401</v>
      </c>
      <c r="D94" s="3">
        <v>14.250536458159299</v>
      </c>
      <c r="E94" s="3">
        <v>12.0578942347347</v>
      </c>
      <c r="F94" s="3">
        <v>14.2309926101273</v>
      </c>
      <c r="G94" s="3">
        <v>18.120092750798602</v>
      </c>
      <c r="H94" s="3">
        <v>11.778887228361601</v>
      </c>
      <c r="I94" s="3">
        <v>24.478654552836801</v>
      </c>
      <c r="J94" s="3">
        <v>19.541900674047199</v>
      </c>
      <c r="K94" s="3">
        <v>14.3916531605656</v>
      </c>
      <c r="L94" s="3">
        <v>18.351972405015701</v>
      </c>
      <c r="M94" s="3">
        <v>13.517985408117299</v>
      </c>
      <c r="N94" s="3">
        <v>10.081378916925599</v>
      </c>
    </row>
    <row r="95" spans="1:14" x14ac:dyDescent="0.35">
      <c r="A95" s="2">
        <v>44735</v>
      </c>
      <c r="B95" s="3">
        <v>32.9305870652992</v>
      </c>
      <c r="C95" s="3">
        <v>14.132347424550201</v>
      </c>
      <c r="D95" s="3">
        <v>13.4615402073431</v>
      </c>
      <c r="E95" s="3">
        <v>11.4775880111237</v>
      </c>
      <c r="F95" s="3">
        <v>13.8492066786813</v>
      </c>
      <c r="G95" s="3">
        <v>17.391706679513</v>
      </c>
      <c r="H95" s="3">
        <v>11.184807069201099</v>
      </c>
      <c r="I95" s="3">
        <v>23.805872996413498</v>
      </c>
      <c r="J95" s="3">
        <v>18.8383894842373</v>
      </c>
      <c r="K95" s="3">
        <v>13.6320816011508</v>
      </c>
      <c r="L95" s="3">
        <v>17.675980364701498</v>
      </c>
      <c r="M95" s="3">
        <v>13.1736738118473</v>
      </c>
      <c r="N95" s="3">
        <v>9.4349000611542309</v>
      </c>
    </row>
    <row r="96" spans="1:14" x14ac:dyDescent="0.35">
      <c r="A96" s="2">
        <v>44764</v>
      </c>
      <c r="B96" s="3">
        <v>33.0652870466471</v>
      </c>
      <c r="C96" s="3">
        <v>14.3735137085195</v>
      </c>
      <c r="D96" s="3">
        <v>13.1796770182443</v>
      </c>
      <c r="E96" s="3">
        <v>11.493898739222301</v>
      </c>
      <c r="F96" s="3">
        <v>14.041727815109301</v>
      </c>
      <c r="G96" s="3">
        <v>17.914026182958999</v>
      </c>
      <c r="H96" s="3">
        <v>11.008494838456899</v>
      </c>
      <c r="I96" s="3">
        <v>24.2943345835066</v>
      </c>
      <c r="J96" s="3">
        <v>18.935761630691498</v>
      </c>
      <c r="K96" s="3">
        <v>13.4570222750396</v>
      </c>
      <c r="L96" s="3">
        <v>19.267610828980001</v>
      </c>
      <c r="M96" s="3">
        <v>14.2878957146541</v>
      </c>
      <c r="N96" s="3">
        <v>9.0292260506754296</v>
      </c>
    </row>
    <row r="97" spans="1:14" x14ac:dyDescent="0.35">
      <c r="A97" s="2">
        <v>44796</v>
      </c>
      <c r="B97" s="3">
        <v>34.1088821304443</v>
      </c>
      <c r="C97" s="3">
        <v>14.392019369481201</v>
      </c>
      <c r="D97" s="3">
        <v>13.1820735362324</v>
      </c>
      <c r="E97" s="3">
        <v>10.9161113203614</v>
      </c>
      <c r="F97" s="3">
        <v>13.9624999450171</v>
      </c>
      <c r="G97" s="3">
        <v>18.014062457159</v>
      </c>
      <c r="H97" s="3">
        <v>10.644105552287799</v>
      </c>
      <c r="I97" s="3">
        <v>25.037662111583</v>
      </c>
      <c r="J97" s="3">
        <v>19.218683507747699</v>
      </c>
      <c r="K97" s="3">
        <v>12.8589263754555</v>
      </c>
      <c r="L97" s="3">
        <v>19.110200160447899</v>
      </c>
      <c r="M97" s="3">
        <v>14.644051537994899</v>
      </c>
      <c r="N97" s="3">
        <v>8.5570158896186896</v>
      </c>
    </row>
    <row r="98" spans="1:14" x14ac:dyDescent="0.35">
      <c r="A98" s="2">
        <v>44827</v>
      </c>
      <c r="B98" s="3">
        <v>32.605736976469501</v>
      </c>
      <c r="C98" s="3">
        <v>13.496429797902399</v>
      </c>
      <c r="D98" s="3">
        <v>12.2489041296162</v>
      </c>
      <c r="E98" s="3">
        <v>10.284285642362001</v>
      </c>
      <c r="F98" s="3">
        <v>13.430173428179</v>
      </c>
      <c r="G98" s="3">
        <v>16.901977257398102</v>
      </c>
      <c r="H98" s="3">
        <v>9.5814278213369697</v>
      </c>
      <c r="I98" s="3">
        <v>22.745599419183101</v>
      </c>
      <c r="J98" s="3">
        <v>17.680266919138099</v>
      </c>
      <c r="K98" s="3">
        <v>11.658970743716999</v>
      </c>
      <c r="L98" s="3">
        <v>17.412624143194599</v>
      </c>
      <c r="M98" s="3">
        <v>14.093349063926199</v>
      </c>
      <c r="N98" s="3">
        <v>8.0942910645384192</v>
      </c>
    </row>
    <row r="99" spans="1:14" x14ac:dyDescent="0.35">
      <c r="A99" s="2">
        <v>44855</v>
      </c>
      <c r="B99" s="3">
        <v>30.764367520078199</v>
      </c>
      <c r="C99" s="3">
        <v>13.212638209924799</v>
      </c>
      <c r="D99" s="3">
        <v>12.2845264544013</v>
      </c>
      <c r="E99" s="3">
        <v>10.2604519942217</v>
      </c>
      <c r="F99" s="3">
        <v>13.045333557117999</v>
      </c>
      <c r="G99" s="3">
        <v>17.2248937172319</v>
      </c>
      <c r="H99" s="3">
        <v>9.3982243879622605</v>
      </c>
      <c r="I99" s="3">
        <v>22.5488747477525</v>
      </c>
      <c r="J99" s="3">
        <v>17.675357531622701</v>
      </c>
      <c r="K99" s="3">
        <v>11.5847442436986</v>
      </c>
      <c r="L99" s="3">
        <v>17.471936205139599</v>
      </c>
      <c r="M99" s="3">
        <v>15.042473480717</v>
      </c>
      <c r="N99" s="3">
        <v>7.9861654841046299</v>
      </c>
    </row>
    <row r="100" spans="1:14" x14ac:dyDescent="0.35">
      <c r="A100" s="2">
        <v>44888</v>
      </c>
      <c r="B100" s="3">
        <v>30.240160392406501</v>
      </c>
      <c r="C100" s="3">
        <v>14.313682105012999</v>
      </c>
      <c r="D100" s="3">
        <v>12.733805525227901</v>
      </c>
      <c r="E100" s="3">
        <v>11.1011676075104</v>
      </c>
      <c r="F100" s="3">
        <v>13.623933946291199</v>
      </c>
      <c r="G100" s="3">
        <v>19.8654112152973</v>
      </c>
      <c r="H100" s="3">
        <v>9.8689972254124303</v>
      </c>
      <c r="I100" s="3">
        <v>23.3809683668266</v>
      </c>
      <c r="J100" s="3">
        <v>18.502402511213099</v>
      </c>
      <c r="K100" s="3">
        <v>12.191832903540799</v>
      </c>
      <c r="L100" s="3">
        <v>18.690868860873199</v>
      </c>
      <c r="M100" s="3">
        <v>14.304427564011499</v>
      </c>
      <c r="N100" s="3">
        <v>8.2656379817420405</v>
      </c>
    </row>
    <row r="101" spans="1:14" x14ac:dyDescent="0.35">
      <c r="A101" s="2">
        <v>44918</v>
      </c>
      <c r="B101" s="3">
        <v>29.281957799986799</v>
      </c>
      <c r="C101" s="3">
        <v>14.1001263108437</v>
      </c>
      <c r="D101" s="3">
        <v>12.1842575604266</v>
      </c>
      <c r="E101" s="3">
        <v>10.4909403059387</v>
      </c>
      <c r="F101" s="3">
        <v>12.861739499936601</v>
      </c>
      <c r="G101" s="3">
        <v>20.1016253030926</v>
      </c>
      <c r="H101" s="3">
        <v>9.6404427732460594</v>
      </c>
      <c r="I101" s="3">
        <v>22.4682666355111</v>
      </c>
      <c r="J101" s="3">
        <v>17.499297625006498</v>
      </c>
      <c r="K101" s="3">
        <v>11.640971798770501</v>
      </c>
      <c r="L101" s="3">
        <v>17.8940024396959</v>
      </c>
      <c r="M101" s="3">
        <v>15.427287545359</v>
      </c>
      <c r="N101" s="3">
        <v>7.4802015447323198</v>
      </c>
    </row>
    <row r="102" spans="1:14" x14ac:dyDescent="0.35">
      <c r="A102" s="2">
        <v>44949</v>
      </c>
      <c r="B102" s="3">
        <v>29.836084071860899</v>
      </c>
      <c r="C102" s="3">
        <v>14.8277010544235</v>
      </c>
      <c r="D102" s="3">
        <v>12.8301834712668</v>
      </c>
      <c r="E102" s="3">
        <v>11.3546644801954</v>
      </c>
      <c r="F102" s="3">
        <v>13.1784754614107</v>
      </c>
      <c r="G102" s="3">
        <v>21.338032340588502</v>
      </c>
      <c r="H102" s="3">
        <v>10.236252914043501</v>
      </c>
      <c r="I102" s="3">
        <v>24.1353178338581</v>
      </c>
      <c r="J102" s="3">
        <v>18.25033202929</v>
      </c>
      <c r="K102" s="3">
        <v>12.7330875208387</v>
      </c>
      <c r="L102" s="3">
        <v>19.555256395869201</v>
      </c>
      <c r="M102" s="3">
        <v>23.0774963681482</v>
      </c>
      <c r="N102" s="3">
        <v>7.9771725553654997</v>
      </c>
    </row>
    <row r="103" spans="1:14" x14ac:dyDescent="0.35">
      <c r="A103" s="2">
        <v>44980</v>
      </c>
      <c r="B103" s="3">
        <v>29.681709224059102</v>
      </c>
      <c r="C103" s="3">
        <v>14.353736066264</v>
      </c>
      <c r="D103" s="3">
        <v>12.538532391985701</v>
      </c>
      <c r="E103" s="3">
        <v>11.510264325542</v>
      </c>
      <c r="F103" s="3">
        <v>13.4378521025894</v>
      </c>
      <c r="G103" s="3">
        <v>21.236626465560001</v>
      </c>
      <c r="H103" s="3">
        <v>10.2375430764246</v>
      </c>
      <c r="I103" s="3">
        <v>24.871820569393201</v>
      </c>
      <c r="J103" s="3">
        <v>18.213842054677698</v>
      </c>
      <c r="K103" s="3">
        <v>12.9683823411821</v>
      </c>
      <c r="L103" s="3">
        <v>20.936486526542399</v>
      </c>
      <c r="M103" s="3">
        <v>25.870491479570902</v>
      </c>
      <c r="N103" s="3">
        <v>8.1986034376900303</v>
      </c>
    </row>
    <row r="104" spans="1:14" x14ac:dyDescent="0.35">
      <c r="A104" s="2">
        <v>45008</v>
      </c>
      <c r="B104" s="3">
        <v>28.918644453684401</v>
      </c>
      <c r="C104" s="3">
        <v>14.153248832107201</v>
      </c>
      <c r="D104" s="3">
        <v>12.5142988536775</v>
      </c>
      <c r="E104" s="3">
        <v>11.312678149999501</v>
      </c>
      <c r="F104" s="3">
        <v>13.580269654911101</v>
      </c>
      <c r="G104" s="3">
        <v>20.3838164666914</v>
      </c>
      <c r="H104" s="3">
        <v>10.1873841019866</v>
      </c>
      <c r="I104" s="3">
        <v>24.930083788877202</v>
      </c>
      <c r="J104" s="3">
        <v>18.024303519631999</v>
      </c>
      <c r="K104" s="3">
        <v>12.9038878002782</v>
      </c>
      <c r="L104" s="3">
        <v>20.361589924348198</v>
      </c>
      <c r="M104" s="3">
        <v>24.6604074678974</v>
      </c>
      <c r="N104" s="3">
        <v>8.2447872031081104</v>
      </c>
    </row>
    <row r="105" spans="1:14" x14ac:dyDescent="0.35">
      <c r="A105" s="2">
        <v>45037</v>
      </c>
      <c r="B105" s="3">
        <v>28.547342743647398</v>
      </c>
      <c r="C105" s="3">
        <v>14.3444408904695</v>
      </c>
      <c r="D105" s="3">
        <v>12.8221593888823</v>
      </c>
      <c r="E105" s="3">
        <v>11.443967456122</v>
      </c>
      <c r="F105" s="3">
        <v>13.7173161332574</v>
      </c>
      <c r="G105" s="3">
        <v>20.421635633208201</v>
      </c>
      <c r="H105" s="3">
        <v>10.419432294467599</v>
      </c>
      <c r="I105" s="3">
        <v>25.133700362687399</v>
      </c>
      <c r="J105" s="3">
        <v>18.3054048840464</v>
      </c>
      <c r="K105" s="3">
        <v>13.2336646789455</v>
      </c>
      <c r="L105" s="3">
        <v>20.0067767917302</v>
      </c>
      <c r="M105" s="3">
        <v>23.648006235902798</v>
      </c>
      <c r="N105" s="3">
        <v>8.4110242139440103</v>
      </c>
    </row>
    <row r="106" spans="1:14" x14ac:dyDescent="0.35">
      <c r="A106" s="2">
        <v>45069</v>
      </c>
      <c r="B106" s="3">
        <v>28.083161911275202</v>
      </c>
      <c r="C106" s="3">
        <v>14.3425757137841</v>
      </c>
      <c r="D106" s="3">
        <v>12.825989489605901</v>
      </c>
      <c r="E106" s="3">
        <v>11.3510423925075</v>
      </c>
      <c r="F106" s="3">
        <v>14.089661013912901</v>
      </c>
      <c r="G106" s="3">
        <v>20.028678563891301</v>
      </c>
      <c r="H106" s="3">
        <v>10.360186497628399</v>
      </c>
      <c r="I106" s="3">
        <v>25.484646493737301</v>
      </c>
      <c r="J106" s="3">
        <v>18.350417577822</v>
      </c>
      <c r="K106" s="3">
        <v>13.149782658767201</v>
      </c>
      <c r="L106" s="3">
        <v>19.583995320962298</v>
      </c>
      <c r="M106" s="3">
        <v>22.376493006951701</v>
      </c>
      <c r="N106" s="3">
        <v>8.2603820083693904</v>
      </c>
    </row>
    <row r="107" spans="1:14" x14ac:dyDescent="0.35">
      <c r="A107" s="2">
        <v>45100</v>
      </c>
      <c r="B107" s="3">
        <v>26.143872784425099</v>
      </c>
      <c r="C107" s="3">
        <v>14.4551747040297</v>
      </c>
      <c r="D107" s="3">
        <v>12.7815275022091</v>
      </c>
      <c r="E107" s="3">
        <v>11.204149295202299</v>
      </c>
      <c r="F107" s="3">
        <v>14.469843986876599</v>
      </c>
      <c r="G107" s="3">
        <v>19.309428945616901</v>
      </c>
      <c r="H107" s="3">
        <v>10.2628287625138</v>
      </c>
      <c r="I107" s="3">
        <v>26.416126312458701</v>
      </c>
      <c r="J107" s="3">
        <v>18.855088555930099</v>
      </c>
      <c r="K107" s="3">
        <v>13.090530168856599</v>
      </c>
      <c r="L107" s="3">
        <v>19.070245164336701</v>
      </c>
      <c r="M107" s="3">
        <v>21.003551755944802</v>
      </c>
      <c r="N107" s="3">
        <v>8.44071930164964</v>
      </c>
    </row>
    <row r="108" spans="1:14" x14ac:dyDescent="0.35">
      <c r="A108" s="2">
        <v>45128</v>
      </c>
      <c r="B108" s="3">
        <v>25.5269573344851</v>
      </c>
      <c r="C108" s="3">
        <v>14.922463660566301</v>
      </c>
      <c r="D108" s="3">
        <v>13.458308630238999</v>
      </c>
      <c r="E108" s="3">
        <v>11.318482648204199</v>
      </c>
      <c r="F108" s="3">
        <v>14.529625371237</v>
      </c>
      <c r="G108" s="3">
        <v>19.205184099659899</v>
      </c>
      <c r="H108" s="3">
        <v>10.576257894753301</v>
      </c>
      <c r="I108" s="3">
        <v>27.219047600831001</v>
      </c>
      <c r="J108" s="3">
        <v>19.5696222384585</v>
      </c>
      <c r="K108" s="3">
        <v>13.443760670793599</v>
      </c>
      <c r="L108" s="3">
        <v>19.030101436978001</v>
      </c>
      <c r="M108" s="3">
        <v>19.8423590239749</v>
      </c>
      <c r="N108" s="3">
        <v>8.7101932165557603</v>
      </c>
    </row>
    <row r="109" spans="1:14" x14ac:dyDescent="0.35">
      <c r="A109" s="2">
        <v>45161</v>
      </c>
      <c r="B109" s="3">
        <v>24.365012178519301</v>
      </c>
      <c r="C109" s="3">
        <v>14.8442872412133</v>
      </c>
      <c r="D109" s="3">
        <v>13.2981856909872</v>
      </c>
      <c r="E109" s="3">
        <v>11.1544353821076</v>
      </c>
      <c r="F109" s="3">
        <v>14.559520521691001</v>
      </c>
      <c r="G109" s="3">
        <v>18.718493475979599</v>
      </c>
      <c r="H109" s="3">
        <v>10.355439969214601</v>
      </c>
      <c r="I109" s="3">
        <v>25.941336568405902</v>
      </c>
      <c r="J109" s="3">
        <v>19.3310648741124</v>
      </c>
      <c r="K109" s="3">
        <v>13.1912403665005</v>
      </c>
      <c r="L109" s="3">
        <v>17.889398759233799</v>
      </c>
      <c r="M109" s="3">
        <v>18.046035714061301</v>
      </c>
      <c r="N109" s="3">
        <v>8.2045930736310897</v>
      </c>
    </row>
    <row r="110" spans="1:14" x14ac:dyDescent="0.35">
      <c r="A110" s="2">
        <v>45191</v>
      </c>
      <c r="B110" s="3">
        <v>23.8539088213779</v>
      </c>
      <c r="C110" s="3">
        <v>14.8721681310838</v>
      </c>
      <c r="D110" s="3">
        <v>13.395528427413399</v>
      </c>
      <c r="E110" s="3">
        <v>11.1528400077699</v>
      </c>
      <c r="F110" s="3">
        <v>15.0380566029625</v>
      </c>
      <c r="G110" s="3">
        <v>18.5793732971695</v>
      </c>
      <c r="H110" s="3">
        <v>10.680393151431099</v>
      </c>
      <c r="I110" s="3">
        <v>25.363428502302501</v>
      </c>
      <c r="J110" s="3">
        <v>19.124987722175501</v>
      </c>
      <c r="K110" s="3">
        <v>13.0803119844365</v>
      </c>
      <c r="L110" s="3">
        <v>16.9184653635246</v>
      </c>
      <c r="M110" s="3">
        <v>17.017434146619301</v>
      </c>
      <c r="N110" s="3">
        <v>8.3391947582360206</v>
      </c>
    </row>
    <row r="111" spans="1:14" x14ac:dyDescent="0.35">
      <c r="A111" s="2">
        <v>45222</v>
      </c>
      <c r="B111" s="3">
        <v>22.675983206110899</v>
      </c>
      <c r="C111" s="3">
        <v>14.4168779284169</v>
      </c>
      <c r="D111" s="3">
        <v>13.071197339722</v>
      </c>
      <c r="E111" s="3">
        <v>10.688855760943399</v>
      </c>
      <c r="F111" s="3">
        <v>14.438425021611399</v>
      </c>
      <c r="G111" s="3">
        <v>17.630209719263899</v>
      </c>
      <c r="H111" s="3">
        <v>10.352406966402301</v>
      </c>
      <c r="I111" s="3">
        <v>25.315988089970801</v>
      </c>
      <c r="J111" s="3">
        <v>18.958877628441101</v>
      </c>
      <c r="K111" s="3">
        <v>12.546854135487401</v>
      </c>
      <c r="L111" s="3">
        <v>15.8165413933521</v>
      </c>
      <c r="M111" s="3">
        <v>16.078430410588901</v>
      </c>
      <c r="N111" s="3">
        <v>8.0325458461501995</v>
      </c>
    </row>
    <row r="112" spans="1:14" x14ac:dyDescent="0.35">
      <c r="A112" s="2">
        <v>45252</v>
      </c>
      <c r="B112" s="3">
        <v>22.1741486435909</v>
      </c>
      <c r="C112" s="3">
        <v>15.1441577293349</v>
      </c>
      <c r="D112" s="3">
        <v>13.726065316865</v>
      </c>
      <c r="E112" s="3">
        <v>11.407934366651601</v>
      </c>
      <c r="F112" s="3">
        <v>15.2610977384651</v>
      </c>
      <c r="G112" s="3">
        <v>18.004680988079699</v>
      </c>
      <c r="H112" s="3">
        <v>10.6800128584762</v>
      </c>
      <c r="I112" s="3">
        <v>27.117074703784301</v>
      </c>
      <c r="J112" s="3">
        <v>20.345904144713</v>
      </c>
      <c r="K112" s="3">
        <v>13.2821141651393</v>
      </c>
      <c r="L112" s="3">
        <v>16.4706036724311</v>
      </c>
      <c r="M112" s="3">
        <v>15.7776844469828</v>
      </c>
      <c r="N112" s="3">
        <v>8.2207187267092294</v>
      </c>
    </row>
    <row r="113" spans="1:25" x14ac:dyDescent="0.35">
      <c r="A113" s="2">
        <v>45282</v>
      </c>
      <c r="B113" s="3">
        <v>23.8483940457585</v>
      </c>
      <c r="C113" s="3">
        <v>16.3228987011036</v>
      </c>
      <c r="D113" s="3">
        <v>14.4943512126376</v>
      </c>
      <c r="E113" s="3">
        <v>11.9028712209938</v>
      </c>
      <c r="F113" s="3">
        <v>15.071954028880899</v>
      </c>
      <c r="G113" s="3">
        <v>18.389315928640201</v>
      </c>
      <c r="H113" s="3">
        <v>11.221093487029901</v>
      </c>
      <c r="I113" s="3">
        <v>28.391548723077001</v>
      </c>
      <c r="J113" s="3">
        <v>21.580046853784701</v>
      </c>
      <c r="K113" s="3">
        <v>14.0692734898953</v>
      </c>
      <c r="L113" s="3">
        <v>16.654191698787201</v>
      </c>
      <c r="M113" s="3">
        <v>18.0317252905859</v>
      </c>
      <c r="N113" s="3">
        <v>8.8483807273055408</v>
      </c>
    </row>
    <row r="114" spans="1:25" x14ac:dyDescent="0.35">
      <c r="A114" s="2">
        <v>45314</v>
      </c>
      <c r="B114" s="3">
        <v>23.284160015743002</v>
      </c>
      <c r="C114" s="3">
        <v>16.224447903861702</v>
      </c>
      <c r="D114" s="3">
        <v>14.6455943725341</v>
      </c>
      <c r="E114" s="3">
        <v>11.824986070172599</v>
      </c>
      <c r="F114" s="3">
        <v>16.498340266409301</v>
      </c>
      <c r="G114" s="3">
        <v>18.158357203840101</v>
      </c>
      <c r="H114" s="3">
        <v>11.019470407907001</v>
      </c>
      <c r="I114" s="3">
        <v>29.2516437000242</v>
      </c>
      <c r="J114" s="3">
        <v>22.188363927567199</v>
      </c>
      <c r="K114" s="3">
        <v>13.9669089248886</v>
      </c>
      <c r="L114" s="3">
        <v>16.666838497988699</v>
      </c>
      <c r="M114" s="3">
        <v>14.803685445729499</v>
      </c>
      <c r="N114" s="3">
        <v>8.9223166936371694</v>
      </c>
    </row>
    <row r="115" spans="1:25" x14ac:dyDescent="0.35">
      <c r="A115" s="2">
        <v>45345</v>
      </c>
      <c r="B115" s="3">
        <v>23.186177503248</v>
      </c>
      <c r="C115" s="3">
        <v>16.6031042238772</v>
      </c>
      <c r="D115" s="3">
        <v>14.9067725745986</v>
      </c>
      <c r="E115" s="3">
        <v>12.394334169067299</v>
      </c>
      <c r="F115" s="3">
        <v>16.962818777935599</v>
      </c>
      <c r="G115" s="3">
        <v>19.382018546340301</v>
      </c>
      <c r="H115" s="3">
        <v>11.5542526704476</v>
      </c>
      <c r="I115" s="3">
        <v>29.554355434669301</v>
      </c>
      <c r="J115" s="3">
        <v>22.764713557565901</v>
      </c>
      <c r="K115" s="3">
        <v>15.570151073512299</v>
      </c>
      <c r="L115" s="3">
        <v>17.790158197552</v>
      </c>
      <c r="M115" s="3">
        <v>15.6816941806581</v>
      </c>
      <c r="N115" s="3">
        <v>9.3286915924679903</v>
      </c>
    </row>
    <row r="116" spans="1:25" x14ac:dyDescent="0.35">
      <c r="A116" s="2">
        <v>45373</v>
      </c>
      <c r="B116" s="3">
        <v>23.974610933742099</v>
      </c>
      <c r="C116" s="3">
        <v>16.619182971181701</v>
      </c>
      <c r="D116" s="3">
        <v>14.944470053001201</v>
      </c>
      <c r="E116" s="3">
        <v>12.5580380314018</v>
      </c>
      <c r="F116" s="3">
        <v>17.112467020644601</v>
      </c>
      <c r="G116" s="3">
        <v>19.165461870649601</v>
      </c>
      <c r="H116" s="3">
        <v>11.5199141221403</v>
      </c>
      <c r="I116" s="3">
        <v>29.517405446838801</v>
      </c>
      <c r="J116" s="3">
        <v>22.775225710213402</v>
      </c>
      <c r="K116" s="3">
        <v>15.5081600354237</v>
      </c>
      <c r="L116" s="3">
        <v>18.4616551676821</v>
      </c>
      <c r="M116" s="3">
        <v>15.9608782723042</v>
      </c>
      <c r="N116" s="3">
        <v>9.4573595968806501</v>
      </c>
    </row>
    <row r="117" spans="1:25" x14ac:dyDescent="0.35">
      <c r="A117" s="2">
        <v>45405</v>
      </c>
      <c r="B117" s="3">
        <v>24.236118226265098</v>
      </c>
      <c r="C117" s="3">
        <v>16.6087869661315</v>
      </c>
      <c r="D117" s="3">
        <v>14.904723177012499</v>
      </c>
      <c r="E117" s="3">
        <v>12.5553210428511</v>
      </c>
      <c r="F117" s="3">
        <v>16.730243878339898</v>
      </c>
      <c r="G117" s="3">
        <v>18.9111101210353</v>
      </c>
      <c r="H117" s="3">
        <v>11.560194488695901</v>
      </c>
      <c r="I117" s="3">
        <v>28.888015352934602</v>
      </c>
      <c r="J117" s="3">
        <v>22.440897108272001</v>
      </c>
      <c r="K117" s="3">
        <v>15.448654867236</v>
      </c>
      <c r="L117" s="3">
        <v>18.193945860817301</v>
      </c>
      <c r="M117" s="3">
        <v>15.925231969487999</v>
      </c>
      <c r="N117" s="3">
        <v>9.4860639043657695</v>
      </c>
    </row>
    <row r="118" spans="1:25" x14ac:dyDescent="0.35">
      <c r="A118" s="2">
        <v>45435</v>
      </c>
      <c r="B118" s="3">
        <v>24.5645747079123</v>
      </c>
      <c r="C118" s="3">
        <v>16.771071645983699</v>
      </c>
      <c r="D118" s="3">
        <v>14.940006808665601</v>
      </c>
      <c r="E118" s="3">
        <v>12.5595592097409</v>
      </c>
      <c r="F118" s="3">
        <v>16.783709456870699</v>
      </c>
      <c r="G118" s="3">
        <v>18.891132874100698</v>
      </c>
      <c r="H118" s="3">
        <v>11.747156904168399</v>
      </c>
      <c r="I118" s="3">
        <v>29.068251560831101</v>
      </c>
      <c r="J118" s="3">
        <v>22.513894886333102</v>
      </c>
      <c r="K118" s="3">
        <v>15.434793117018099</v>
      </c>
      <c r="L118" s="3">
        <v>18.3433378255192</v>
      </c>
      <c r="M118" s="3">
        <v>16.143240033597898</v>
      </c>
      <c r="N118" s="3">
        <v>9.5573429197876898</v>
      </c>
    </row>
    <row r="119" spans="1:25" x14ac:dyDescent="0.35">
      <c r="A119" s="2">
        <v>45464</v>
      </c>
      <c r="B119" s="3">
        <v>24.393609969872301</v>
      </c>
      <c r="C119" s="3">
        <v>16.849268764989802</v>
      </c>
      <c r="D119" s="3">
        <v>14.717487302729401</v>
      </c>
      <c r="E119" s="3">
        <v>12.404359132710701</v>
      </c>
      <c r="F119" s="3">
        <v>16.554980582181699</v>
      </c>
      <c r="G119" s="3">
        <v>18.832834607630101</v>
      </c>
      <c r="H119" s="3">
        <v>11.672973763445899</v>
      </c>
      <c r="I119" s="3">
        <v>29.5266208855111</v>
      </c>
      <c r="J119" s="3">
        <v>22.769900200830101</v>
      </c>
      <c r="K119" s="3">
        <v>14.9995387012439</v>
      </c>
      <c r="L119" s="3">
        <v>18.403916791835101</v>
      </c>
      <c r="M119" s="3">
        <v>16.0285695803673</v>
      </c>
      <c r="N119" s="3">
        <v>9.44905077898283</v>
      </c>
    </row>
    <row r="120" spans="1:25" x14ac:dyDescent="0.35">
      <c r="A120" s="2">
        <v>45496</v>
      </c>
      <c r="B120" s="3">
        <v>25.3090394571872</v>
      </c>
      <c r="C120" s="3">
        <v>17.132360921426201</v>
      </c>
      <c r="D120" s="3">
        <v>15.164543481627</v>
      </c>
      <c r="E120" s="3">
        <v>12.6336995500914</v>
      </c>
      <c r="F120" s="3">
        <v>16.726805825655799</v>
      </c>
      <c r="G120" s="3">
        <v>18.893942362249401</v>
      </c>
      <c r="H120" s="3">
        <v>11.8088737390767</v>
      </c>
      <c r="I120" s="3">
        <v>29.831598361929601</v>
      </c>
      <c r="J120" s="3">
        <v>22.971516672117499</v>
      </c>
      <c r="K120" s="3">
        <v>14.9431515483897</v>
      </c>
      <c r="L120" s="3">
        <v>18.187846353279799</v>
      </c>
      <c r="M120" s="3">
        <v>16.486135456481801</v>
      </c>
      <c r="N120" s="3">
        <v>9.7415167193081196</v>
      </c>
    </row>
    <row r="121" spans="1:25" x14ac:dyDescent="0.35">
      <c r="A121" s="2">
        <v>45527</v>
      </c>
      <c r="B121" s="3">
        <v>26.490127165911701</v>
      </c>
      <c r="C121" s="3">
        <v>17.467329016996299</v>
      </c>
      <c r="D121" s="3">
        <v>15.3701963187924</v>
      </c>
      <c r="E121" s="3">
        <v>12.7041160858889</v>
      </c>
      <c r="F121" s="3">
        <v>16.053741536146401</v>
      </c>
      <c r="G121" s="3">
        <v>18.978764305619901</v>
      </c>
      <c r="H121" s="3">
        <v>12.090484708441901</v>
      </c>
      <c r="I121" s="3">
        <v>30.230345793406599</v>
      </c>
      <c r="J121" s="3">
        <v>23.2093965069636</v>
      </c>
      <c r="K121" s="3">
        <v>15.0234750309394</v>
      </c>
      <c r="L121" s="3">
        <v>17.6875043003024</v>
      </c>
      <c r="M121" s="3">
        <v>16.648908663852701</v>
      </c>
      <c r="N121" s="3">
        <v>9.7876046855996197</v>
      </c>
    </row>
    <row r="122" spans="1:25" x14ac:dyDescent="0.35">
      <c r="A122" s="2">
        <v>45554</v>
      </c>
      <c r="B122" s="3">
        <v>24.253382113226198</v>
      </c>
      <c r="C122" s="3">
        <v>18.016587484723601</v>
      </c>
      <c r="D122" s="3">
        <v>15.787058153319901</v>
      </c>
      <c r="E122" s="3">
        <v>13.0132712602109</v>
      </c>
      <c r="F122" s="3">
        <v>15.3164628880549</v>
      </c>
      <c r="G122" s="3">
        <v>18.585714053856599</v>
      </c>
      <c r="H122" s="3">
        <v>12.0841971608709</v>
      </c>
      <c r="I122" s="3">
        <v>30.205991915282102</v>
      </c>
      <c r="J122" s="3">
        <v>23.4688106291884</v>
      </c>
      <c r="K122" s="3">
        <v>14.8160993104804</v>
      </c>
      <c r="L122" s="3">
        <v>17.6777536963946</v>
      </c>
      <c r="M122" s="3">
        <v>17.025213797272599</v>
      </c>
      <c r="N122" s="3">
        <v>10.034543219864601</v>
      </c>
    </row>
    <row r="124" spans="1:25" x14ac:dyDescent="0.35">
      <c r="A124" s="2" t="s">
        <v>91</v>
      </c>
      <c r="B124" s="3" cm="1">
        <f t="array" ref="B124">MIN(_xlfn._xlws.FILTER(B1:B122, ISNUMBER(B1:B122)))</f>
        <v>17.9728586273838</v>
      </c>
      <c r="C124" s="3" cm="1">
        <f t="array" ref="C124">MIN(_xlfn._xlws.FILTER(C1:C122, ISNUMBER(C1:C122)))</f>
        <v>13.212638209924799</v>
      </c>
      <c r="D124" s="3" cm="1">
        <f t="array" ref="D124">MIN(_xlfn._xlws.FILTER(D1:D122, ISNUMBER(D1:D122)))</f>
        <v>12.1842575604266</v>
      </c>
      <c r="E124" s="3" cm="1">
        <f t="array" ref="E124">MIN(_xlfn._xlws.FILTER(E1:E122, ISNUMBER(E1:E122)))</f>
        <v>10.2604519942217</v>
      </c>
      <c r="F124" s="3" cm="1">
        <f t="array" ref="F124">MIN(_xlfn._xlws.FILTER(F1:F122, ISNUMBER(F1:F122)))</f>
        <v>11.524981961317</v>
      </c>
      <c r="G124" s="3" cm="1">
        <f t="array" ref="G124">MIN(_xlfn._xlws.FILTER(G1:G122, ISNUMBER(G1:G122)))</f>
        <v>16.3196747627285</v>
      </c>
      <c r="H124" s="3" cm="1">
        <f t="array" ref="H124">MIN(_xlfn._xlws.FILTER(H1:H122, ISNUMBER(H1:H122)))</f>
        <v>9.3982243879622605</v>
      </c>
      <c r="I124" s="3" cm="1">
        <f t="array" ref="I124">MIN(_xlfn._xlws.FILTER(I1:I122, ISNUMBER(I1:I122)))</f>
        <v>18.074765152587101</v>
      </c>
      <c r="J124" s="3" cm="1">
        <f t="array" ref="J124">MIN(_xlfn._xlws.FILTER(J1:J122, ISNUMBER(J1:J122)))</f>
        <v>15.0645704519365</v>
      </c>
      <c r="K124" s="3" cm="1">
        <f t="array" ref="K124">MIN(_xlfn._xlws.FILTER(K1:K122, ISNUMBER(K1:K122)))</f>
        <v>11.5847442436986</v>
      </c>
      <c r="L124" s="3" cm="1">
        <f t="array" ref="L124">MIN(_xlfn._xlws.FILTER(L1:L122, ISNUMBER(L1:L122)))</f>
        <v>14.215783463117999</v>
      </c>
      <c r="M124" s="3" cm="1">
        <f t="array" ref="M124">MIN(_xlfn._xlws.FILTER(M1:M122, ISNUMBER(M1:M122)))</f>
        <v>11.6098654970093</v>
      </c>
      <c r="N124" s="3" cm="1">
        <f t="array" ref="N124">MIN(_xlfn._xlws.FILTER(N1:N122, ISNUMBER(N1:N122)))</f>
        <v>7.4802015447323198</v>
      </c>
    </row>
    <row r="125" spans="1:25" x14ac:dyDescent="0.35">
      <c r="A125" s="2" t="s">
        <v>92</v>
      </c>
      <c r="B125" s="3" cm="1">
        <f t="array" ref="B125">MAX(_xlfn._xlws.FILTER(B1:B122, ISNUMBER(B1:B122)))</f>
        <v>39.019036972722901</v>
      </c>
      <c r="C125" s="3" cm="1">
        <f t="array" ref="C125">MAX(_xlfn._xlws.FILTER(C1:C122, ISNUMBER(C1:C122)))</f>
        <v>23.3163820308569</v>
      </c>
      <c r="D125" s="3" cm="1">
        <f t="array" ref="D125">MAX(_xlfn._xlws.FILTER(D1:D122, ISNUMBER(D1:D122)))</f>
        <v>20.8358582234059</v>
      </c>
      <c r="E125" s="3" cm="1">
        <f t="array" ref="E125">MAX(_xlfn._xlws.FILTER(E1:E122, ISNUMBER(E1:E122)))</f>
        <v>21.906232443431399</v>
      </c>
      <c r="F125" s="3" cm="1">
        <f t="array" ref="F125">MAX(_xlfn._xlws.FILTER(F1:F122, ISNUMBER(F1:F122)))</f>
        <v>23.7951554934541</v>
      </c>
      <c r="G125" s="3" cm="1">
        <f t="array" ref="G125">MAX(_xlfn._xlws.FILTER(G1:G122, ISNUMBER(G1:G122)))</f>
        <v>22.290163332043299</v>
      </c>
      <c r="H125" s="3" cm="1">
        <f t="array" ref="H125">MAX(_xlfn._xlws.FILTER(H1:H122, ISNUMBER(H1:H122)))</f>
        <v>19.973004239542401</v>
      </c>
      <c r="I125" s="3" cm="1">
        <f t="array" ref="I125">MAX(_xlfn._xlws.FILTER(I1:I122, ISNUMBER(I1:I122)))</f>
        <v>35.096388493483801</v>
      </c>
      <c r="J125" s="3" cm="1">
        <f t="array" ref="J125">MAX(_xlfn._xlws.FILTER(J1:J122, ISNUMBER(J1:J122)))</f>
        <v>27.431493559073399</v>
      </c>
      <c r="K125" s="3" cm="1">
        <f t="array" ref="K125">MAX(_xlfn._xlws.FILTER(K1:K122, ISNUMBER(K1:K122)))</f>
        <v>28.498601906195699</v>
      </c>
      <c r="L125" s="3" cm="1">
        <f t="array" ref="L125">MAX(_xlfn._xlws.FILTER(L1:L122, ISNUMBER(L1:L122)))</f>
        <v>29.709595016198801</v>
      </c>
      <c r="M125" s="3" cm="1">
        <f t="array" ref="M125">MAX(_xlfn._xlws.FILTER(M1:M122, ISNUMBER(M1:M122)))</f>
        <v>25.870491479570902</v>
      </c>
      <c r="N125" s="3" cm="1">
        <f t="array" ref="N125">MAX(_xlfn._xlws.FILTER(N1:N122, ISNUMBER(N1:N122)))</f>
        <v>86.024198809841195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0.61399999999999999</v>
      </c>
      <c r="C127" s="9" cm="1">
        <f t="array" ref="C127">_xlfn.PERCENTRANK.EXC(_xlfn._xlws.FILTER(C1:C122, ISNUMBER(C1:C122)),C121)</f>
        <v>0.77</v>
      </c>
      <c r="D127" s="9" cm="1">
        <f t="array" ref="D127">_xlfn.PERCENTRANK.EXC(_xlfn._xlws.FILTER(D1:D122, ISNUMBER(D1:D122)),D121)</f>
        <v>0.434</v>
      </c>
      <c r="E127" s="9" cm="1">
        <f t="array" ref="E127">_xlfn.PERCENTRANK.EXC(_xlfn._xlws.FILTER(E1:E122, ISNUMBER(E1:E122)),E121)</f>
        <v>0.26200000000000001</v>
      </c>
      <c r="F127" s="9" cm="1">
        <f t="array" ref="F127">_xlfn.PERCENTRANK.EXC(_xlfn._xlws.FILTER(F1:F122, ISNUMBER(F1:F122)),F121)</f>
        <v>0.67200000000000004</v>
      </c>
      <c r="G127" s="9" cm="1">
        <f t="array" ref="G127">_xlfn.PERCENTRANK.EXC(_xlfn._xlws.FILTER(G1:G122, ISNUMBER(G1:G122)),G121)</f>
        <v>0.56499999999999995</v>
      </c>
      <c r="H127" s="9" cm="1">
        <f t="array" ref="H127">_xlfn.PERCENTRANK.EXC(_xlfn._xlws.FILTER(H1:H122, ISNUMBER(H1:H122)),H121)</f>
        <v>0.254</v>
      </c>
      <c r="I127" s="9" cm="1">
        <f t="array" ref="I127">_xlfn.PERCENTRANK.EXC(_xlfn._xlws.FILTER(I1:I122, ISNUMBER(I1:I122)),I121)</f>
        <v>0.877</v>
      </c>
      <c r="J127" s="9" cm="1">
        <f t="array" ref="J127">_xlfn.PERCENTRANK.EXC(_xlfn._xlws.FILTER(J1:J122, ISNUMBER(J1:J122)),J121)</f>
        <v>0.86799999999999999</v>
      </c>
      <c r="K127" s="9" cm="1">
        <f t="array" ref="K127">_xlfn.PERCENTRANK.EXC(_xlfn._xlws.FILTER(K1:K122, ISNUMBER(K1:K122)),K121)</f>
        <v>0.36799999999999999</v>
      </c>
      <c r="L127" s="9" cm="1">
        <f t="array" ref="L127">_xlfn.PERCENTRANK.EXC(_xlfn._xlws.FILTER(L1:L122, ISNUMBER(L1:L122)),L121)</f>
        <v>0.53200000000000003</v>
      </c>
      <c r="M127" s="9" cm="1">
        <f t="array" ref="M127">_xlfn.PERCENTRANK.EXC(_xlfn._xlws.FILTER(M1:M122, ISNUMBER(M1:M122)),M121)</f>
        <v>0.434</v>
      </c>
      <c r="N127" s="9" cm="1">
        <f t="array" ref="N127">_xlfn.PERCENTRANK.EXC(_xlfn._xlws.FILTER(N1:N122, ISNUMBER(N1:N122)),N121)</f>
        <v>0.221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41905</v>
      </c>
      <c r="B2" s="3" cm="1">
        <f t="array" ref="B2:B122">_xll.FDS(B1,"FMA_PE(NTMA,-10AY,0,AM,""PORTAGG"",""MEANR"")")</f>
        <v>17.221566799203199</v>
      </c>
      <c r="C2" s="3" cm="1">
        <f t="array" ref="C2:C122">_xll.FDS(C1,"FMA_PE(NTMA,-10AY,0,AM,""PORTAGG"",""MEANR"")")</f>
        <v>14.162629335310401</v>
      </c>
      <c r="D2" s="3" cm="1">
        <f t="array" ref="D2:D122">_xll.FDS(D1,"FMA_PE(NTMA,-10AY,0,AM,""PORTAGG"",""MEANR"")")</f>
        <v>14.7384880432478</v>
      </c>
      <c r="E2" s="3" cm="1">
        <f t="array" ref="E2:E122">_xll.FDS(E1,"FMA_PE(NTMA,-10AY,0,AM,""PORTAGG"",""MEANR"")")</f>
        <v>12.6542091649557</v>
      </c>
      <c r="F2" s="3" cm="1">
        <f t="array" ref="F2:F122">_xll.FDS(F1,"FMA_PE(NTMA,-10AY,0,AM,""PORTAGG"",""MEANR"")")</f>
        <v>14.1441643240736</v>
      </c>
      <c r="G2" s="3" cm="1">
        <f t="array" ref="G2:G122">_xll.FDS(G1,"FMA_PE(NTMA,-10AY,0,AM,""PORTAGG"",""MEANR"")")</f>
        <v>16.0357822708227</v>
      </c>
      <c r="H2" s="3" cm="1">
        <f t="array" ref="H2:H122">_xll.FDS(H1,"FMA_PE(NTMA,-10AY,0,AM,""PORTAGG"",""MEANR"")")</f>
        <v>13.1948633540615</v>
      </c>
      <c r="I2" s="3" cm="1">
        <f t="array" ref="I2:I122">_xll.FDS(I1,"FMA_PE(NTMA,-10AY,0,AM,""PORTAGG"",""MEANR"")")</f>
        <v>17.506983480656601</v>
      </c>
      <c r="J2" s="3" cm="1">
        <f t="array" ref="J2:J122">_xll.FDS(J1,"FMA_PE(NTMA,-10AY,0,AM,""PORTAGG"",""MEANR"")")</f>
        <v>15.110245494555199</v>
      </c>
      <c r="K2" s="3" cm="1">
        <f t="array" ref="K2:K122">_xll.FDS(K1,"FMA_PE(NTMA,-10AY,0,AM,""PORTAGG"",""MEANR"")")</f>
        <v>13.4793967313691</v>
      </c>
      <c r="L2" s="3" cm="1">
        <f t="array" ref="L2:L122">_xll.FDS(L1,"FMA_PE(NTMA,-10AY,0,AM,""PORTAGG"",""MEANR"")")</f>
        <v>14.561990452226899</v>
      </c>
      <c r="M2" s="3" cm="1">
        <f t="array" ref="M2:M122">_xll.FDS(M1,"FMA_PE(NTMA,-10AY,0,AM,""PORTAGG"",""MEANR"")")</f>
        <v>14.722032893864201</v>
      </c>
      <c r="N2" s="3" cm="1">
        <f t="array" ref="N2:N122">_xll.FDS(N1,"FMA_PE(NTMA,-10AY,0,AM,""PORTAGG"",""MEANR"")")</f>
        <v>13.429514354026299</v>
      </c>
    </row>
    <row r="3" spans="1:14" x14ac:dyDescent="0.35">
      <c r="A3" s="2">
        <v>41935</v>
      </c>
      <c r="B3" s="3">
        <v>17.355894358978698</v>
      </c>
      <c r="C3" s="3">
        <v>14.236232622204399</v>
      </c>
      <c r="D3" s="3">
        <v>14.077078878653801</v>
      </c>
      <c r="E3" s="3">
        <v>11.9259712896871</v>
      </c>
      <c r="F3" s="3">
        <v>12.987864284572099</v>
      </c>
      <c r="G3" s="3">
        <v>15.473660036151101</v>
      </c>
      <c r="H3" s="3">
        <v>12.8567751616128</v>
      </c>
      <c r="I3" s="3">
        <v>17.0451074736633</v>
      </c>
      <c r="J3" s="3">
        <v>14.9543373661784</v>
      </c>
      <c r="K3" s="3">
        <v>12.9153659007317</v>
      </c>
      <c r="L3" s="3">
        <v>13.908958514964899</v>
      </c>
      <c r="M3" s="3">
        <v>14.137374563927599</v>
      </c>
      <c r="N3" s="3">
        <v>12.6008147888188</v>
      </c>
    </row>
    <row r="4" spans="1:14" x14ac:dyDescent="0.35">
      <c r="A4" s="2">
        <v>41964</v>
      </c>
      <c r="B4" s="3">
        <v>18.0855320076884</v>
      </c>
      <c r="C4" s="3">
        <v>13.9994835425048</v>
      </c>
      <c r="D4" s="3">
        <v>14.9097226459368</v>
      </c>
      <c r="E4" s="3">
        <v>12.7882914875153</v>
      </c>
      <c r="F4" s="3">
        <v>14.533363196839</v>
      </c>
      <c r="G4" s="3">
        <v>16.259563260335</v>
      </c>
      <c r="H4" s="3">
        <v>13.5858648355194</v>
      </c>
      <c r="I4" s="3">
        <v>18.009337392593199</v>
      </c>
      <c r="J4" s="3">
        <v>15.8157826492897</v>
      </c>
      <c r="K4" s="3">
        <v>13.612374070895299</v>
      </c>
      <c r="L4" s="3">
        <v>15.012493429593301</v>
      </c>
      <c r="M4" s="3">
        <v>15.576260967062</v>
      </c>
      <c r="N4" s="3">
        <v>13.135151822678001</v>
      </c>
    </row>
    <row r="5" spans="1:14" x14ac:dyDescent="0.35">
      <c r="A5" s="2">
        <v>41996</v>
      </c>
      <c r="B5" s="3">
        <v>18.188831883871099</v>
      </c>
      <c r="C5" s="3">
        <v>14.3040981944457</v>
      </c>
      <c r="D5" s="3">
        <v>15.4145161409413</v>
      </c>
      <c r="E5" s="3">
        <v>13.011422317875599</v>
      </c>
      <c r="F5" s="3">
        <v>14.3458531362832</v>
      </c>
      <c r="G5" s="3">
        <v>15.851103607878301</v>
      </c>
      <c r="H5" s="3">
        <v>13.8138137539948</v>
      </c>
      <c r="I5" s="3">
        <v>17.842659148808</v>
      </c>
      <c r="J5" s="3">
        <v>16.160583076041402</v>
      </c>
      <c r="K5" s="3">
        <v>13.870769850874</v>
      </c>
      <c r="L5" s="3">
        <v>14.947947011962199</v>
      </c>
      <c r="M5" s="3">
        <v>15.7102469680031</v>
      </c>
      <c r="N5" s="3">
        <v>12.598563459868499</v>
      </c>
    </row>
    <row r="6" spans="1:14" x14ac:dyDescent="0.35">
      <c r="A6" s="2">
        <v>42027</v>
      </c>
      <c r="B6" s="3">
        <v>18.7406298994844</v>
      </c>
      <c r="C6" s="3">
        <v>14.985374946129401</v>
      </c>
      <c r="D6" s="3">
        <v>16.198011432055001</v>
      </c>
      <c r="E6" s="3">
        <v>13.969406380920599</v>
      </c>
      <c r="F6" s="3">
        <v>14.098524880073301</v>
      </c>
      <c r="G6" s="3">
        <v>15.8472828793535</v>
      </c>
      <c r="H6" s="3">
        <v>15.042044830336399</v>
      </c>
      <c r="I6" s="3">
        <v>17.5260964522869</v>
      </c>
      <c r="J6" s="3">
        <v>16.392560492442701</v>
      </c>
      <c r="K6" s="3">
        <v>15.3263485834173</v>
      </c>
      <c r="L6" s="3">
        <v>15.7720042895729</v>
      </c>
      <c r="M6" s="3">
        <v>16.3407165109329</v>
      </c>
      <c r="N6" s="3">
        <v>13.849222495633899</v>
      </c>
    </row>
    <row r="7" spans="1:14" x14ac:dyDescent="0.35">
      <c r="A7" s="2">
        <v>42058</v>
      </c>
      <c r="B7" s="3">
        <v>19.0040389434544</v>
      </c>
      <c r="C7" s="3">
        <v>16.191953100223401</v>
      </c>
      <c r="D7" s="3">
        <v>17.3553387261796</v>
      </c>
      <c r="E7" s="3">
        <v>14.493058979300001</v>
      </c>
      <c r="F7" s="3">
        <v>14.916060788967901</v>
      </c>
      <c r="G7" s="3">
        <v>17.524476395077201</v>
      </c>
      <c r="H7" s="3">
        <v>15.652811885979</v>
      </c>
      <c r="I7" s="3">
        <v>18.148989175659601</v>
      </c>
      <c r="J7" s="3">
        <v>16.937354673786601</v>
      </c>
      <c r="K7" s="3">
        <v>16.1504175552056</v>
      </c>
      <c r="L7" s="3">
        <v>16.644945339247101</v>
      </c>
      <c r="M7" s="3">
        <v>17.095809540997799</v>
      </c>
      <c r="N7" s="3">
        <v>15.3416889564034</v>
      </c>
    </row>
    <row r="8" spans="1:14" x14ac:dyDescent="0.35">
      <c r="A8" s="2">
        <v>42086</v>
      </c>
      <c r="B8" s="3">
        <v>18.124023412920302</v>
      </c>
      <c r="C8" s="3">
        <v>16.486707176824801</v>
      </c>
      <c r="D8" s="3">
        <v>17.160453604152899</v>
      </c>
      <c r="E8" s="3">
        <v>15.3940061884251</v>
      </c>
      <c r="F8" s="3">
        <v>15.7305458997995</v>
      </c>
      <c r="G8" s="3">
        <v>18.126990247960801</v>
      </c>
      <c r="H8" s="3">
        <v>15.900807849510199</v>
      </c>
      <c r="I8" s="3">
        <v>18.058347759988099</v>
      </c>
      <c r="J8" s="3">
        <v>16.835175362384401</v>
      </c>
      <c r="K8" s="3">
        <v>16.620328843566501</v>
      </c>
      <c r="L8" s="3">
        <v>17.471384910529299</v>
      </c>
      <c r="M8" s="3">
        <v>17.317783781734999</v>
      </c>
      <c r="N8" s="3">
        <v>15.7045163018071</v>
      </c>
    </row>
    <row r="9" spans="1:14" x14ac:dyDescent="0.35">
      <c r="A9" s="2">
        <v>42117</v>
      </c>
      <c r="B9" s="3">
        <v>18.0708974979723</v>
      </c>
      <c r="C9" s="3">
        <v>16.3260568868928</v>
      </c>
      <c r="D9" s="3">
        <v>17.488586337811299</v>
      </c>
      <c r="E9" s="3">
        <v>15.0527628202038</v>
      </c>
      <c r="F9" s="3">
        <v>15.9891463693586</v>
      </c>
      <c r="G9" s="3">
        <v>18.187859616535199</v>
      </c>
      <c r="H9" s="3">
        <v>16.257363227745099</v>
      </c>
      <c r="I9" s="3">
        <v>18.181593229977199</v>
      </c>
      <c r="J9" s="3">
        <v>16.855755162026099</v>
      </c>
      <c r="K9" s="3">
        <v>16.770887287971501</v>
      </c>
      <c r="L9" s="3">
        <v>17.437956214283901</v>
      </c>
      <c r="M9" s="3">
        <v>16.6088209809256</v>
      </c>
      <c r="N9" s="3">
        <v>15.7691749766139</v>
      </c>
    </row>
    <row r="10" spans="1:14" x14ac:dyDescent="0.35">
      <c r="A10" s="2">
        <v>42146</v>
      </c>
      <c r="B10" s="3">
        <v>18.207728048451301</v>
      </c>
      <c r="C10" s="3">
        <v>15.749614192074599</v>
      </c>
      <c r="D10" s="3">
        <v>16.862994932308201</v>
      </c>
      <c r="E10" s="3">
        <v>14.6368460659296</v>
      </c>
      <c r="F10" s="3">
        <v>16.2241517249773</v>
      </c>
      <c r="G10" s="3">
        <v>17.890713178067799</v>
      </c>
      <c r="H10" s="3">
        <v>16.240392011240001</v>
      </c>
      <c r="I10" s="3">
        <v>18.136027965832199</v>
      </c>
      <c r="J10" s="3">
        <v>16.725691599972102</v>
      </c>
      <c r="K10" s="3">
        <v>16.554950843186301</v>
      </c>
      <c r="L10" s="3">
        <v>17.253651626460901</v>
      </c>
      <c r="M10" s="3">
        <v>16.1249406112861</v>
      </c>
      <c r="N10" s="3">
        <v>15.9677088238256</v>
      </c>
    </row>
    <row r="11" spans="1:14" x14ac:dyDescent="0.35">
      <c r="A11" s="2">
        <v>42178</v>
      </c>
      <c r="B11" s="3">
        <v>17.875471683603202</v>
      </c>
      <c r="C11" s="3">
        <v>15.7209329088763</v>
      </c>
      <c r="D11" s="3">
        <v>16.3180044253922</v>
      </c>
      <c r="E11" s="3">
        <v>14.077913898468999</v>
      </c>
      <c r="F11" s="3">
        <v>15.9361555672787</v>
      </c>
      <c r="G11" s="3">
        <v>17.425083322151899</v>
      </c>
      <c r="H11" s="3">
        <v>15.71258997114</v>
      </c>
      <c r="I11" s="3">
        <v>18.068269868436001</v>
      </c>
      <c r="J11" s="3">
        <v>16.582906541512099</v>
      </c>
      <c r="K11" s="3">
        <v>16.126394383237699</v>
      </c>
      <c r="L11" s="3">
        <v>16.933141839186899</v>
      </c>
      <c r="M11" s="3">
        <v>16.143469870332499</v>
      </c>
      <c r="N11" s="3">
        <v>15.4994276559386</v>
      </c>
    </row>
    <row r="12" spans="1:14" x14ac:dyDescent="0.35">
      <c r="A12" s="2">
        <v>42208</v>
      </c>
      <c r="B12" s="3">
        <v>18.308047433366202</v>
      </c>
      <c r="C12" s="3">
        <v>15.348603944119001</v>
      </c>
      <c r="D12" s="3">
        <v>15.4138149611383</v>
      </c>
      <c r="E12" s="3">
        <v>13.9265846524072</v>
      </c>
      <c r="F12" s="3">
        <v>15.6019415947915</v>
      </c>
      <c r="G12" s="3">
        <v>17.7026389816047</v>
      </c>
      <c r="H12" s="3">
        <v>15.2867590692015</v>
      </c>
      <c r="I12" s="3">
        <v>18.522665011016201</v>
      </c>
      <c r="J12" s="3">
        <v>16.4224304563175</v>
      </c>
      <c r="K12" s="3">
        <v>15.965466835156001</v>
      </c>
      <c r="L12" s="3">
        <v>16.993178769004899</v>
      </c>
      <c r="M12" s="3">
        <v>16.068471993136502</v>
      </c>
      <c r="N12" s="3">
        <v>15.4455081069587</v>
      </c>
    </row>
    <row r="13" spans="1:14" x14ac:dyDescent="0.35">
      <c r="A13" s="2">
        <v>42237</v>
      </c>
      <c r="B13" s="3">
        <v>17.805146774318398</v>
      </c>
      <c r="C13" s="3">
        <v>14.5894904070623</v>
      </c>
      <c r="D13" s="3">
        <v>14.511656878271699</v>
      </c>
      <c r="E13" s="3">
        <v>12.300586179680399</v>
      </c>
      <c r="F13" s="3">
        <v>14.5700227074708</v>
      </c>
      <c r="G13" s="3">
        <v>16.5872289185066</v>
      </c>
      <c r="H13" s="3">
        <v>14.273262971672599</v>
      </c>
      <c r="I13" s="3">
        <v>16.980503020007401</v>
      </c>
      <c r="J13" s="3">
        <v>15.355063897413601</v>
      </c>
      <c r="K13" s="3">
        <v>14.3249231520638</v>
      </c>
      <c r="L13" s="3">
        <v>14.861778846095101</v>
      </c>
      <c r="M13" s="3">
        <v>14.888154968642199</v>
      </c>
      <c r="N13" s="3">
        <v>14.2559178390983</v>
      </c>
    </row>
    <row r="14" spans="1:14" x14ac:dyDescent="0.35">
      <c r="A14" s="2">
        <v>42270</v>
      </c>
      <c r="B14" s="3">
        <v>17.303991487806599</v>
      </c>
      <c r="C14" s="3">
        <v>14.048351496449101</v>
      </c>
      <c r="D14" s="3">
        <v>14.518145407496601</v>
      </c>
      <c r="E14" s="3">
        <v>11.662211986286099</v>
      </c>
      <c r="F14" s="3">
        <v>13.459501130772299</v>
      </c>
      <c r="G14" s="3">
        <v>15.863708727545699</v>
      </c>
      <c r="H14" s="3">
        <v>14.1445291895228</v>
      </c>
      <c r="I14" s="3">
        <v>17.159108172141199</v>
      </c>
      <c r="J14" s="3">
        <v>15.085064094239501</v>
      </c>
      <c r="K14" s="3">
        <v>13.799564575054101</v>
      </c>
      <c r="L14" s="3">
        <v>14.2693309851858</v>
      </c>
      <c r="M14" s="3">
        <v>14.1403686273792</v>
      </c>
      <c r="N14" s="3">
        <v>13.7736743229292</v>
      </c>
    </row>
    <row r="15" spans="1:14" x14ac:dyDescent="0.35">
      <c r="A15" s="2">
        <v>42300</v>
      </c>
      <c r="B15" s="3">
        <v>18.089918669533301</v>
      </c>
      <c r="C15" s="3">
        <v>15.297878950956299</v>
      </c>
      <c r="D15" s="3">
        <v>15.174131866448301</v>
      </c>
      <c r="E15" s="3">
        <v>13.237527136140599</v>
      </c>
      <c r="F15" s="3">
        <v>14.2890808117916</v>
      </c>
      <c r="G15" s="3">
        <v>16.958148769195098</v>
      </c>
      <c r="H15" s="3">
        <v>15.429531249127001</v>
      </c>
      <c r="I15" s="3">
        <v>18.4573029415196</v>
      </c>
      <c r="J15" s="3">
        <v>16.262394976415699</v>
      </c>
      <c r="K15" s="3">
        <v>15.231515658472301</v>
      </c>
      <c r="L15" s="3">
        <v>15.861240457852199</v>
      </c>
      <c r="M15" s="3">
        <v>15.546569471721099</v>
      </c>
      <c r="N15" s="3">
        <v>14.9065193279701</v>
      </c>
    </row>
    <row r="16" spans="1:14" x14ac:dyDescent="0.35">
      <c r="A16" s="2">
        <v>42331</v>
      </c>
      <c r="B16" s="3">
        <v>18.101246228280399</v>
      </c>
      <c r="C16" s="3">
        <v>15.2983842897003</v>
      </c>
      <c r="D16" s="3">
        <v>14.556096769435401</v>
      </c>
      <c r="E16" s="3">
        <v>13.804816570122</v>
      </c>
      <c r="F16" s="3">
        <v>14.78815076011</v>
      </c>
      <c r="G16" s="3">
        <v>16.915870029532801</v>
      </c>
      <c r="H16" s="3">
        <v>15.287008428497</v>
      </c>
      <c r="I16" s="3">
        <v>18.711527186139499</v>
      </c>
      <c r="J16" s="3">
        <v>16.330902384965299</v>
      </c>
      <c r="K16" s="3">
        <v>15.1982078794745</v>
      </c>
      <c r="L16" s="3">
        <v>16.275178029536601</v>
      </c>
      <c r="M16" s="3">
        <v>15.492529556270901</v>
      </c>
      <c r="N16" s="3">
        <v>14.8867333901986</v>
      </c>
    </row>
    <row r="17" spans="1:14" x14ac:dyDescent="0.35">
      <c r="A17" s="2">
        <v>42361</v>
      </c>
      <c r="B17" s="3">
        <v>18.141576771404999</v>
      </c>
      <c r="C17" s="3">
        <v>15.208302879107899</v>
      </c>
      <c r="D17" s="3">
        <v>14.599456452452699</v>
      </c>
      <c r="E17" s="3">
        <v>13.3335762072756</v>
      </c>
      <c r="F17" s="3">
        <v>13.9380351865156</v>
      </c>
      <c r="G17" s="3">
        <v>16.786178640791402</v>
      </c>
      <c r="H17" s="3">
        <v>15.2626431887391</v>
      </c>
      <c r="I17" s="3">
        <v>18.488968111719998</v>
      </c>
      <c r="J17" s="3">
        <v>16.143360603477799</v>
      </c>
      <c r="K17" s="3">
        <v>14.6509695277158</v>
      </c>
      <c r="L17" s="3">
        <v>15.6353623325417</v>
      </c>
      <c r="M17" s="3">
        <v>14.9846738718861</v>
      </c>
      <c r="N17" s="3">
        <v>14.1530625370902</v>
      </c>
    </row>
    <row r="18" spans="1:14" x14ac:dyDescent="0.35">
      <c r="A18" s="2">
        <v>42391</v>
      </c>
      <c r="B18" s="3">
        <v>17.521366287106499</v>
      </c>
      <c r="C18" s="3">
        <v>14.793557203538301</v>
      </c>
      <c r="D18" s="3">
        <v>13.781079198278</v>
      </c>
      <c r="E18" s="3">
        <v>12.2126608809624</v>
      </c>
      <c r="F18" s="3">
        <v>12.503580672915801</v>
      </c>
      <c r="G18" s="3">
        <v>15.9214716836289</v>
      </c>
      <c r="H18" s="3">
        <v>15.0295284764758</v>
      </c>
      <c r="I18" s="3">
        <v>17.129467928814801</v>
      </c>
      <c r="J18" s="3">
        <v>15.1489961135767</v>
      </c>
      <c r="K18" s="3">
        <v>13.923776821934901</v>
      </c>
      <c r="L18" s="3">
        <v>14.7709369667208</v>
      </c>
      <c r="M18" s="3">
        <v>14.3239363413149</v>
      </c>
      <c r="N18" s="3">
        <v>13.064914034904101</v>
      </c>
    </row>
    <row r="19" spans="1:14" x14ac:dyDescent="0.35">
      <c r="A19" s="2">
        <v>42423</v>
      </c>
      <c r="B19" s="3">
        <v>17.487246419084901</v>
      </c>
      <c r="C19" s="3">
        <v>15.4481640445096</v>
      </c>
      <c r="D19" s="3">
        <v>14.6398327799699</v>
      </c>
      <c r="E19" s="3">
        <v>11.9690820900541</v>
      </c>
      <c r="F19" s="3">
        <v>12.115827929534399</v>
      </c>
      <c r="G19" s="3">
        <v>16.161867342330801</v>
      </c>
      <c r="H19" s="3">
        <v>15.2855026309607</v>
      </c>
      <c r="I19" s="3">
        <v>16.725009255580801</v>
      </c>
      <c r="J19" s="3">
        <v>15.5099438140132</v>
      </c>
      <c r="K19" s="3">
        <v>13.8793463792351</v>
      </c>
      <c r="L19" s="3">
        <v>14.469963354920001</v>
      </c>
      <c r="M19" s="3">
        <v>15.081126376619199</v>
      </c>
      <c r="N19" s="3">
        <v>12.4009658157232</v>
      </c>
    </row>
    <row r="20" spans="1:14" x14ac:dyDescent="0.35">
      <c r="A20" s="2">
        <v>42452</v>
      </c>
      <c r="B20" s="3">
        <v>17.997333287536801</v>
      </c>
      <c r="C20" s="3">
        <v>15.9761538017174</v>
      </c>
      <c r="D20" s="3">
        <v>15.9653606361658</v>
      </c>
      <c r="E20" s="3">
        <v>12.770619396053</v>
      </c>
      <c r="F20" s="3">
        <v>12.969900513027399</v>
      </c>
      <c r="G20" s="3">
        <v>16.548827866901899</v>
      </c>
      <c r="H20" s="3">
        <v>16.1417271316779</v>
      </c>
      <c r="I20" s="3">
        <v>17.595979740886101</v>
      </c>
      <c r="J20" s="3">
        <v>15.516736353630501</v>
      </c>
      <c r="K20" s="3">
        <v>14.453684573927699</v>
      </c>
      <c r="L20" s="3">
        <v>15.4031932652907</v>
      </c>
      <c r="M20" s="3">
        <v>15.0824513625404</v>
      </c>
      <c r="N20" s="3">
        <v>13.423050388955399</v>
      </c>
    </row>
    <row r="21" spans="1:14" x14ac:dyDescent="0.35">
      <c r="A21" s="2">
        <v>42482</v>
      </c>
      <c r="B21" s="3">
        <v>18.964172875203101</v>
      </c>
      <c r="C21" s="3">
        <v>16.2002591481092</v>
      </c>
      <c r="D21" s="3">
        <v>16.541805665415598</v>
      </c>
      <c r="E21" s="3">
        <v>13.213157863588799</v>
      </c>
      <c r="F21" s="3">
        <v>13.531745937807401</v>
      </c>
      <c r="G21" s="3">
        <v>16.913016839502401</v>
      </c>
      <c r="H21" s="3">
        <v>16.456698931241199</v>
      </c>
      <c r="I21" s="3">
        <v>17.846363992605699</v>
      </c>
      <c r="J21" s="3">
        <v>16.500463546018398</v>
      </c>
      <c r="K21" s="3">
        <v>14.906972358353199</v>
      </c>
      <c r="L21" s="3">
        <v>15.280048185809401</v>
      </c>
      <c r="M21" s="3">
        <v>15.660378111277399</v>
      </c>
      <c r="N21" s="3">
        <v>13.5825704539609</v>
      </c>
    </row>
    <row r="22" spans="1:14" x14ac:dyDescent="0.35">
      <c r="A22" s="2">
        <v>42513</v>
      </c>
      <c r="B22" s="3">
        <v>19.164490741841</v>
      </c>
      <c r="C22" s="3">
        <v>16.285083783488499</v>
      </c>
      <c r="D22" s="3">
        <v>16.437714980099098</v>
      </c>
      <c r="E22" s="3">
        <v>12.2939272980321</v>
      </c>
      <c r="F22" s="3">
        <v>13.188001086674999</v>
      </c>
      <c r="G22" s="3">
        <v>16.831199385857101</v>
      </c>
      <c r="H22" s="3">
        <v>15.653384988150099</v>
      </c>
      <c r="I22" s="3">
        <v>17.3925556351032</v>
      </c>
      <c r="J22" s="3">
        <v>16.522677016730398</v>
      </c>
      <c r="K22" s="3">
        <v>14.1028506684401</v>
      </c>
      <c r="L22" s="3">
        <v>14.7098322463718</v>
      </c>
      <c r="M22" s="3">
        <v>14.691834966503301</v>
      </c>
      <c r="N22" s="3">
        <v>13.163912701995899</v>
      </c>
    </row>
    <row r="23" spans="1:14" x14ac:dyDescent="0.35">
      <c r="A23" s="2">
        <v>42544</v>
      </c>
      <c r="B23" s="3">
        <v>18.813706876441099</v>
      </c>
      <c r="C23" s="3">
        <v>16.200100051916699</v>
      </c>
      <c r="D23" s="3">
        <v>16.509241818569699</v>
      </c>
      <c r="E23" s="3">
        <v>12.58226503133</v>
      </c>
      <c r="F23" s="3">
        <v>13.124733685401299</v>
      </c>
      <c r="G23" s="3">
        <v>16.863578783357401</v>
      </c>
      <c r="H23" s="3">
        <v>16.153473089906001</v>
      </c>
      <c r="I23" s="3">
        <v>17.8625074926804</v>
      </c>
      <c r="J23" s="3">
        <v>16.628302161213199</v>
      </c>
      <c r="K23" s="3">
        <v>14.2956847977597</v>
      </c>
      <c r="L23" s="3">
        <v>14.773916935769</v>
      </c>
      <c r="M23" s="3">
        <v>14.965435375231401</v>
      </c>
      <c r="N23" s="3">
        <v>13.048213905648799</v>
      </c>
    </row>
    <row r="24" spans="1:14" x14ac:dyDescent="0.35">
      <c r="A24" s="2">
        <v>42573</v>
      </c>
      <c r="B24" s="3">
        <v>19.981105749119099</v>
      </c>
      <c r="C24" s="3">
        <v>16.6430383244201</v>
      </c>
      <c r="D24" s="3">
        <v>16.567395507258901</v>
      </c>
      <c r="E24" s="3">
        <v>12.5254624166376</v>
      </c>
      <c r="F24" s="3">
        <v>13.6015718357268</v>
      </c>
      <c r="G24" s="3">
        <v>17.115956924639502</v>
      </c>
      <c r="H24" s="3">
        <v>16.055313318173798</v>
      </c>
      <c r="I24" s="3">
        <v>18.5285531953114</v>
      </c>
      <c r="J24" s="3">
        <v>17.0118613693881</v>
      </c>
      <c r="K24" s="3">
        <v>14.018129509915401</v>
      </c>
      <c r="L24" s="3">
        <v>14.763321215143</v>
      </c>
      <c r="M24" s="3">
        <v>15.124595342580101</v>
      </c>
      <c r="N24" s="3">
        <v>12.4015298691202</v>
      </c>
    </row>
    <row r="25" spans="1:14" x14ac:dyDescent="0.35">
      <c r="A25" s="2">
        <v>42605</v>
      </c>
      <c r="B25" s="3">
        <v>20.641571610355701</v>
      </c>
      <c r="C25" s="3">
        <v>16.8766099365399</v>
      </c>
      <c r="D25" s="3">
        <v>16.5043496570276</v>
      </c>
      <c r="E25" s="3">
        <v>12.9665767120746</v>
      </c>
      <c r="F25" s="3">
        <v>13.1869778435693</v>
      </c>
      <c r="G25" s="3">
        <v>17.426896677683999</v>
      </c>
      <c r="H25" s="3">
        <v>16.213286177718899</v>
      </c>
      <c r="I25" s="3">
        <v>18.7373171778796</v>
      </c>
      <c r="J25" s="3">
        <v>16.940616833337501</v>
      </c>
      <c r="K25" s="3">
        <v>13.9464425414515</v>
      </c>
      <c r="L25" s="3">
        <v>14.8855478546855</v>
      </c>
      <c r="M25" s="3">
        <v>15.441733063361101</v>
      </c>
      <c r="N25" s="3">
        <v>12.544329621459299</v>
      </c>
    </row>
    <row r="26" spans="1:14" x14ac:dyDescent="0.35">
      <c r="A26" s="2">
        <v>42636</v>
      </c>
      <c r="B26" s="3">
        <v>20.163507105461701</v>
      </c>
      <c r="C26" s="3">
        <v>16.3533507131047</v>
      </c>
      <c r="D26" s="3">
        <v>16.120473654839401</v>
      </c>
      <c r="E26" s="3">
        <v>13.02480391726</v>
      </c>
      <c r="F26" s="3">
        <v>13.6528918733936</v>
      </c>
      <c r="G26" s="3">
        <v>17.373460274583099</v>
      </c>
      <c r="H26" s="3">
        <v>15.7936653698498</v>
      </c>
      <c r="I26" s="3">
        <v>18.661312925035102</v>
      </c>
      <c r="J26" s="3">
        <v>16.657770694980901</v>
      </c>
      <c r="K26" s="3">
        <v>14.0027589468079</v>
      </c>
      <c r="L26" s="3">
        <v>14.9526562072333</v>
      </c>
      <c r="M26" s="3">
        <v>15.642614810523</v>
      </c>
      <c r="N26" s="3">
        <v>11.891032807290401</v>
      </c>
    </row>
    <row r="27" spans="1:14" x14ac:dyDescent="0.35">
      <c r="A27" s="2">
        <v>42664</v>
      </c>
      <c r="B27" s="3">
        <v>19.122085817854799</v>
      </c>
      <c r="C27" s="3">
        <v>16.0934565203967</v>
      </c>
      <c r="D27" s="3">
        <v>16.1693333867502</v>
      </c>
      <c r="E27" s="3">
        <v>13.053744769482099</v>
      </c>
      <c r="F27" s="3">
        <v>13.6011668441542</v>
      </c>
      <c r="G27" s="3">
        <v>16.744177601243099</v>
      </c>
      <c r="H27" s="3">
        <v>15.1940977676595</v>
      </c>
      <c r="I27" s="3">
        <v>18.3932915116151</v>
      </c>
      <c r="J27" s="3">
        <v>16.341771147985199</v>
      </c>
      <c r="K27" s="3">
        <v>14.037482091439101</v>
      </c>
      <c r="L27" s="3">
        <v>14.8866798049604</v>
      </c>
      <c r="M27" s="3">
        <v>16.498655670684901</v>
      </c>
      <c r="N27" s="3">
        <v>12.199615917495599</v>
      </c>
    </row>
    <row r="28" spans="1:14" x14ac:dyDescent="0.35">
      <c r="A28" s="2">
        <v>42697</v>
      </c>
      <c r="B28" s="3">
        <v>18.7045334574963</v>
      </c>
      <c r="C28" s="3">
        <v>16.087045393514799</v>
      </c>
      <c r="D28" s="3">
        <v>16.080002282699802</v>
      </c>
      <c r="E28" s="3">
        <v>12.7939928130629</v>
      </c>
      <c r="F28" s="3">
        <v>14.2727423280809</v>
      </c>
      <c r="G28" s="3">
        <v>16.093414458256401</v>
      </c>
      <c r="H28" s="3">
        <v>14.3275988241622</v>
      </c>
      <c r="I28" s="3">
        <v>18.251588099085801</v>
      </c>
      <c r="J28" s="3">
        <v>16.769512949769901</v>
      </c>
      <c r="K28" s="3">
        <v>13.7395311692623</v>
      </c>
      <c r="L28" s="3">
        <v>14.6292064453067</v>
      </c>
      <c r="M28" s="3">
        <v>16.187265563938301</v>
      </c>
      <c r="N28" s="3">
        <v>11.5881099101336</v>
      </c>
    </row>
    <row r="29" spans="1:14" x14ac:dyDescent="0.35">
      <c r="A29" s="2">
        <v>42727</v>
      </c>
      <c r="B29" s="3">
        <v>18.541877820876</v>
      </c>
      <c r="C29" s="3">
        <v>15.7168049140357</v>
      </c>
      <c r="D29" s="3">
        <v>15.907551476073699</v>
      </c>
      <c r="E29" s="3">
        <v>13.6284764546732</v>
      </c>
      <c r="F29" s="3">
        <v>14.9474454123011</v>
      </c>
      <c r="G29" s="3">
        <v>16.770793087825499</v>
      </c>
      <c r="H29" s="3">
        <v>14.2976207077027</v>
      </c>
      <c r="I29" s="3">
        <v>18.376186143711301</v>
      </c>
      <c r="J29" s="3">
        <v>17.035004067095901</v>
      </c>
      <c r="K29" s="3">
        <v>14.525598208995101</v>
      </c>
      <c r="L29" s="3">
        <v>15.104775956139299</v>
      </c>
      <c r="M29" s="3">
        <v>16.503854002505999</v>
      </c>
      <c r="N29" s="3">
        <v>13.8971240301333</v>
      </c>
    </row>
    <row r="30" spans="1:14" x14ac:dyDescent="0.35">
      <c r="A30" s="2">
        <v>42758</v>
      </c>
      <c r="B30" s="3">
        <v>18.933098849122601</v>
      </c>
      <c r="C30" s="3">
        <v>15.608257990420601</v>
      </c>
      <c r="D30" s="3">
        <v>16.094329238358601</v>
      </c>
      <c r="E30" s="3">
        <v>13.6474622180666</v>
      </c>
      <c r="F30" s="3">
        <v>14.4462680238472</v>
      </c>
      <c r="G30" s="3">
        <v>16.935432708511001</v>
      </c>
      <c r="H30" s="3">
        <v>14.2240998982384</v>
      </c>
      <c r="I30" s="3">
        <v>18.6575018045958</v>
      </c>
      <c r="J30" s="3">
        <v>16.868640986446501</v>
      </c>
      <c r="K30" s="3">
        <v>14.4168590965511</v>
      </c>
      <c r="L30" s="3">
        <v>14.9958017525061</v>
      </c>
      <c r="M30" s="3">
        <v>15.98273701712</v>
      </c>
      <c r="N30" s="3">
        <v>13.2448336301211</v>
      </c>
    </row>
    <row r="31" spans="1:14" x14ac:dyDescent="0.35">
      <c r="A31" s="2">
        <v>42789</v>
      </c>
      <c r="B31" s="3">
        <v>18.776569374160999</v>
      </c>
      <c r="C31" s="3">
        <v>16.0104086104948</v>
      </c>
      <c r="D31" s="3">
        <v>16.2453480196153</v>
      </c>
      <c r="E31" s="3">
        <v>13.8680402551966</v>
      </c>
      <c r="F31" s="3">
        <v>14.3597285877623</v>
      </c>
      <c r="G31" s="3">
        <v>17.586449448549601</v>
      </c>
      <c r="H31" s="3">
        <v>14.512191689319501</v>
      </c>
      <c r="I31" s="3">
        <v>20.084942435702501</v>
      </c>
      <c r="J31" s="3">
        <v>17.658741878094599</v>
      </c>
      <c r="K31" s="3">
        <v>14.290663167116101</v>
      </c>
      <c r="L31" s="3">
        <v>15.597436469208199</v>
      </c>
      <c r="M31" s="3">
        <v>16.590890580020002</v>
      </c>
      <c r="N31" s="3">
        <v>12.7190167661342</v>
      </c>
    </row>
    <row r="32" spans="1:14" x14ac:dyDescent="0.35">
      <c r="A32" s="2">
        <v>42817</v>
      </c>
      <c r="B32" s="3">
        <v>18.664236236873901</v>
      </c>
      <c r="C32" s="3">
        <v>15.4524620753708</v>
      </c>
      <c r="D32" s="3">
        <v>15.7447612966719</v>
      </c>
      <c r="E32" s="3">
        <v>13.832079699491899</v>
      </c>
      <c r="F32" s="3">
        <v>13.930520131503201</v>
      </c>
      <c r="G32" s="3">
        <v>17.645182849226899</v>
      </c>
      <c r="H32" s="3">
        <v>14.466900029881399</v>
      </c>
      <c r="I32" s="3">
        <v>19.9779412123059</v>
      </c>
      <c r="J32" s="3">
        <v>17.440362017355</v>
      </c>
      <c r="K32" s="3">
        <v>14.6817984221335</v>
      </c>
      <c r="L32" s="3">
        <v>15.952894383407401</v>
      </c>
      <c r="M32" s="3">
        <v>16.749883317406798</v>
      </c>
      <c r="N32" s="3">
        <v>13.5467606863297</v>
      </c>
    </row>
    <row r="33" spans="1:14" x14ac:dyDescent="0.35">
      <c r="A33" s="2">
        <v>42846</v>
      </c>
      <c r="B33" s="3">
        <v>19.0068523513775</v>
      </c>
      <c r="C33" s="3">
        <v>15.778738711284699</v>
      </c>
      <c r="D33" s="3">
        <v>15.80233094217</v>
      </c>
      <c r="E33" s="3">
        <v>13.6397854774381</v>
      </c>
      <c r="F33" s="3">
        <v>13.477626957085199</v>
      </c>
      <c r="G33" s="3">
        <v>17.208094590521</v>
      </c>
      <c r="H33" s="3">
        <v>14.1152398837832</v>
      </c>
      <c r="I33" s="3">
        <v>20.002033370743799</v>
      </c>
      <c r="J33" s="3">
        <v>17.271035563830701</v>
      </c>
      <c r="K33" s="3">
        <v>14.6306345947838</v>
      </c>
      <c r="L33" s="3">
        <v>16.1227343733152</v>
      </c>
      <c r="M33" s="3">
        <v>16.8548921791858</v>
      </c>
      <c r="N33" s="3">
        <v>12.939644611414799</v>
      </c>
    </row>
    <row r="34" spans="1:14" x14ac:dyDescent="0.35">
      <c r="A34" s="2">
        <v>42878</v>
      </c>
      <c r="B34" s="3">
        <v>19.418045698231602</v>
      </c>
      <c r="C34" s="3">
        <v>15.43690906618</v>
      </c>
      <c r="D34" s="3">
        <v>15.847657228574</v>
      </c>
      <c r="E34" s="3">
        <v>13.828429913375</v>
      </c>
      <c r="F34" s="3">
        <v>14.2036918054379</v>
      </c>
      <c r="G34" s="3">
        <v>18.1463944362355</v>
      </c>
      <c r="H34" s="3">
        <v>14.769599386501699</v>
      </c>
      <c r="I34" s="3">
        <v>20.660068559896601</v>
      </c>
      <c r="J34" s="3">
        <v>17.415449181731798</v>
      </c>
      <c r="K34" s="3">
        <v>15.253000376590199</v>
      </c>
      <c r="L34" s="3">
        <v>16.362780512387499</v>
      </c>
      <c r="M34" s="3">
        <v>18.116923490705702</v>
      </c>
      <c r="N34" s="3">
        <v>13.683584903831701</v>
      </c>
    </row>
    <row r="35" spans="1:14" x14ac:dyDescent="0.35">
      <c r="A35" s="2">
        <v>42909</v>
      </c>
      <c r="B35" s="3">
        <v>19.585879682528201</v>
      </c>
      <c r="C35" s="3">
        <v>15.3242946701167</v>
      </c>
      <c r="D35" s="3">
        <v>15.3044740185266</v>
      </c>
      <c r="E35" s="3">
        <v>13.7356264388411</v>
      </c>
      <c r="F35" s="3">
        <v>14.375729329036099</v>
      </c>
      <c r="G35" s="3">
        <v>17.990767857564101</v>
      </c>
      <c r="H35" s="3">
        <v>14.4750276486595</v>
      </c>
      <c r="I35" s="3">
        <v>20.695275134598099</v>
      </c>
      <c r="J35" s="3">
        <v>17.552281898484601</v>
      </c>
      <c r="K35" s="3">
        <v>14.966557987010701</v>
      </c>
      <c r="L35" s="3">
        <v>16.013681087746601</v>
      </c>
      <c r="M35" s="3">
        <v>16.904399784535599</v>
      </c>
      <c r="N35" s="3">
        <v>13.233810620505601</v>
      </c>
    </row>
    <row r="36" spans="1:14" x14ac:dyDescent="0.35">
      <c r="A36" s="2">
        <v>42937</v>
      </c>
      <c r="B36" s="3">
        <v>19.713781793996301</v>
      </c>
      <c r="C36" s="3">
        <v>15.6694384113566</v>
      </c>
      <c r="D36" s="3">
        <v>15.563501222777999</v>
      </c>
      <c r="E36" s="3">
        <v>13.185003885294</v>
      </c>
      <c r="F36" s="3">
        <v>14.3018694223789</v>
      </c>
      <c r="G36" s="3">
        <v>17.806436186657901</v>
      </c>
      <c r="H36" s="3">
        <v>14.7893898476638</v>
      </c>
      <c r="I36" s="3">
        <v>20.955780400147901</v>
      </c>
      <c r="J36" s="3">
        <v>17.750108667157001</v>
      </c>
      <c r="K36" s="3">
        <v>14.665066436080901</v>
      </c>
      <c r="L36" s="3">
        <v>15.8870327337855</v>
      </c>
      <c r="M36" s="3">
        <v>16.355964103202702</v>
      </c>
      <c r="N36" s="3">
        <v>13.3981315270577</v>
      </c>
    </row>
    <row r="37" spans="1:14" x14ac:dyDescent="0.35">
      <c r="A37" s="2">
        <v>42970</v>
      </c>
      <c r="B37" s="3">
        <v>20.122756717135101</v>
      </c>
      <c r="C37" s="3">
        <v>15.7576968685099</v>
      </c>
      <c r="D37" s="3">
        <v>15.4538740242757</v>
      </c>
      <c r="E37" s="3">
        <v>13.0378999326742</v>
      </c>
      <c r="F37" s="3">
        <v>13.6614748480555</v>
      </c>
      <c r="G37" s="3">
        <v>17.546571108174099</v>
      </c>
      <c r="H37" s="3">
        <v>14.466656983191299</v>
      </c>
      <c r="I37" s="3">
        <v>20.312769021827599</v>
      </c>
      <c r="J37" s="3">
        <v>17.348153106811498</v>
      </c>
      <c r="K37" s="3">
        <v>14.494266521389701</v>
      </c>
      <c r="L37" s="3">
        <v>15.758318187498</v>
      </c>
      <c r="M37" s="3">
        <v>15.7323459769311</v>
      </c>
      <c r="N37" s="3">
        <v>13.223341541143601</v>
      </c>
    </row>
    <row r="38" spans="1:14" x14ac:dyDescent="0.35">
      <c r="A38" s="2">
        <v>43000</v>
      </c>
      <c r="B38" s="3">
        <v>19.722641937077402</v>
      </c>
      <c r="C38" s="3">
        <v>15.499326266142599</v>
      </c>
      <c r="D38" s="3">
        <v>15.5964376115876</v>
      </c>
      <c r="E38" s="3">
        <v>13.4388972644063</v>
      </c>
      <c r="F38" s="3">
        <v>13.992830810801101</v>
      </c>
      <c r="G38" s="3">
        <v>17.7464640719279</v>
      </c>
      <c r="H38" s="3">
        <v>14.5246915845155</v>
      </c>
      <c r="I38" s="3">
        <v>20.349397796300799</v>
      </c>
      <c r="J38" s="3">
        <v>17.658849073278098</v>
      </c>
      <c r="K38" s="3">
        <v>14.999755548372701</v>
      </c>
      <c r="L38" s="3">
        <v>15.8106336578902</v>
      </c>
      <c r="M38" s="3">
        <v>16.4139709339562</v>
      </c>
      <c r="N38" s="3">
        <v>13.5660670147728</v>
      </c>
    </row>
    <row r="39" spans="1:14" x14ac:dyDescent="0.35">
      <c r="A39" s="2">
        <v>43031</v>
      </c>
      <c r="B39" s="3">
        <v>20.099672995930501</v>
      </c>
      <c r="C39" s="3">
        <v>15.8446620368635</v>
      </c>
      <c r="D39" s="3">
        <v>15.789687939332699</v>
      </c>
      <c r="E39" s="3">
        <v>13.7983029239752</v>
      </c>
      <c r="F39" s="3">
        <v>14.4936166193982</v>
      </c>
      <c r="G39" s="3">
        <v>17.9048672296774</v>
      </c>
      <c r="H39" s="3">
        <v>14.5449355687945</v>
      </c>
      <c r="I39" s="3">
        <v>20.4695876863228</v>
      </c>
      <c r="J39" s="3">
        <v>17.961554238546899</v>
      </c>
      <c r="K39" s="3">
        <v>15.2148171746299</v>
      </c>
      <c r="L39" s="3">
        <v>16.209198883103799</v>
      </c>
      <c r="M39" s="3">
        <v>17.208881357496601</v>
      </c>
      <c r="N39" s="3">
        <v>13.4771121537645</v>
      </c>
    </row>
    <row r="40" spans="1:14" x14ac:dyDescent="0.35">
      <c r="A40" s="2">
        <v>43061</v>
      </c>
      <c r="B40" s="3">
        <v>20.1493998155909</v>
      </c>
      <c r="C40" s="3">
        <v>15.9462527591099</v>
      </c>
      <c r="D40" s="3">
        <v>15.883374187483501</v>
      </c>
      <c r="E40" s="3">
        <v>13.808759616191001</v>
      </c>
      <c r="F40" s="3">
        <v>14.4865086876441</v>
      </c>
      <c r="G40" s="3">
        <v>17.7633623986844</v>
      </c>
      <c r="H40" s="3">
        <v>14.2941653327795</v>
      </c>
      <c r="I40" s="3">
        <v>21.027795388264899</v>
      </c>
      <c r="J40" s="3">
        <v>17.9473147040421</v>
      </c>
      <c r="K40" s="3">
        <v>14.905945428255199</v>
      </c>
      <c r="L40" s="3">
        <v>16.022056689992802</v>
      </c>
      <c r="M40" s="3">
        <v>16.696584197181799</v>
      </c>
      <c r="N40" s="3">
        <v>13.2570785513606</v>
      </c>
    </row>
    <row r="41" spans="1:14" x14ac:dyDescent="0.35">
      <c r="A41" s="2">
        <v>43091</v>
      </c>
      <c r="B41" s="3">
        <v>20.953053586125399</v>
      </c>
      <c r="C41" s="3">
        <v>15.971587630055801</v>
      </c>
      <c r="D41" s="3">
        <v>15.900746152555</v>
      </c>
      <c r="E41" s="3">
        <v>13.9177970516154</v>
      </c>
      <c r="F41" s="3">
        <v>14.782520592317701</v>
      </c>
      <c r="G41" s="3">
        <v>17.652855420573601</v>
      </c>
      <c r="H41" s="3">
        <v>14.555522954109</v>
      </c>
      <c r="I41" s="3">
        <v>21.0746173443803</v>
      </c>
      <c r="J41" s="3">
        <v>18.267600534229</v>
      </c>
      <c r="K41" s="3">
        <v>14.931758955554001</v>
      </c>
      <c r="L41" s="3">
        <v>16.040959137768901</v>
      </c>
      <c r="M41" s="3">
        <v>16.4399833459461</v>
      </c>
      <c r="N41" s="3">
        <v>13.218149503482801</v>
      </c>
    </row>
    <row r="42" spans="1:14" x14ac:dyDescent="0.35">
      <c r="A42" s="2">
        <v>43123</v>
      </c>
      <c r="B42" s="3">
        <v>20.579951543713999</v>
      </c>
      <c r="C42" s="3">
        <v>15.7644192690399</v>
      </c>
      <c r="D42" s="3">
        <v>15.675476694420199</v>
      </c>
      <c r="E42" s="3">
        <v>14.273618270829701</v>
      </c>
      <c r="F42" s="3">
        <v>15.4400336273397</v>
      </c>
      <c r="G42" s="3">
        <v>17.955017445882699</v>
      </c>
      <c r="H42" s="3">
        <v>14.751009761986699</v>
      </c>
      <c r="I42" s="3">
        <v>22.1382379225157</v>
      </c>
      <c r="J42" s="3">
        <v>18.388293736443199</v>
      </c>
      <c r="K42" s="3">
        <v>15.3538718135294</v>
      </c>
      <c r="L42" s="3">
        <v>16.498714294333901</v>
      </c>
      <c r="M42" s="3">
        <v>16.8419450856304</v>
      </c>
      <c r="N42" s="3">
        <v>13.6291181679541</v>
      </c>
    </row>
    <row r="43" spans="1:14" x14ac:dyDescent="0.35">
      <c r="A43" s="2">
        <v>43154</v>
      </c>
      <c r="B43" s="3">
        <v>20.568589851557999</v>
      </c>
      <c r="C43" s="3">
        <v>15.531692849444299</v>
      </c>
      <c r="D43" s="3">
        <v>14.658880961087799</v>
      </c>
      <c r="E43" s="3">
        <v>13.1723869719976</v>
      </c>
      <c r="F43" s="3">
        <v>13.278439601835</v>
      </c>
      <c r="G43" s="3">
        <v>16.748119395884601</v>
      </c>
      <c r="H43" s="3">
        <v>13.6999837703761</v>
      </c>
      <c r="I43" s="3">
        <v>20.957877776268202</v>
      </c>
      <c r="J43" s="3">
        <v>17.117786939320599</v>
      </c>
      <c r="K43" s="3">
        <v>14.657199394339701</v>
      </c>
      <c r="L43" s="3">
        <v>15.616619919946</v>
      </c>
      <c r="M43" s="3">
        <v>16.3473502016498</v>
      </c>
      <c r="N43" s="3">
        <v>12.5788225535025</v>
      </c>
    </row>
    <row r="44" spans="1:14" x14ac:dyDescent="0.35">
      <c r="A44" s="2">
        <v>43182</v>
      </c>
      <c r="B44" s="3">
        <v>20.534385159930199</v>
      </c>
      <c r="C44" s="3">
        <v>14.9194763258254</v>
      </c>
      <c r="D44" s="3">
        <v>14.044741174313</v>
      </c>
      <c r="E44" s="3">
        <v>12.540645001026601</v>
      </c>
      <c r="F44" s="3">
        <v>12.426998891539499</v>
      </c>
      <c r="G44" s="3">
        <v>15.809519376734499</v>
      </c>
      <c r="H44" s="3">
        <v>13.047231048950399</v>
      </c>
      <c r="I44" s="3">
        <v>19.5853986796395</v>
      </c>
      <c r="J44" s="3">
        <v>16.0338068409553</v>
      </c>
      <c r="K44" s="3">
        <v>14.026018318581301</v>
      </c>
      <c r="L44" s="3">
        <v>15.225537167414201</v>
      </c>
      <c r="M44" s="3">
        <v>15.5809271929069</v>
      </c>
      <c r="N44" s="3">
        <v>12.365871189524899</v>
      </c>
    </row>
    <row r="45" spans="1:14" x14ac:dyDescent="0.35">
      <c r="A45" s="2">
        <v>43213</v>
      </c>
      <c r="B45" s="3">
        <v>19.808468264109798</v>
      </c>
      <c r="C45" s="3">
        <v>14.996219875077699</v>
      </c>
      <c r="D45" s="3">
        <v>14.1659262132662</v>
      </c>
      <c r="E45" s="3">
        <v>13.2001148334348</v>
      </c>
      <c r="F45" s="3">
        <v>13.0328889464489</v>
      </c>
      <c r="G45" s="3">
        <v>16.104449984437299</v>
      </c>
      <c r="H45" s="3">
        <v>13.7136548320551</v>
      </c>
      <c r="I45" s="3">
        <v>19.827781163710199</v>
      </c>
      <c r="J45" s="3">
        <v>16.359610774663199</v>
      </c>
      <c r="K45" s="3">
        <v>14.7159853545921</v>
      </c>
      <c r="L45" s="3">
        <v>15.5232390332752</v>
      </c>
      <c r="M45" s="3">
        <v>16.0603044882101</v>
      </c>
      <c r="N45" s="3">
        <v>13.134487310215</v>
      </c>
    </row>
    <row r="46" spans="1:14" x14ac:dyDescent="0.35">
      <c r="A46" s="2">
        <v>43243</v>
      </c>
      <c r="B46" s="3">
        <v>20.263815908880499</v>
      </c>
      <c r="C46" s="3">
        <v>15.300692417595901</v>
      </c>
      <c r="D46" s="3">
        <v>14.257966587816099</v>
      </c>
      <c r="E46" s="3">
        <v>13.320794632832801</v>
      </c>
      <c r="F46" s="3">
        <v>13.310670657587799</v>
      </c>
      <c r="G46" s="3">
        <v>16.0212465890998</v>
      </c>
      <c r="H46" s="3">
        <v>13.863980552002101</v>
      </c>
      <c r="I46" s="3">
        <v>20.074099434644499</v>
      </c>
      <c r="J46" s="3">
        <v>16.368383723806101</v>
      </c>
      <c r="K46" s="3">
        <v>14.7635212494986</v>
      </c>
      <c r="L46" s="3">
        <v>15.8973060534172</v>
      </c>
      <c r="M46" s="3">
        <v>15.912820828967799</v>
      </c>
      <c r="N46" s="3">
        <v>12.112919196684899</v>
      </c>
    </row>
    <row r="47" spans="1:14" x14ac:dyDescent="0.35">
      <c r="A47" s="2">
        <v>43273</v>
      </c>
      <c r="B47" s="3">
        <v>21.321452084484701</v>
      </c>
      <c r="C47" s="3">
        <v>15.548533819695701</v>
      </c>
      <c r="D47" s="3">
        <v>14.4652626258837</v>
      </c>
      <c r="E47" s="3">
        <v>13.0380285456548</v>
      </c>
      <c r="F47" s="3">
        <v>12.8964708798787</v>
      </c>
      <c r="G47" s="3">
        <v>15.6124138590994</v>
      </c>
      <c r="H47" s="3">
        <v>13.4607199916216</v>
      </c>
      <c r="I47" s="3">
        <v>20.580651513223799</v>
      </c>
      <c r="J47" s="3">
        <v>16.372475415774101</v>
      </c>
      <c r="K47" s="3">
        <v>14.180114775719399</v>
      </c>
      <c r="L47" s="3">
        <v>15.8463909492356</v>
      </c>
      <c r="M47" s="3">
        <v>15.2475421681438</v>
      </c>
      <c r="N47" s="3">
        <v>11.5307449927591</v>
      </c>
    </row>
    <row r="48" spans="1:14" x14ac:dyDescent="0.35">
      <c r="A48" s="2">
        <v>43304</v>
      </c>
      <c r="B48" s="3">
        <v>20.8159651325713</v>
      </c>
      <c r="C48" s="3">
        <v>15.4938949510851</v>
      </c>
      <c r="D48" s="3">
        <v>14.2075865760465</v>
      </c>
      <c r="E48" s="3">
        <v>12.9779543313667</v>
      </c>
      <c r="F48" s="3">
        <v>12.8335587956994</v>
      </c>
      <c r="G48" s="3">
        <v>16.114085367200602</v>
      </c>
      <c r="H48" s="3">
        <v>13.1073436223421</v>
      </c>
      <c r="I48" s="3">
        <v>20.784026673663298</v>
      </c>
      <c r="J48" s="3">
        <v>16.493818729087401</v>
      </c>
      <c r="K48" s="3">
        <v>13.986896083254299</v>
      </c>
      <c r="L48" s="3">
        <v>15.964070224081</v>
      </c>
      <c r="M48" s="3">
        <v>15.3399701981511</v>
      </c>
      <c r="N48" s="3">
        <v>11.3072405886277</v>
      </c>
    </row>
    <row r="49" spans="1:14" x14ac:dyDescent="0.35">
      <c r="A49" s="2">
        <v>43335</v>
      </c>
      <c r="B49" s="3">
        <v>21.6622089970632</v>
      </c>
      <c r="C49" s="3">
        <v>15.4912075153321</v>
      </c>
      <c r="D49" s="3">
        <v>13.9351628191198</v>
      </c>
      <c r="E49" s="3">
        <v>12.8481411217203</v>
      </c>
      <c r="F49" s="3">
        <v>12.480474398128001</v>
      </c>
      <c r="G49" s="3">
        <v>16.0646502103891</v>
      </c>
      <c r="H49" s="3">
        <v>12.8079774116158</v>
      </c>
      <c r="I49" s="3">
        <v>20.530991203897301</v>
      </c>
      <c r="J49" s="3">
        <v>16.588405058014001</v>
      </c>
      <c r="K49" s="3">
        <v>13.8374499024254</v>
      </c>
      <c r="L49" s="3">
        <v>15.4861952079461</v>
      </c>
      <c r="M49" s="3">
        <v>15.755685872426501</v>
      </c>
      <c r="N49" s="3">
        <v>10.8003001696448</v>
      </c>
    </row>
    <row r="50" spans="1:14" x14ac:dyDescent="0.35">
      <c r="A50" s="2">
        <v>43364</v>
      </c>
      <c r="B50" s="3">
        <v>21.734816553579002</v>
      </c>
      <c r="C50" s="3">
        <v>15.3045452767697</v>
      </c>
      <c r="D50" s="3">
        <v>13.720761850839899</v>
      </c>
      <c r="E50" s="3">
        <v>12.840598496739601</v>
      </c>
      <c r="F50" s="3">
        <v>13.2522009189224</v>
      </c>
      <c r="G50" s="3">
        <v>16.0396008562494</v>
      </c>
      <c r="H50" s="3">
        <v>12.7639970234146</v>
      </c>
      <c r="I50" s="3">
        <v>20.641621439838602</v>
      </c>
      <c r="J50" s="3">
        <v>16.8753622361642</v>
      </c>
      <c r="K50" s="3">
        <v>13.9100023952768</v>
      </c>
      <c r="L50" s="3">
        <v>15.145513549614799</v>
      </c>
      <c r="M50" s="3">
        <v>15.8985700305688</v>
      </c>
      <c r="N50" s="3">
        <v>11.050782256877101</v>
      </c>
    </row>
    <row r="51" spans="1:14" x14ac:dyDescent="0.35">
      <c r="A51" s="2">
        <v>43396</v>
      </c>
      <c r="B51" s="3">
        <v>19.866673191663299</v>
      </c>
      <c r="C51" s="3">
        <v>14.26265109943</v>
      </c>
      <c r="D51" s="3">
        <v>12.742660177428901</v>
      </c>
      <c r="E51" s="3">
        <v>11.660553129117799</v>
      </c>
      <c r="F51" s="3">
        <v>12.0290217464458</v>
      </c>
      <c r="G51" s="3">
        <v>15.171932135208101</v>
      </c>
      <c r="H51" s="3">
        <v>11.673330114203999</v>
      </c>
      <c r="I51" s="3">
        <v>19.364059255505701</v>
      </c>
      <c r="J51" s="3">
        <v>15.6703132674008</v>
      </c>
      <c r="K51" s="3">
        <v>12.469797368866899</v>
      </c>
      <c r="L51" s="3">
        <v>13.8480111771899</v>
      </c>
      <c r="M51" s="3">
        <v>14.1275116592461</v>
      </c>
      <c r="N51" s="3">
        <v>9.6589799427717598</v>
      </c>
    </row>
    <row r="52" spans="1:14" x14ac:dyDescent="0.35">
      <c r="A52" s="2">
        <v>43427</v>
      </c>
      <c r="B52" s="3">
        <v>19.7436591402546</v>
      </c>
      <c r="C52" s="3">
        <v>14.214151402688</v>
      </c>
      <c r="D52" s="3">
        <v>12.530882045871699</v>
      </c>
      <c r="E52" s="3">
        <v>11.454515570335801</v>
      </c>
      <c r="F52" s="3">
        <v>11.951385782825101</v>
      </c>
      <c r="G52" s="3">
        <v>15.390104313493399</v>
      </c>
      <c r="H52" s="3">
        <v>11.6483503369946</v>
      </c>
      <c r="I52" s="3">
        <v>17.698523072667999</v>
      </c>
      <c r="J52" s="3">
        <v>15.038746429360801</v>
      </c>
      <c r="K52" s="3">
        <v>12.3906307052081</v>
      </c>
      <c r="L52" s="3">
        <v>13.998538860700799</v>
      </c>
      <c r="M52" s="3">
        <v>13.816305269698701</v>
      </c>
      <c r="N52" s="3">
        <v>9.4715430683071204</v>
      </c>
    </row>
    <row r="53" spans="1:14" x14ac:dyDescent="0.35">
      <c r="A53" s="2">
        <v>43455</v>
      </c>
      <c r="B53" s="3">
        <v>19.854164124775298</v>
      </c>
      <c r="C53" s="3">
        <v>13.5409468919636</v>
      </c>
      <c r="D53" s="3">
        <v>11.777730421635001</v>
      </c>
      <c r="E53" s="3">
        <v>11.026756751753901</v>
      </c>
      <c r="F53" s="3">
        <v>11.068554444202</v>
      </c>
      <c r="G53" s="3">
        <v>14.510648588218</v>
      </c>
      <c r="H53" s="3">
        <v>11.383088745853399</v>
      </c>
      <c r="I53" s="3">
        <v>16.499717384391101</v>
      </c>
      <c r="J53" s="3">
        <v>13.891829899582</v>
      </c>
      <c r="K53" s="3">
        <v>11.803438910637199</v>
      </c>
      <c r="L53" s="3">
        <v>13.011900818352</v>
      </c>
      <c r="M53" s="3">
        <v>13.2863595605209</v>
      </c>
      <c r="N53" s="3">
        <v>9.2279253001857793</v>
      </c>
    </row>
    <row r="54" spans="1:14" x14ac:dyDescent="0.35">
      <c r="A54" s="2">
        <v>43488</v>
      </c>
      <c r="B54" s="3">
        <v>20.6359267975762</v>
      </c>
      <c r="C54" s="3">
        <v>14.6029569561587</v>
      </c>
      <c r="D54" s="3">
        <v>13.217516622552401</v>
      </c>
      <c r="E54" s="3">
        <v>11.652814357656</v>
      </c>
      <c r="F54" s="3">
        <v>11.7123116643905</v>
      </c>
      <c r="G54" s="3">
        <v>15.491198996807899</v>
      </c>
      <c r="H54" s="3">
        <v>11.9126963283886</v>
      </c>
      <c r="I54" s="3">
        <v>18.262667578615599</v>
      </c>
      <c r="J54" s="3">
        <v>15.324680958825301</v>
      </c>
      <c r="K54" s="3">
        <v>12.4758318473142</v>
      </c>
      <c r="L54" s="3">
        <v>13.7585383601928</v>
      </c>
      <c r="M54" s="3">
        <v>14.2023249975617</v>
      </c>
      <c r="N54" s="3">
        <v>9.7675185550010202</v>
      </c>
    </row>
    <row r="55" spans="1:14" x14ac:dyDescent="0.35">
      <c r="A55" s="2">
        <v>43518</v>
      </c>
      <c r="B55" s="3">
        <v>21.476504680103702</v>
      </c>
      <c r="C55" s="3">
        <v>15.306771279927901</v>
      </c>
      <c r="D55" s="3">
        <v>14.084325095395601</v>
      </c>
      <c r="E55" s="3">
        <v>12.0291542233111</v>
      </c>
      <c r="F55" s="3">
        <v>12.4105710989753</v>
      </c>
      <c r="G55" s="3">
        <v>16.141810151667901</v>
      </c>
      <c r="H55" s="3">
        <v>12.468132307500699</v>
      </c>
      <c r="I55" s="3">
        <v>19.657592508636601</v>
      </c>
      <c r="J55" s="3">
        <v>16.273775584955501</v>
      </c>
      <c r="K55" s="3">
        <v>13.368128586240299</v>
      </c>
      <c r="L55" s="3">
        <v>14.8617270707832</v>
      </c>
      <c r="M55" s="3">
        <v>14.926425711837</v>
      </c>
      <c r="N55" s="3">
        <v>10.3889256832176</v>
      </c>
    </row>
    <row r="56" spans="1:14" x14ac:dyDescent="0.35">
      <c r="A56" s="2">
        <v>43546</v>
      </c>
      <c r="B56" s="3">
        <v>21.653749778198801</v>
      </c>
      <c r="C56" s="3">
        <v>15.346195372365299</v>
      </c>
      <c r="D56" s="3">
        <v>14.0886551733518</v>
      </c>
      <c r="E56" s="3">
        <v>12.0503926259947</v>
      </c>
      <c r="F56" s="3">
        <v>12.6665198550001</v>
      </c>
      <c r="G56" s="3">
        <v>16.314124046974602</v>
      </c>
      <c r="H56" s="3">
        <v>12.514274226175299</v>
      </c>
      <c r="I56" s="3">
        <v>20.241725027990601</v>
      </c>
      <c r="J56" s="3">
        <v>16.258339753729601</v>
      </c>
      <c r="K56" s="3">
        <v>13.442410612788001</v>
      </c>
      <c r="L56" s="3">
        <v>15.0147809823973</v>
      </c>
      <c r="M56" s="3">
        <v>14.8823185990606</v>
      </c>
      <c r="N56" s="3">
        <v>10.694402773938</v>
      </c>
    </row>
    <row r="57" spans="1:14" x14ac:dyDescent="0.35">
      <c r="A57" s="2">
        <v>43578</v>
      </c>
      <c r="B57" s="3">
        <v>22.687559553242</v>
      </c>
      <c r="C57" s="3">
        <v>15.412431741636601</v>
      </c>
      <c r="D57" s="3">
        <v>14.034712103038199</v>
      </c>
      <c r="E57" s="3">
        <v>12.8996347250746</v>
      </c>
      <c r="F57" s="3">
        <v>12.748057763925599</v>
      </c>
      <c r="G57" s="3">
        <v>16.9083753167364</v>
      </c>
      <c r="H57" s="3">
        <v>12.838003360087599</v>
      </c>
      <c r="I57" s="3">
        <v>21.3620207956094</v>
      </c>
      <c r="J57" s="3">
        <v>16.881435394012101</v>
      </c>
      <c r="K57" s="3">
        <v>14.124902721292401</v>
      </c>
      <c r="L57" s="3">
        <v>15.736565702669701</v>
      </c>
      <c r="M57" s="3">
        <v>15.5795048056657</v>
      </c>
      <c r="N57" s="3">
        <v>10.9458265861419</v>
      </c>
    </row>
    <row r="58" spans="1:14" x14ac:dyDescent="0.35">
      <c r="A58" s="2">
        <v>43608</v>
      </c>
      <c r="B58" s="3">
        <v>23.415530217791002</v>
      </c>
      <c r="C58" s="3">
        <v>15.802418014312</v>
      </c>
      <c r="D58" s="3">
        <v>13.421084154723101</v>
      </c>
      <c r="E58" s="3">
        <v>12.262297462193301</v>
      </c>
      <c r="F58" s="3">
        <v>12.292786528604401</v>
      </c>
      <c r="G58" s="3">
        <v>16.623858670314402</v>
      </c>
      <c r="H58" s="3">
        <v>12.1335663940187</v>
      </c>
      <c r="I58" s="3">
        <v>19.8838057756948</v>
      </c>
      <c r="J58" s="3">
        <v>16.115304908593799</v>
      </c>
      <c r="K58" s="3">
        <v>13.3310117313081</v>
      </c>
      <c r="L58" s="3">
        <v>14.9022432534587</v>
      </c>
      <c r="M58" s="3">
        <v>14.5865946611833</v>
      </c>
      <c r="N58" s="3">
        <v>10.0552698954309</v>
      </c>
    </row>
    <row r="59" spans="1:14" x14ac:dyDescent="0.35">
      <c r="A59" s="2">
        <v>43637</v>
      </c>
      <c r="B59" s="3">
        <v>23.208336649641598</v>
      </c>
      <c r="C59" s="3">
        <v>16.228214341102099</v>
      </c>
      <c r="D59" s="3">
        <v>13.776076846073</v>
      </c>
      <c r="E59" s="3">
        <v>12.6426575438608</v>
      </c>
      <c r="F59" s="3">
        <v>12.6498398114521</v>
      </c>
      <c r="G59" s="3">
        <v>17.165480562732601</v>
      </c>
      <c r="H59" s="3">
        <v>12.554852070634199</v>
      </c>
      <c r="I59" s="3">
        <v>21.1125834009808</v>
      </c>
      <c r="J59" s="3">
        <v>16.821675281128201</v>
      </c>
      <c r="K59" s="3">
        <v>11.891780179038699</v>
      </c>
      <c r="L59" s="3">
        <v>15.4679899082813</v>
      </c>
      <c r="M59" s="3">
        <v>15.133476527408501</v>
      </c>
      <c r="N59" s="3">
        <v>10.5834804241097</v>
      </c>
    </row>
    <row r="60" spans="1:14" x14ac:dyDescent="0.35">
      <c r="A60" s="2">
        <v>43669</v>
      </c>
      <c r="B60" s="3">
        <v>24.636639364137299</v>
      </c>
      <c r="C60" s="3">
        <v>16.299182147346102</v>
      </c>
      <c r="D60" s="3">
        <v>13.7741267887502</v>
      </c>
      <c r="E60" s="3">
        <v>12.9916310467197</v>
      </c>
      <c r="F60" s="3">
        <v>12.8785769960904</v>
      </c>
      <c r="G60" s="3">
        <v>17.195096010179</v>
      </c>
      <c r="H60" s="3">
        <v>12.701836660582099</v>
      </c>
      <c r="I60" s="3">
        <v>21.343454055144399</v>
      </c>
      <c r="J60" s="3">
        <v>17.097815084718</v>
      </c>
      <c r="K60" s="3">
        <v>14.147147806658101</v>
      </c>
      <c r="L60" s="3">
        <v>15.995588795206499</v>
      </c>
      <c r="M60" s="3">
        <v>15.229187096810101</v>
      </c>
      <c r="N60" s="3">
        <v>10.7768938250055</v>
      </c>
    </row>
    <row r="61" spans="1:14" x14ac:dyDescent="0.35">
      <c r="A61" s="2">
        <v>43700</v>
      </c>
      <c r="B61" s="3">
        <v>25.658535468981501</v>
      </c>
      <c r="C61" s="3">
        <v>16.0301238262163</v>
      </c>
      <c r="D61" s="3">
        <v>13.3483678185895</v>
      </c>
      <c r="E61" s="3">
        <v>12.2876378306829</v>
      </c>
      <c r="F61" s="3">
        <v>12.451919182301401</v>
      </c>
      <c r="G61" s="3">
        <v>16.768668322899401</v>
      </c>
      <c r="H61" s="3">
        <v>11.8636309925335</v>
      </c>
      <c r="I61" s="3">
        <v>19.890596169613001</v>
      </c>
      <c r="J61" s="3">
        <v>16.141624443032399</v>
      </c>
      <c r="K61" s="3">
        <v>13.450516113817701</v>
      </c>
      <c r="L61" s="3">
        <v>15.009083545263</v>
      </c>
      <c r="M61" s="3">
        <v>13.515921795983401</v>
      </c>
      <c r="N61" s="3">
        <v>10.0887423323897</v>
      </c>
    </row>
    <row r="62" spans="1:14" x14ac:dyDescent="0.35">
      <c r="A62" s="2">
        <v>43731</v>
      </c>
      <c r="B62" s="3">
        <v>25.571784866432399</v>
      </c>
      <c r="C62" s="3">
        <v>16.7156604260466</v>
      </c>
      <c r="D62" s="3">
        <v>14.078339028081899</v>
      </c>
      <c r="E62" s="3">
        <v>12.961350009023199</v>
      </c>
      <c r="F62" s="3">
        <v>13.4228036104188</v>
      </c>
      <c r="G62" s="3">
        <v>17.055338386836599</v>
      </c>
      <c r="H62" s="3">
        <v>12.352372543645799</v>
      </c>
      <c r="I62" s="3">
        <v>20.210816307689999</v>
      </c>
      <c r="J62" s="3">
        <v>16.897514574983202</v>
      </c>
      <c r="K62" s="3">
        <v>14.0959244217704</v>
      </c>
      <c r="L62" s="3">
        <v>16.220749255404002</v>
      </c>
      <c r="M62" s="3">
        <v>14.469006531697699</v>
      </c>
      <c r="N62" s="3">
        <v>10.740007215167701</v>
      </c>
    </row>
    <row r="63" spans="1:14" x14ac:dyDescent="0.35">
      <c r="A63" s="2">
        <v>43761</v>
      </c>
      <c r="B63" s="3">
        <v>24.883266829333301</v>
      </c>
      <c r="C63" s="3">
        <v>16.8056696240902</v>
      </c>
      <c r="D63" s="3">
        <v>13.796844665987299</v>
      </c>
      <c r="E63" s="3">
        <v>13.4476535642915</v>
      </c>
      <c r="F63" s="3">
        <v>13.6207140585062</v>
      </c>
      <c r="G63" s="3">
        <v>17.001415668896001</v>
      </c>
      <c r="H63" s="3">
        <v>12.552457955189499</v>
      </c>
      <c r="I63" s="3">
        <v>20.195186113457499</v>
      </c>
      <c r="J63" s="3">
        <v>16.995268331000599</v>
      </c>
      <c r="K63" s="3">
        <v>14.264357137847099</v>
      </c>
      <c r="L63" s="3">
        <v>16.0869484883486</v>
      </c>
      <c r="M63" s="3">
        <v>15.6960909476228</v>
      </c>
      <c r="N63" s="3">
        <v>10.914979915621901</v>
      </c>
    </row>
    <row r="64" spans="1:14" x14ac:dyDescent="0.35">
      <c r="A64" s="2">
        <v>43791</v>
      </c>
      <c r="B64" s="3">
        <v>25.1079564888717</v>
      </c>
      <c r="C64" s="3">
        <v>17.044171591258898</v>
      </c>
      <c r="D64" s="3">
        <v>14.3034005410953</v>
      </c>
      <c r="E64" s="3">
        <v>14.0037440323827</v>
      </c>
      <c r="F64" s="3">
        <v>14.098348845477</v>
      </c>
      <c r="G64" s="3">
        <v>17.410182619373</v>
      </c>
      <c r="H64" s="3">
        <v>12.823208636585701</v>
      </c>
      <c r="I64" s="3">
        <v>21.1987510359038</v>
      </c>
      <c r="J64" s="3">
        <v>17.562752233342099</v>
      </c>
      <c r="K64" s="3">
        <v>14.719948834237799</v>
      </c>
      <c r="L64" s="3">
        <v>16.589479835195501</v>
      </c>
      <c r="M64" s="3">
        <v>15.5643803388788</v>
      </c>
      <c r="N64" s="3">
        <v>11.180558561813701</v>
      </c>
    </row>
    <row r="65" spans="1:14" x14ac:dyDescent="0.35">
      <c r="A65" s="2">
        <v>43822</v>
      </c>
      <c r="B65" s="3">
        <v>26.0461588637489</v>
      </c>
      <c r="C65" s="3">
        <v>17.375585401131801</v>
      </c>
      <c r="D65" s="3">
        <v>14.501378166542199</v>
      </c>
      <c r="E65" s="3">
        <v>14.1919373352496</v>
      </c>
      <c r="F65" s="3">
        <v>14.617098144499</v>
      </c>
      <c r="G65" s="3">
        <v>17.9384886767483</v>
      </c>
      <c r="H65" s="3">
        <v>13.482999628048599</v>
      </c>
      <c r="I65" s="3">
        <v>22.153073054078</v>
      </c>
      <c r="J65" s="3">
        <v>18.156156942128799</v>
      </c>
      <c r="K65" s="3">
        <v>15.0232931051062</v>
      </c>
      <c r="L65" s="3">
        <v>17.165755559417299</v>
      </c>
      <c r="M65" s="3">
        <v>16.3087862805389</v>
      </c>
      <c r="N65" s="3">
        <v>11.589897140103201</v>
      </c>
    </row>
    <row r="66" spans="1:14" x14ac:dyDescent="0.35">
      <c r="A66" s="2">
        <v>43853</v>
      </c>
      <c r="B66" s="3">
        <v>26.675632962393699</v>
      </c>
      <c r="C66" s="3">
        <v>18.136737173757499</v>
      </c>
      <c r="D66" s="3">
        <v>14.745763953248</v>
      </c>
      <c r="E66" s="3">
        <v>14.225340836328501</v>
      </c>
      <c r="F66" s="3">
        <v>14.5807946005771</v>
      </c>
      <c r="G66" s="3">
        <v>18.117092762709099</v>
      </c>
      <c r="H66" s="3">
        <v>13.3570138654079</v>
      </c>
      <c r="I66" s="3">
        <v>23.249548536792201</v>
      </c>
      <c r="J66" s="3">
        <v>18.621435802980798</v>
      </c>
      <c r="K66" s="3">
        <v>14.8871669022371</v>
      </c>
      <c r="L66" s="3">
        <v>17.213107209794899</v>
      </c>
      <c r="M66" s="3">
        <v>16.1757888680058</v>
      </c>
      <c r="N66" s="3">
        <v>11.3902275424143</v>
      </c>
    </row>
    <row r="67" spans="1:14" x14ac:dyDescent="0.35">
      <c r="A67" s="2">
        <v>43882</v>
      </c>
      <c r="B67" s="3">
        <v>27.4450754740487</v>
      </c>
      <c r="C67" s="3">
        <v>18.3467351579122</v>
      </c>
      <c r="D67" s="3">
        <v>15.0150760367</v>
      </c>
      <c r="E67" s="3">
        <v>14.375801549094099</v>
      </c>
      <c r="F67" s="3">
        <v>14.241086308389001</v>
      </c>
      <c r="G67" s="3">
        <v>18.4692071763161</v>
      </c>
      <c r="H67" s="3">
        <v>13.3243705475584</v>
      </c>
      <c r="I67" s="3">
        <v>23.314716746061901</v>
      </c>
      <c r="J67" s="3">
        <v>18.709780723144</v>
      </c>
      <c r="K67" s="3">
        <v>15.1653896467362</v>
      </c>
      <c r="L67" s="3">
        <v>17.873998768942801</v>
      </c>
      <c r="M67" s="3">
        <v>16.907377621812699</v>
      </c>
      <c r="N67" s="3">
        <v>11.8284484991221</v>
      </c>
    </row>
    <row r="68" spans="1:14" x14ac:dyDescent="0.35">
      <c r="A68" s="2">
        <v>43913</v>
      </c>
      <c r="B68" s="3">
        <v>21.191191761611101</v>
      </c>
      <c r="C68" s="3">
        <v>12.087260282592</v>
      </c>
      <c r="D68" s="3">
        <v>10.6945424326529</v>
      </c>
      <c r="E68" s="3">
        <v>9.9107049347680896</v>
      </c>
      <c r="F68" s="3">
        <v>11.100388646464401</v>
      </c>
      <c r="G68" s="3">
        <v>13.7101554285641</v>
      </c>
      <c r="H68" s="3">
        <v>9.6803032621171692</v>
      </c>
      <c r="I68" s="3">
        <v>17.724255606844199</v>
      </c>
      <c r="J68" s="3">
        <v>13.1232922582781</v>
      </c>
      <c r="K68" s="3">
        <v>10.674849281175</v>
      </c>
      <c r="L68" s="3">
        <v>12.4203419560817</v>
      </c>
      <c r="M68" s="3">
        <v>11.841270844814</v>
      </c>
      <c r="N68" s="3">
        <v>8.3045966013895001</v>
      </c>
    </row>
    <row r="69" spans="1:14" x14ac:dyDescent="0.35">
      <c r="A69" s="2">
        <v>43944</v>
      </c>
      <c r="B69" s="3">
        <v>28.469751936348899</v>
      </c>
      <c r="C69" s="3">
        <v>16.047132854699601</v>
      </c>
      <c r="D69" s="3">
        <v>15.499022744781501</v>
      </c>
      <c r="E69" s="3">
        <v>14.225530200346601</v>
      </c>
      <c r="F69" s="3">
        <v>13.5301427506134</v>
      </c>
      <c r="G69" s="3">
        <v>17.980141183468</v>
      </c>
      <c r="H69" s="3">
        <v>14.0852472810006</v>
      </c>
      <c r="I69" s="3">
        <v>23.381035530437799</v>
      </c>
      <c r="J69" s="3">
        <v>19.1620866326586</v>
      </c>
      <c r="K69" s="3">
        <v>15.506507238339999</v>
      </c>
      <c r="L69" s="3">
        <v>16.639338860385202</v>
      </c>
      <c r="M69" s="3">
        <v>16.706557695764399</v>
      </c>
      <c r="N69" s="3">
        <v>11.975502982844199</v>
      </c>
    </row>
    <row r="70" spans="1:14" x14ac:dyDescent="0.35">
      <c r="A70" s="2">
        <v>43973</v>
      </c>
      <c r="B70" s="3">
        <v>31.023060230784001</v>
      </c>
      <c r="C70" s="3">
        <v>17.5851452996353</v>
      </c>
      <c r="D70" s="3">
        <v>18.210501617708498</v>
      </c>
      <c r="E70" s="3">
        <v>15.842858886419</v>
      </c>
      <c r="F70" s="3">
        <v>14.8713789699763</v>
      </c>
      <c r="G70" s="3">
        <v>18.7106611768017</v>
      </c>
      <c r="H70" s="3">
        <v>15.519676409072</v>
      </c>
      <c r="I70" s="3">
        <v>26.408266592189101</v>
      </c>
      <c r="J70" s="3">
        <v>21.075258766711201</v>
      </c>
      <c r="K70" s="3">
        <v>16.5424686592638</v>
      </c>
      <c r="L70" s="3">
        <v>17.955262564344402</v>
      </c>
      <c r="M70" s="3">
        <v>17.685449701564401</v>
      </c>
      <c r="N70" s="3">
        <v>14.920588407176499</v>
      </c>
    </row>
    <row r="71" spans="1:14" x14ac:dyDescent="0.35">
      <c r="A71" s="2">
        <v>44005</v>
      </c>
      <c r="B71" s="3">
        <v>30.2016731711355</v>
      </c>
      <c r="C71" s="3">
        <v>19.104136498993299</v>
      </c>
      <c r="D71" s="3">
        <v>17.8231141585043</v>
      </c>
      <c r="E71" s="3">
        <v>17.954440849310298</v>
      </c>
      <c r="F71" s="3">
        <v>17.841526044140402</v>
      </c>
      <c r="G71" s="3">
        <v>19.637771221601799</v>
      </c>
      <c r="H71" s="3">
        <v>16.325020208609399</v>
      </c>
      <c r="I71" s="3">
        <v>27.989354267358799</v>
      </c>
      <c r="J71" s="3">
        <v>21.997266643051798</v>
      </c>
      <c r="K71" s="3">
        <v>19.026633683141799</v>
      </c>
      <c r="L71" s="3">
        <v>19.927981103296599</v>
      </c>
      <c r="M71" s="3">
        <v>19.5371650216162</v>
      </c>
      <c r="N71" s="3">
        <v>17.704828061344099</v>
      </c>
    </row>
    <row r="72" spans="1:14" x14ac:dyDescent="0.35">
      <c r="A72" s="2">
        <v>44035</v>
      </c>
      <c r="B72" s="3">
        <v>32.290382783549603</v>
      </c>
      <c r="C72" s="3">
        <v>19.553658955278099</v>
      </c>
      <c r="D72" s="3">
        <v>17.399509908985699</v>
      </c>
      <c r="E72" s="3">
        <v>18.6286178926457</v>
      </c>
      <c r="F72" s="3">
        <v>17.932794807451501</v>
      </c>
      <c r="G72" s="3">
        <v>19.90809866219</v>
      </c>
      <c r="H72" s="3">
        <v>15.893151583942901</v>
      </c>
      <c r="I72" s="3">
        <v>28.1866628186187</v>
      </c>
      <c r="J72" s="3">
        <v>22.169441266014498</v>
      </c>
      <c r="K72" s="3">
        <v>19.724581540197999</v>
      </c>
      <c r="L72" s="3">
        <v>20.4631340424401</v>
      </c>
      <c r="M72" s="3">
        <v>19.0673660769306</v>
      </c>
      <c r="N72" s="3">
        <v>17.770222424181298</v>
      </c>
    </row>
    <row r="73" spans="1:14" x14ac:dyDescent="0.35">
      <c r="A73" s="2">
        <v>44064</v>
      </c>
      <c r="B73" s="3">
        <v>32.5514963066558</v>
      </c>
      <c r="C73" s="3">
        <v>19.6689511888856</v>
      </c>
      <c r="D73" s="3">
        <v>17.355029078543399</v>
      </c>
      <c r="E73" s="3">
        <v>17.734880007510402</v>
      </c>
      <c r="F73" s="3">
        <v>17.961845886557398</v>
      </c>
      <c r="G73" s="3">
        <v>19.496083910640401</v>
      </c>
      <c r="H73" s="3">
        <v>15.2884485074742</v>
      </c>
      <c r="I73" s="3">
        <v>29.458010219992399</v>
      </c>
      <c r="J73" s="3">
        <v>22.343854573933399</v>
      </c>
      <c r="K73" s="3">
        <v>19.286295361581899</v>
      </c>
      <c r="L73" s="3">
        <v>19.628632864741501</v>
      </c>
      <c r="M73" s="3">
        <v>17.998684783683199</v>
      </c>
      <c r="N73" s="3">
        <v>15.9451028948637</v>
      </c>
    </row>
    <row r="74" spans="1:14" x14ac:dyDescent="0.35">
      <c r="A74" s="2">
        <v>44097</v>
      </c>
      <c r="B74" s="3">
        <v>31.373127924426299</v>
      </c>
      <c r="C74" s="3">
        <v>18.394361195653399</v>
      </c>
      <c r="D74" s="3">
        <v>16.0301446812514</v>
      </c>
      <c r="E74" s="3">
        <v>16.770115095751301</v>
      </c>
      <c r="F74" s="3">
        <v>18.3986205107174</v>
      </c>
      <c r="G74" s="3">
        <v>19.127414260894799</v>
      </c>
      <c r="H74" s="3">
        <v>14.5298809894234</v>
      </c>
      <c r="I74" s="3">
        <v>27.192073475965401</v>
      </c>
      <c r="J74" s="3">
        <v>20.8114708035836</v>
      </c>
      <c r="K74" s="3">
        <v>18.076389212110001</v>
      </c>
      <c r="L74" s="3">
        <v>19.088523006189199</v>
      </c>
      <c r="M74" s="3">
        <v>17.9936479047193</v>
      </c>
      <c r="N74" s="3">
        <v>14.857053416203099</v>
      </c>
    </row>
    <row r="75" spans="1:14" x14ac:dyDescent="0.35">
      <c r="A75" s="2">
        <v>44127</v>
      </c>
      <c r="B75" s="3">
        <v>33.188762429800299</v>
      </c>
      <c r="C75" s="3">
        <v>18.5751747666353</v>
      </c>
      <c r="D75" s="3">
        <v>16.006492202015899</v>
      </c>
      <c r="E75" s="3">
        <v>16.121213340565198</v>
      </c>
      <c r="F75" s="3">
        <v>17.747832427224001</v>
      </c>
      <c r="G75" s="3">
        <v>18.502869093602399</v>
      </c>
      <c r="H75" s="3">
        <v>13.971355347033001</v>
      </c>
      <c r="I75" s="3">
        <v>28.811308372237999</v>
      </c>
      <c r="J75" s="3">
        <v>21.695011083259399</v>
      </c>
      <c r="K75" s="3">
        <v>17.930976790550801</v>
      </c>
      <c r="L75" s="3">
        <v>19.398756197354398</v>
      </c>
      <c r="M75" s="3">
        <v>17.102999140368201</v>
      </c>
      <c r="N75" s="3">
        <v>14.433027758901501</v>
      </c>
    </row>
    <row r="76" spans="1:14" x14ac:dyDescent="0.35">
      <c r="A76" s="2">
        <v>44158</v>
      </c>
      <c r="B76" s="3">
        <v>32.139339963185201</v>
      </c>
      <c r="C76" s="3">
        <v>19.5036483142256</v>
      </c>
      <c r="D76" s="3">
        <v>16.098627091360399</v>
      </c>
      <c r="E76" s="3">
        <v>16.104350312042499</v>
      </c>
      <c r="F76" s="3">
        <v>18.2315937673376</v>
      </c>
      <c r="G76" s="3">
        <v>18.7722695610748</v>
      </c>
      <c r="H76" s="3">
        <v>14.648678181463101</v>
      </c>
      <c r="I76" s="3">
        <v>28.200855174547399</v>
      </c>
      <c r="J76" s="3">
        <v>21.6222625645037</v>
      </c>
      <c r="K76" s="3">
        <v>18.984759573188001</v>
      </c>
      <c r="L76" s="3">
        <v>20.3886943590363</v>
      </c>
      <c r="M76" s="3">
        <v>17.2823827675156</v>
      </c>
      <c r="N76" s="3">
        <v>14.9580011465689</v>
      </c>
    </row>
    <row r="77" spans="1:14" x14ac:dyDescent="0.35">
      <c r="A77" s="2">
        <v>44188</v>
      </c>
      <c r="B77" s="3">
        <v>34.334156362074403</v>
      </c>
      <c r="C77" s="3">
        <v>19.191917990429499</v>
      </c>
      <c r="D77" s="3">
        <v>16.010398645870101</v>
      </c>
      <c r="E77" s="3">
        <v>16.017844952479699</v>
      </c>
      <c r="F77" s="3">
        <v>18.092939130894901</v>
      </c>
      <c r="G77" s="3">
        <v>18.423989968409199</v>
      </c>
      <c r="H77" s="3">
        <v>14.5398711507423</v>
      </c>
      <c r="I77" s="3">
        <v>28.963109217378499</v>
      </c>
      <c r="J77" s="3">
        <v>22.164816633761198</v>
      </c>
      <c r="K77" s="3">
        <v>18.118632523618</v>
      </c>
      <c r="L77" s="3">
        <v>20.547961522871699</v>
      </c>
      <c r="M77" s="3">
        <v>17.063922180378501</v>
      </c>
      <c r="N77" s="3">
        <v>14.861157696372601</v>
      </c>
    </row>
    <row r="78" spans="1:14" x14ac:dyDescent="0.35">
      <c r="A78" s="2">
        <v>44218</v>
      </c>
      <c r="B78" s="3">
        <v>34.0306238869411</v>
      </c>
      <c r="C78" s="3">
        <v>19.2609074847039</v>
      </c>
      <c r="D78" s="3">
        <v>15.923866462730601</v>
      </c>
      <c r="E78" s="3">
        <v>15.973023484005299</v>
      </c>
      <c r="F78" s="3">
        <v>18.662317361610199</v>
      </c>
      <c r="G78" s="3">
        <v>18.985549960072301</v>
      </c>
      <c r="H78" s="3">
        <v>14.3315347915694</v>
      </c>
      <c r="I78" s="3">
        <v>29.988658556643799</v>
      </c>
      <c r="J78" s="3">
        <v>22.403997009175001</v>
      </c>
      <c r="K78" s="3">
        <v>17.8151059229357</v>
      </c>
      <c r="L78" s="3">
        <v>21.6364103650454</v>
      </c>
      <c r="M78" s="3">
        <v>18.9005218734507</v>
      </c>
      <c r="N78" s="3">
        <v>13.627061407889901</v>
      </c>
    </row>
    <row r="79" spans="1:14" x14ac:dyDescent="0.35">
      <c r="A79" s="2">
        <v>44250</v>
      </c>
      <c r="B79" s="3">
        <v>31.388664117468998</v>
      </c>
      <c r="C79" s="3">
        <v>18.513509220299198</v>
      </c>
      <c r="D79" s="3">
        <v>15.7853848663873</v>
      </c>
      <c r="E79" s="3">
        <v>15.3851090484051</v>
      </c>
      <c r="F79" s="3">
        <v>18.522323860541</v>
      </c>
      <c r="G79" s="3">
        <v>18.5067295868648</v>
      </c>
      <c r="H79" s="3">
        <v>14.194181328643101</v>
      </c>
      <c r="I79" s="3">
        <v>28.120053318170601</v>
      </c>
      <c r="J79" s="3">
        <v>21.837166919729601</v>
      </c>
      <c r="K79" s="3">
        <v>17.982785860473399</v>
      </c>
      <c r="L79" s="3">
        <v>21.841314685877801</v>
      </c>
      <c r="M79" s="3">
        <v>18.822059334920599</v>
      </c>
      <c r="N79" s="3">
        <v>13.752723180783301</v>
      </c>
    </row>
    <row r="80" spans="1:14" x14ac:dyDescent="0.35">
      <c r="A80" s="2">
        <v>44278</v>
      </c>
      <c r="B80" s="3">
        <v>32.049055532222503</v>
      </c>
      <c r="C80" s="3">
        <v>17.6449615971048</v>
      </c>
      <c r="D80" s="3">
        <v>15.314784075723299</v>
      </c>
      <c r="E80" s="3">
        <v>15.951651866643701</v>
      </c>
      <c r="F80" s="3">
        <v>17.724132482737701</v>
      </c>
      <c r="G80" s="3">
        <v>18.854568486457701</v>
      </c>
      <c r="H80" s="3">
        <v>13.6331122909712</v>
      </c>
      <c r="I80" s="3">
        <v>27.342051837030901</v>
      </c>
      <c r="J80" s="3">
        <v>21.664850798978001</v>
      </c>
      <c r="K80" s="3">
        <v>18.045061472063701</v>
      </c>
      <c r="L80" s="3">
        <v>21.795738818925201</v>
      </c>
      <c r="M80" s="3">
        <v>19.970058817861698</v>
      </c>
      <c r="N80" s="3">
        <v>13.8876054430485</v>
      </c>
    </row>
    <row r="81" spans="1:14" x14ac:dyDescent="0.35">
      <c r="A81" s="2">
        <v>44309</v>
      </c>
      <c r="B81" s="3">
        <v>32.230288063905697</v>
      </c>
      <c r="C81" s="3">
        <v>18.101699046683699</v>
      </c>
      <c r="D81" s="3">
        <v>15.4384198321527</v>
      </c>
      <c r="E81" s="3">
        <v>15.5628126435165</v>
      </c>
      <c r="F81" s="3">
        <v>16.906002615159402</v>
      </c>
      <c r="G81" s="3">
        <v>18.707461030129998</v>
      </c>
      <c r="H81" s="3">
        <v>13.406444822551</v>
      </c>
      <c r="I81" s="3">
        <v>28.747566150621701</v>
      </c>
      <c r="J81" s="3">
        <v>22.252181129576901</v>
      </c>
      <c r="K81" s="3">
        <v>18.1446151926582</v>
      </c>
      <c r="L81" s="3">
        <v>22.3986528801349</v>
      </c>
      <c r="M81" s="3">
        <v>19.377876944264099</v>
      </c>
      <c r="N81" s="3">
        <v>13.7286686638873</v>
      </c>
    </row>
    <row r="82" spans="1:14" x14ac:dyDescent="0.35">
      <c r="A82" s="2">
        <v>44337</v>
      </c>
      <c r="B82" s="3">
        <v>32.5951864597289</v>
      </c>
      <c r="C82" s="3">
        <v>17.746026510435598</v>
      </c>
      <c r="D82" s="3">
        <v>15.3447925811567</v>
      </c>
      <c r="E82" s="3">
        <v>14.7847860815145</v>
      </c>
      <c r="F82" s="3">
        <v>16.248577699384899</v>
      </c>
      <c r="G82" s="3">
        <v>19.090730397145698</v>
      </c>
      <c r="H82" s="3">
        <v>13.245530315761799</v>
      </c>
      <c r="I82" s="3">
        <v>26.057274648104901</v>
      </c>
      <c r="J82" s="3">
        <v>21.111892729306302</v>
      </c>
      <c r="K82" s="3">
        <v>17.717798852948601</v>
      </c>
      <c r="L82" s="3">
        <v>21.200611958200401</v>
      </c>
      <c r="M82" s="3">
        <v>18.018661841599901</v>
      </c>
      <c r="N82" s="3">
        <v>13.4035616926896</v>
      </c>
    </row>
    <row r="83" spans="1:14" x14ac:dyDescent="0.35">
      <c r="A83" s="2">
        <v>44370</v>
      </c>
      <c r="B83" s="3">
        <v>33.517131963438601</v>
      </c>
      <c r="C83" s="3">
        <v>17.7562862885218</v>
      </c>
      <c r="D83" s="3">
        <v>15.641471628818699</v>
      </c>
      <c r="E83" s="3">
        <v>14.7247775982052</v>
      </c>
      <c r="F83" s="3">
        <v>16.336814931515001</v>
      </c>
      <c r="G83" s="3">
        <v>19.811968424507999</v>
      </c>
      <c r="H83" s="3">
        <v>12.962613037110399</v>
      </c>
      <c r="I83" s="3">
        <v>27.339263465776799</v>
      </c>
      <c r="J83" s="3">
        <v>21.173828413032599</v>
      </c>
      <c r="K83" s="3">
        <v>17.684740032075801</v>
      </c>
      <c r="L83" s="3">
        <v>21.133975822834699</v>
      </c>
      <c r="M83" s="3">
        <v>18.420256056598799</v>
      </c>
      <c r="N83" s="3">
        <v>13.439884684509099</v>
      </c>
    </row>
    <row r="84" spans="1:14" x14ac:dyDescent="0.35">
      <c r="A84" s="2">
        <v>44400</v>
      </c>
      <c r="B84" s="3">
        <v>34.275572174650399</v>
      </c>
      <c r="C84" s="3">
        <v>16.8480891642408</v>
      </c>
      <c r="D84" s="3">
        <v>15.204274636938999</v>
      </c>
      <c r="E84" s="3">
        <v>14.542371514394</v>
      </c>
      <c r="F84" s="3">
        <v>15.653773166789801</v>
      </c>
      <c r="G84" s="3">
        <v>19.739704982743401</v>
      </c>
      <c r="H84" s="3">
        <v>12.3553564111276</v>
      </c>
      <c r="I84" s="3">
        <v>28.580680210493501</v>
      </c>
      <c r="J84" s="3">
        <v>21.419234868398199</v>
      </c>
      <c r="K84" s="3">
        <v>17.07350889189</v>
      </c>
      <c r="L84" s="3">
        <v>21.569927416413901</v>
      </c>
      <c r="M84" s="3">
        <v>18.807156663722701</v>
      </c>
      <c r="N84" s="3">
        <v>13.067984594513799</v>
      </c>
    </row>
    <row r="85" spans="1:14" x14ac:dyDescent="0.35">
      <c r="A85" s="2">
        <v>44431</v>
      </c>
      <c r="B85" s="3">
        <v>34.6794948304236</v>
      </c>
      <c r="C85" s="3">
        <v>16.9497501054907</v>
      </c>
      <c r="D85" s="3">
        <v>14.937919883992301</v>
      </c>
      <c r="E85" s="3">
        <v>14.2432892334079</v>
      </c>
      <c r="F85" s="3">
        <v>15.167202931727701</v>
      </c>
      <c r="G85" s="3">
        <v>20.004724588339201</v>
      </c>
      <c r="H85" s="3">
        <v>12.1492362893032</v>
      </c>
      <c r="I85" s="3">
        <v>27.5714335140859</v>
      </c>
      <c r="J85" s="3">
        <v>21.074187271587402</v>
      </c>
      <c r="K85" s="3">
        <v>16.3292883794755</v>
      </c>
      <c r="L85" s="3">
        <v>21.788409793106499</v>
      </c>
      <c r="M85" s="3">
        <v>18.483445197225699</v>
      </c>
      <c r="N85" s="3">
        <v>12.076387019086701</v>
      </c>
    </row>
    <row r="86" spans="1:14" x14ac:dyDescent="0.35">
      <c r="A86" s="2">
        <v>44462</v>
      </c>
      <c r="B86" s="3">
        <v>34.963488364946997</v>
      </c>
      <c r="C86" s="3">
        <v>17.128321497248201</v>
      </c>
      <c r="D86" s="3">
        <v>14.658951071486401</v>
      </c>
      <c r="E86" s="3">
        <v>13.9019061177273</v>
      </c>
      <c r="F86" s="3">
        <v>15.6413979342329</v>
      </c>
      <c r="G86" s="3">
        <v>18.957671521736401</v>
      </c>
      <c r="H86" s="3">
        <v>11.979057794300299</v>
      </c>
      <c r="I86" s="3">
        <v>27.4175547697523</v>
      </c>
      <c r="J86" s="3">
        <v>20.796637506788802</v>
      </c>
      <c r="K86" s="3">
        <v>16.1250781029647</v>
      </c>
      <c r="L86" s="3">
        <v>21.720881764480598</v>
      </c>
      <c r="M86" s="3">
        <v>18.424147544573799</v>
      </c>
      <c r="N86" s="3">
        <v>11.791385527444101</v>
      </c>
    </row>
    <row r="87" spans="1:14" x14ac:dyDescent="0.35">
      <c r="A87" s="2">
        <v>44491</v>
      </c>
      <c r="B87" s="3">
        <v>33.726244913084898</v>
      </c>
      <c r="C87" s="3">
        <v>17.546473641822601</v>
      </c>
      <c r="D87" s="3">
        <v>15.1005343221129</v>
      </c>
      <c r="E87" s="3">
        <v>13.6941631044532</v>
      </c>
      <c r="F87" s="3">
        <v>15.175281373714601</v>
      </c>
      <c r="G87" s="3">
        <v>18.951343552181701</v>
      </c>
      <c r="H87" s="3">
        <v>12.1487680329219</v>
      </c>
      <c r="I87" s="3">
        <v>27.417257812807399</v>
      </c>
      <c r="J87" s="3">
        <v>20.948057382516001</v>
      </c>
      <c r="K87" s="3">
        <v>15.617708925002299</v>
      </c>
      <c r="L87" s="3">
        <v>21.300172653108099</v>
      </c>
      <c r="M87" s="3">
        <v>18.5910976082783</v>
      </c>
      <c r="N87" s="3">
        <v>11.7314535829018</v>
      </c>
    </row>
    <row r="88" spans="1:14" x14ac:dyDescent="0.35">
      <c r="A88" s="2">
        <v>44523</v>
      </c>
      <c r="B88" s="3">
        <v>32.455519707011902</v>
      </c>
      <c r="C88" s="3">
        <v>17.283117579758599</v>
      </c>
      <c r="D88" s="3">
        <v>14.784750008253701</v>
      </c>
      <c r="E88" s="3">
        <v>13.531606503636599</v>
      </c>
      <c r="F88" s="3">
        <v>15.2472969840946</v>
      </c>
      <c r="G88" s="3">
        <v>18.910128762123499</v>
      </c>
      <c r="H88" s="3">
        <v>12.005970234445201</v>
      </c>
      <c r="I88" s="3">
        <v>28.796982864520501</v>
      </c>
      <c r="J88" s="3">
        <v>21.2858633356091</v>
      </c>
      <c r="K88" s="3">
        <v>15.7474563462288</v>
      </c>
      <c r="L88" s="3">
        <v>20.842955895316798</v>
      </c>
      <c r="M88" s="3">
        <v>18.483059276073401</v>
      </c>
      <c r="N88" s="3">
        <v>11.458300102771799</v>
      </c>
    </row>
    <row r="89" spans="1:14" x14ac:dyDescent="0.35">
      <c r="A89" s="2">
        <v>44553</v>
      </c>
      <c r="B89" s="3">
        <v>32.189344235294797</v>
      </c>
      <c r="C89" s="3">
        <v>17.403718771702302</v>
      </c>
      <c r="D89" s="3">
        <v>14.438343784062299</v>
      </c>
      <c r="E89" s="3">
        <v>13.3087133336742</v>
      </c>
      <c r="F89" s="3">
        <v>14.544734060278</v>
      </c>
      <c r="G89" s="3">
        <v>19.602727650428101</v>
      </c>
      <c r="H89" s="3">
        <v>12.155042648773099</v>
      </c>
      <c r="I89" s="3">
        <v>28.612643143277801</v>
      </c>
      <c r="J89" s="3">
        <v>21.232981036742</v>
      </c>
      <c r="K89" s="3">
        <v>15.726654310050201</v>
      </c>
      <c r="L89" s="3">
        <v>20.3895057491555</v>
      </c>
      <c r="M89" s="3">
        <v>18.3021437850269</v>
      </c>
      <c r="N89" s="3">
        <v>10.9682717985864</v>
      </c>
    </row>
    <row r="90" spans="1:14" x14ac:dyDescent="0.35">
      <c r="A90" s="2">
        <v>44582</v>
      </c>
      <c r="B90" s="3">
        <v>30.224138239744601</v>
      </c>
      <c r="C90" s="3">
        <v>16.632827717147102</v>
      </c>
      <c r="D90" s="3">
        <v>13.845544089037899</v>
      </c>
      <c r="E90" s="3">
        <v>13.0786834530811</v>
      </c>
      <c r="F90" s="3">
        <v>13.908097661931199</v>
      </c>
      <c r="G90" s="3">
        <v>18.581218491403298</v>
      </c>
      <c r="H90" s="3">
        <v>12.3236762496997</v>
      </c>
      <c r="I90" s="3">
        <v>25.131457052395</v>
      </c>
      <c r="J90" s="3">
        <v>19.557368142471201</v>
      </c>
      <c r="K90" s="3">
        <v>15.3305061888697</v>
      </c>
      <c r="L90" s="3">
        <v>19.114884283965701</v>
      </c>
      <c r="M90" s="3">
        <v>16.961464908408399</v>
      </c>
      <c r="N90" s="3">
        <v>10.998190873287101</v>
      </c>
    </row>
    <row r="91" spans="1:14" x14ac:dyDescent="0.35">
      <c r="A91" s="2">
        <v>44615</v>
      </c>
      <c r="B91" s="3">
        <v>29.358816642369302</v>
      </c>
      <c r="C91" s="3">
        <v>15.829871199588601</v>
      </c>
      <c r="D91" s="3">
        <v>13.6802730409986</v>
      </c>
      <c r="E91" s="3">
        <v>11.9928753142555</v>
      </c>
      <c r="F91" s="3">
        <v>13.2244332401484</v>
      </c>
      <c r="G91" s="3">
        <v>17.9924802781137</v>
      </c>
      <c r="H91" s="3">
        <v>12.0751186421246</v>
      </c>
      <c r="I91" s="3">
        <v>23.056953470087201</v>
      </c>
      <c r="J91" s="3">
        <v>18.480205164686001</v>
      </c>
      <c r="K91" s="3">
        <v>14.148718553428299</v>
      </c>
      <c r="L91" s="3">
        <v>17.406181601342801</v>
      </c>
      <c r="M91" s="3">
        <v>15.154154069192501</v>
      </c>
      <c r="N91" s="3">
        <v>10.045888431237801</v>
      </c>
    </row>
    <row r="92" spans="1:14" x14ac:dyDescent="0.35">
      <c r="A92" s="2">
        <v>44643</v>
      </c>
      <c r="B92" s="3">
        <v>29.473241227630901</v>
      </c>
      <c r="C92" s="3">
        <v>16.236089809598901</v>
      </c>
      <c r="D92" s="3">
        <v>13.808774077317899</v>
      </c>
      <c r="E92" s="3">
        <v>11.587035676575701</v>
      </c>
      <c r="F92" s="3">
        <v>13.5143534620209</v>
      </c>
      <c r="G92" s="3">
        <v>18.180128800759999</v>
      </c>
      <c r="H92" s="3">
        <v>11.585902682795</v>
      </c>
      <c r="I92" s="3">
        <v>24.502615012836401</v>
      </c>
      <c r="J92" s="3">
        <v>19.203120297003299</v>
      </c>
      <c r="K92" s="3">
        <v>13.4513479619836</v>
      </c>
      <c r="L92" s="3">
        <v>17.925857726827001</v>
      </c>
      <c r="M92" s="3">
        <v>15.426798690912101</v>
      </c>
      <c r="N92" s="3">
        <v>9.4617216625470206</v>
      </c>
    </row>
    <row r="93" spans="1:14" x14ac:dyDescent="0.35">
      <c r="A93" s="2">
        <v>44673</v>
      </c>
      <c r="B93" s="3">
        <v>28.527885107987998</v>
      </c>
      <c r="C93" s="3">
        <v>15.308674226832</v>
      </c>
      <c r="D93" s="3">
        <v>12.928614817202901</v>
      </c>
      <c r="E93" s="3">
        <v>11.356379376446499</v>
      </c>
      <c r="F93" s="3">
        <v>12.9361170955786</v>
      </c>
      <c r="G93" s="3">
        <v>18.160430550205302</v>
      </c>
      <c r="H93" s="3">
        <v>10.929147509237801</v>
      </c>
      <c r="I93" s="3">
        <v>22.4760742094827</v>
      </c>
      <c r="J93" s="3">
        <v>18.061866575064101</v>
      </c>
      <c r="K93" s="3">
        <v>13.1464864619855</v>
      </c>
      <c r="L93" s="3">
        <v>17.687016384922401</v>
      </c>
      <c r="M93" s="3">
        <v>15.036164992985601</v>
      </c>
      <c r="N93" s="3">
        <v>9.4070973234650292</v>
      </c>
    </row>
    <row r="94" spans="1:14" x14ac:dyDescent="0.35">
      <c r="A94" s="2">
        <v>44704</v>
      </c>
      <c r="B94" s="3">
        <v>27.3877416856404</v>
      </c>
      <c r="C94" s="3">
        <v>14.3677125623375</v>
      </c>
      <c r="D94" s="3">
        <v>12.1946397847009</v>
      </c>
      <c r="E94" s="3">
        <v>10.786573505656399</v>
      </c>
      <c r="F94" s="3">
        <v>12.767300878060601</v>
      </c>
      <c r="G94" s="3">
        <v>16.796923502711198</v>
      </c>
      <c r="H94" s="3">
        <v>10.447083918581701</v>
      </c>
      <c r="I94" s="3">
        <v>20.425190754195899</v>
      </c>
      <c r="J94" s="3">
        <v>16.7233266896129</v>
      </c>
      <c r="K94" s="3">
        <v>12.180549957344001</v>
      </c>
      <c r="L94" s="3">
        <v>16.902431472162199</v>
      </c>
      <c r="M94" s="3">
        <v>15.9335974637399</v>
      </c>
      <c r="N94" s="3">
        <v>8.9191322527062997</v>
      </c>
    </row>
    <row r="95" spans="1:14" x14ac:dyDescent="0.35">
      <c r="A95" s="2">
        <v>44735</v>
      </c>
      <c r="B95" s="3">
        <v>25.605358775844799</v>
      </c>
      <c r="C95" s="3">
        <v>12.593671505760801</v>
      </c>
      <c r="D95" s="3">
        <v>11.0955441842647</v>
      </c>
      <c r="E95" s="3">
        <v>9.8009449259669594</v>
      </c>
      <c r="F95" s="3">
        <v>12.253755811876299</v>
      </c>
      <c r="G95" s="3">
        <v>15.3012472768648</v>
      </c>
      <c r="H95" s="3">
        <v>9.5845921358931996</v>
      </c>
      <c r="I95" s="3">
        <v>19.718075379886201</v>
      </c>
      <c r="J95" s="3">
        <v>15.840599501418399</v>
      </c>
      <c r="K95" s="3">
        <v>11.1826492081849</v>
      </c>
      <c r="L95" s="3">
        <v>15.364101466287099</v>
      </c>
      <c r="M95" s="3">
        <v>14.1193799085933</v>
      </c>
      <c r="N95" s="3">
        <v>7.82711340852146</v>
      </c>
    </row>
    <row r="96" spans="1:14" x14ac:dyDescent="0.35">
      <c r="A96" s="2">
        <v>44764</v>
      </c>
      <c r="B96" s="3">
        <v>26.001663589325499</v>
      </c>
      <c r="C96" s="3">
        <v>13.484192211983601</v>
      </c>
      <c r="D96" s="3">
        <v>11.1675090680483</v>
      </c>
      <c r="E96" s="3">
        <v>10.1552169942745</v>
      </c>
      <c r="F96" s="3">
        <v>12.881185602191399</v>
      </c>
      <c r="G96" s="3">
        <v>16.416772728761099</v>
      </c>
      <c r="H96" s="3">
        <v>9.7377709970565896</v>
      </c>
      <c r="I96" s="3">
        <v>21.157550738850301</v>
      </c>
      <c r="J96" s="3">
        <v>16.594926074249202</v>
      </c>
      <c r="K96" s="3">
        <v>11.583182245963201</v>
      </c>
      <c r="L96" s="3">
        <v>17.509533610747699</v>
      </c>
      <c r="M96" s="3">
        <v>15.0497325673443</v>
      </c>
      <c r="N96" s="3">
        <v>7.5589420181509199</v>
      </c>
    </row>
    <row r="97" spans="1:14" x14ac:dyDescent="0.35">
      <c r="A97" s="2">
        <v>44796</v>
      </c>
      <c r="B97" s="3">
        <v>27.308635000445399</v>
      </c>
      <c r="C97" s="3">
        <v>13.8676269407412</v>
      </c>
      <c r="D97" s="3">
        <v>11.7635047247073</v>
      </c>
      <c r="E97" s="3">
        <v>9.8160063852328499</v>
      </c>
      <c r="F97" s="3">
        <v>12.952213664180899</v>
      </c>
      <c r="G97" s="3">
        <v>16.318965925276899</v>
      </c>
      <c r="H97" s="3">
        <v>9.6915451098999199</v>
      </c>
      <c r="I97" s="3">
        <v>22.458445795015699</v>
      </c>
      <c r="J97" s="3">
        <v>17.398210808407502</v>
      </c>
      <c r="K97" s="3">
        <v>11.4311952662603</v>
      </c>
      <c r="L97" s="3">
        <v>16.9260008594749</v>
      </c>
      <c r="M97" s="3">
        <v>14.4383269277617</v>
      </c>
      <c r="N97" s="3">
        <v>7.5955134972687697</v>
      </c>
    </row>
    <row r="98" spans="1:14" x14ac:dyDescent="0.35">
      <c r="A98" s="2">
        <v>44827</v>
      </c>
      <c r="B98" s="3">
        <v>25.051869740710799</v>
      </c>
      <c r="C98" s="3">
        <v>12.8234377476783</v>
      </c>
      <c r="D98" s="3">
        <v>10.785284691017401</v>
      </c>
      <c r="E98" s="3">
        <v>9.1309871481164997</v>
      </c>
      <c r="F98" s="3">
        <v>12.4579049753461</v>
      </c>
      <c r="G98" s="3">
        <v>14.8203163775664</v>
      </c>
      <c r="H98" s="3">
        <v>8.5645725218636404</v>
      </c>
      <c r="I98" s="3">
        <v>19.640026206493499</v>
      </c>
      <c r="J98" s="3">
        <v>15.5779245651359</v>
      </c>
      <c r="K98" s="3">
        <v>10.252344487343599</v>
      </c>
      <c r="L98" s="3">
        <v>14.5805501956382</v>
      </c>
      <c r="M98" s="3">
        <v>12.9769383881944</v>
      </c>
      <c r="N98" s="3">
        <v>7.2592238313175299</v>
      </c>
    </row>
    <row r="99" spans="1:14" x14ac:dyDescent="0.35">
      <c r="A99" s="2">
        <v>44855</v>
      </c>
      <c r="B99" s="3">
        <v>23.089822667259799</v>
      </c>
      <c r="C99" s="3">
        <v>12.8840816548399</v>
      </c>
      <c r="D99" s="3">
        <v>11.1460467915048</v>
      </c>
      <c r="E99" s="3">
        <v>9.4606807186983293</v>
      </c>
      <c r="F99" s="3">
        <v>12.177376439825</v>
      </c>
      <c r="G99" s="3">
        <v>15.174749771819</v>
      </c>
      <c r="H99" s="3">
        <v>8.7092618759942404</v>
      </c>
      <c r="I99" s="3">
        <v>19.880092164604299</v>
      </c>
      <c r="J99" s="3">
        <v>15.980084225865999</v>
      </c>
      <c r="K99" s="3">
        <v>10.7630783416909</v>
      </c>
      <c r="L99" s="3">
        <v>14.7508582057021</v>
      </c>
      <c r="M99" s="3">
        <v>13.2780291834921</v>
      </c>
      <c r="N99" s="3">
        <v>7.4929181131129603</v>
      </c>
    </row>
    <row r="100" spans="1:14" x14ac:dyDescent="0.35">
      <c r="A100" s="2">
        <v>44888</v>
      </c>
      <c r="B100" s="3">
        <v>23.522040856980201</v>
      </c>
      <c r="C100" s="3">
        <v>14.4429606522779</v>
      </c>
      <c r="D100" s="3">
        <v>12.1018277823195</v>
      </c>
      <c r="E100" s="3">
        <v>10.720578334750501</v>
      </c>
      <c r="F100" s="3">
        <v>12.9717111429841</v>
      </c>
      <c r="G100" s="3">
        <v>16.899638527586202</v>
      </c>
      <c r="H100" s="3">
        <v>9.7227091081529995</v>
      </c>
      <c r="I100" s="3">
        <v>21.5640979476049</v>
      </c>
      <c r="J100" s="3">
        <v>17.4281494992475</v>
      </c>
      <c r="K100" s="3">
        <v>12.009613260948401</v>
      </c>
      <c r="L100" s="3">
        <v>16.546834224948</v>
      </c>
      <c r="M100" s="3">
        <v>13.1038871632192</v>
      </c>
      <c r="N100" s="3">
        <v>8.1912449112601298</v>
      </c>
    </row>
    <row r="101" spans="1:14" x14ac:dyDescent="0.35">
      <c r="A101" s="2">
        <v>44918</v>
      </c>
      <c r="B101" s="3">
        <v>23.1998378509902</v>
      </c>
      <c r="C101" s="3">
        <v>14.2224203348997</v>
      </c>
      <c r="D101" s="3">
        <v>11.9828535896314</v>
      </c>
      <c r="E101" s="3">
        <v>10.4587758716492</v>
      </c>
      <c r="F101" s="3">
        <v>12.2727771262593</v>
      </c>
      <c r="G101" s="3">
        <v>16.298991700494501</v>
      </c>
      <c r="H101" s="3">
        <v>9.8499185040031403</v>
      </c>
      <c r="I101" s="3">
        <v>20.590233497297099</v>
      </c>
      <c r="J101" s="3">
        <v>16.670312560830801</v>
      </c>
      <c r="K101" s="3">
        <v>11.8622601873181</v>
      </c>
      <c r="L101" s="3">
        <v>15.5622993402517</v>
      </c>
      <c r="M101" s="3">
        <v>12.727957193615</v>
      </c>
      <c r="N101" s="3">
        <v>7.6703230570845298</v>
      </c>
    </row>
    <row r="102" spans="1:14" x14ac:dyDescent="0.35">
      <c r="A102" s="2">
        <v>44949</v>
      </c>
      <c r="B102" s="3">
        <v>23.891070576592501</v>
      </c>
      <c r="C102" s="3">
        <v>14.887701198875099</v>
      </c>
      <c r="D102" s="3">
        <v>12.971377809516399</v>
      </c>
      <c r="E102" s="3">
        <v>11.4449196928474</v>
      </c>
      <c r="F102" s="3">
        <v>12.659043926049501</v>
      </c>
      <c r="G102" s="3">
        <v>17.4015323627385</v>
      </c>
      <c r="H102" s="3">
        <v>10.601974842299001</v>
      </c>
      <c r="I102" s="3">
        <v>22.257550591763898</v>
      </c>
      <c r="J102" s="3">
        <v>17.5793711998232</v>
      </c>
      <c r="K102" s="3">
        <v>13.069477296636601</v>
      </c>
      <c r="L102" s="3">
        <v>17.081399328488299</v>
      </c>
      <c r="M102" s="3">
        <v>14.1920290331276</v>
      </c>
      <c r="N102" s="3">
        <v>8.2799615966986693</v>
      </c>
    </row>
    <row r="103" spans="1:14" x14ac:dyDescent="0.35">
      <c r="A103" s="2">
        <v>44980</v>
      </c>
      <c r="B103" s="3">
        <v>24.0185954055259</v>
      </c>
      <c r="C103" s="3">
        <v>14.578594862131199</v>
      </c>
      <c r="D103" s="3">
        <v>12.667371384166101</v>
      </c>
      <c r="E103" s="3">
        <v>11.617031532971399</v>
      </c>
      <c r="F103" s="3">
        <v>12.9324336365344</v>
      </c>
      <c r="G103" s="3">
        <v>17.322789646058599</v>
      </c>
      <c r="H103" s="3">
        <v>10.5164478162205</v>
      </c>
      <c r="I103" s="3">
        <v>22.984812634194199</v>
      </c>
      <c r="J103" s="3">
        <v>17.689483493319301</v>
      </c>
      <c r="K103" s="3">
        <v>13.2976335512323</v>
      </c>
      <c r="L103" s="3">
        <v>16.665273784978201</v>
      </c>
      <c r="M103" s="3">
        <v>14.098397025653901</v>
      </c>
      <c r="N103" s="3">
        <v>8.2348027464237106</v>
      </c>
    </row>
    <row r="104" spans="1:14" x14ac:dyDescent="0.35">
      <c r="A104" s="2">
        <v>45008</v>
      </c>
      <c r="B104" s="3">
        <v>22.572030606598599</v>
      </c>
      <c r="C104" s="3">
        <v>13.911474078375701</v>
      </c>
      <c r="D104" s="3">
        <v>12.269859815558799</v>
      </c>
      <c r="E104" s="3">
        <v>11.188126964462301</v>
      </c>
      <c r="F104" s="3">
        <v>12.8364985887223</v>
      </c>
      <c r="G104" s="3">
        <v>16.644853966961701</v>
      </c>
      <c r="H104" s="3">
        <v>10.0841290587763</v>
      </c>
      <c r="I104" s="3">
        <v>23.7730753611106</v>
      </c>
      <c r="J104" s="3">
        <v>17.322862533739901</v>
      </c>
      <c r="K104" s="3">
        <v>12.9981016388719</v>
      </c>
      <c r="L104" s="3">
        <v>16.230285705954099</v>
      </c>
      <c r="M104" s="3">
        <v>13.380348750186499</v>
      </c>
      <c r="N104" s="3">
        <v>8.2784689301662802</v>
      </c>
    </row>
    <row r="105" spans="1:14" x14ac:dyDescent="0.35">
      <c r="A105" s="2">
        <v>45037</v>
      </c>
      <c r="B105" s="3">
        <v>23.296753898960901</v>
      </c>
      <c r="C105" s="3">
        <v>14.640958114296801</v>
      </c>
      <c r="D105" s="3">
        <v>13.161545020883</v>
      </c>
      <c r="E105" s="3">
        <v>11.457644099414599</v>
      </c>
      <c r="F105" s="3">
        <v>13.3667083455152</v>
      </c>
      <c r="G105" s="3">
        <v>17.679605610838902</v>
      </c>
      <c r="H105" s="3">
        <v>10.8187951914867</v>
      </c>
      <c r="I105" s="3">
        <v>24.162439904338299</v>
      </c>
      <c r="J105" s="3">
        <v>18.158959100330001</v>
      </c>
      <c r="K105" s="3">
        <v>13.8223979237845</v>
      </c>
      <c r="L105" s="3">
        <v>16.104887800020801</v>
      </c>
      <c r="M105" s="3">
        <v>13.8147258913801</v>
      </c>
      <c r="N105" s="3">
        <v>8.7596680578266497</v>
      </c>
    </row>
    <row r="106" spans="1:14" x14ac:dyDescent="0.35">
      <c r="A106" s="2">
        <v>45069</v>
      </c>
      <c r="B106" s="3">
        <v>23.494549613040999</v>
      </c>
      <c r="C106" s="3">
        <v>14.5329686258693</v>
      </c>
      <c r="D106" s="3">
        <v>12.8780260842854</v>
      </c>
      <c r="E106" s="3">
        <v>11.0698901740842</v>
      </c>
      <c r="F106" s="3">
        <v>14.2183766066541</v>
      </c>
      <c r="G106" s="3">
        <v>17.353850911910101</v>
      </c>
      <c r="H106" s="3">
        <v>10.484271139417899</v>
      </c>
      <c r="I106" s="3">
        <v>24.612155343423499</v>
      </c>
      <c r="J106" s="3">
        <v>17.977579215353799</v>
      </c>
      <c r="K106" s="3">
        <v>13.267494541440801</v>
      </c>
      <c r="L106" s="3">
        <v>15.826863823009401</v>
      </c>
      <c r="M106" s="3">
        <v>13.6134854386592</v>
      </c>
      <c r="N106" s="3">
        <v>8.2647613992029108</v>
      </c>
    </row>
    <row r="107" spans="1:14" x14ac:dyDescent="0.35">
      <c r="A107" s="2">
        <v>45100</v>
      </c>
      <c r="B107" s="3">
        <v>20.7166167156714</v>
      </c>
      <c r="C107" s="3">
        <v>14.666509329575501</v>
      </c>
      <c r="D107" s="3">
        <v>12.5557080992037</v>
      </c>
      <c r="E107" s="3">
        <v>10.667865759384201</v>
      </c>
      <c r="F107" s="3">
        <v>14.74149148469</v>
      </c>
      <c r="G107" s="3">
        <v>16.384897056367201</v>
      </c>
      <c r="H107" s="3">
        <v>10.188258798396401</v>
      </c>
      <c r="I107" s="3">
        <v>25.880772989652101</v>
      </c>
      <c r="J107" s="3">
        <v>18.6971427959406</v>
      </c>
      <c r="K107" s="3">
        <v>12.9095564536994</v>
      </c>
      <c r="L107" s="3">
        <v>15.3983815017918</v>
      </c>
      <c r="M107" s="3">
        <v>13.2336058363004</v>
      </c>
      <c r="N107" s="3">
        <v>8.5304456583185608</v>
      </c>
    </row>
    <row r="108" spans="1:14" x14ac:dyDescent="0.35">
      <c r="A108" s="2">
        <v>45128</v>
      </c>
      <c r="B108" s="3">
        <v>20.9055429901282</v>
      </c>
      <c r="C108" s="3">
        <v>15.4266016489569</v>
      </c>
      <c r="D108" s="3">
        <v>13.486611249706399</v>
      </c>
      <c r="E108" s="3">
        <v>10.8329910250051</v>
      </c>
      <c r="F108" s="3">
        <v>14.533663715261</v>
      </c>
      <c r="G108" s="3">
        <v>16.701780192272899</v>
      </c>
      <c r="H108" s="3">
        <v>10.6659586659809</v>
      </c>
      <c r="I108" s="3">
        <v>26.457787279740501</v>
      </c>
      <c r="J108" s="3">
        <v>19.489892819431201</v>
      </c>
      <c r="K108" s="3">
        <v>13.374019168878601</v>
      </c>
      <c r="L108" s="3">
        <v>15.8674138172409</v>
      </c>
      <c r="M108" s="3">
        <v>13.228471284063399</v>
      </c>
      <c r="N108" s="3">
        <v>8.8924291226570595</v>
      </c>
    </row>
    <row r="109" spans="1:14" x14ac:dyDescent="0.35">
      <c r="A109" s="2">
        <v>45161</v>
      </c>
      <c r="B109" s="3">
        <v>20.0598702825205</v>
      </c>
      <c r="C109" s="3">
        <v>15.083810511219401</v>
      </c>
      <c r="D109" s="3">
        <v>12.9027281603378</v>
      </c>
      <c r="E109" s="3">
        <v>10.535529829823</v>
      </c>
      <c r="F109" s="3">
        <v>14.273942820798601</v>
      </c>
      <c r="G109" s="3">
        <v>16.3919589363461</v>
      </c>
      <c r="H109" s="3">
        <v>10.1859089038861</v>
      </c>
      <c r="I109" s="3">
        <v>23.971527457215</v>
      </c>
      <c r="J109" s="3">
        <v>18.690415389234101</v>
      </c>
      <c r="K109" s="3">
        <v>12.827260313213801</v>
      </c>
      <c r="L109" s="3">
        <v>14.746345778453801</v>
      </c>
      <c r="M109" s="3">
        <v>12.5947861436617</v>
      </c>
      <c r="N109" s="3">
        <v>8.2284393196787704</v>
      </c>
    </row>
    <row r="110" spans="1:14" x14ac:dyDescent="0.35">
      <c r="A110" s="2">
        <v>45191</v>
      </c>
      <c r="B110" s="3">
        <v>20.314939092935301</v>
      </c>
      <c r="C110" s="3">
        <v>15.0168876258897</v>
      </c>
      <c r="D110" s="3">
        <v>12.750520167285501</v>
      </c>
      <c r="E110" s="3">
        <v>10.477131678491601</v>
      </c>
      <c r="F110" s="3">
        <v>14.730089571082299</v>
      </c>
      <c r="G110" s="3">
        <v>16.346740970525602</v>
      </c>
      <c r="H110" s="3">
        <v>10.5504656763916</v>
      </c>
      <c r="I110" s="3">
        <v>22.730253455211901</v>
      </c>
      <c r="J110" s="3">
        <v>17.997945066177401</v>
      </c>
      <c r="K110" s="3">
        <v>12.631706808579899</v>
      </c>
      <c r="L110" s="3">
        <v>13.715501087654699</v>
      </c>
      <c r="M110" s="3">
        <v>12.901206401412701</v>
      </c>
      <c r="N110" s="3">
        <v>8.3866887995348591</v>
      </c>
    </row>
    <row r="111" spans="1:14" x14ac:dyDescent="0.35">
      <c r="A111" s="2">
        <v>45222</v>
      </c>
      <c r="B111" s="3">
        <v>19.273563027593401</v>
      </c>
      <c r="C111" s="3">
        <v>14.345473429897901</v>
      </c>
      <c r="D111" s="3">
        <v>12.211024241773201</v>
      </c>
      <c r="E111" s="3">
        <v>9.8837056098202201</v>
      </c>
      <c r="F111" s="3">
        <v>13.767275975482301</v>
      </c>
      <c r="G111" s="3">
        <v>15.4476539723575</v>
      </c>
      <c r="H111" s="3">
        <v>10.0575280792324</v>
      </c>
      <c r="I111" s="3">
        <v>22.341771093588498</v>
      </c>
      <c r="J111" s="3">
        <v>17.484882876987299</v>
      </c>
      <c r="K111" s="3">
        <v>11.963279829502699</v>
      </c>
      <c r="L111" s="3">
        <v>13.1189019289058</v>
      </c>
      <c r="M111" s="3">
        <v>12.5496121767207</v>
      </c>
      <c r="N111" s="3">
        <v>7.9711808197917904</v>
      </c>
    </row>
    <row r="112" spans="1:14" x14ac:dyDescent="0.35">
      <c r="A112" s="2">
        <v>45252</v>
      </c>
      <c r="B112" s="3">
        <v>20.1819065798651</v>
      </c>
      <c r="C112" s="3">
        <v>15.1716803446113</v>
      </c>
      <c r="D112" s="3">
        <v>12.7917702136335</v>
      </c>
      <c r="E112" s="3">
        <v>10.7816197586674</v>
      </c>
      <c r="F112" s="3">
        <v>14.4030953422245</v>
      </c>
      <c r="G112" s="3">
        <v>16.251975168669201</v>
      </c>
      <c r="H112" s="3">
        <v>10.383245340245599</v>
      </c>
      <c r="I112" s="3">
        <v>23.9839649573026</v>
      </c>
      <c r="J112" s="3">
        <v>18.736480359147599</v>
      </c>
      <c r="K112" s="3">
        <v>12.849254532867899</v>
      </c>
      <c r="L112" s="3">
        <v>14.6634314508857</v>
      </c>
      <c r="M112" s="3">
        <v>13.4447433315843</v>
      </c>
      <c r="N112" s="3">
        <v>8.2418885856125499</v>
      </c>
    </row>
    <row r="113" spans="1:25" x14ac:dyDescent="0.35">
      <c r="A113" s="2">
        <v>45282</v>
      </c>
      <c r="B113" s="3">
        <v>22.642170890034802</v>
      </c>
      <c r="C113" s="3">
        <v>16.2620364508875</v>
      </c>
      <c r="D113" s="3">
        <v>13.6147429808904</v>
      </c>
      <c r="E113" s="3">
        <v>11.1672309993294</v>
      </c>
      <c r="F113" s="3">
        <v>13.899898354425201</v>
      </c>
      <c r="G113" s="3">
        <v>16.791127323804101</v>
      </c>
      <c r="H113" s="3">
        <v>10.900010197384599</v>
      </c>
      <c r="I113" s="3">
        <v>24.6231051067045</v>
      </c>
      <c r="J113" s="3">
        <v>19.491206407818801</v>
      </c>
      <c r="K113" s="3">
        <v>13.4590036637104</v>
      </c>
      <c r="L113" s="3">
        <v>15.055835721842501</v>
      </c>
      <c r="M113" s="3">
        <v>15.645649757665799</v>
      </c>
      <c r="N113" s="3">
        <v>8.90156510408708</v>
      </c>
    </row>
    <row r="114" spans="1:25" x14ac:dyDescent="0.35">
      <c r="A114" s="2">
        <v>45314</v>
      </c>
      <c r="B114" s="3">
        <v>22.336489370897802</v>
      </c>
      <c r="C114" s="3">
        <v>16.132096351524201</v>
      </c>
      <c r="D114" s="3">
        <v>13.8019281997821</v>
      </c>
      <c r="E114" s="3">
        <v>11.0955271340755</v>
      </c>
      <c r="F114" s="3">
        <v>15.055252408725799</v>
      </c>
      <c r="G114" s="3">
        <v>16.760154289113402</v>
      </c>
      <c r="H114" s="3">
        <v>10.7333306534345</v>
      </c>
      <c r="I114" s="3">
        <v>25.210569719764202</v>
      </c>
      <c r="J114" s="3">
        <v>19.854027092945699</v>
      </c>
      <c r="K114" s="3">
        <v>13.2339923789512</v>
      </c>
      <c r="L114" s="3">
        <v>15.100386396309499</v>
      </c>
      <c r="M114" s="3">
        <v>15.366726160616899</v>
      </c>
      <c r="N114" s="3">
        <v>8.8782066438865996</v>
      </c>
    </row>
    <row r="115" spans="1:25" x14ac:dyDescent="0.35">
      <c r="A115" s="2">
        <v>45345</v>
      </c>
      <c r="B115" s="3">
        <v>22.346870851634499</v>
      </c>
      <c r="C115" s="3">
        <v>16.529258554043199</v>
      </c>
      <c r="D115" s="3">
        <v>14.190069681964999</v>
      </c>
      <c r="E115" s="3">
        <v>11.8631833013029</v>
      </c>
      <c r="F115" s="3">
        <v>15.4864762323769</v>
      </c>
      <c r="G115" s="3">
        <v>17.590619485550601</v>
      </c>
      <c r="H115" s="3">
        <v>11.2593842152514</v>
      </c>
      <c r="I115" s="3">
        <v>25.6861317519468</v>
      </c>
      <c r="J115" s="3">
        <v>20.509917457338901</v>
      </c>
      <c r="K115" s="3">
        <v>14.344706884620001</v>
      </c>
      <c r="L115" s="3">
        <v>16.3229492043627</v>
      </c>
      <c r="M115" s="3">
        <v>16.180413026616399</v>
      </c>
      <c r="N115" s="3">
        <v>9.3006564945556391</v>
      </c>
    </row>
    <row r="116" spans="1:25" x14ac:dyDescent="0.35">
      <c r="A116" s="2">
        <v>45373</v>
      </c>
      <c r="B116" s="3">
        <v>25.220731772513499</v>
      </c>
      <c r="C116" s="3">
        <v>16.600716932498699</v>
      </c>
      <c r="D116" s="3">
        <v>14.5799683507741</v>
      </c>
      <c r="E116" s="3">
        <v>12.208460704616201</v>
      </c>
      <c r="F116" s="3">
        <v>16.179928352624401</v>
      </c>
      <c r="G116" s="3">
        <v>17.630683451454299</v>
      </c>
      <c r="H116" s="3">
        <v>11.518026262524501</v>
      </c>
      <c r="I116" s="3">
        <v>25.914094836778101</v>
      </c>
      <c r="J116" s="3">
        <v>20.920052905912399</v>
      </c>
      <c r="K116" s="3">
        <v>14.5939723124614</v>
      </c>
      <c r="L116" s="3">
        <v>16.295766817653199</v>
      </c>
      <c r="M116" s="3">
        <v>16.751764276183799</v>
      </c>
      <c r="N116" s="3">
        <v>9.7315451311412406</v>
      </c>
    </row>
    <row r="117" spans="1:25" x14ac:dyDescent="0.35">
      <c r="A117" s="2">
        <v>45405</v>
      </c>
      <c r="B117" s="3">
        <v>25.0182435772868</v>
      </c>
      <c r="C117" s="3">
        <v>16.457932459860199</v>
      </c>
      <c r="D117" s="3">
        <v>14.3297914891131</v>
      </c>
      <c r="E117" s="3">
        <v>12.090250469953</v>
      </c>
      <c r="F117" s="3">
        <v>15.0980187404724</v>
      </c>
      <c r="G117" s="3">
        <v>17.035412303787101</v>
      </c>
      <c r="H117" s="3">
        <v>11.4781740624446</v>
      </c>
      <c r="I117" s="3">
        <v>24.5206089538196</v>
      </c>
      <c r="J117" s="3">
        <v>20.083040812186798</v>
      </c>
      <c r="K117" s="3">
        <v>14.4928978494865</v>
      </c>
      <c r="L117" s="3">
        <v>15.7696773476509</v>
      </c>
      <c r="M117" s="3">
        <v>16.134712418527201</v>
      </c>
      <c r="N117" s="3">
        <v>9.6785542956162303</v>
      </c>
    </row>
    <row r="118" spans="1:25" x14ac:dyDescent="0.35">
      <c r="A118" s="2">
        <v>45435</v>
      </c>
      <c r="B118" s="3">
        <v>25.229583844453298</v>
      </c>
      <c r="C118" s="3">
        <v>16.8271147964684</v>
      </c>
      <c r="D118" s="3">
        <v>14.3099106924294</v>
      </c>
      <c r="E118" s="3">
        <v>12.0233556645618</v>
      </c>
      <c r="F118" s="3">
        <v>15.518491130098701</v>
      </c>
      <c r="G118" s="3">
        <v>17.267414570487599</v>
      </c>
      <c r="H118" s="3">
        <v>11.7906324550821</v>
      </c>
      <c r="I118" s="3">
        <v>25.5330190086882</v>
      </c>
      <c r="J118" s="3">
        <v>20.499433416898</v>
      </c>
      <c r="K118" s="3">
        <v>14.5015732874344</v>
      </c>
      <c r="L118" s="3">
        <v>16.340744936281201</v>
      </c>
      <c r="M118" s="3">
        <v>16.474033336327</v>
      </c>
      <c r="N118" s="3">
        <v>9.7083502555219194</v>
      </c>
    </row>
    <row r="119" spans="1:25" x14ac:dyDescent="0.35">
      <c r="A119" s="2">
        <v>45464</v>
      </c>
      <c r="B119" s="3">
        <v>24.295109181332599</v>
      </c>
      <c r="C119" s="3">
        <v>16.859389013139499</v>
      </c>
      <c r="D119" s="3">
        <v>13.7537245325511</v>
      </c>
      <c r="E119" s="3">
        <v>11.6235436863165</v>
      </c>
      <c r="F119" s="3">
        <v>15.116966590349801</v>
      </c>
      <c r="G119" s="3">
        <v>17.216947637097999</v>
      </c>
      <c r="H119" s="3">
        <v>11.4734122800874</v>
      </c>
      <c r="I119" s="3">
        <v>26.543157460166899</v>
      </c>
      <c r="J119" s="3">
        <v>21.026267037494598</v>
      </c>
      <c r="K119" s="3">
        <v>13.609167874432901</v>
      </c>
      <c r="L119" s="3">
        <v>16.443064549658999</v>
      </c>
      <c r="M119" s="3">
        <v>15.9464626588675</v>
      </c>
      <c r="N119" s="3">
        <v>9.3644534458360607</v>
      </c>
    </row>
    <row r="120" spans="1:25" x14ac:dyDescent="0.35">
      <c r="A120" s="2">
        <v>45496</v>
      </c>
      <c r="B120" s="3">
        <v>25.546931060922599</v>
      </c>
      <c r="C120" s="3">
        <v>17.268569501356001</v>
      </c>
      <c r="D120" s="3">
        <v>14.3900131500244</v>
      </c>
      <c r="E120" s="3">
        <v>11.927274331493599</v>
      </c>
      <c r="F120" s="3">
        <v>15.5321552436505</v>
      </c>
      <c r="G120" s="3">
        <v>17.374307034487199</v>
      </c>
      <c r="H120" s="3">
        <v>11.514378973290301</v>
      </c>
      <c r="I120" s="3">
        <v>26.793901712425001</v>
      </c>
      <c r="J120" s="3">
        <v>21.214355762651898</v>
      </c>
      <c r="K120" s="3">
        <v>13.591346419391799</v>
      </c>
      <c r="L120" s="3">
        <v>15.9768347622198</v>
      </c>
      <c r="M120" s="3">
        <v>16.274301479248699</v>
      </c>
      <c r="N120" s="3">
        <v>9.7625315097416507</v>
      </c>
    </row>
    <row r="121" spans="1:25" x14ac:dyDescent="0.35">
      <c r="A121" s="2">
        <v>45527</v>
      </c>
      <c r="B121" s="3">
        <v>26.889399540176701</v>
      </c>
      <c r="C121" s="3">
        <v>17.6774621973255</v>
      </c>
      <c r="D121" s="3">
        <v>14.5668703197216</v>
      </c>
      <c r="E121" s="3">
        <v>11.9331618494449</v>
      </c>
      <c r="F121" s="3">
        <v>14.517148048170201</v>
      </c>
      <c r="G121" s="3">
        <v>17.608559041802302</v>
      </c>
      <c r="H121" s="3">
        <v>11.724079139175799</v>
      </c>
      <c r="I121" s="3">
        <v>26.6457383777154</v>
      </c>
      <c r="J121" s="3">
        <v>21.283921588788299</v>
      </c>
      <c r="K121" s="3">
        <v>13.7500923058189</v>
      </c>
      <c r="L121" s="3">
        <v>15.254824687785</v>
      </c>
      <c r="M121" s="3">
        <v>16.1132278030538</v>
      </c>
      <c r="N121" s="3">
        <v>9.6854334995942395</v>
      </c>
    </row>
    <row r="122" spans="1:25" x14ac:dyDescent="0.35">
      <c r="A122" s="2">
        <v>45554</v>
      </c>
      <c r="B122" s="3">
        <v>24.053155300444399</v>
      </c>
      <c r="C122" s="3">
        <v>18.375063462897501</v>
      </c>
      <c r="D122" s="3">
        <v>15.061603226847099</v>
      </c>
      <c r="E122" s="3">
        <v>12.2068099097259</v>
      </c>
      <c r="F122" s="3">
        <v>13.674559456749099</v>
      </c>
      <c r="G122" s="3">
        <v>17.057813629803601</v>
      </c>
      <c r="H122" s="3">
        <v>11.6388360869661</v>
      </c>
      <c r="I122" s="3">
        <v>26.2381129367776</v>
      </c>
      <c r="J122" s="3">
        <v>21.394503014714001</v>
      </c>
      <c r="K122" s="3">
        <v>13.528371068888999</v>
      </c>
      <c r="L122" s="3">
        <v>15.1001802426334</v>
      </c>
      <c r="M122" s="3">
        <v>15.9514913986572</v>
      </c>
      <c r="N122" s="3">
        <v>9.9865194804019897</v>
      </c>
    </row>
    <row r="124" spans="1:25" x14ac:dyDescent="0.35">
      <c r="A124" s="2" t="s">
        <v>91</v>
      </c>
      <c r="B124" s="3" cm="1">
        <f t="array" ref="B124">MIN(_xlfn._xlws.FILTER(B1:B122, ISNUMBER(B1:B122)))</f>
        <v>17.221566799203199</v>
      </c>
      <c r="C124" s="3" cm="1">
        <f t="array" ref="C124">MIN(_xlfn._xlws.FILTER(C1:C122, ISNUMBER(C1:C122)))</f>
        <v>12.087260282592</v>
      </c>
      <c r="D124" s="3" cm="1">
        <f t="array" ref="D124">MIN(_xlfn._xlws.FILTER(D1:D122, ISNUMBER(D1:D122)))</f>
        <v>10.6945424326529</v>
      </c>
      <c r="E124" s="3" cm="1">
        <f t="array" ref="E124">MIN(_xlfn._xlws.FILTER(E1:E122, ISNUMBER(E1:E122)))</f>
        <v>9.1309871481164997</v>
      </c>
      <c r="F124" s="3" cm="1">
        <f t="array" ref="F124">MIN(_xlfn._xlws.FILTER(F1:F122, ISNUMBER(F1:F122)))</f>
        <v>11.068554444202</v>
      </c>
      <c r="G124" s="3" cm="1">
        <f t="array" ref="G124">MIN(_xlfn._xlws.FILTER(G1:G122, ISNUMBER(G1:G122)))</f>
        <v>13.7101554285641</v>
      </c>
      <c r="H124" s="3" cm="1">
        <f t="array" ref="H124">MIN(_xlfn._xlws.FILTER(H1:H122, ISNUMBER(H1:H122)))</f>
        <v>8.5645725218636404</v>
      </c>
      <c r="I124" s="3" cm="1">
        <f t="array" ref="I124">MIN(_xlfn._xlws.FILTER(I1:I122, ISNUMBER(I1:I122)))</f>
        <v>16.499717384391101</v>
      </c>
      <c r="J124" s="3" cm="1">
        <f t="array" ref="J124">MIN(_xlfn._xlws.FILTER(J1:J122, ISNUMBER(J1:J122)))</f>
        <v>13.1232922582781</v>
      </c>
      <c r="K124" s="3" cm="1">
        <f t="array" ref="K124">MIN(_xlfn._xlws.FILTER(K1:K122, ISNUMBER(K1:K122)))</f>
        <v>10.252344487343599</v>
      </c>
      <c r="L124" s="3" cm="1">
        <f t="array" ref="L124">MIN(_xlfn._xlws.FILTER(L1:L122, ISNUMBER(L1:L122)))</f>
        <v>12.4203419560817</v>
      </c>
      <c r="M124" s="3" cm="1">
        <f t="array" ref="M124">MIN(_xlfn._xlws.FILTER(M1:M122, ISNUMBER(M1:M122)))</f>
        <v>11.841270844814</v>
      </c>
      <c r="N124" s="3" cm="1">
        <f t="array" ref="N124">MIN(_xlfn._xlws.FILTER(N1:N122, ISNUMBER(N1:N122)))</f>
        <v>7.2592238313175299</v>
      </c>
    </row>
    <row r="125" spans="1:25" x14ac:dyDescent="0.35">
      <c r="A125" s="2" t="s">
        <v>92</v>
      </c>
      <c r="B125" s="3" cm="1">
        <f t="array" ref="B125">MAX(_xlfn._xlws.FILTER(B1:B122, ISNUMBER(B1:B122)))</f>
        <v>34.963488364946997</v>
      </c>
      <c r="C125" s="3" cm="1">
        <f t="array" ref="C125">MAX(_xlfn._xlws.FILTER(C1:C122, ISNUMBER(C1:C122)))</f>
        <v>19.6689511888856</v>
      </c>
      <c r="D125" s="3" cm="1">
        <f t="array" ref="D125">MAX(_xlfn._xlws.FILTER(D1:D122, ISNUMBER(D1:D122)))</f>
        <v>18.210501617708498</v>
      </c>
      <c r="E125" s="3" cm="1">
        <f t="array" ref="E125">MAX(_xlfn._xlws.FILTER(E1:E122, ISNUMBER(E1:E122)))</f>
        <v>18.6286178926457</v>
      </c>
      <c r="F125" s="3" cm="1">
        <f t="array" ref="F125">MAX(_xlfn._xlws.FILTER(F1:F122, ISNUMBER(F1:F122)))</f>
        <v>18.662317361610199</v>
      </c>
      <c r="G125" s="3" cm="1">
        <f t="array" ref="G125">MAX(_xlfn._xlws.FILTER(G1:G122, ISNUMBER(G1:G122)))</f>
        <v>20.004724588339201</v>
      </c>
      <c r="H125" s="3" cm="1">
        <f t="array" ref="H125">MAX(_xlfn._xlws.FILTER(H1:H122, ISNUMBER(H1:H122)))</f>
        <v>16.456698931241199</v>
      </c>
      <c r="I125" s="3" cm="1">
        <f t="array" ref="I125">MAX(_xlfn._xlws.FILTER(I1:I122, ISNUMBER(I1:I122)))</f>
        <v>29.988658556643799</v>
      </c>
      <c r="J125" s="3" cm="1">
        <f t="array" ref="J125">MAX(_xlfn._xlws.FILTER(J1:J122, ISNUMBER(J1:J122)))</f>
        <v>22.403997009175001</v>
      </c>
      <c r="K125" s="3" cm="1">
        <f t="array" ref="K125">MAX(_xlfn._xlws.FILTER(K1:K122, ISNUMBER(K1:K122)))</f>
        <v>19.724581540197999</v>
      </c>
      <c r="L125" s="3" cm="1">
        <f t="array" ref="L125">MAX(_xlfn._xlws.FILTER(L1:L122, ISNUMBER(L1:L122)))</f>
        <v>22.3986528801349</v>
      </c>
      <c r="M125" s="3" cm="1">
        <f t="array" ref="M125">MAX(_xlfn._xlws.FILTER(M1:M122, ISNUMBER(M1:M122)))</f>
        <v>19.970058817861698</v>
      </c>
      <c r="N125" s="3" cm="1">
        <f t="array" ref="N125">MAX(_xlfn._xlws.FILTER(N1:N122, ISNUMBER(N1:N122)))</f>
        <v>17.770222424181298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0.63100000000000001</v>
      </c>
      <c r="C127" s="9" cm="1">
        <f t="array" ref="C127">_xlfn.PERCENTRANK.EXC(_xlfn._xlws.FILTER(C1:C122, ISNUMBER(C1:C122)),C122)</f>
        <v>0.91800000000000004</v>
      </c>
      <c r="D127" s="9" cm="1">
        <f t="array" ref="D127">_xlfn.PERCENTRANK.EXC(_xlfn._xlws.FILTER(D1:D122, ISNUMBER(D1:D122)),D122)</f>
        <v>0.59</v>
      </c>
      <c r="E127" s="9" cm="1">
        <f t="array" ref="E127">_xlfn.PERCENTRANK.EXC(_xlfn._xlws.FILTER(E1:E122, ISNUMBER(E1:E122)),E122)</f>
        <v>0.33600000000000002</v>
      </c>
      <c r="F127" s="9" cm="1">
        <f t="array" ref="F127">_xlfn.PERCENTRANK.EXC(_xlfn._xlws.FILTER(F1:F122, ISNUMBER(F1:F122)),F122)</f>
        <v>0.434</v>
      </c>
      <c r="G127" s="9" cm="1">
        <f t="array" ref="G127">_xlfn.PERCENTRANK.EXC(_xlfn._xlws.FILTER(G1:G122, ISNUMBER(G1:G122)),G122)</f>
        <v>0.48299999999999998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0.80300000000000005</v>
      </c>
      <c r="J127" s="9" cm="1">
        <f t="array" ref="J127">_xlfn.PERCENTRANK.EXC(_xlfn._xlws.FILTER(J1:J122, ISNUMBER(J1:J122)),J122)</f>
        <v>0.90100000000000002</v>
      </c>
      <c r="K127" s="9" cm="1">
        <f t="array" ref="K127">_xlfn.PERCENTRANK.EXC(_xlfn._xlws.FILTER(K1:K122, ISNUMBER(K1:K122)),K122)</f>
        <v>0.28599999999999998</v>
      </c>
      <c r="L127" s="9" cm="1">
        <f t="array" ref="L127">_xlfn.PERCENTRANK.EXC(_xlfn._xlws.FILTER(L1:L122, ISNUMBER(L1:L122)),L122)</f>
        <v>0.27</v>
      </c>
      <c r="M127" s="9" cm="1">
        <f t="array" ref="M127">_xlfn.PERCENTRANK.EXC(_xlfn._xlws.FILTER(M1:M122, ISNUMBER(M1:M122)),M122)</f>
        <v>0.54</v>
      </c>
      <c r="N127" s="9" cm="1">
        <f t="array" ref="N127">_xlfn.PERCENTRANK.EXC(_xlfn._xlws.FILTER(N1:N122, ISNUMBER(N1:N122)),N122)</f>
        <v>0.29499999999999998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41905</v>
      </c>
      <c r="B2" s="3" cm="1">
        <f t="array" ref="B2:B122">_xll.FDS(B1,"FMA_DIV_YLD(NTMA,-10AY,0,AM,""PORTAGG"",""MEANR"")")</f>
        <v>4.5531091476467802</v>
      </c>
      <c r="C2" s="3" cm="1">
        <f t="array" ref="C2:C122">_xll.FDS(C1,"FMA_DIV_YLD(NTMA,-10AY,0,AM,""PORTAGG"",""MEANR"")")</f>
        <v>4.9374101163735897</v>
      </c>
      <c r="D2" s="3" cm="1">
        <f t="array" ref="D2:D122">_xll.FDS(D1,"FMA_DIV_YLD(NTMA,-10AY,0,AM,""PORTAGG"",""MEANR"")")</f>
        <v>2.8347062285919802</v>
      </c>
      <c r="E2" s="3" cm="1">
        <f t="array" ref="E2:E122">_xll.FDS(E1,"FMA_DIV_YLD(NTMA,-10AY,0,AM,""PORTAGG"",""MEANR"")")</f>
        <v>3.1464033728862799</v>
      </c>
      <c r="F2" s="3" cm="1">
        <f t="array" ref="F2:F122">_xll.FDS(F1,"FMA_DIV_YLD(NTMA,-10AY,0,AM,""PORTAGG"",""MEANR"")")</f>
        <v>2.0077616676394499</v>
      </c>
      <c r="G2" s="3" cm="1">
        <f t="array" ref="G2:G122">_xll.FDS(G1,"FMA_DIV_YLD(NTMA,-10AY,0,AM,""PORTAGG"",""MEANR"")")</f>
        <v>3.3194308548904199</v>
      </c>
      <c r="H2" s="3" cm="1">
        <f t="array" ref="H2:H122">_xll.FDS(H1,"FMA_DIV_YLD(NTMA,-10AY,0,AM,""PORTAGG"",""MEANR"")")</f>
        <v>3.9926821952015001</v>
      </c>
      <c r="I2" s="3" cm="1">
        <f t="array" ref="I2:I122">_xll.FDS(I1,"FMA_DIV_YLD(NTMA,-10AY,0,AM,""PORTAGG"",""MEANR"")")</f>
        <v>1.2394075969571701</v>
      </c>
      <c r="J2" s="3" cm="1">
        <f t="array" ref="J2:J122">_xll.FDS(J1,"FMA_DIV_YLD(NTMA,-10AY,0,AM,""PORTAGG"",""MEANR"")")</f>
        <v>2.1211340060863502</v>
      </c>
      <c r="K2" s="3" cm="1">
        <f t="array" ref="K2:K122">_xll.FDS(K1,"FMA_DIV_YLD(NTMA,-10AY,0,AM,""PORTAGG"",""MEANR"")")</f>
        <v>3.5922310007379199</v>
      </c>
      <c r="L2" s="3" cm="1">
        <f t="array" ref="L2:L122">_xll.FDS(L1,"FMA_DIV_YLD(NTMA,-10AY,0,AM,""PORTAGG"",""MEANR"")")</f>
        <v>3.0306426051230102</v>
      </c>
      <c r="M2" s="3" cm="1">
        <f t="array" ref="M2:M122">_xll.FDS(M1,"FMA_DIV_YLD(NTMA,-10AY,0,AM,""PORTAGG"",""MEANR"")")</f>
        <v>4.1860478343235998</v>
      </c>
      <c r="N2" s="3" cm="1">
        <f t="array" ref="N2:N122">_xll.FDS(N1,"FMA_DIV_YLD(NTMA,-10AY,0,AM,""PORTAGG"",""MEANR"")")</f>
        <v>3.6528490304476802</v>
      </c>
    </row>
    <row r="3" spans="1:14" x14ac:dyDescent="0.35">
      <c r="A3" s="2">
        <v>41935</v>
      </c>
      <c r="B3" s="3">
        <v>4.5394139212888396</v>
      </c>
      <c r="C3" s="3">
        <v>4.9582304853150498</v>
      </c>
      <c r="D3" s="3">
        <v>2.9981515080323802</v>
      </c>
      <c r="E3" s="3">
        <v>3.3622989026142398</v>
      </c>
      <c r="F3" s="3">
        <v>2.1936827582923399</v>
      </c>
      <c r="G3" s="3">
        <v>3.4280987750579799</v>
      </c>
      <c r="H3" s="3">
        <v>4.1714316430342704</v>
      </c>
      <c r="I3" s="3">
        <v>1.2640887334033599</v>
      </c>
      <c r="J3" s="3">
        <v>2.16984487001189</v>
      </c>
      <c r="K3" s="3">
        <v>3.7635991844201402</v>
      </c>
      <c r="L3" s="3">
        <v>3.21444238893607</v>
      </c>
      <c r="M3" s="3">
        <v>4.33062061384949</v>
      </c>
      <c r="N3" s="3">
        <v>3.9393394410867399</v>
      </c>
    </row>
    <row r="4" spans="1:14" x14ac:dyDescent="0.35">
      <c r="A4" s="2">
        <v>41964</v>
      </c>
      <c r="B4" s="3">
        <v>4.4467815396126298</v>
      </c>
      <c r="C4" s="3">
        <v>5.0609517927799397</v>
      </c>
      <c r="D4" s="3">
        <v>2.8788864804359502</v>
      </c>
      <c r="E4" s="3">
        <v>3.19844048766093</v>
      </c>
      <c r="F4" s="3">
        <v>1.94976065748657</v>
      </c>
      <c r="G4" s="3">
        <v>3.2252628656227902</v>
      </c>
      <c r="H4" s="3">
        <v>4.0098489425665402</v>
      </c>
      <c r="I4" s="3">
        <v>1.2106284882462699</v>
      </c>
      <c r="J4" s="3">
        <v>2.0702891410013602</v>
      </c>
      <c r="K4" s="3">
        <v>3.6022345155720501</v>
      </c>
      <c r="L4" s="3">
        <v>3.0593995590810699</v>
      </c>
      <c r="M4" s="3">
        <v>4.1069809164192801</v>
      </c>
      <c r="N4" s="3">
        <v>3.8501038952860198</v>
      </c>
    </row>
    <row r="5" spans="1:14" x14ac:dyDescent="0.35">
      <c r="A5" s="2">
        <v>41996</v>
      </c>
      <c r="B5" s="3">
        <v>4.4531967725876198</v>
      </c>
      <c r="C5" s="3">
        <v>5.0049914781091198</v>
      </c>
      <c r="D5" s="3">
        <v>2.94548740529246</v>
      </c>
      <c r="E5" s="3">
        <v>3.1503225449617398</v>
      </c>
      <c r="F5" s="3">
        <v>1.9680215707498301</v>
      </c>
      <c r="G5" s="3">
        <v>3.2763659635808899</v>
      </c>
      <c r="H5" s="3">
        <v>4.1208995617617701</v>
      </c>
      <c r="I5" s="3">
        <v>1.21489372339736</v>
      </c>
      <c r="J5" s="3">
        <v>2.0737139681666399</v>
      </c>
      <c r="K5" s="3">
        <v>3.6111537339434698</v>
      </c>
      <c r="L5" s="3">
        <v>3.05082869424285</v>
      </c>
      <c r="M5" s="3">
        <v>4.0787373549510297</v>
      </c>
      <c r="N5" s="3">
        <v>3.9983915410089899</v>
      </c>
    </row>
    <row r="6" spans="1:14" x14ac:dyDescent="0.35">
      <c r="A6" s="2">
        <v>42027</v>
      </c>
      <c r="B6" s="3">
        <v>4.3506900569243898</v>
      </c>
      <c r="C6" s="3">
        <v>4.9169846031877498</v>
      </c>
      <c r="D6" s="3">
        <v>2.9267659757936899</v>
      </c>
      <c r="E6" s="3">
        <v>2.9434121526138801</v>
      </c>
      <c r="F6" s="3">
        <v>2.0077124822145098</v>
      </c>
      <c r="G6" s="3">
        <v>3.4235028158382601</v>
      </c>
      <c r="H6" s="3">
        <v>4.01505478417657</v>
      </c>
      <c r="I6" s="3">
        <v>1.1984880608602499</v>
      </c>
      <c r="J6" s="3">
        <v>2.1222792274928199</v>
      </c>
      <c r="K6" s="3">
        <v>3.3504456097579798</v>
      </c>
      <c r="L6" s="3">
        <v>2.9017891230229602</v>
      </c>
      <c r="M6" s="3">
        <v>3.9178563034658298</v>
      </c>
      <c r="N6" s="3">
        <v>3.81629675964404</v>
      </c>
    </row>
    <row r="7" spans="1:14" x14ac:dyDescent="0.35">
      <c r="A7" s="2">
        <v>42058</v>
      </c>
      <c r="B7" s="3">
        <v>4.3226107039916801</v>
      </c>
      <c r="C7" s="3">
        <v>4.5949630057346704</v>
      </c>
      <c r="D7" s="3">
        <v>2.8571725843269</v>
      </c>
      <c r="E7" s="3">
        <v>2.8333164253099898</v>
      </c>
      <c r="F7" s="3">
        <v>1.9031881066418399</v>
      </c>
      <c r="G7" s="3">
        <v>3.1773037472374299</v>
      </c>
      <c r="H7" s="3">
        <v>3.9234328297890602</v>
      </c>
      <c r="I7" s="3">
        <v>1.2100504742815399</v>
      </c>
      <c r="J7" s="3">
        <v>2.09674685811471</v>
      </c>
      <c r="K7" s="3">
        <v>3.1687736140480598</v>
      </c>
      <c r="L7" s="3">
        <v>2.7545919435305501</v>
      </c>
      <c r="M7" s="3">
        <v>3.6124778139434399</v>
      </c>
      <c r="N7" s="3">
        <v>3.4669379163058101</v>
      </c>
    </row>
    <row r="8" spans="1:14" x14ac:dyDescent="0.35">
      <c r="A8" s="2">
        <v>42086</v>
      </c>
      <c r="B8" s="3">
        <v>4.3503792699939101</v>
      </c>
      <c r="C8" s="3">
        <v>4.5264913030774396</v>
      </c>
      <c r="D8" s="3">
        <v>2.91040245832543</v>
      </c>
      <c r="E8" s="3">
        <v>2.6914785926985298</v>
      </c>
      <c r="F8" s="3">
        <v>1.81554511007332</v>
      </c>
      <c r="G8" s="3">
        <v>3.0576972835997598</v>
      </c>
      <c r="H8" s="3">
        <v>3.8887779475206901</v>
      </c>
      <c r="I8" s="3">
        <v>1.2416811706011299</v>
      </c>
      <c r="J8" s="3">
        <v>2.1530809430202602</v>
      </c>
      <c r="K8" s="3">
        <v>3.1718692995914899</v>
      </c>
      <c r="L8" s="3">
        <v>2.6345926679105398</v>
      </c>
      <c r="M8" s="3">
        <v>3.60708649612282</v>
      </c>
      <c r="N8" s="3">
        <v>3.1168003772430901</v>
      </c>
    </row>
    <row r="9" spans="1:14" x14ac:dyDescent="0.35">
      <c r="A9" s="2">
        <v>42117</v>
      </c>
      <c r="B9" s="3">
        <v>4.51494617179514</v>
      </c>
      <c r="C9" s="3">
        <v>4.6493552951893804</v>
      </c>
      <c r="D9" s="3">
        <v>2.8059559678604198</v>
      </c>
      <c r="E9" s="3">
        <v>2.7657215450883101</v>
      </c>
      <c r="F9" s="3">
        <v>1.80721524352469</v>
      </c>
      <c r="G9" s="3">
        <v>3.0303382151368399</v>
      </c>
      <c r="H9" s="3">
        <v>3.8683483153107598</v>
      </c>
      <c r="I9" s="3">
        <v>1.2409768551081399</v>
      </c>
      <c r="J9" s="3">
        <v>2.1433218355388899</v>
      </c>
      <c r="K9" s="3">
        <v>3.1193660255156099</v>
      </c>
      <c r="L9" s="3">
        <v>2.64563939652164</v>
      </c>
      <c r="M9" s="3">
        <v>3.6372507946955102</v>
      </c>
      <c r="N9" s="3">
        <v>3.15605517259463</v>
      </c>
    </row>
    <row r="10" spans="1:14" x14ac:dyDescent="0.35">
      <c r="A10" s="2">
        <v>42146</v>
      </c>
      <c r="B10" s="3">
        <v>4.44951151059003</v>
      </c>
      <c r="C10" s="3">
        <v>4.8027166929123801</v>
      </c>
      <c r="D10" s="3">
        <v>2.8594916707758502</v>
      </c>
      <c r="E10" s="3">
        <v>2.82898315427654</v>
      </c>
      <c r="F10" s="3">
        <v>1.8443584392827299</v>
      </c>
      <c r="G10" s="3">
        <v>3.0682654067812698</v>
      </c>
      <c r="H10" s="3">
        <v>3.8589880639729301</v>
      </c>
      <c r="I10" s="3">
        <v>1.2314825678775601</v>
      </c>
      <c r="J10" s="3">
        <v>2.13970438174093</v>
      </c>
      <c r="K10" s="3">
        <v>3.21161531632873</v>
      </c>
      <c r="L10" s="3">
        <v>2.76650990742489</v>
      </c>
      <c r="M10" s="3">
        <v>3.7787793882945899</v>
      </c>
      <c r="N10" s="3">
        <v>3.1290974998592098</v>
      </c>
    </row>
    <row r="11" spans="1:14" x14ac:dyDescent="0.35">
      <c r="A11" s="2">
        <v>42178</v>
      </c>
      <c r="B11" s="3">
        <v>4.5302299266506596</v>
      </c>
      <c r="C11" s="3">
        <v>4.7734395000908902</v>
      </c>
      <c r="D11" s="3">
        <v>2.9284592249308901</v>
      </c>
      <c r="E11" s="3">
        <v>2.92897248633833</v>
      </c>
      <c r="F11" s="3">
        <v>1.8581870618517899</v>
      </c>
      <c r="G11" s="3">
        <v>3.1691234846475802</v>
      </c>
      <c r="H11" s="3">
        <v>3.9815492175188898</v>
      </c>
      <c r="I11" s="3">
        <v>1.2317195809510999</v>
      </c>
      <c r="J11" s="3">
        <v>2.1487477297932398</v>
      </c>
      <c r="K11" s="3">
        <v>3.2684400423612199</v>
      </c>
      <c r="L11" s="3">
        <v>2.82642158448111</v>
      </c>
      <c r="M11" s="3">
        <v>3.8774312132518398</v>
      </c>
      <c r="N11" s="3">
        <v>3.2335205385537402</v>
      </c>
    </row>
    <row r="12" spans="1:14" x14ac:dyDescent="0.35">
      <c r="A12" s="2">
        <v>42208</v>
      </c>
      <c r="B12" s="3">
        <v>4.5638989306092803</v>
      </c>
      <c r="C12" s="3">
        <v>4.9037231534913701</v>
      </c>
      <c r="D12" s="3">
        <v>3.1231589305653298</v>
      </c>
      <c r="E12" s="3">
        <v>2.9625571137159801</v>
      </c>
      <c r="F12" s="3">
        <v>1.8971865943219599</v>
      </c>
      <c r="G12" s="3">
        <v>3.1188244786910801</v>
      </c>
      <c r="H12" s="3">
        <v>4.1517286625259997</v>
      </c>
      <c r="I12" s="3">
        <v>1.2355407667988401</v>
      </c>
      <c r="J12" s="3">
        <v>2.1824590135122901</v>
      </c>
      <c r="K12" s="3">
        <v>3.2669703114639099</v>
      </c>
      <c r="L12" s="3">
        <v>2.8298185716171198</v>
      </c>
      <c r="M12" s="3">
        <v>3.92904840611904</v>
      </c>
      <c r="N12" s="3">
        <v>3.1864682934572102</v>
      </c>
    </row>
    <row r="13" spans="1:14" x14ac:dyDescent="0.35">
      <c r="A13" s="2">
        <v>42237</v>
      </c>
      <c r="B13" s="3">
        <v>4.88614810134764</v>
      </c>
      <c r="C13" s="3">
        <v>5.2632056488561298</v>
      </c>
      <c r="D13" s="3">
        <v>3.2535545545539102</v>
      </c>
      <c r="E13" s="3">
        <v>3.3655124006997399</v>
      </c>
      <c r="F13" s="3">
        <v>2.02094644491183</v>
      </c>
      <c r="G13" s="3">
        <v>3.30792559169902</v>
      </c>
      <c r="H13" s="3">
        <v>4.3999324137163303</v>
      </c>
      <c r="I13" s="3">
        <v>1.3858506330643301</v>
      </c>
      <c r="J13" s="3">
        <v>2.3485441227024402</v>
      </c>
      <c r="K13" s="3">
        <v>3.6143775886128999</v>
      </c>
      <c r="L13" s="3">
        <v>3.4260070410144601</v>
      </c>
      <c r="M13" s="3">
        <v>4.3028886145470304</v>
      </c>
      <c r="N13" s="3">
        <v>3.3985166039241599</v>
      </c>
    </row>
    <row r="14" spans="1:14" x14ac:dyDescent="0.35">
      <c r="A14" s="2">
        <v>42270</v>
      </c>
      <c r="B14" s="3">
        <v>5.1733629115929602</v>
      </c>
      <c r="C14" s="3">
        <v>5.5382182465568102</v>
      </c>
      <c r="D14" s="3">
        <v>3.2931362052945201</v>
      </c>
      <c r="E14" s="3">
        <v>3.50877289130666</v>
      </c>
      <c r="F14" s="3">
        <v>2.1862404411040801</v>
      </c>
      <c r="G14" s="3">
        <v>3.47913379731256</v>
      </c>
      <c r="H14" s="3">
        <v>4.5123739156321703</v>
      </c>
      <c r="I14" s="3">
        <v>1.3677177559284699</v>
      </c>
      <c r="J14" s="3">
        <v>2.4008815641308998</v>
      </c>
      <c r="K14" s="3">
        <v>3.79221335061749</v>
      </c>
      <c r="L14" s="3">
        <v>3.5927208446933401</v>
      </c>
      <c r="M14" s="3">
        <v>4.5490652203263604</v>
      </c>
      <c r="N14" s="3">
        <v>3.5656296268020999</v>
      </c>
    </row>
    <row r="15" spans="1:14" x14ac:dyDescent="0.35">
      <c r="A15" s="2">
        <v>42300</v>
      </c>
      <c r="B15" s="3">
        <v>4.9358113400972998</v>
      </c>
      <c r="C15" s="3">
        <v>5.1067354812866004</v>
      </c>
      <c r="D15" s="3">
        <v>3.1634316151195199</v>
      </c>
      <c r="E15" s="3">
        <v>3.1124305602853601</v>
      </c>
      <c r="F15" s="3">
        <v>2.0628587886218601</v>
      </c>
      <c r="G15" s="3">
        <v>3.2727044039513098</v>
      </c>
      <c r="H15" s="3">
        <v>4.2025776653359301</v>
      </c>
      <c r="I15" s="3">
        <v>1.2769530903255399</v>
      </c>
      <c r="J15" s="3">
        <v>2.2517517781544698</v>
      </c>
      <c r="K15" s="3">
        <v>3.4113664252501601</v>
      </c>
      <c r="L15" s="3">
        <v>3.2551028156033799</v>
      </c>
      <c r="M15" s="3">
        <v>4.1980019255664498</v>
      </c>
      <c r="N15" s="3">
        <v>3.49763919995114</v>
      </c>
    </row>
    <row r="16" spans="1:14" x14ac:dyDescent="0.35">
      <c r="A16" s="2">
        <v>42331</v>
      </c>
      <c r="B16" s="3">
        <v>4.8545713494806497</v>
      </c>
      <c r="C16" s="3">
        <v>5.1821534017672999</v>
      </c>
      <c r="D16" s="3">
        <v>3.3051129566421098</v>
      </c>
      <c r="E16" s="3">
        <v>2.9290606496016598</v>
      </c>
      <c r="F16" s="3">
        <v>2.0010685498442302</v>
      </c>
      <c r="G16" s="3">
        <v>3.2539025553126399</v>
      </c>
      <c r="H16" s="3">
        <v>4.2462813822332803</v>
      </c>
      <c r="I16" s="3">
        <v>1.27727931885115</v>
      </c>
      <c r="J16" s="3">
        <v>2.2724503087492098</v>
      </c>
      <c r="K16" s="3">
        <v>3.4387675009858798</v>
      </c>
      <c r="L16" s="3">
        <v>3.15447633753472</v>
      </c>
      <c r="M16" s="3">
        <v>4.1572066027099197</v>
      </c>
      <c r="N16" s="3">
        <v>3.6096486161890602</v>
      </c>
    </row>
    <row r="17" spans="1:14" x14ac:dyDescent="0.35">
      <c r="A17" s="2">
        <v>42361</v>
      </c>
      <c r="B17" s="3">
        <v>4.8203588496387804</v>
      </c>
      <c r="C17" s="3">
        <v>5.27812404389993</v>
      </c>
      <c r="D17" s="3">
        <v>3.3135476495633598</v>
      </c>
      <c r="E17" s="3">
        <v>3.0400976614899502</v>
      </c>
      <c r="F17" s="3">
        <v>2.1078252031815601</v>
      </c>
      <c r="G17" s="3">
        <v>3.2971138492245302</v>
      </c>
      <c r="H17" s="3">
        <v>4.2984127683704898</v>
      </c>
      <c r="I17" s="3">
        <v>1.2873878536518599</v>
      </c>
      <c r="J17" s="3">
        <v>2.2896081173087599</v>
      </c>
      <c r="K17" s="3">
        <v>3.5794863689024399</v>
      </c>
      <c r="L17" s="3">
        <v>3.2778594548268498</v>
      </c>
      <c r="M17" s="3">
        <v>4.3161673209135403</v>
      </c>
      <c r="N17" s="3">
        <v>3.8085068690383101</v>
      </c>
    </row>
    <row r="18" spans="1:14" x14ac:dyDescent="0.35">
      <c r="A18" s="2">
        <v>42391</v>
      </c>
      <c r="B18" s="3">
        <v>4.8899632231378103</v>
      </c>
      <c r="C18" s="3">
        <v>5.28486698917495</v>
      </c>
      <c r="D18" s="3">
        <v>3.5344697029035199</v>
      </c>
      <c r="E18" s="3">
        <v>3.3524956764469298</v>
      </c>
      <c r="F18" s="3">
        <v>2.3687997943763599</v>
      </c>
      <c r="G18" s="3">
        <v>3.5213110590315502</v>
      </c>
      <c r="H18" s="3">
        <v>4.53598417785118</v>
      </c>
      <c r="I18" s="3">
        <v>1.3624006736880201</v>
      </c>
      <c r="J18" s="3">
        <v>2.49307720186843</v>
      </c>
      <c r="K18" s="3">
        <v>3.8565653813830401</v>
      </c>
      <c r="L18" s="3">
        <v>3.2959410830093301</v>
      </c>
      <c r="M18" s="3">
        <v>4.5464179539060501</v>
      </c>
      <c r="N18" s="3">
        <v>4.3485598821615499</v>
      </c>
    </row>
    <row r="19" spans="1:14" x14ac:dyDescent="0.35">
      <c r="A19" s="2">
        <v>42423</v>
      </c>
      <c r="B19" s="3">
        <v>4.8784114846206803</v>
      </c>
      <c r="C19" s="3">
        <v>4.9327933043404197</v>
      </c>
      <c r="D19" s="3">
        <v>3.3585532979357899</v>
      </c>
      <c r="E19" s="3">
        <v>3.49409758213559</v>
      </c>
      <c r="F19" s="3">
        <v>2.5064566097927399</v>
      </c>
      <c r="G19" s="3">
        <v>3.56518192710416</v>
      </c>
      <c r="H19" s="3">
        <v>4.5929536269236602</v>
      </c>
      <c r="I19" s="3">
        <v>1.4254410473720001</v>
      </c>
      <c r="J19" s="3">
        <v>2.4518202590146898</v>
      </c>
      <c r="K19" s="3">
        <v>3.9056460899288998</v>
      </c>
      <c r="L19" s="3">
        <v>3.4511109755994398</v>
      </c>
      <c r="M19" s="3">
        <v>4.3859855524477904</v>
      </c>
      <c r="N19" s="3">
        <v>4.6473255246590996</v>
      </c>
    </row>
    <row r="20" spans="1:14" x14ac:dyDescent="0.35">
      <c r="A20" s="2">
        <v>42452</v>
      </c>
      <c r="B20" s="3">
        <v>4.6143667776414397</v>
      </c>
      <c r="C20" s="3">
        <v>4.76267805143278</v>
      </c>
      <c r="D20" s="3">
        <v>3.17085417577184</v>
      </c>
      <c r="E20" s="3">
        <v>3.2732594003526998</v>
      </c>
      <c r="F20" s="3">
        <v>2.3704082934341</v>
      </c>
      <c r="G20" s="3">
        <v>3.5106849046383899</v>
      </c>
      <c r="H20" s="3">
        <v>4.3698689391699403</v>
      </c>
      <c r="I20" s="3">
        <v>1.35595576696635</v>
      </c>
      <c r="J20" s="3">
        <v>2.4751977345461702</v>
      </c>
      <c r="K20" s="3">
        <v>3.7450085685913899</v>
      </c>
      <c r="L20" s="3">
        <v>3.2770275041469001</v>
      </c>
      <c r="M20" s="3">
        <v>4.38072184226227</v>
      </c>
      <c r="N20" s="3">
        <v>4.2846996611736001</v>
      </c>
    </row>
    <row r="21" spans="1:14" x14ac:dyDescent="0.35">
      <c r="A21" s="2">
        <v>42482</v>
      </c>
      <c r="B21" s="3">
        <v>4.5377029065609698</v>
      </c>
      <c r="C21" s="3">
        <v>4.6698396729495402</v>
      </c>
      <c r="D21" s="3">
        <v>3.0613651877452899</v>
      </c>
      <c r="E21" s="3">
        <v>3.1778552515695599</v>
      </c>
      <c r="F21" s="3">
        <v>2.27952908265617</v>
      </c>
      <c r="G21" s="3">
        <v>3.46094652630229</v>
      </c>
      <c r="H21" s="3">
        <v>4.2369864637188304</v>
      </c>
      <c r="I21" s="3">
        <v>1.3466155721765101</v>
      </c>
      <c r="J21" s="3">
        <v>2.2917987413403398</v>
      </c>
      <c r="K21" s="3">
        <v>3.6364359708952398</v>
      </c>
      <c r="L21" s="3">
        <v>3.27059212363242</v>
      </c>
      <c r="M21" s="3">
        <v>4.2400890235059503</v>
      </c>
      <c r="N21" s="3">
        <v>4.2942949509045398</v>
      </c>
    </row>
    <row r="22" spans="1:14" x14ac:dyDescent="0.35">
      <c r="A22" s="2">
        <v>42513</v>
      </c>
      <c r="B22" s="3">
        <v>4.48835413066341</v>
      </c>
      <c r="C22" s="3">
        <v>4.6183614671947897</v>
      </c>
      <c r="D22" s="3">
        <v>3.0718320601450202</v>
      </c>
      <c r="E22" s="3">
        <v>3.3978199631532999</v>
      </c>
      <c r="F22" s="3">
        <v>2.38879356556345</v>
      </c>
      <c r="G22" s="3">
        <v>3.5213812620153799</v>
      </c>
      <c r="H22" s="3">
        <v>4.3746656988788999</v>
      </c>
      <c r="I22" s="3">
        <v>1.39230833136218</v>
      </c>
      <c r="J22" s="3">
        <v>2.2927014117324598</v>
      </c>
      <c r="K22" s="3">
        <v>3.81900862728794</v>
      </c>
      <c r="L22" s="3">
        <v>3.4051012576149402</v>
      </c>
      <c r="M22" s="3">
        <v>4.4661296773319403</v>
      </c>
      <c r="N22" s="3">
        <v>4.6765215844857604</v>
      </c>
    </row>
    <row r="23" spans="1:14" x14ac:dyDescent="0.35">
      <c r="A23" s="2">
        <v>42544</v>
      </c>
      <c r="B23" s="3">
        <v>4.4824843852659999</v>
      </c>
      <c r="C23" s="3">
        <v>4.62152527766996</v>
      </c>
      <c r="D23" s="3">
        <v>3.04394974529828</v>
      </c>
      <c r="E23" s="3">
        <v>3.3010563492892899</v>
      </c>
      <c r="F23" s="3">
        <v>2.42726494512101</v>
      </c>
      <c r="G23" s="3">
        <v>3.5029232307154001</v>
      </c>
      <c r="H23" s="3">
        <v>4.1802118923961302</v>
      </c>
      <c r="I23" s="3">
        <v>1.34686153834582</v>
      </c>
      <c r="J23" s="3">
        <v>2.2643249767876399</v>
      </c>
      <c r="K23" s="3">
        <v>3.72176957371452</v>
      </c>
      <c r="L23" s="3">
        <v>3.2033571286097202</v>
      </c>
      <c r="M23" s="3">
        <v>4.3900846140539702</v>
      </c>
      <c r="N23" s="3">
        <v>4.5747920252362402</v>
      </c>
    </row>
    <row r="24" spans="1:14" x14ac:dyDescent="0.35">
      <c r="A24" s="2">
        <v>42573</v>
      </c>
      <c r="B24" s="3">
        <v>4.1965966837469004</v>
      </c>
      <c r="C24" s="3">
        <v>4.4684196200142701</v>
      </c>
      <c r="D24" s="3">
        <v>2.9844959005648599</v>
      </c>
      <c r="E24" s="3">
        <v>3.3233951873721699</v>
      </c>
      <c r="F24" s="3">
        <v>2.3686927227919599</v>
      </c>
      <c r="G24" s="3">
        <v>3.49176882075961</v>
      </c>
      <c r="H24" s="3">
        <v>4.13637929296537</v>
      </c>
      <c r="I24" s="3">
        <v>1.3069929133804199</v>
      </c>
      <c r="J24" s="3">
        <v>2.20901730113117</v>
      </c>
      <c r="K24" s="3">
        <v>3.7814419610914398</v>
      </c>
      <c r="L24" s="3">
        <v>3.2007432255470301</v>
      </c>
      <c r="M24" s="3">
        <v>4.3416178574587798</v>
      </c>
      <c r="N24" s="3">
        <v>4.7465585994739001</v>
      </c>
    </row>
    <row r="25" spans="1:14" x14ac:dyDescent="0.35">
      <c r="A25" s="2">
        <v>42605</v>
      </c>
      <c r="B25" s="3">
        <v>4.0837772545740201</v>
      </c>
      <c r="C25" s="3">
        <v>4.42723194286138</v>
      </c>
      <c r="D25" s="3">
        <v>2.93654362927475</v>
      </c>
      <c r="E25" s="3">
        <v>3.1783257225156998</v>
      </c>
      <c r="F25" s="3">
        <v>2.4230729955518502</v>
      </c>
      <c r="G25" s="3">
        <v>3.4403420831202798</v>
      </c>
      <c r="H25" s="3">
        <v>4.0606750058197099</v>
      </c>
      <c r="I25" s="3">
        <v>1.2740692800884701</v>
      </c>
      <c r="J25" s="3">
        <v>2.2027213414962401</v>
      </c>
      <c r="K25" s="3">
        <v>3.7336996043453401</v>
      </c>
      <c r="L25" s="3">
        <v>3.14299746259573</v>
      </c>
      <c r="M25" s="3">
        <v>4.2478431846846902</v>
      </c>
      <c r="N25" s="3">
        <v>4.7520819388948201</v>
      </c>
    </row>
    <row r="26" spans="1:14" x14ac:dyDescent="0.35">
      <c r="A26" s="2">
        <v>42636</v>
      </c>
      <c r="B26" s="3">
        <v>4.3428750340453401</v>
      </c>
      <c r="C26" s="3">
        <v>4.5372410808852699</v>
      </c>
      <c r="D26" s="3">
        <v>2.9424387759138799</v>
      </c>
      <c r="E26" s="3">
        <v>3.1683569761613901</v>
      </c>
      <c r="F26" s="3">
        <v>2.3598460070054199</v>
      </c>
      <c r="G26" s="3">
        <v>3.4462033423841301</v>
      </c>
      <c r="H26" s="3">
        <v>4.1474817649815501</v>
      </c>
      <c r="I26" s="3">
        <v>1.26241115140254</v>
      </c>
      <c r="J26" s="3">
        <v>2.2225712719348598</v>
      </c>
      <c r="K26" s="3">
        <v>3.6842163004910602</v>
      </c>
      <c r="L26" s="3">
        <v>3.1254579529183601</v>
      </c>
      <c r="M26" s="3">
        <v>4.1921919557388403</v>
      </c>
      <c r="N26" s="3">
        <v>4.9481631175723297</v>
      </c>
    </row>
    <row r="27" spans="1:14" x14ac:dyDescent="0.35">
      <c r="A27" s="2">
        <v>42664</v>
      </c>
      <c r="B27" s="3">
        <v>4.5715078705834902</v>
      </c>
      <c r="C27" s="3">
        <v>4.5518764372082003</v>
      </c>
      <c r="D27" s="3">
        <v>2.9008015804059202</v>
      </c>
      <c r="E27" s="3">
        <v>3.1245063872905798</v>
      </c>
      <c r="F27" s="3">
        <v>2.3427979782150401</v>
      </c>
      <c r="G27" s="3">
        <v>3.56742675198337</v>
      </c>
      <c r="H27" s="3">
        <v>4.2857418100981004</v>
      </c>
      <c r="I27" s="3">
        <v>1.2643850235768299</v>
      </c>
      <c r="J27" s="3">
        <v>2.2547527816933299</v>
      </c>
      <c r="K27" s="3">
        <v>3.6933423049780698</v>
      </c>
      <c r="L27" s="3">
        <v>3.0904866562335398</v>
      </c>
      <c r="M27" s="3">
        <v>4.0473304171673199</v>
      </c>
      <c r="N27" s="3">
        <v>4.7867254211201402</v>
      </c>
    </row>
    <row r="28" spans="1:14" x14ac:dyDescent="0.35">
      <c r="A28" s="2">
        <v>42697</v>
      </c>
      <c r="B28" s="3">
        <v>4.63070219658431</v>
      </c>
      <c r="C28" s="3">
        <v>4.5246409803732002</v>
      </c>
      <c r="D28" s="3">
        <v>2.8644515974657101</v>
      </c>
      <c r="E28" s="3">
        <v>3.1828128247121601</v>
      </c>
      <c r="F28" s="3">
        <v>2.2229080857479402</v>
      </c>
      <c r="G28" s="3">
        <v>3.71570740641548</v>
      </c>
      <c r="H28" s="3">
        <v>4.4049855625143897</v>
      </c>
      <c r="I28" s="3">
        <v>1.28308332718408</v>
      </c>
      <c r="J28" s="3">
        <v>2.2071447825286601</v>
      </c>
      <c r="K28" s="3">
        <v>3.71468985557711</v>
      </c>
      <c r="L28" s="3">
        <v>3.1219184415985901</v>
      </c>
      <c r="M28" s="3">
        <v>4.0260789078264603</v>
      </c>
      <c r="N28" s="3">
        <v>4.8422246081071796</v>
      </c>
    </row>
    <row r="29" spans="1:14" x14ac:dyDescent="0.35">
      <c r="A29" s="2">
        <v>42727</v>
      </c>
      <c r="B29" s="3">
        <v>4.6234163628462097</v>
      </c>
      <c r="C29" s="3">
        <v>4.5521015852438902</v>
      </c>
      <c r="D29" s="3">
        <v>2.8279942057862799</v>
      </c>
      <c r="E29" s="3">
        <v>2.9775400117845998</v>
      </c>
      <c r="F29" s="3">
        <v>2.08698233178538</v>
      </c>
      <c r="G29" s="3">
        <v>3.5618394533184001</v>
      </c>
      <c r="H29" s="3">
        <v>4.3271118851949799</v>
      </c>
      <c r="I29" s="3">
        <v>1.28091086044344</v>
      </c>
      <c r="J29" s="3">
        <v>2.1627780225858499</v>
      </c>
      <c r="K29" s="3">
        <v>3.4865564133811602</v>
      </c>
      <c r="L29" s="3">
        <v>2.95868088927089</v>
      </c>
      <c r="M29" s="3">
        <v>3.8854000350412798</v>
      </c>
      <c r="N29" s="3">
        <v>4.2693992104535203</v>
      </c>
    </row>
    <row r="30" spans="1:14" x14ac:dyDescent="0.35">
      <c r="A30" s="2">
        <v>42758</v>
      </c>
      <c r="B30" s="3">
        <v>4.5179839487727396</v>
      </c>
      <c r="C30" s="3">
        <v>4.5661081631665903</v>
      </c>
      <c r="D30" s="3">
        <v>2.8186718256268399</v>
      </c>
      <c r="E30" s="3">
        <v>2.9644918262408599</v>
      </c>
      <c r="F30" s="3">
        <v>2.1486080561442402</v>
      </c>
      <c r="G30" s="3">
        <v>3.53184550798718</v>
      </c>
      <c r="H30" s="3">
        <v>4.2972804168697003</v>
      </c>
      <c r="I30" s="3">
        <v>1.25485025150218</v>
      </c>
      <c r="J30" s="3">
        <v>2.1755796669227401</v>
      </c>
      <c r="K30" s="3">
        <v>3.4779326139264199</v>
      </c>
      <c r="L30" s="3">
        <v>2.97674578450252</v>
      </c>
      <c r="M30" s="3">
        <v>3.8992887730794301</v>
      </c>
      <c r="N30" s="3">
        <v>4.3519572162519999</v>
      </c>
    </row>
    <row r="31" spans="1:14" x14ac:dyDescent="0.35">
      <c r="A31" s="2">
        <v>42789</v>
      </c>
      <c r="B31" s="3">
        <v>4.5896714541512598</v>
      </c>
      <c r="C31" s="3">
        <v>4.5024086844069702</v>
      </c>
      <c r="D31" s="3">
        <v>2.8011235549155402</v>
      </c>
      <c r="E31" s="3">
        <v>2.9194593295957101</v>
      </c>
      <c r="F31" s="3">
        <v>2.1281091095609801</v>
      </c>
      <c r="G31" s="3">
        <v>3.3672457374057299</v>
      </c>
      <c r="H31" s="3">
        <v>4.2715577622608398</v>
      </c>
      <c r="I31" s="3">
        <v>1.2219741794254599</v>
      </c>
      <c r="J31" s="3">
        <v>2.10637837461634</v>
      </c>
      <c r="K31" s="3">
        <v>3.48412178977433</v>
      </c>
      <c r="L31" s="3">
        <v>2.8543404246636599</v>
      </c>
      <c r="M31" s="3">
        <v>3.6002839142152698</v>
      </c>
      <c r="N31" s="3">
        <v>4.3383896207197097</v>
      </c>
    </row>
    <row r="32" spans="1:14" x14ac:dyDescent="0.35">
      <c r="A32" s="2">
        <v>42817</v>
      </c>
      <c r="B32" s="3">
        <v>4.6695513967606397</v>
      </c>
      <c r="C32" s="3">
        <v>4.6356804005557199</v>
      </c>
      <c r="D32" s="3">
        <v>2.93354740851577</v>
      </c>
      <c r="E32" s="3">
        <v>2.9641292504693699</v>
      </c>
      <c r="F32" s="3">
        <v>2.1899127659018598</v>
      </c>
      <c r="G32" s="3">
        <v>3.3461911664008199</v>
      </c>
      <c r="H32" s="3">
        <v>4.3089046456917401</v>
      </c>
      <c r="I32" s="3">
        <v>1.22174800988413</v>
      </c>
      <c r="J32" s="3">
        <v>2.12559273740343</v>
      </c>
      <c r="K32" s="3">
        <v>3.4055963791570201</v>
      </c>
      <c r="L32" s="3">
        <v>2.7802913904123199</v>
      </c>
      <c r="M32" s="3">
        <v>3.6508429282247001</v>
      </c>
      <c r="N32" s="3">
        <v>3.9647620896870999</v>
      </c>
    </row>
    <row r="33" spans="1:14" x14ac:dyDescent="0.35">
      <c r="A33" s="2">
        <v>42846</v>
      </c>
      <c r="B33" s="3">
        <v>4.5935189746121203</v>
      </c>
      <c r="C33" s="3">
        <v>4.5308818477163397</v>
      </c>
      <c r="D33" s="3">
        <v>2.9223114611682899</v>
      </c>
      <c r="E33" s="3">
        <v>2.9681631043319099</v>
      </c>
      <c r="F33" s="3">
        <v>2.27189414492703</v>
      </c>
      <c r="G33" s="3">
        <v>3.4521810116621099</v>
      </c>
      <c r="H33" s="3">
        <v>4.4429152512278103</v>
      </c>
      <c r="I33" s="3">
        <v>1.2139971852117299</v>
      </c>
      <c r="J33" s="3">
        <v>2.1375227291058101</v>
      </c>
      <c r="K33" s="3">
        <v>3.3979266813409099</v>
      </c>
      <c r="L33" s="3">
        <v>2.7755333388915502</v>
      </c>
      <c r="M33" s="3">
        <v>3.6693431995930901</v>
      </c>
      <c r="N33" s="3">
        <v>4.0730728164472598</v>
      </c>
    </row>
    <row r="34" spans="1:14" x14ac:dyDescent="0.35">
      <c r="A34" s="2">
        <v>42878</v>
      </c>
      <c r="B34" s="3">
        <v>4.4801216131184498</v>
      </c>
      <c r="C34" s="3">
        <v>4.6251635568819998</v>
      </c>
      <c r="D34" s="3">
        <v>2.9107596804131699</v>
      </c>
      <c r="E34" s="3">
        <v>2.92027259935925</v>
      </c>
      <c r="F34" s="3">
        <v>2.1971251071920999</v>
      </c>
      <c r="G34" s="3">
        <v>3.2765629826161402</v>
      </c>
      <c r="H34" s="3">
        <v>4.2302131918596899</v>
      </c>
      <c r="I34" s="3">
        <v>1.1732292490929701</v>
      </c>
      <c r="J34" s="3">
        <v>2.1080210975240998</v>
      </c>
      <c r="K34" s="3">
        <v>3.2303111319206899</v>
      </c>
      <c r="L34" s="3">
        <v>2.7278682933814999</v>
      </c>
      <c r="M34" s="3">
        <v>3.36326036313775</v>
      </c>
      <c r="N34" s="3">
        <v>3.7985807199226902</v>
      </c>
    </row>
    <row r="35" spans="1:14" x14ac:dyDescent="0.35">
      <c r="A35" s="2">
        <v>42909</v>
      </c>
      <c r="B35" s="3">
        <v>4.3818758636795598</v>
      </c>
      <c r="C35" s="3">
        <v>4.6636521743120403</v>
      </c>
      <c r="D35" s="3">
        <v>3.0219944733474602</v>
      </c>
      <c r="E35" s="3">
        <v>2.9361897160913499</v>
      </c>
      <c r="F35" s="3">
        <v>2.1662447152842899</v>
      </c>
      <c r="G35" s="3">
        <v>3.2461137441822401</v>
      </c>
      <c r="H35" s="3">
        <v>4.3180254695317197</v>
      </c>
      <c r="I35" s="3">
        <v>1.16417135680229</v>
      </c>
      <c r="J35" s="3">
        <v>2.0861135716300399</v>
      </c>
      <c r="K35" s="3">
        <v>3.2904209705147598</v>
      </c>
      <c r="L35" s="3">
        <v>2.7539249021917298</v>
      </c>
      <c r="M35" s="3">
        <v>3.5069923151870399</v>
      </c>
      <c r="N35" s="3">
        <v>3.8194108471733998</v>
      </c>
    </row>
    <row r="36" spans="1:14" x14ac:dyDescent="0.35">
      <c r="A36" s="2">
        <v>42937</v>
      </c>
      <c r="B36" s="3">
        <v>4.39712922437836</v>
      </c>
      <c r="C36" s="3">
        <v>4.5868000005944598</v>
      </c>
      <c r="D36" s="3">
        <v>3.03561985105312</v>
      </c>
      <c r="E36" s="3">
        <v>3.0591642141120499</v>
      </c>
      <c r="F36" s="3">
        <v>2.1562464391701202</v>
      </c>
      <c r="G36" s="3">
        <v>3.2843274916560699</v>
      </c>
      <c r="H36" s="3">
        <v>4.2634775759024199</v>
      </c>
      <c r="I36" s="3">
        <v>1.1640004036387499</v>
      </c>
      <c r="J36" s="3">
        <v>2.0819204632530099</v>
      </c>
      <c r="K36" s="3">
        <v>3.3806601087714401</v>
      </c>
      <c r="L36" s="3">
        <v>2.76895855549758</v>
      </c>
      <c r="M36" s="3">
        <v>3.6647192228405401</v>
      </c>
      <c r="N36" s="3">
        <v>3.80310760004875</v>
      </c>
    </row>
    <row r="37" spans="1:14" x14ac:dyDescent="0.35">
      <c r="A37" s="2">
        <v>42970</v>
      </c>
      <c r="B37" s="3">
        <v>4.2643809625742302</v>
      </c>
      <c r="C37" s="3">
        <v>4.5650121336895797</v>
      </c>
      <c r="D37" s="3">
        <v>3.0748691059090199</v>
      </c>
      <c r="E37" s="3">
        <v>3.1190506504803701</v>
      </c>
      <c r="F37" s="3">
        <v>2.21905425665889</v>
      </c>
      <c r="G37" s="3">
        <v>3.3123384391944102</v>
      </c>
      <c r="H37" s="3">
        <v>4.3704797830261102</v>
      </c>
      <c r="I37" s="3">
        <v>1.18703149893712</v>
      </c>
      <c r="J37" s="3">
        <v>2.1180376880406402</v>
      </c>
      <c r="K37" s="3">
        <v>3.4123551331556001</v>
      </c>
      <c r="L37" s="3">
        <v>2.81551691509677</v>
      </c>
      <c r="M37" s="3">
        <v>3.7682018222390199</v>
      </c>
      <c r="N37" s="3">
        <v>3.7903771970772602</v>
      </c>
    </row>
    <row r="38" spans="1:14" x14ac:dyDescent="0.35">
      <c r="A38" s="2">
        <v>43000</v>
      </c>
      <c r="B38" s="3">
        <v>4.4363058646265703</v>
      </c>
      <c r="C38" s="3">
        <v>4.6024404427916599</v>
      </c>
      <c r="D38" s="3">
        <v>3.0203607146918499</v>
      </c>
      <c r="E38" s="3">
        <v>3.0407640284878701</v>
      </c>
      <c r="F38" s="3">
        <v>2.1579593306049398</v>
      </c>
      <c r="G38" s="3">
        <v>3.2705985742414998</v>
      </c>
      <c r="H38" s="3">
        <v>4.3246594342983098</v>
      </c>
      <c r="I38" s="3">
        <v>1.17107527413456</v>
      </c>
      <c r="J38" s="3">
        <v>2.0731074187306602</v>
      </c>
      <c r="K38" s="3">
        <v>3.3110047630550001</v>
      </c>
      <c r="L38" s="3">
        <v>2.8296946610210298</v>
      </c>
      <c r="M38" s="3">
        <v>3.6596262769868502</v>
      </c>
      <c r="N38" s="3">
        <v>3.6847630873205701</v>
      </c>
    </row>
    <row r="39" spans="1:14" x14ac:dyDescent="0.35">
      <c r="A39" s="2">
        <v>43031</v>
      </c>
      <c r="B39" s="3">
        <v>4.3477452534979104</v>
      </c>
      <c r="C39" s="3">
        <v>4.4949169912420404</v>
      </c>
      <c r="D39" s="3">
        <v>2.9405324006356102</v>
      </c>
      <c r="E39" s="3">
        <v>2.9585960557538198</v>
      </c>
      <c r="F39" s="3">
        <v>2.0780485059159202</v>
      </c>
      <c r="G39" s="3">
        <v>3.2522995644825299</v>
      </c>
      <c r="H39" s="3">
        <v>4.2816275137527597</v>
      </c>
      <c r="I39" s="3">
        <v>1.14553288432851</v>
      </c>
      <c r="J39" s="3">
        <v>2.03254583158474</v>
      </c>
      <c r="K39" s="3">
        <v>3.2839688669088498</v>
      </c>
      <c r="L39" s="3">
        <v>2.7642936716343902</v>
      </c>
      <c r="M39" s="3">
        <v>3.5344224935987798</v>
      </c>
      <c r="N39" s="3">
        <v>3.8353753114886602</v>
      </c>
    </row>
    <row r="40" spans="1:14" x14ac:dyDescent="0.35">
      <c r="A40" s="2">
        <v>43061</v>
      </c>
      <c r="B40" s="3">
        <v>4.39474844901381</v>
      </c>
      <c r="C40" s="3">
        <v>4.4721020519418699</v>
      </c>
      <c r="D40" s="3">
        <v>2.9172430188126901</v>
      </c>
      <c r="E40" s="3">
        <v>2.9502614147730699</v>
      </c>
      <c r="F40" s="3">
        <v>2.0828188776879202</v>
      </c>
      <c r="G40" s="3">
        <v>3.2332920392279099</v>
      </c>
      <c r="H40" s="3">
        <v>4.3634046853876898</v>
      </c>
      <c r="I40" s="3">
        <v>1.0988966390975801</v>
      </c>
      <c r="J40" s="3">
        <v>2.0070399581095302</v>
      </c>
      <c r="K40" s="3">
        <v>3.3250220474341101</v>
      </c>
      <c r="L40" s="3">
        <v>2.8208071226463098</v>
      </c>
      <c r="M40" s="3">
        <v>3.6418789189268099</v>
      </c>
      <c r="N40" s="3">
        <v>3.8840602380192299</v>
      </c>
    </row>
    <row r="41" spans="1:14" x14ac:dyDescent="0.35">
      <c r="A41" s="2">
        <v>43091</v>
      </c>
      <c r="B41" s="3">
        <v>4.2067175729078397</v>
      </c>
      <c r="C41" s="3">
        <v>4.4578792716090403</v>
      </c>
      <c r="D41" s="3">
        <v>2.9101339295691799</v>
      </c>
      <c r="E41" s="3">
        <v>2.9160928302843101</v>
      </c>
      <c r="F41" s="3">
        <v>2.04195598077454</v>
      </c>
      <c r="G41" s="3">
        <v>3.2250649629288799</v>
      </c>
      <c r="H41" s="3">
        <v>4.2598168558751501</v>
      </c>
      <c r="I41" s="3">
        <v>1.08796092737411</v>
      </c>
      <c r="J41" s="3">
        <v>1.9525286322929201</v>
      </c>
      <c r="K41" s="3">
        <v>3.29039407209335</v>
      </c>
      <c r="L41" s="3">
        <v>2.8320337016883399</v>
      </c>
      <c r="M41" s="3">
        <v>3.7026958807498902</v>
      </c>
      <c r="N41" s="3">
        <v>3.91263972212497</v>
      </c>
    </row>
    <row r="42" spans="1:14" x14ac:dyDescent="0.35">
      <c r="A42" s="2">
        <v>43123</v>
      </c>
      <c r="B42" s="3">
        <v>4.2660035475514704</v>
      </c>
      <c r="C42" s="3">
        <v>4.5264281226764398</v>
      </c>
      <c r="D42" s="3">
        <v>2.89620262006747</v>
      </c>
      <c r="E42" s="3">
        <v>2.8441969689939599</v>
      </c>
      <c r="F42" s="3">
        <v>1.9641216442113101</v>
      </c>
      <c r="G42" s="3">
        <v>3.1521347361645802</v>
      </c>
      <c r="H42" s="3">
        <v>4.1571384786631604</v>
      </c>
      <c r="I42" s="3">
        <v>1.01746114947841</v>
      </c>
      <c r="J42" s="3">
        <v>1.86335016145739</v>
      </c>
      <c r="K42" s="3">
        <v>3.1972984468675798</v>
      </c>
      <c r="L42" s="3">
        <v>2.7565769952361898</v>
      </c>
      <c r="M42" s="3">
        <v>3.6291918825105398</v>
      </c>
      <c r="N42" s="3">
        <v>3.7170000428839098</v>
      </c>
    </row>
    <row r="43" spans="1:14" x14ac:dyDescent="0.35">
      <c r="A43" s="2">
        <v>43154</v>
      </c>
      <c r="B43" s="3">
        <v>4.2689729596426798</v>
      </c>
      <c r="C43" s="3">
        <v>4.6050564209894</v>
      </c>
      <c r="D43" s="3">
        <v>3.07984381752145</v>
      </c>
      <c r="E43" s="3">
        <v>3.1107056393469099</v>
      </c>
      <c r="F43" s="3">
        <v>2.1894076071601001</v>
      </c>
      <c r="G43" s="3">
        <v>3.3646794263665001</v>
      </c>
      <c r="H43" s="3">
        <v>4.4307085495053604</v>
      </c>
      <c r="I43" s="3">
        <v>1.0570281447113501</v>
      </c>
      <c r="J43" s="3">
        <v>1.9577944569865799</v>
      </c>
      <c r="K43" s="3">
        <v>3.3728224962639599</v>
      </c>
      <c r="L43" s="3">
        <v>2.9297801059742499</v>
      </c>
      <c r="M43" s="3">
        <v>3.8476623467903699</v>
      </c>
      <c r="N43" s="3">
        <v>3.95198749149545</v>
      </c>
    </row>
    <row r="44" spans="1:14" x14ac:dyDescent="0.35">
      <c r="A44" s="2">
        <v>43182</v>
      </c>
      <c r="B44" s="3">
        <v>4.2103724026410498</v>
      </c>
      <c r="C44" s="3">
        <v>4.7935866193208199</v>
      </c>
      <c r="D44" s="3">
        <v>3.21957852861201</v>
      </c>
      <c r="E44" s="3">
        <v>3.2866878651389002</v>
      </c>
      <c r="F44" s="3">
        <v>2.33308642914188</v>
      </c>
      <c r="G44" s="3">
        <v>3.55115945134111</v>
      </c>
      <c r="H44" s="3">
        <v>4.6325052582444899</v>
      </c>
      <c r="I44" s="3">
        <v>1.1326433682906401</v>
      </c>
      <c r="J44" s="3">
        <v>2.0961174036835701</v>
      </c>
      <c r="K44" s="3">
        <v>3.5083935691833901</v>
      </c>
      <c r="L44" s="3">
        <v>3.0232886279832201</v>
      </c>
      <c r="M44" s="3">
        <v>4.0963586885333401</v>
      </c>
      <c r="N44" s="3">
        <v>4.1280854449308002</v>
      </c>
    </row>
    <row r="45" spans="1:14" x14ac:dyDescent="0.35">
      <c r="A45" s="2">
        <v>43213</v>
      </c>
      <c r="B45" s="3">
        <v>4.3663637228853798</v>
      </c>
      <c r="C45" s="3">
        <v>4.7828134471306303</v>
      </c>
      <c r="D45" s="3">
        <v>3.16317934496207</v>
      </c>
      <c r="E45" s="3">
        <v>3.1592367795823799</v>
      </c>
      <c r="F45" s="3">
        <v>2.2335791997866599</v>
      </c>
      <c r="G45" s="3">
        <v>3.4798816975619999</v>
      </c>
      <c r="H45" s="3">
        <v>4.38736199137794</v>
      </c>
      <c r="I45" s="3">
        <v>1.12015049723755</v>
      </c>
      <c r="J45" s="3">
        <v>2.05104870218734</v>
      </c>
      <c r="K45" s="3">
        <v>3.3361880125187899</v>
      </c>
      <c r="L45" s="3">
        <v>2.9455565731659799</v>
      </c>
      <c r="M45" s="3">
        <v>3.9713266009424699</v>
      </c>
      <c r="N45" s="3">
        <v>3.8791049924839101</v>
      </c>
    </row>
    <row r="46" spans="1:14" x14ac:dyDescent="0.35">
      <c r="A46" s="2">
        <v>43243</v>
      </c>
      <c r="B46" s="3">
        <v>4.25957678281602</v>
      </c>
      <c r="C46" s="3">
        <v>4.6718333173568798</v>
      </c>
      <c r="D46" s="3">
        <v>3.0633454074476698</v>
      </c>
      <c r="E46" s="3">
        <v>3.1158724560587001</v>
      </c>
      <c r="F46" s="3">
        <v>2.2095582588943099</v>
      </c>
      <c r="G46" s="3">
        <v>3.4864410066136702</v>
      </c>
      <c r="H46" s="3">
        <v>4.2646749046760304</v>
      </c>
      <c r="I46" s="3">
        <v>1.0847679981829601</v>
      </c>
      <c r="J46" s="3">
        <v>2.02388126629958</v>
      </c>
      <c r="K46" s="3">
        <v>3.2940459441701901</v>
      </c>
      <c r="L46" s="3">
        <v>2.8892781172887498</v>
      </c>
      <c r="M46" s="3">
        <v>4.0009654510640198</v>
      </c>
      <c r="N46" s="3">
        <v>4.1608709734971701</v>
      </c>
    </row>
    <row r="47" spans="1:14" x14ac:dyDescent="0.35">
      <c r="A47" s="2">
        <v>43273</v>
      </c>
      <c r="B47" s="3">
        <v>4.0219683833818696</v>
      </c>
      <c r="C47" s="3">
        <v>4.6047714746649602</v>
      </c>
      <c r="D47" s="3">
        <v>3.0353064546227602</v>
      </c>
      <c r="E47" s="3">
        <v>3.1945528511163199</v>
      </c>
      <c r="F47" s="3">
        <v>2.2816330571093402</v>
      </c>
      <c r="G47" s="3">
        <v>3.56256463707075</v>
      </c>
      <c r="H47" s="3">
        <v>4.3560311965081304</v>
      </c>
      <c r="I47" s="3">
        <v>1.04945030023212</v>
      </c>
      <c r="J47" s="3">
        <v>2.0230766313855</v>
      </c>
      <c r="K47" s="3">
        <v>3.4233351320569501</v>
      </c>
      <c r="L47" s="3">
        <v>2.8797760908571202</v>
      </c>
      <c r="M47" s="3">
        <v>4.16073004016501</v>
      </c>
      <c r="N47" s="3">
        <v>4.4244863402146102</v>
      </c>
    </row>
    <row r="48" spans="1:14" x14ac:dyDescent="0.35">
      <c r="A48" s="2">
        <v>43304</v>
      </c>
      <c r="B48" s="3">
        <v>4.1192998878685403</v>
      </c>
      <c r="C48" s="3">
        <v>4.6155790985871796</v>
      </c>
      <c r="D48" s="3">
        <v>3.0602502443956499</v>
      </c>
      <c r="E48" s="3">
        <v>3.2147599022371001</v>
      </c>
      <c r="F48" s="3">
        <v>2.2923774692534602</v>
      </c>
      <c r="G48" s="3">
        <v>3.43185950934022</v>
      </c>
      <c r="H48" s="3">
        <v>4.4242305671015698</v>
      </c>
      <c r="I48" s="3">
        <v>1.0787578406634499</v>
      </c>
      <c r="J48" s="3">
        <v>2.0061161707710702</v>
      </c>
      <c r="K48" s="3">
        <v>3.42916463440748</v>
      </c>
      <c r="L48" s="3">
        <v>2.88303962836887</v>
      </c>
      <c r="M48" s="3">
        <v>4.1524260842405996</v>
      </c>
      <c r="N48" s="3">
        <v>4.4920545611556904</v>
      </c>
    </row>
    <row r="49" spans="1:14" x14ac:dyDescent="0.35">
      <c r="A49" s="2">
        <v>43335</v>
      </c>
      <c r="B49" s="3">
        <v>3.9486293790223299</v>
      </c>
      <c r="C49" s="3">
        <v>4.6825666160604298</v>
      </c>
      <c r="D49" s="3">
        <v>3.0971630207772001</v>
      </c>
      <c r="E49" s="3">
        <v>3.2553951842573801</v>
      </c>
      <c r="F49" s="3">
        <v>2.3598460589202301</v>
      </c>
      <c r="G49" s="3">
        <v>3.4122933452628699</v>
      </c>
      <c r="H49" s="3">
        <v>4.52205578508452</v>
      </c>
      <c r="I49" s="3">
        <v>1.0801805170468399</v>
      </c>
      <c r="J49" s="3">
        <v>1.98610336770601</v>
      </c>
      <c r="K49" s="3">
        <v>3.44352085283515</v>
      </c>
      <c r="L49" s="3">
        <v>2.9148421429198699</v>
      </c>
      <c r="M49" s="3">
        <v>4.0563857087410202</v>
      </c>
      <c r="N49" s="3">
        <v>4.6659984351594899</v>
      </c>
    </row>
    <row r="50" spans="1:14" x14ac:dyDescent="0.35">
      <c r="A50" s="2">
        <v>43364</v>
      </c>
      <c r="B50" s="3">
        <v>3.9391593377619798</v>
      </c>
      <c r="C50" s="3">
        <v>4.7359120912686397</v>
      </c>
      <c r="D50" s="3">
        <v>3.1392618076907399</v>
      </c>
      <c r="E50" s="3">
        <v>3.2617756969996501</v>
      </c>
      <c r="F50" s="3">
        <v>2.2324375613262699</v>
      </c>
      <c r="G50" s="3">
        <v>3.4008473944131099</v>
      </c>
      <c r="H50" s="3">
        <v>4.5167977908699903</v>
      </c>
      <c r="I50" s="3">
        <v>1.07475794369408</v>
      </c>
      <c r="J50" s="3">
        <v>1.9439635999581899</v>
      </c>
      <c r="K50" s="3">
        <v>3.41690221216904</v>
      </c>
      <c r="L50" s="3">
        <v>2.9842073071064599</v>
      </c>
      <c r="M50" s="3">
        <v>4.03304405264279</v>
      </c>
      <c r="N50" s="3">
        <v>4.5195034275665202</v>
      </c>
    </row>
    <row r="51" spans="1:14" x14ac:dyDescent="0.35">
      <c r="A51" s="2">
        <v>43396</v>
      </c>
      <c r="B51" s="3">
        <v>4.3299908728860501</v>
      </c>
      <c r="C51" s="3">
        <v>5.0699996382114296</v>
      </c>
      <c r="D51" s="3">
        <v>3.36479730840784</v>
      </c>
      <c r="E51" s="3">
        <v>3.6175750409071399</v>
      </c>
      <c r="F51" s="3">
        <v>2.4464085334163799</v>
      </c>
      <c r="G51" s="3">
        <v>3.6044247908558402</v>
      </c>
      <c r="H51" s="3">
        <v>4.9111165635139802</v>
      </c>
      <c r="I51" s="3">
        <v>1.14792955182738</v>
      </c>
      <c r="J51" s="3">
        <v>2.0933837784580298</v>
      </c>
      <c r="K51" s="3">
        <v>3.8004480688407698</v>
      </c>
      <c r="L51" s="3">
        <v>3.2486866872782199</v>
      </c>
      <c r="M51" s="3">
        <v>4.4342276993743504</v>
      </c>
      <c r="N51" s="3">
        <v>5.1585081496459804</v>
      </c>
    </row>
    <row r="52" spans="1:14" x14ac:dyDescent="0.35">
      <c r="A52" s="2">
        <v>43427</v>
      </c>
      <c r="B52" s="3">
        <v>4.29405256626249</v>
      </c>
      <c r="C52" s="3">
        <v>5.2616323039174704</v>
      </c>
      <c r="D52" s="3">
        <v>3.4328104076699701</v>
      </c>
      <c r="E52" s="3">
        <v>3.6975351300470498</v>
      </c>
      <c r="F52" s="3">
        <v>2.5166229538011899</v>
      </c>
      <c r="G52" s="3">
        <v>3.5791093423905398</v>
      </c>
      <c r="H52" s="3">
        <v>4.9888342926945199</v>
      </c>
      <c r="I52" s="3">
        <v>1.2643140011985401</v>
      </c>
      <c r="J52" s="3">
        <v>2.18036533017401</v>
      </c>
      <c r="K52" s="3">
        <v>3.8342220809510099</v>
      </c>
      <c r="L52" s="3">
        <v>3.2551793422533102</v>
      </c>
      <c r="M52" s="3">
        <v>4.5771400030122997</v>
      </c>
      <c r="N52" s="3">
        <v>5.2173412857053796</v>
      </c>
    </row>
    <row r="53" spans="1:14" x14ac:dyDescent="0.35">
      <c r="A53" s="2">
        <v>43455</v>
      </c>
      <c r="B53" s="3">
        <v>4.2240225592964897</v>
      </c>
      <c r="C53" s="3">
        <v>5.5200522160665599</v>
      </c>
      <c r="D53" s="3">
        <v>3.7015703101624098</v>
      </c>
      <c r="E53" s="3">
        <v>3.9325612443397899</v>
      </c>
      <c r="F53" s="3">
        <v>2.7298021243984998</v>
      </c>
      <c r="G53" s="3">
        <v>3.7152461419932501</v>
      </c>
      <c r="H53" s="3">
        <v>5.2147830159307498</v>
      </c>
      <c r="I53" s="3">
        <v>1.3974888019120699</v>
      </c>
      <c r="J53" s="3">
        <v>2.4022200614989</v>
      </c>
      <c r="K53" s="3">
        <v>4.0361689406528098</v>
      </c>
      <c r="L53" s="3">
        <v>3.5069831638518498</v>
      </c>
      <c r="M53" s="3">
        <v>4.7620752882648096</v>
      </c>
      <c r="N53" s="3">
        <v>5.3973808422383698</v>
      </c>
    </row>
    <row r="54" spans="1:14" x14ac:dyDescent="0.35">
      <c r="A54" s="2">
        <v>43488</v>
      </c>
      <c r="B54" s="3">
        <v>4.0415608436169297</v>
      </c>
      <c r="C54" s="3">
        <v>5.1313363027673704</v>
      </c>
      <c r="D54" s="3">
        <v>3.3918261039084001</v>
      </c>
      <c r="E54" s="3">
        <v>3.7443115836549001</v>
      </c>
      <c r="F54" s="3">
        <v>2.6651731911634902</v>
      </c>
      <c r="G54" s="3">
        <v>3.4772669770607401</v>
      </c>
      <c r="H54" s="3">
        <v>5.1689502689808897</v>
      </c>
      <c r="I54" s="3">
        <v>1.26193159797959</v>
      </c>
      <c r="J54" s="3">
        <v>2.2101686276700701</v>
      </c>
      <c r="K54" s="3">
        <v>3.90444717086495</v>
      </c>
      <c r="L54" s="3">
        <v>3.3392452663074401</v>
      </c>
      <c r="M54" s="3">
        <v>4.4611124579909696</v>
      </c>
      <c r="N54" s="3">
        <v>5.1681454589431199</v>
      </c>
    </row>
    <row r="55" spans="1:14" x14ac:dyDescent="0.35">
      <c r="A55" s="2">
        <v>43518</v>
      </c>
      <c r="B55" s="3">
        <v>3.9574334114093701</v>
      </c>
      <c r="C55" s="3">
        <v>4.92375827548062</v>
      </c>
      <c r="D55" s="3">
        <v>3.2673582755489399</v>
      </c>
      <c r="E55" s="3">
        <v>3.6334199000527598</v>
      </c>
      <c r="F55" s="3">
        <v>2.5627456960912798</v>
      </c>
      <c r="G55" s="3">
        <v>3.3423746557426499</v>
      </c>
      <c r="H55" s="3">
        <v>4.9438701179254503</v>
      </c>
      <c r="I55" s="3">
        <v>1.17767236754566</v>
      </c>
      <c r="J55" s="3">
        <v>2.09606090985895</v>
      </c>
      <c r="K55" s="3">
        <v>3.6617537299574598</v>
      </c>
      <c r="L55" s="3">
        <v>3.1272244293509202</v>
      </c>
      <c r="M55" s="3">
        <v>4.1179053009154298</v>
      </c>
      <c r="N55" s="3">
        <v>4.9021262765597804</v>
      </c>
    </row>
    <row r="56" spans="1:14" x14ac:dyDescent="0.35">
      <c r="A56" s="2">
        <v>43546</v>
      </c>
      <c r="B56" s="3">
        <v>3.8783195615336701</v>
      </c>
      <c r="C56" s="3">
        <v>4.9335534868994699</v>
      </c>
      <c r="D56" s="3">
        <v>3.2851592825772502</v>
      </c>
      <c r="E56" s="3">
        <v>3.6404810190384</v>
      </c>
      <c r="F56" s="3">
        <v>2.5533935606511302</v>
      </c>
      <c r="G56" s="3">
        <v>3.37134437736982</v>
      </c>
      <c r="H56" s="3">
        <v>4.9233583238914296</v>
      </c>
      <c r="I56" s="3">
        <v>1.14547062817947</v>
      </c>
      <c r="J56" s="3">
        <v>2.1076682992259799</v>
      </c>
      <c r="K56" s="3">
        <v>3.6485072087998098</v>
      </c>
      <c r="L56" s="3">
        <v>3.0985379877531201</v>
      </c>
      <c r="M56" s="3">
        <v>4.1600672159113197</v>
      </c>
      <c r="N56" s="3">
        <v>4.7215120372975496</v>
      </c>
    </row>
    <row r="57" spans="1:14" x14ac:dyDescent="0.35">
      <c r="A57" s="2">
        <v>43578</v>
      </c>
      <c r="B57" s="3">
        <v>3.6903871070777399</v>
      </c>
      <c r="C57" s="3">
        <v>4.8696961858065997</v>
      </c>
      <c r="D57" s="3">
        <v>3.1826396593827702</v>
      </c>
      <c r="E57" s="3">
        <v>3.41170100306964</v>
      </c>
      <c r="F57" s="3">
        <v>2.5558577904411002</v>
      </c>
      <c r="G57" s="3">
        <v>3.2776996094228501</v>
      </c>
      <c r="H57" s="3">
        <v>4.7933213201023701</v>
      </c>
      <c r="I57" s="3">
        <v>1.0844899712438101</v>
      </c>
      <c r="J57" s="3">
        <v>2.0306337736227</v>
      </c>
      <c r="K57" s="3">
        <v>3.4696703093544801</v>
      </c>
      <c r="L57" s="3">
        <v>2.96287874443161</v>
      </c>
      <c r="M57" s="3">
        <v>3.9828990340451602</v>
      </c>
      <c r="N57" s="3">
        <v>4.6121721538116196</v>
      </c>
    </row>
    <row r="58" spans="1:14" x14ac:dyDescent="0.35">
      <c r="A58" s="2">
        <v>43608</v>
      </c>
      <c r="B58" s="3">
        <v>3.6495036488613901</v>
      </c>
      <c r="C58" s="3">
        <v>4.7309050743639904</v>
      </c>
      <c r="D58" s="3">
        <v>3.35745808443524</v>
      </c>
      <c r="E58" s="3">
        <v>3.6081724768981598</v>
      </c>
      <c r="F58" s="3">
        <v>2.68401614852896</v>
      </c>
      <c r="G58" s="3">
        <v>3.3080333310148902</v>
      </c>
      <c r="H58" s="3">
        <v>4.9659547160425896</v>
      </c>
      <c r="I58" s="3">
        <v>1.16645324909931</v>
      </c>
      <c r="J58" s="3">
        <v>2.1204947787247401</v>
      </c>
      <c r="K58" s="3">
        <v>3.6797067466152602</v>
      </c>
      <c r="L58" s="3">
        <v>3.1154859224654601</v>
      </c>
      <c r="M58" s="3">
        <v>4.3159081709197702</v>
      </c>
      <c r="N58" s="3">
        <v>5.02611906350268</v>
      </c>
    </row>
    <row r="59" spans="1:14" x14ac:dyDescent="0.35">
      <c r="A59" s="2">
        <v>43637</v>
      </c>
      <c r="B59" s="3">
        <v>3.62922340924557</v>
      </c>
      <c r="C59" s="3">
        <v>4.6002400692003196</v>
      </c>
      <c r="D59" s="3">
        <v>3.2892326031038501</v>
      </c>
      <c r="E59" s="3">
        <v>3.5037011157356899</v>
      </c>
      <c r="F59" s="3">
        <v>2.69250649322584</v>
      </c>
      <c r="G59" s="3">
        <v>3.2111483936228198</v>
      </c>
      <c r="H59" s="3">
        <v>4.7912648170440804</v>
      </c>
      <c r="I59" s="3">
        <v>1.1043330680901899</v>
      </c>
      <c r="J59" s="3">
        <v>2.0381617058619801</v>
      </c>
      <c r="K59" s="3">
        <v>4.7383675371514</v>
      </c>
      <c r="L59" s="3">
        <v>3.0267073312661501</v>
      </c>
      <c r="M59" s="3">
        <v>4.1135776354514899</v>
      </c>
      <c r="N59" s="3">
        <v>4.7864049471727199</v>
      </c>
    </row>
    <row r="60" spans="1:14" x14ac:dyDescent="0.35">
      <c r="A60" s="2">
        <v>43669</v>
      </c>
      <c r="B60" s="3">
        <v>3.4054340569877901</v>
      </c>
      <c r="C60" s="3">
        <v>4.5613909661526399</v>
      </c>
      <c r="D60" s="3">
        <v>3.3033562259645999</v>
      </c>
      <c r="E60" s="3">
        <v>3.42542756553582</v>
      </c>
      <c r="F60" s="3">
        <v>2.6601312436392099</v>
      </c>
      <c r="G60" s="3">
        <v>3.20329303411653</v>
      </c>
      <c r="H60" s="3">
        <v>4.7882878217182201</v>
      </c>
      <c r="I60" s="3">
        <v>1.08019063932059</v>
      </c>
      <c r="J60" s="3">
        <v>2.0140860572618502</v>
      </c>
      <c r="K60" s="3">
        <v>3.4988514843839602</v>
      </c>
      <c r="L60" s="3">
        <v>2.8882670636858498</v>
      </c>
      <c r="M60" s="3">
        <v>3.97443935983088</v>
      </c>
      <c r="N60" s="3">
        <v>4.6951821756486503</v>
      </c>
    </row>
    <row r="61" spans="1:14" x14ac:dyDescent="0.35">
      <c r="A61" s="2">
        <v>43700</v>
      </c>
      <c r="B61" s="3">
        <v>3.4235698424971801</v>
      </c>
      <c r="C61" s="3">
        <v>4.6547757572582702</v>
      </c>
      <c r="D61" s="3">
        <v>3.4704689349783999</v>
      </c>
      <c r="E61" s="3">
        <v>3.6154049879040002</v>
      </c>
      <c r="F61" s="3">
        <v>2.7757187099097802</v>
      </c>
      <c r="G61" s="3">
        <v>3.2815174557490998</v>
      </c>
      <c r="H61" s="3">
        <v>5.1307767345790003</v>
      </c>
      <c r="I61" s="3">
        <v>1.1508964128339301</v>
      </c>
      <c r="J61" s="3">
        <v>2.1354784771517101</v>
      </c>
      <c r="K61" s="3">
        <v>3.6973204947482499</v>
      </c>
      <c r="L61" s="3">
        <v>3.04810812863508</v>
      </c>
      <c r="M61" s="3">
        <v>4.3022981973744896</v>
      </c>
      <c r="N61" s="3">
        <v>5.0743068430371396</v>
      </c>
    </row>
    <row r="62" spans="1:14" x14ac:dyDescent="0.35">
      <c r="A62" s="2">
        <v>43731</v>
      </c>
      <c r="B62" s="3">
        <v>3.3488815814517099</v>
      </c>
      <c r="C62" s="3">
        <v>4.4210254858419598</v>
      </c>
      <c r="D62" s="3">
        <v>3.2941751571090001</v>
      </c>
      <c r="E62" s="3">
        <v>3.4212994671533599</v>
      </c>
      <c r="F62" s="3">
        <v>2.5763285434298702</v>
      </c>
      <c r="G62" s="3">
        <v>3.2135282810329402</v>
      </c>
      <c r="H62" s="3">
        <v>4.9340768558165404</v>
      </c>
      <c r="I62" s="3">
        <v>1.1249802096271599</v>
      </c>
      <c r="J62" s="3">
        <v>2.03928019709788</v>
      </c>
      <c r="K62" s="3">
        <v>3.5134142503802801</v>
      </c>
      <c r="L62" s="3">
        <v>2.7548224793737099</v>
      </c>
      <c r="M62" s="3">
        <v>3.92911874646774</v>
      </c>
      <c r="N62" s="3">
        <v>4.7723533435771497</v>
      </c>
    </row>
    <row r="63" spans="1:14" x14ac:dyDescent="0.35">
      <c r="A63" s="2">
        <v>43761</v>
      </c>
      <c r="B63" s="3">
        <v>3.3667538719803698</v>
      </c>
      <c r="C63" s="3">
        <v>4.4108881806644096</v>
      </c>
      <c r="D63" s="3">
        <v>3.3824920165944201</v>
      </c>
      <c r="E63" s="3">
        <v>3.2936849075419201</v>
      </c>
      <c r="F63" s="3">
        <v>2.5523777394188301</v>
      </c>
      <c r="G63" s="3">
        <v>3.2202673500638501</v>
      </c>
      <c r="H63" s="3">
        <v>4.86595359660308</v>
      </c>
      <c r="I63" s="3">
        <v>1.12763478056804</v>
      </c>
      <c r="J63" s="3">
        <v>2.0437266970293</v>
      </c>
      <c r="K63" s="3">
        <v>3.5050478494758699</v>
      </c>
      <c r="L63" s="3">
        <v>2.76080577741067</v>
      </c>
      <c r="M63" s="3">
        <v>3.7738925289572598</v>
      </c>
      <c r="N63" s="3">
        <v>4.69858921982651</v>
      </c>
    </row>
    <row r="64" spans="1:14" x14ac:dyDescent="0.35">
      <c r="A64" s="2">
        <v>43791</v>
      </c>
      <c r="B64" s="3">
        <v>3.32041233010434</v>
      </c>
      <c r="C64" s="3">
        <v>4.3722375047639099</v>
      </c>
      <c r="D64" s="3">
        <v>3.2654181505870499</v>
      </c>
      <c r="E64" s="3">
        <v>3.1255939656079201</v>
      </c>
      <c r="F64" s="3">
        <v>2.48020963027095</v>
      </c>
      <c r="G64" s="3">
        <v>3.1340055451713198</v>
      </c>
      <c r="H64" s="3">
        <v>4.8138038244564498</v>
      </c>
      <c r="I64" s="3">
        <v>1.1072707201322101</v>
      </c>
      <c r="J64" s="3">
        <v>1.99241138899378</v>
      </c>
      <c r="K64" s="3">
        <v>3.3854815430667902</v>
      </c>
      <c r="L64" s="3">
        <v>2.6694615462186899</v>
      </c>
      <c r="M64" s="3">
        <v>3.7131708340713301</v>
      </c>
      <c r="N64" s="3">
        <v>4.5900755231530797</v>
      </c>
    </row>
    <row r="65" spans="1:14" x14ac:dyDescent="0.35">
      <c r="A65" s="2">
        <v>43822</v>
      </c>
      <c r="B65" s="3">
        <v>3.1491306607440102</v>
      </c>
      <c r="C65" s="3">
        <v>4.2614929590487201</v>
      </c>
      <c r="D65" s="3">
        <v>3.24522756011203</v>
      </c>
      <c r="E65" s="3">
        <v>3.0817688389247802</v>
      </c>
      <c r="F65" s="3">
        <v>2.42849376462719</v>
      </c>
      <c r="G65" s="3">
        <v>3.0279030969606402</v>
      </c>
      <c r="H65" s="3">
        <v>4.5732368302903899</v>
      </c>
      <c r="I65" s="3">
        <v>1.0714172042602399</v>
      </c>
      <c r="J65" s="3">
        <v>1.9346307553455799</v>
      </c>
      <c r="K65" s="3">
        <v>3.32834948602365</v>
      </c>
      <c r="L65" s="3">
        <v>2.5762772030552101</v>
      </c>
      <c r="M65" s="3">
        <v>3.5751457995128302</v>
      </c>
      <c r="N65" s="3">
        <v>4.4165037759729202</v>
      </c>
    </row>
    <row r="66" spans="1:14" x14ac:dyDescent="0.35">
      <c r="A66" s="2">
        <v>43853</v>
      </c>
      <c r="B66" s="3">
        <v>3.0515363548404499</v>
      </c>
      <c r="C66" s="3">
        <v>4.1201299071237001</v>
      </c>
      <c r="D66" s="3">
        <v>3.20722904672329</v>
      </c>
      <c r="E66" s="3">
        <v>3.0668977541857299</v>
      </c>
      <c r="F66" s="3">
        <v>2.43604275156064</v>
      </c>
      <c r="G66" s="3">
        <v>2.9842039198280399</v>
      </c>
      <c r="H66" s="3">
        <v>4.6157453582680903</v>
      </c>
      <c r="I66" s="3">
        <v>1.01718353499363</v>
      </c>
      <c r="J66" s="3">
        <v>1.88875501962009</v>
      </c>
      <c r="K66" s="3">
        <v>3.35086106873745</v>
      </c>
      <c r="L66" s="3">
        <v>2.6224241862605502</v>
      </c>
      <c r="M66" s="3">
        <v>3.55881127032288</v>
      </c>
      <c r="N66" s="3">
        <v>4.5233571827641601</v>
      </c>
    </row>
    <row r="67" spans="1:14" x14ac:dyDescent="0.35">
      <c r="A67" s="2">
        <v>43882</v>
      </c>
      <c r="B67" s="3">
        <v>2.9951899995942401</v>
      </c>
      <c r="C67" s="3">
        <v>4.0515811764996501</v>
      </c>
      <c r="D67" s="3">
        <v>3.2271327173410498</v>
      </c>
      <c r="E67" s="3">
        <v>3.0242153709631299</v>
      </c>
      <c r="F67" s="3">
        <v>2.5011673805761099</v>
      </c>
      <c r="G67" s="3">
        <v>2.9332855208504802</v>
      </c>
      <c r="H67" s="3">
        <v>4.71151694866351</v>
      </c>
      <c r="I67" s="3">
        <v>0.99864240154877804</v>
      </c>
      <c r="J67" s="3">
        <v>1.8956617246006899</v>
      </c>
      <c r="K67" s="3">
        <v>3.2998665641525502</v>
      </c>
      <c r="L67" s="3">
        <v>2.5168498801825399</v>
      </c>
      <c r="M67" s="3">
        <v>3.41213596389743</v>
      </c>
      <c r="N67" s="3">
        <v>4.4750249677933196</v>
      </c>
    </row>
    <row r="68" spans="1:14" x14ac:dyDescent="0.35">
      <c r="A68" s="2">
        <v>43913</v>
      </c>
      <c r="B68" s="3">
        <v>3.9237768043531398</v>
      </c>
      <c r="C68" s="3">
        <v>6.1343569351317804</v>
      </c>
      <c r="D68" s="3">
        <v>5.1596782503585699</v>
      </c>
      <c r="E68" s="3">
        <v>4.5467504185860799</v>
      </c>
      <c r="F68" s="3">
        <v>3.25786229114857</v>
      </c>
      <c r="G68" s="3">
        <v>4.0214884710086096</v>
      </c>
      <c r="H68" s="3">
        <v>7.3297985128070904</v>
      </c>
      <c r="I68" s="3">
        <v>1.35350815539984</v>
      </c>
      <c r="J68" s="3">
        <v>2.82641440802225</v>
      </c>
      <c r="K68" s="3">
        <v>4.9990489501616704</v>
      </c>
      <c r="L68" s="3">
        <v>3.6850413317776001</v>
      </c>
      <c r="M68" s="3">
        <v>4.8728478378546001</v>
      </c>
      <c r="N68" s="3">
        <v>6.8304141240972704</v>
      </c>
    </row>
    <row r="69" spans="1:14" x14ac:dyDescent="0.35">
      <c r="A69" s="2">
        <v>43944</v>
      </c>
      <c r="B69" s="3">
        <v>2.7470639123811198</v>
      </c>
      <c r="C69" s="3">
        <v>4.3594104249790799</v>
      </c>
      <c r="D69" s="3">
        <v>4.0366226022783396</v>
      </c>
      <c r="E69" s="3">
        <v>3.4893817035157002</v>
      </c>
      <c r="F69" s="3">
        <v>2.8789135717576499</v>
      </c>
      <c r="G69" s="3">
        <v>3.3376109102728702</v>
      </c>
      <c r="H69" s="3">
        <v>5.4048755008324498</v>
      </c>
      <c r="I69" s="3">
        <v>1.08976936472297</v>
      </c>
      <c r="J69" s="3">
        <v>2.1944028998595799</v>
      </c>
      <c r="K69" s="3">
        <v>3.7561214264545302</v>
      </c>
      <c r="L69" s="3">
        <v>2.7928094353126198</v>
      </c>
      <c r="M69" s="3">
        <v>3.3672661147869101</v>
      </c>
      <c r="N69" s="3">
        <v>5.6585853332295599</v>
      </c>
    </row>
    <row r="70" spans="1:14" x14ac:dyDescent="0.35">
      <c r="A70" s="2">
        <v>43973</v>
      </c>
      <c r="B70" s="3">
        <v>2.5626258214188402</v>
      </c>
      <c r="C70" s="3">
        <v>3.77670587122565</v>
      </c>
      <c r="D70" s="3">
        <v>3.71920690593597</v>
      </c>
      <c r="E70" s="3">
        <v>3.2681186557686202</v>
      </c>
      <c r="F70" s="3">
        <v>2.7510274996105801</v>
      </c>
      <c r="G70" s="3">
        <v>3.2217644395263401</v>
      </c>
      <c r="H70" s="3">
        <v>4.3378487382929203</v>
      </c>
      <c r="I70" s="3">
        <v>0.98423458833847199</v>
      </c>
      <c r="J70" s="3">
        <v>2.0458968396830901</v>
      </c>
      <c r="K70" s="3">
        <v>3.5539951475948599</v>
      </c>
      <c r="L70" s="3">
        <v>2.5462064855873101</v>
      </c>
      <c r="M70" s="3">
        <v>3.31339131759115</v>
      </c>
      <c r="N70" s="3">
        <v>4.9819672878467198</v>
      </c>
    </row>
    <row r="71" spans="1:14" x14ac:dyDescent="0.35">
      <c r="A71" s="2">
        <v>44005</v>
      </c>
      <c r="B71" s="3">
        <v>2.56075972833681</v>
      </c>
      <c r="C71" s="3">
        <v>3.4335972672852799</v>
      </c>
      <c r="D71" s="3">
        <v>3.5365618182085798</v>
      </c>
      <c r="E71" s="3">
        <v>2.8704117395381599</v>
      </c>
      <c r="F71" s="3">
        <v>2.46597746068386</v>
      </c>
      <c r="G71" s="3">
        <v>3.0397251598807502</v>
      </c>
      <c r="H71" s="3">
        <v>4.0383723755549203</v>
      </c>
      <c r="I71" s="3">
        <v>0.90726773093699398</v>
      </c>
      <c r="J71" s="3">
        <v>1.91993570304135</v>
      </c>
      <c r="K71" s="3">
        <v>3.1119538783241998</v>
      </c>
      <c r="L71" s="3">
        <v>2.3397901603206299</v>
      </c>
      <c r="M71" s="3">
        <v>3.0192024825708099</v>
      </c>
      <c r="N71" s="3">
        <v>4.2555920753893801</v>
      </c>
    </row>
    <row r="72" spans="1:14" x14ac:dyDescent="0.35">
      <c r="A72" s="2">
        <v>44035</v>
      </c>
      <c r="B72" s="3">
        <v>2.4174955979838599</v>
      </c>
      <c r="C72" s="3">
        <v>3.39609565586083</v>
      </c>
      <c r="D72" s="3">
        <v>3.4472445332756201</v>
      </c>
      <c r="E72" s="3">
        <v>2.7619067264743902</v>
      </c>
      <c r="F72" s="3">
        <v>2.4819687915031898</v>
      </c>
      <c r="G72" s="3">
        <v>2.9163324212438302</v>
      </c>
      <c r="H72" s="3">
        <v>4.0213148627864399</v>
      </c>
      <c r="I72" s="3">
        <v>0.87813177116143704</v>
      </c>
      <c r="J72" s="3">
        <v>1.83538338513794</v>
      </c>
      <c r="K72" s="3">
        <v>3.0772154304705901</v>
      </c>
      <c r="L72" s="3">
        <v>2.2801857747752599</v>
      </c>
      <c r="M72" s="3">
        <v>2.9306018898097301</v>
      </c>
      <c r="N72" s="3">
        <v>4.2103933716893298</v>
      </c>
    </row>
    <row r="73" spans="1:14" x14ac:dyDescent="0.35">
      <c r="A73" s="2">
        <v>44064</v>
      </c>
      <c r="B73" s="3">
        <v>2.3098509223250598</v>
      </c>
      <c r="C73" s="3">
        <v>3.37951815231246</v>
      </c>
      <c r="D73" s="3">
        <v>3.3590469466991499</v>
      </c>
      <c r="E73" s="3">
        <v>2.8401522607130398</v>
      </c>
      <c r="F73" s="3">
        <v>2.4152280709999099</v>
      </c>
      <c r="G73" s="3">
        <v>2.9479147534443002</v>
      </c>
      <c r="H73" s="3">
        <v>4.0523742571117802</v>
      </c>
      <c r="I73" s="3">
        <v>0.80954516861900405</v>
      </c>
      <c r="J73" s="3">
        <v>1.75486934666695</v>
      </c>
      <c r="K73" s="3">
        <v>3.1780510962405599</v>
      </c>
      <c r="L73" s="3">
        <v>2.3483932621736399</v>
      </c>
      <c r="M73" s="3">
        <v>3.02624094311299</v>
      </c>
      <c r="N73" s="3">
        <v>4.0036252403628296</v>
      </c>
    </row>
    <row r="74" spans="1:14" x14ac:dyDescent="0.35">
      <c r="A74" s="2">
        <v>44097</v>
      </c>
      <c r="B74" s="3">
        <v>2.4510501669456799</v>
      </c>
      <c r="C74" s="3">
        <v>3.6208419949595201</v>
      </c>
      <c r="D74" s="3">
        <v>3.50969965460372</v>
      </c>
      <c r="E74" s="3">
        <v>2.9165946268514999</v>
      </c>
      <c r="F74" s="3">
        <v>2.34980751055003</v>
      </c>
      <c r="G74" s="3">
        <v>2.9493212121244299</v>
      </c>
      <c r="H74" s="3">
        <v>4.20980704938522</v>
      </c>
      <c r="I74" s="3">
        <v>0.86199758965790896</v>
      </c>
      <c r="J74" s="3">
        <v>1.84084414752909</v>
      </c>
      <c r="K74" s="3">
        <v>3.2957169220687401</v>
      </c>
      <c r="L74" s="3">
        <v>2.3636905512726001</v>
      </c>
      <c r="M74" s="3">
        <v>3.0444984005077198</v>
      </c>
      <c r="N74" s="3">
        <v>4.2128900744171096</v>
      </c>
    </row>
    <row r="75" spans="1:14" x14ac:dyDescent="0.35">
      <c r="A75" s="2">
        <v>44127</v>
      </c>
      <c r="B75" s="3">
        <v>2.3356072301169299</v>
      </c>
      <c r="C75" s="3">
        <v>3.6031448674267899</v>
      </c>
      <c r="D75" s="3">
        <v>3.42311368286776</v>
      </c>
      <c r="E75" s="3">
        <v>2.89638639964351</v>
      </c>
      <c r="F75" s="3">
        <v>2.3905785112755802</v>
      </c>
      <c r="G75" s="3">
        <v>2.9966009180094599</v>
      </c>
      <c r="H75" s="3">
        <v>4.33165458787541</v>
      </c>
      <c r="I75" s="3">
        <v>0.81089719617441802</v>
      </c>
      <c r="J75" s="3">
        <v>1.7276099483132601</v>
      </c>
      <c r="K75" s="3">
        <v>3.2187668447907698</v>
      </c>
      <c r="L75" s="3">
        <v>2.3167590139129399</v>
      </c>
      <c r="M75" s="3">
        <v>3.1215064541908699</v>
      </c>
      <c r="N75" s="3">
        <v>4.1860363365371098</v>
      </c>
    </row>
    <row r="76" spans="1:14" x14ac:dyDescent="0.35">
      <c r="A76" s="2">
        <v>44158</v>
      </c>
      <c r="B76" s="3">
        <v>2.4115959061713101</v>
      </c>
      <c r="C76" s="3">
        <v>3.4676321928645</v>
      </c>
      <c r="D76" s="3">
        <v>3.2244908167317599</v>
      </c>
      <c r="E76" s="3">
        <v>2.8449897568359699</v>
      </c>
      <c r="F76" s="3">
        <v>2.2459386599833899</v>
      </c>
      <c r="G76" s="3">
        <v>2.9038207987181499</v>
      </c>
      <c r="H76" s="3">
        <v>4.0277630763209196</v>
      </c>
      <c r="I76" s="3">
        <v>0.79593125229509798</v>
      </c>
      <c r="J76" s="3">
        <v>1.67559745536018</v>
      </c>
      <c r="K76" s="3">
        <v>2.92531745182814</v>
      </c>
      <c r="L76" s="3">
        <v>2.1825892107830902</v>
      </c>
      <c r="M76" s="3">
        <v>3.0104975057686101</v>
      </c>
      <c r="N76" s="3">
        <v>3.9496567621802199</v>
      </c>
    </row>
    <row r="77" spans="1:14" x14ac:dyDescent="0.35">
      <c r="A77" s="2">
        <v>44188</v>
      </c>
      <c r="B77" s="3">
        <v>2.39972715486185</v>
      </c>
      <c r="C77" s="3">
        <v>3.5541802290561502</v>
      </c>
      <c r="D77" s="3">
        <v>3.1058666947117102</v>
      </c>
      <c r="E77" s="3">
        <v>2.7393621235668899</v>
      </c>
      <c r="F77" s="3">
        <v>2.1864561106856901</v>
      </c>
      <c r="G77" s="3">
        <v>2.8964665312558</v>
      </c>
      <c r="H77" s="3">
        <v>3.9275707520095899</v>
      </c>
      <c r="I77" s="3">
        <v>0.79315196348243</v>
      </c>
      <c r="J77" s="3">
        <v>1.60430686730752</v>
      </c>
      <c r="K77" s="3">
        <v>2.9400972003427901</v>
      </c>
      <c r="L77" s="3">
        <v>2.0291985069174299</v>
      </c>
      <c r="M77" s="3">
        <v>3.1143562754365899</v>
      </c>
      <c r="N77" s="3">
        <v>3.9437897743824899</v>
      </c>
    </row>
    <row r="78" spans="1:14" x14ac:dyDescent="0.35">
      <c r="A78" s="2">
        <v>44218</v>
      </c>
      <c r="B78" s="3">
        <v>2.4241446561747502</v>
      </c>
      <c r="C78" s="3">
        <v>3.5125864439720802</v>
      </c>
      <c r="D78" s="3">
        <v>3.0552607639197298</v>
      </c>
      <c r="E78" s="3">
        <v>2.7154888682470899</v>
      </c>
      <c r="F78" s="3">
        <v>2.0868440017034602</v>
      </c>
      <c r="G78" s="3">
        <v>2.8036120933961599</v>
      </c>
      <c r="H78" s="3">
        <v>3.91508598843085</v>
      </c>
      <c r="I78" s="3">
        <v>0.75775516452234104</v>
      </c>
      <c r="J78" s="3">
        <v>1.5495612949650299</v>
      </c>
      <c r="K78" s="3">
        <v>2.93845581308054</v>
      </c>
      <c r="L78" s="3">
        <v>1.94953261173588</v>
      </c>
      <c r="M78" s="3">
        <v>2.9825846788469601</v>
      </c>
      <c r="N78" s="3">
        <v>4.0646895082701704</v>
      </c>
    </row>
    <row r="79" spans="1:14" x14ac:dyDescent="0.35">
      <c r="A79" s="2">
        <v>44250</v>
      </c>
      <c r="B79" s="3">
        <v>2.5998038363421001</v>
      </c>
      <c r="C79" s="3">
        <v>3.8148380832503999</v>
      </c>
      <c r="D79" s="3">
        <v>2.9370422847138999</v>
      </c>
      <c r="E79" s="3">
        <v>2.8168168123503201</v>
      </c>
      <c r="F79" s="3">
        <v>2.0348336724834399</v>
      </c>
      <c r="G79" s="3">
        <v>2.8814465044412798</v>
      </c>
      <c r="H79" s="3">
        <v>3.9698658800837201</v>
      </c>
      <c r="I79" s="3">
        <v>0.77345909935044199</v>
      </c>
      <c r="J79" s="3">
        <v>1.5496958416376301</v>
      </c>
      <c r="K79" s="3">
        <v>2.8393359035215302</v>
      </c>
      <c r="L79" s="3">
        <v>1.95369369318355</v>
      </c>
      <c r="M79" s="3">
        <v>2.9888977764084301</v>
      </c>
      <c r="N79" s="3">
        <v>4.0906902545056196</v>
      </c>
    </row>
    <row r="80" spans="1:14" x14ac:dyDescent="0.35">
      <c r="A80" s="2">
        <v>44278</v>
      </c>
      <c r="B80" s="3">
        <v>2.5953980184866299</v>
      </c>
      <c r="C80" s="3">
        <v>3.9816267824980698</v>
      </c>
      <c r="D80" s="3">
        <v>2.8624731412050601</v>
      </c>
      <c r="E80" s="3">
        <v>2.7527331822276402</v>
      </c>
      <c r="F80" s="3">
        <v>2.0537544944215198</v>
      </c>
      <c r="G80" s="3">
        <v>2.7942714608049499</v>
      </c>
      <c r="H80" s="3">
        <v>4.0449815167539498</v>
      </c>
      <c r="I80" s="3">
        <v>0.78748520500617503</v>
      </c>
      <c r="J80" s="3">
        <v>1.54401672302017</v>
      </c>
      <c r="K80" s="3">
        <v>2.7909627060487501</v>
      </c>
      <c r="L80" s="3">
        <v>2.0129694860163898</v>
      </c>
      <c r="M80" s="3">
        <v>2.79793620770256</v>
      </c>
      <c r="N80" s="3">
        <v>4.0755798113552402</v>
      </c>
    </row>
    <row r="81" spans="1:14" x14ac:dyDescent="0.35">
      <c r="A81" s="2">
        <v>44309</v>
      </c>
      <c r="B81" s="3">
        <v>2.5783689647761898</v>
      </c>
      <c r="C81" s="3">
        <v>3.9093365010325298</v>
      </c>
      <c r="D81" s="3">
        <v>2.7762436408280098</v>
      </c>
      <c r="E81" s="3">
        <v>2.7280879773096101</v>
      </c>
      <c r="F81" s="3">
        <v>2.1298652306485799</v>
      </c>
      <c r="G81" s="3">
        <v>2.7293658207899201</v>
      </c>
      <c r="H81" s="3">
        <v>3.9735178305317</v>
      </c>
      <c r="I81" s="3">
        <v>0.73926439768564201</v>
      </c>
      <c r="J81" s="3">
        <v>1.45768286660184</v>
      </c>
      <c r="K81" s="3">
        <v>2.6987080590654702</v>
      </c>
      <c r="L81" s="3">
        <v>1.91141026216499</v>
      </c>
      <c r="M81" s="3">
        <v>2.7515622256160901</v>
      </c>
      <c r="N81" s="3">
        <v>4.1439653629371103</v>
      </c>
    </row>
    <row r="82" spans="1:14" x14ac:dyDescent="0.35">
      <c r="A82" s="2">
        <v>44337</v>
      </c>
      <c r="B82" s="3">
        <v>2.67005259582784</v>
      </c>
      <c r="C82" s="3">
        <v>3.9421079917186299</v>
      </c>
      <c r="D82" s="3">
        <v>2.70872274218075</v>
      </c>
      <c r="E82" s="3">
        <v>2.8371966660516099</v>
      </c>
      <c r="F82" s="3">
        <v>2.18971912520075</v>
      </c>
      <c r="G82" s="3">
        <v>2.7496527208113202</v>
      </c>
      <c r="H82" s="3">
        <v>3.9154649298106698</v>
      </c>
      <c r="I82" s="3">
        <v>0.77048271004783098</v>
      </c>
      <c r="J82" s="3">
        <v>1.4721978229122801</v>
      </c>
      <c r="K82" s="3">
        <v>2.7029395889497398</v>
      </c>
      <c r="L82" s="3">
        <v>1.9933341195079499</v>
      </c>
      <c r="M82" s="3">
        <v>2.8499096358765699</v>
      </c>
      <c r="N82" s="3">
        <v>4.1536632088653898</v>
      </c>
    </row>
    <row r="83" spans="1:14" x14ac:dyDescent="0.35">
      <c r="A83" s="2">
        <v>44370</v>
      </c>
      <c r="B83" s="3">
        <v>2.674570423744</v>
      </c>
      <c r="C83" s="3">
        <v>3.9599338366213499</v>
      </c>
      <c r="D83" s="3">
        <v>2.7068082533146902</v>
      </c>
      <c r="E83" s="3">
        <v>2.8247539916231701</v>
      </c>
      <c r="F83" s="3">
        <v>2.1788238284701502</v>
      </c>
      <c r="G83" s="3">
        <v>2.6327226191187099</v>
      </c>
      <c r="H83" s="3">
        <v>3.9468024372975998</v>
      </c>
      <c r="I83" s="3">
        <v>0.73197035187591097</v>
      </c>
      <c r="J83" s="3">
        <v>1.45720520349361</v>
      </c>
      <c r="K83" s="3">
        <v>2.6855598584438898</v>
      </c>
      <c r="L83" s="3">
        <v>2.0115626447896999</v>
      </c>
      <c r="M83" s="3">
        <v>2.7222201921979599</v>
      </c>
      <c r="N83" s="3">
        <v>4.1441976959695799</v>
      </c>
    </row>
    <row r="84" spans="1:14" x14ac:dyDescent="0.35">
      <c r="A84" s="2">
        <v>44400</v>
      </c>
      <c r="B84" s="3">
        <v>2.6160515316288202</v>
      </c>
      <c r="C84" s="3">
        <v>4.1581526436105403</v>
      </c>
      <c r="D84" s="3">
        <v>2.7152480681699198</v>
      </c>
      <c r="E84" s="3">
        <v>2.8100217626522701</v>
      </c>
      <c r="F84" s="3">
        <v>2.2602137142844398</v>
      </c>
      <c r="G84" s="3">
        <v>2.5999540714235199</v>
      </c>
      <c r="H84" s="3">
        <v>4.1138069354894498</v>
      </c>
      <c r="I84" s="3">
        <v>0.708964444525916</v>
      </c>
      <c r="J84" s="3">
        <v>1.4196570644484401</v>
      </c>
      <c r="K84" s="3">
        <v>2.70326200272148</v>
      </c>
      <c r="L84" s="3">
        <v>1.95053899787451</v>
      </c>
      <c r="M84" s="3">
        <v>2.7040240162806</v>
      </c>
      <c r="N84" s="3">
        <v>4.2384253045190698</v>
      </c>
    </row>
    <row r="85" spans="1:14" x14ac:dyDescent="0.35">
      <c r="A85" s="2">
        <v>44431</v>
      </c>
      <c r="B85" s="3">
        <v>2.5942415696690899</v>
      </c>
      <c r="C85" s="3">
        <v>4.09743875979271</v>
      </c>
      <c r="D85" s="3">
        <v>2.7169161797100898</v>
      </c>
      <c r="E85" s="3">
        <v>2.8443507980464098</v>
      </c>
      <c r="F85" s="3">
        <v>2.2844417683084801</v>
      </c>
      <c r="G85" s="3">
        <v>2.5475046769663598</v>
      </c>
      <c r="H85" s="3">
        <v>4.2057251757326402</v>
      </c>
      <c r="I85" s="3">
        <v>0.70573280636984104</v>
      </c>
      <c r="J85" s="3">
        <v>1.4116209870440699</v>
      </c>
      <c r="K85" s="3">
        <v>2.7565914065636901</v>
      </c>
      <c r="L85" s="3">
        <v>1.8497219027608101</v>
      </c>
      <c r="M85" s="3">
        <v>2.7220781122265598</v>
      </c>
      <c r="N85" s="3">
        <v>4.3690274379389704</v>
      </c>
    </row>
    <row r="86" spans="1:14" x14ac:dyDescent="0.35">
      <c r="A86" s="2">
        <v>44462</v>
      </c>
      <c r="B86" s="3">
        <v>2.58226070356561</v>
      </c>
      <c r="C86" s="3">
        <v>4.0508780157490998</v>
      </c>
      <c r="D86" s="3">
        <v>2.7793231335176398</v>
      </c>
      <c r="E86" s="3">
        <v>2.90260030354737</v>
      </c>
      <c r="F86" s="3">
        <v>2.18602373941515</v>
      </c>
      <c r="G86" s="3">
        <v>2.6688849014954901</v>
      </c>
      <c r="H86" s="3">
        <v>4.1739387044941996</v>
      </c>
      <c r="I86" s="3">
        <v>0.70970901054237601</v>
      </c>
      <c r="J86" s="3">
        <v>1.4238293941226301</v>
      </c>
      <c r="K86" s="3">
        <v>2.78222114514148</v>
      </c>
      <c r="L86" s="3">
        <v>1.85153145992234</v>
      </c>
      <c r="M86" s="3">
        <v>2.7851971707021099</v>
      </c>
      <c r="N86" s="3">
        <v>4.4709082877866697</v>
      </c>
    </row>
    <row r="87" spans="1:14" x14ac:dyDescent="0.35">
      <c r="A87" s="2">
        <v>44491</v>
      </c>
      <c r="B87" s="3">
        <v>2.66006149124112</v>
      </c>
      <c r="C87" s="3">
        <v>3.9599874357573901</v>
      </c>
      <c r="D87" s="3">
        <v>2.6770311163772602</v>
      </c>
      <c r="E87" s="3">
        <v>2.96511489617368</v>
      </c>
      <c r="F87" s="3">
        <v>2.2379674140995398</v>
      </c>
      <c r="G87" s="3">
        <v>2.6696353712267098</v>
      </c>
      <c r="H87" s="3">
        <v>4.0493809989626799</v>
      </c>
      <c r="I87" s="3">
        <v>0.71317143767653501</v>
      </c>
      <c r="J87" s="3">
        <v>1.4067206948264399</v>
      </c>
      <c r="K87" s="3">
        <v>2.8229570435959199</v>
      </c>
      <c r="L87" s="3">
        <v>1.89998334303744</v>
      </c>
      <c r="M87" s="3">
        <v>2.9794107677467898</v>
      </c>
      <c r="N87" s="3">
        <v>4.3953647159987099</v>
      </c>
    </row>
    <row r="88" spans="1:14" x14ac:dyDescent="0.35">
      <c r="A88" s="2">
        <v>44523</v>
      </c>
      <c r="B88" s="3">
        <v>2.75720960858715</v>
      </c>
      <c r="C88" s="3">
        <v>3.99391179806892</v>
      </c>
      <c r="D88" s="3">
        <v>2.7277998426072001</v>
      </c>
      <c r="E88" s="3">
        <v>2.99582999858234</v>
      </c>
      <c r="F88" s="3">
        <v>2.2298039892276398</v>
      </c>
      <c r="G88" s="3">
        <v>2.6363817818447202</v>
      </c>
      <c r="H88" s="3">
        <v>4.04586137061718</v>
      </c>
      <c r="I88" s="3">
        <v>0.68222900180394896</v>
      </c>
      <c r="J88" s="3">
        <v>1.3704036497309999</v>
      </c>
      <c r="K88" s="3">
        <v>2.7648074118509101</v>
      </c>
      <c r="L88" s="3">
        <v>1.9062164127282799</v>
      </c>
      <c r="M88" s="3">
        <v>3.0025336497288602</v>
      </c>
      <c r="N88" s="3">
        <v>4.4377374012725603</v>
      </c>
    </row>
    <row r="89" spans="1:14" x14ac:dyDescent="0.35">
      <c r="A89" s="2">
        <v>44553</v>
      </c>
      <c r="B89" s="3">
        <v>2.7802623716913</v>
      </c>
      <c r="C89" s="3">
        <v>3.8974943176328298</v>
      </c>
      <c r="D89" s="3">
        <v>2.7816516857915601</v>
      </c>
      <c r="E89" s="3">
        <v>3.0534282127999699</v>
      </c>
      <c r="F89" s="3">
        <v>2.3106987473060001</v>
      </c>
      <c r="G89" s="3">
        <v>2.55192618966122</v>
      </c>
      <c r="H89" s="3">
        <v>3.9364807418220802</v>
      </c>
      <c r="I89" s="3">
        <v>0.686977117167344</v>
      </c>
      <c r="J89" s="3">
        <v>1.36454188803909</v>
      </c>
      <c r="K89" s="3">
        <v>2.7562743878079199</v>
      </c>
      <c r="L89" s="3">
        <v>1.9449869482822899</v>
      </c>
      <c r="M89" s="3">
        <v>2.8802276456526399</v>
      </c>
      <c r="N89" s="3">
        <v>4.6342987350119502</v>
      </c>
    </row>
    <row r="90" spans="1:14" x14ac:dyDescent="0.35">
      <c r="A90" s="2">
        <v>44582</v>
      </c>
      <c r="B90" s="3">
        <v>2.9472203169941502</v>
      </c>
      <c r="C90" s="3">
        <v>4.0500381176754496</v>
      </c>
      <c r="D90" s="3">
        <v>2.8837528131763599</v>
      </c>
      <c r="E90" s="3">
        <v>3.1329072371453002</v>
      </c>
      <c r="F90" s="3">
        <v>2.4170052929949302</v>
      </c>
      <c r="G90" s="3">
        <v>2.6740524897332798</v>
      </c>
      <c r="H90" s="3">
        <v>3.8608345486417401</v>
      </c>
      <c r="I90" s="3">
        <v>0.78128439927161597</v>
      </c>
      <c r="J90" s="3">
        <v>1.4784457496900401</v>
      </c>
      <c r="K90" s="3">
        <v>2.7976156678648501</v>
      </c>
      <c r="L90" s="3">
        <v>2.13331775444294</v>
      </c>
      <c r="M90" s="3">
        <v>2.8377687168978998</v>
      </c>
      <c r="N90" s="3">
        <v>4.7064742712321497</v>
      </c>
    </row>
    <row r="91" spans="1:14" x14ac:dyDescent="0.35">
      <c r="A91" s="2">
        <v>44615</v>
      </c>
      <c r="B91" s="3">
        <v>3.0231093164216398</v>
      </c>
      <c r="C91" s="3">
        <v>4.2855370520213798</v>
      </c>
      <c r="D91" s="3">
        <v>2.9102387577721198</v>
      </c>
      <c r="E91" s="3">
        <v>3.4054438564183598</v>
      </c>
      <c r="F91" s="3">
        <v>2.5375717692137298</v>
      </c>
      <c r="G91" s="3">
        <v>2.81101786006918</v>
      </c>
      <c r="H91" s="3">
        <v>3.8664277541841199</v>
      </c>
      <c r="I91" s="3">
        <v>0.85343429291285799</v>
      </c>
      <c r="J91" s="3">
        <v>1.5603497515021501</v>
      </c>
      <c r="K91" s="3">
        <v>3.0226012222688401</v>
      </c>
      <c r="L91" s="3">
        <v>2.3436588456520502</v>
      </c>
      <c r="M91" s="3">
        <v>3.15854193523051</v>
      </c>
      <c r="N91" s="3">
        <v>4.9793132839911998</v>
      </c>
    </row>
    <row r="92" spans="1:14" x14ac:dyDescent="0.35">
      <c r="A92" s="2">
        <v>44643</v>
      </c>
      <c r="B92" s="3">
        <v>3.03580673449303</v>
      </c>
      <c r="C92" s="3">
        <v>4.1998636649863696</v>
      </c>
      <c r="D92" s="3">
        <v>2.7848211495331499</v>
      </c>
      <c r="E92" s="3">
        <v>3.55192330381109</v>
      </c>
      <c r="F92" s="3">
        <v>2.47147133877065</v>
      </c>
      <c r="G92" s="3">
        <v>2.8039263065229001</v>
      </c>
      <c r="H92" s="3">
        <v>3.9528220643414098</v>
      </c>
      <c r="I92" s="3">
        <v>0.80123932909859197</v>
      </c>
      <c r="J92" s="3">
        <v>1.4793639095188</v>
      </c>
      <c r="K92" s="3">
        <v>3.1346911612791599</v>
      </c>
      <c r="L92" s="3">
        <v>2.2632242168126</v>
      </c>
      <c r="M92" s="3">
        <v>3.07240508762614</v>
      </c>
      <c r="N92" s="3">
        <v>5.2227655621760798</v>
      </c>
    </row>
    <row r="93" spans="1:14" x14ac:dyDescent="0.35">
      <c r="A93" s="2">
        <v>44673</v>
      </c>
      <c r="B93" s="3">
        <v>3.1345686086180899</v>
      </c>
      <c r="C93" s="3">
        <v>4.3876351456834399</v>
      </c>
      <c r="D93" s="3">
        <v>2.9272240085886301</v>
      </c>
      <c r="E93" s="3">
        <v>3.62385513728979</v>
      </c>
      <c r="F93" s="3">
        <v>2.5816385151119801</v>
      </c>
      <c r="G93" s="3">
        <v>2.8105906615973799</v>
      </c>
      <c r="H93" s="3">
        <v>4.0209306276117802</v>
      </c>
      <c r="I93" s="3">
        <v>0.87207787940146098</v>
      </c>
      <c r="J93" s="3">
        <v>1.5455769344878001</v>
      </c>
      <c r="K93" s="3">
        <v>3.1259461205568302</v>
      </c>
      <c r="L93" s="3">
        <v>2.3280076256095601</v>
      </c>
      <c r="M93" s="3">
        <v>3.15767022238265</v>
      </c>
      <c r="N93" s="3">
        <v>5.17446238005593</v>
      </c>
    </row>
    <row r="94" spans="1:14" x14ac:dyDescent="0.35">
      <c r="A94" s="2">
        <v>44704</v>
      </c>
      <c r="B94" s="3">
        <v>3.2025732506650599</v>
      </c>
      <c r="C94" s="3">
        <v>4.65288688953778</v>
      </c>
      <c r="D94" s="3">
        <v>3.1764119847851799</v>
      </c>
      <c r="E94" s="3">
        <v>3.81537105624064</v>
      </c>
      <c r="F94" s="3">
        <v>2.6174824424110801</v>
      </c>
      <c r="G94" s="3">
        <v>3.0038859476379098</v>
      </c>
      <c r="H94" s="3">
        <v>4.0746544743155004</v>
      </c>
      <c r="I94" s="3">
        <v>0.97212540197893205</v>
      </c>
      <c r="J94" s="3">
        <v>1.66916715400717</v>
      </c>
      <c r="K94" s="3">
        <v>3.26538564984725</v>
      </c>
      <c r="L94" s="3">
        <v>2.5576969835008501</v>
      </c>
      <c r="M94" s="3">
        <v>3.3856069848342898</v>
      </c>
      <c r="N94" s="3">
        <v>5.1856026063623197</v>
      </c>
    </row>
    <row r="95" spans="1:14" x14ac:dyDescent="0.35">
      <c r="A95" s="2">
        <v>44735</v>
      </c>
      <c r="B95" s="3">
        <v>3.3849219687927401</v>
      </c>
      <c r="C95" s="3">
        <v>5.2570871102239902</v>
      </c>
      <c r="D95" s="3">
        <v>3.4598680522304601</v>
      </c>
      <c r="E95" s="3">
        <v>4.1788015966128</v>
      </c>
      <c r="F95" s="3">
        <v>2.72145283929189</v>
      </c>
      <c r="G95" s="3">
        <v>3.27816194594521</v>
      </c>
      <c r="H95" s="3">
        <v>4.4012435373976597</v>
      </c>
      <c r="I95" s="3">
        <v>1.00643350927207</v>
      </c>
      <c r="J95" s="3">
        <v>1.7655357618613701</v>
      </c>
      <c r="K95" s="3">
        <v>3.5588914469036901</v>
      </c>
      <c r="L95" s="3">
        <v>3.5564402723932398</v>
      </c>
      <c r="M95" s="3">
        <v>3.6460498617049701</v>
      </c>
      <c r="N95" s="3">
        <v>5.8685655442243903</v>
      </c>
    </row>
    <row r="96" spans="1:14" x14ac:dyDescent="0.35">
      <c r="A96" s="2">
        <v>44764</v>
      </c>
      <c r="B96" s="3">
        <v>3.30388098284691</v>
      </c>
      <c r="C96" s="3">
        <v>4.9802650728414504</v>
      </c>
      <c r="D96" s="3">
        <v>3.4238131378505301</v>
      </c>
      <c r="E96" s="3">
        <v>4.0679278455649097</v>
      </c>
      <c r="F96" s="3">
        <v>2.5889390194618098</v>
      </c>
      <c r="G96" s="3">
        <v>3.0924554438782401</v>
      </c>
      <c r="H96" s="3">
        <v>4.2665483906164798</v>
      </c>
      <c r="I96" s="3">
        <v>0.95902738435957802</v>
      </c>
      <c r="J96" s="3">
        <v>1.69882739979679</v>
      </c>
      <c r="K96" s="3">
        <v>3.3733472315620401</v>
      </c>
      <c r="L96" s="3">
        <v>3.1439009136548499</v>
      </c>
      <c r="M96" s="3">
        <v>3.5573943075079102</v>
      </c>
      <c r="N96" s="3">
        <v>6.0124685190231801</v>
      </c>
    </row>
    <row r="97" spans="1:14" x14ac:dyDescent="0.35">
      <c r="A97" s="2">
        <v>44796</v>
      </c>
      <c r="B97" s="3">
        <v>3.1621168252304699</v>
      </c>
      <c r="C97" s="3">
        <v>4.7702232742288198</v>
      </c>
      <c r="D97" s="3">
        <v>3.3366951215004699</v>
      </c>
      <c r="E97" s="3">
        <v>4.1100415672286799</v>
      </c>
      <c r="F97" s="3">
        <v>2.5784433442755801</v>
      </c>
      <c r="G97" s="3">
        <v>3.16648735293737</v>
      </c>
      <c r="H97" s="3">
        <v>4.2451508947021903</v>
      </c>
      <c r="I97" s="3">
        <v>0.92713399246711603</v>
      </c>
      <c r="J97" s="3">
        <v>1.65070553937422</v>
      </c>
      <c r="K97" s="3">
        <v>3.3816804127587199</v>
      </c>
      <c r="L97" s="3">
        <v>3.6381643668684802</v>
      </c>
      <c r="M97" s="3">
        <v>3.5954516349496402</v>
      </c>
      <c r="N97" s="3">
        <v>5.68281413413286</v>
      </c>
    </row>
    <row r="98" spans="1:14" x14ac:dyDescent="0.35">
      <c r="A98" s="2">
        <v>44827</v>
      </c>
      <c r="B98" s="3">
        <v>3.3100320330789601</v>
      </c>
      <c r="C98" s="3">
        <v>5.1455594215581302</v>
      </c>
      <c r="D98" s="3">
        <v>3.6267382158969301</v>
      </c>
      <c r="E98" s="3">
        <v>4.4226478166476504</v>
      </c>
      <c r="F98" s="3">
        <v>2.68651919428491</v>
      </c>
      <c r="G98" s="3">
        <v>3.4615179257870401</v>
      </c>
      <c r="H98" s="3">
        <v>4.7516223644736</v>
      </c>
      <c r="I98" s="3">
        <v>1.0652743571675201</v>
      </c>
      <c r="J98" s="3">
        <v>1.8522065661703</v>
      </c>
      <c r="K98" s="3">
        <v>3.7514235088479402</v>
      </c>
      <c r="L98" s="3">
        <v>3.0818242731938099</v>
      </c>
      <c r="M98" s="3">
        <v>3.81915779270755</v>
      </c>
      <c r="N98" s="3">
        <v>5.9435525217450804</v>
      </c>
    </row>
    <row r="99" spans="1:14" x14ac:dyDescent="0.35">
      <c r="A99" s="2">
        <v>44855</v>
      </c>
      <c r="B99" s="3">
        <v>3.5142944645480099</v>
      </c>
      <c r="C99" s="3">
        <v>5.14764238586198</v>
      </c>
      <c r="D99" s="3">
        <v>3.5497147114313701</v>
      </c>
      <c r="E99" s="3">
        <v>4.2651717616765197</v>
      </c>
      <c r="F99" s="3">
        <v>2.7431171703298101</v>
      </c>
      <c r="G99" s="3">
        <v>3.39462724394836</v>
      </c>
      <c r="H99" s="3">
        <v>4.6312802467885401</v>
      </c>
      <c r="I99" s="3">
        <v>1.0733617556840001</v>
      </c>
      <c r="J99" s="3">
        <v>1.83487587261114</v>
      </c>
      <c r="K99" s="3">
        <v>3.6198617965981699</v>
      </c>
      <c r="L99" s="3">
        <v>3.0101046540704499</v>
      </c>
      <c r="M99" s="3">
        <v>3.8678235158788801</v>
      </c>
      <c r="N99" s="3">
        <v>6.0045340451002396</v>
      </c>
    </row>
    <row r="100" spans="1:14" x14ac:dyDescent="0.35">
      <c r="A100" s="2">
        <v>44888</v>
      </c>
      <c r="B100" s="3">
        <v>3.37779860809272</v>
      </c>
      <c r="C100" s="3">
        <v>4.5631132910826997</v>
      </c>
      <c r="D100" s="3">
        <v>3.3004283201430198</v>
      </c>
      <c r="E100" s="3">
        <v>3.7601089867681901</v>
      </c>
      <c r="F100" s="3">
        <v>2.5826783084769902</v>
      </c>
      <c r="G100" s="3">
        <v>3.10920782166101</v>
      </c>
      <c r="H100" s="3">
        <v>4.25646643542522</v>
      </c>
      <c r="I100" s="3">
        <v>1.03047030578744</v>
      </c>
      <c r="J100" s="3">
        <v>1.72079980612643</v>
      </c>
      <c r="K100" s="3">
        <v>3.2800377698857401</v>
      </c>
      <c r="L100" s="3">
        <v>2.6556499316975701</v>
      </c>
      <c r="M100" s="3">
        <v>3.5698869131233701</v>
      </c>
      <c r="N100" s="3">
        <v>5.4626333953236799</v>
      </c>
    </row>
    <row r="101" spans="1:14" x14ac:dyDescent="0.35">
      <c r="A101" s="2">
        <v>44918</v>
      </c>
      <c r="B101" s="3">
        <v>3.4516857004455601</v>
      </c>
      <c r="C101" s="3">
        <v>4.5329737909224903</v>
      </c>
      <c r="D101" s="3">
        <v>3.4479324479020801</v>
      </c>
      <c r="E101" s="3">
        <v>3.8545087925995301</v>
      </c>
      <c r="F101" s="3">
        <v>2.7426132225500499</v>
      </c>
      <c r="G101" s="3">
        <v>3.2226049639291401</v>
      </c>
      <c r="H101" s="3">
        <v>4.2609216207100999</v>
      </c>
      <c r="I101" s="3">
        <v>1.0617599327968299</v>
      </c>
      <c r="J101" s="3">
        <v>1.8057890586668199</v>
      </c>
      <c r="K101" s="3">
        <v>3.36785109640652</v>
      </c>
      <c r="L101" s="3">
        <v>2.7791725748076002</v>
      </c>
      <c r="M101" s="3">
        <v>3.7385346560995099</v>
      </c>
      <c r="N101" s="3">
        <v>5.8802974859582999</v>
      </c>
    </row>
    <row r="102" spans="1:14" x14ac:dyDescent="0.35">
      <c r="A102" s="2">
        <v>44949</v>
      </c>
      <c r="B102" s="3">
        <v>3.3335983922564001</v>
      </c>
      <c r="C102" s="3">
        <v>4.2678304613130598</v>
      </c>
      <c r="D102" s="3">
        <v>3.3021795317633602</v>
      </c>
      <c r="E102" s="3">
        <v>3.5231400848349099</v>
      </c>
      <c r="F102" s="3">
        <v>2.6661247358008402</v>
      </c>
      <c r="G102" s="3">
        <v>3.0367547534959201</v>
      </c>
      <c r="H102" s="3">
        <v>4.0814301370814903</v>
      </c>
      <c r="I102" s="3">
        <v>0.98958909467738299</v>
      </c>
      <c r="J102" s="3">
        <v>1.73187101893852</v>
      </c>
      <c r="K102" s="3">
        <v>3.1263957095644601</v>
      </c>
      <c r="L102" s="3">
        <v>2.55163405592462</v>
      </c>
      <c r="M102" s="3">
        <v>3.4711418821587601</v>
      </c>
      <c r="N102" s="3">
        <v>5.4968568901817996</v>
      </c>
    </row>
    <row r="103" spans="1:14" x14ac:dyDescent="0.35">
      <c r="A103" s="2">
        <v>44980</v>
      </c>
      <c r="B103" s="3">
        <v>3.3602969304634298</v>
      </c>
      <c r="C103" s="3">
        <v>4.4364612011450104</v>
      </c>
      <c r="D103" s="3">
        <v>3.38922556080241</v>
      </c>
      <c r="E103" s="3">
        <v>3.47406816454692</v>
      </c>
      <c r="F103" s="3">
        <v>2.6404958257776299</v>
      </c>
      <c r="G103" s="3">
        <v>3.0897650462089898</v>
      </c>
      <c r="H103" s="3">
        <v>4.1077277401030399</v>
      </c>
      <c r="I103" s="3">
        <v>0.97659638367594503</v>
      </c>
      <c r="J103" s="3">
        <v>1.75060163103374</v>
      </c>
      <c r="K103" s="3">
        <v>3.1340998268315801</v>
      </c>
      <c r="L103" s="3">
        <v>2.6109421110756301</v>
      </c>
      <c r="M103" s="3">
        <v>3.5476327778602399</v>
      </c>
      <c r="N103" s="3">
        <v>5.5460823924119298</v>
      </c>
    </row>
    <row r="104" spans="1:14" x14ac:dyDescent="0.35">
      <c r="A104" s="2">
        <v>45008</v>
      </c>
      <c r="B104" s="3">
        <v>3.4859670197722399</v>
      </c>
      <c r="C104" s="3">
        <v>4.6554315097234404</v>
      </c>
      <c r="D104" s="3">
        <v>3.4701272204019098</v>
      </c>
      <c r="E104" s="3">
        <v>3.6166841643753802</v>
      </c>
      <c r="F104" s="3">
        <v>2.6772107429854999</v>
      </c>
      <c r="G104" s="3">
        <v>3.2533576221845699</v>
      </c>
      <c r="H104" s="3">
        <v>4.3184970108764604</v>
      </c>
      <c r="I104" s="3">
        <v>0.93965888808628595</v>
      </c>
      <c r="J104" s="3">
        <v>1.7824664689003</v>
      </c>
      <c r="K104" s="3">
        <v>3.2332293709166802</v>
      </c>
      <c r="L104" s="3">
        <v>2.6827489953226502</v>
      </c>
      <c r="M104" s="3">
        <v>3.7549291244676599</v>
      </c>
      <c r="N104" s="3">
        <v>5.5514655539520197</v>
      </c>
    </row>
    <row r="105" spans="1:14" x14ac:dyDescent="0.35">
      <c r="A105" s="2">
        <v>45037</v>
      </c>
      <c r="B105" s="3">
        <v>3.4103487493752001</v>
      </c>
      <c r="C105" s="3">
        <v>4.4047889780677298</v>
      </c>
      <c r="D105" s="3">
        <v>3.2304052124939302</v>
      </c>
      <c r="E105" s="3">
        <v>3.49929240766813</v>
      </c>
      <c r="F105" s="3">
        <v>2.5818622130962599</v>
      </c>
      <c r="G105" s="3">
        <v>3.0569145041115702</v>
      </c>
      <c r="H105" s="3">
        <v>4.0642403651024797</v>
      </c>
      <c r="I105" s="3">
        <v>0.92196409778011201</v>
      </c>
      <c r="J105" s="3">
        <v>1.7114374363301299</v>
      </c>
      <c r="K105" s="3">
        <v>3.08590419424623</v>
      </c>
      <c r="L105" s="3">
        <v>2.6604926849007899</v>
      </c>
      <c r="M105" s="3">
        <v>3.6464224415070601</v>
      </c>
      <c r="N105" s="3">
        <v>5.3155604797634304</v>
      </c>
    </row>
    <row r="106" spans="1:14" x14ac:dyDescent="0.35">
      <c r="A106" s="2">
        <v>45069</v>
      </c>
      <c r="B106" s="3">
        <v>3.4908105609744502</v>
      </c>
      <c r="C106" s="3">
        <v>4.4232792026605097</v>
      </c>
      <c r="D106" s="3">
        <v>3.3036753029832</v>
      </c>
      <c r="E106" s="3">
        <v>3.5702218111200499</v>
      </c>
      <c r="F106" s="3">
        <v>2.4567274265764598</v>
      </c>
      <c r="G106" s="3">
        <v>3.1074993661970298</v>
      </c>
      <c r="H106" s="3">
        <v>4.2889127163592597</v>
      </c>
      <c r="I106" s="3">
        <v>0.86359203399662499</v>
      </c>
      <c r="J106" s="3">
        <v>1.70573084975043</v>
      </c>
      <c r="K106" s="3">
        <v>3.2169602334429399</v>
      </c>
      <c r="L106" s="3">
        <v>2.6588876573175702</v>
      </c>
      <c r="M106" s="3">
        <v>3.72201204950884</v>
      </c>
      <c r="N106" s="3">
        <v>5.5825961021436097</v>
      </c>
    </row>
    <row r="107" spans="1:14" x14ac:dyDescent="0.35">
      <c r="A107" s="2">
        <v>45100</v>
      </c>
      <c r="B107" s="3">
        <v>3.4734615707072098</v>
      </c>
      <c r="C107" s="3">
        <v>4.3950550374951698</v>
      </c>
      <c r="D107" s="3">
        <v>3.3817644253845098</v>
      </c>
      <c r="E107" s="3">
        <v>3.68306577476742</v>
      </c>
      <c r="F107" s="3">
        <v>2.3532612316171999</v>
      </c>
      <c r="G107" s="3">
        <v>3.19163934912992</v>
      </c>
      <c r="H107" s="3">
        <v>4.4305086351299803</v>
      </c>
      <c r="I107" s="3">
        <v>0.79921031331205294</v>
      </c>
      <c r="J107" s="3">
        <v>1.63294801654069</v>
      </c>
      <c r="K107" s="3">
        <v>3.3231359510409999</v>
      </c>
      <c r="L107" s="3">
        <v>2.7377812789476801</v>
      </c>
      <c r="M107" s="3">
        <v>3.8277928647263399</v>
      </c>
      <c r="N107" s="3">
        <v>5.4719178876062502</v>
      </c>
    </row>
    <row r="108" spans="1:14" x14ac:dyDescent="0.35">
      <c r="A108" s="2">
        <v>45128</v>
      </c>
      <c r="B108" s="3">
        <v>3.42818701115214</v>
      </c>
      <c r="C108" s="3">
        <v>4.1580932783593099</v>
      </c>
      <c r="D108" s="3">
        <v>3.1634723630322701</v>
      </c>
      <c r="E108" s="3">
        <v>3.6483081329698601</v>
      </c>
      <c r="F108" s="3">
        <v>2.3776572216909901</v>
      </c>
      <c r="G108" s="3">
        <v>3.1652102214300899</v>
      </c>
      <c r="H108" s="3">
        <v>4.2878092970054196</v>
      </c>
      <c r="I108" s="3">
        <v>0.77656815688890801</v>
      </c>
      <c r="J108" s="3">
        <v>1.5727329270338699</v>
      </c>
      <c r="K108" s="3">
        <v>3.23115620969357</v>
      </c>
      <c r="L108" s="3">
        <v>2.6972569111069098</v>
      </c>
      <c r="M108" s="3">
        <v>3.8137040034126199</v>
      </c>
      <c r="N108" s="3">
        <v>5.21068288834228</v>
      </c>
    </row>
    <row r="109" spans="1:14" x14ac:dyDescent="0.35">
      <c r="A109" s="2">
        <v>45161</v>
      </c>
      <c r="B109" s="3">
        <v>3.4972113890316101</v>
      </c>
      <c r="C109" s="3">
        <v>4.2480168984799196</v>
      </c>
      <c r="D109" s="3">
        <v>3.5738103259945602</v>
      </c>
      <c r="E109" s="3">
        <v>3.74729424431461</v>
      </c>
      <c r="F109" s="3">
        <v>2.40594968247553</v>
      </c>
      <c r="G109" s="3">
        <v>3.2660585181758202</v>
      </c>
      <c r="H109" s="3">
        <v>4.5650333707493704</v>
      </c>
      <c r="I109" s="3">
        <v>0.92088274019618299</v>
      </c>
      <c r="J109" s="3">
        <v>1.6188977374528699</v>
      </c>
      <c r="K109" s="3">
        <v>3.3614671647298202</v>
      </c>
      <c r="L109" s="3">
        <v>2.87302900771666</v>
      </c>
      <c r="M109" s="3">
        <v>3.9924845368805602</v>
      </c>
      <c r="N109" s="3">
        <v>5.5824839648702502</v>
      </c>
    </row>
    <row r="110" spans="1:14" x14ac:dyDescent="0.35">
      <c r="A110" s="2">
        <v>45191</v>
      </c>
      <c r="B110" s="3">
        <v>3.4202903057749499</v>
      </c>
      <c r="C110" s="3">
        <v>4.2757197263062201</v>
      </c>
      <c r="D110" s="3">
        <v>3.58973365911802</v>
      </c>
      <c r="E110" s="3">
        <v>3.7905364367321299</v>
      </c>
      <c r="F110" s="3">
        <v>2.32655897651758</v>
      </c>
      <c r="G110" s="3">
        <v>3.3200579875134602</v>
      </c>
      <c r="H110" s="3">
        <v>4.4046159336431003</v>
      </c>
      <c r="I110" s="3">
        <v>0.96298895465204204</v>
      </c>
      <c r="J110" s="3">
        <v>1.672156385479</v>
      </c>
      <c r="K110" s="3">
        <v>3.3963562082791299</v>
      </c>
      <c r="L110" s="3">
        <v>3.0307036869044701</v>
      </c>
      <c r="M110" s="3">
        <v>3.9980897209900701</v>
      </c>
      <c r="N110" s="3">
        <v>5.4539415018296999</v>
      </c>
    </row>
    <row r="111" spans="1:14" x14ac:dyDescent="0.35">
      <c r="A111" s="2">
        <v>45222</v>
      </c>
      <c r="B111" s="3">
        <v>3.5411196048019198</v>
      </c>
      <c r="C111" s="3">
        <v>4.4852323102264204</v>
      </c>
      <c r="D111" s="3">
        <v>3.7416256613912799</v>
      </c>
      <c r="E111" s="3">
        <v>4.0345941755479497</v>
      </c>
      <c r="F111" s="3">
        <v>2.4861821786047198</v>
      </c>
      <c r="G111" s="3">
        <v>3.5379069958692302</v>
      </c>
      <c r="H111" s="3">
        <v>4.5947331945382901</v>
      </c>
      <c r="I111" s="3">
        <v>0.98786370046051097</v>
      </c>
      <c r="J111" s="3">
        <v>1.7213778882069899</v>
      </c>
      <c r="K111" s="3">
        <v>3.5658297693212502</v>
      </c>
      <c r="L111" s="3">
        <v>3.1342594667842301</v>
      </c>
      <c r="M111" s="3">
        <v>3.9876223269670401</v>
      </c>
      <c r="N111" s="3">
        <v>5.7012717545946403</v>
      </c>
    </row>
    <row r="112" spans="1:14" x14ac:dyDescent="0.35">
      <c r="A112" s="2">
        <v>45252</v>
      </c>
      <c r="B112" s="3">
        <v>3.41253743431127</v>
      </c>
      <c r="C112" s="3">
        <v>4.3213590124727697</v>
      </c>
      <c r="D112" s="3">
        <v>3.5039590558128699</v>
      </c>
      <c r="E112" s="3">
        <v>3.7071232025816601</v>
      </c>
      <c r="F112" s="3">
        <v>2.3729067775439501</v>
      </c>
      <c r="G112" s="3">
        <v>3.39216839214017</v>
      </c>
      <c r="H112" s="3">
        <v>4.4738080330374403</v>
      </c>
      <c r="I112" s="3">
        <v>0.91310336100373801</v>
      </c>
      <c r="J112" s="3">
        <v>1.60069839048567</v>
      </c>
      <c r="K112" s="3">
        <v>3.3575040241305198</v>
      </c>
      <c r="L112" s="3">
        <v>2.8069525140652098</v>
      </c>
      <c r="M112" s="3">
        <v>3.6688118534398102</v>
      </c>
      <c r="N112" s="3">
        <v>5.56541279443337</v>
      </c>
    </row>
    <row r="113" spans="1:25" x14ac:dyDescent="0.35">
      <c r="A113" s="2">
        <v>45282</v>
      </c>
      <c r="B113" s="3">
        <v>3.0105775827155399</v>
      </c>
      <c r="C113" s="3">
        <v>4.0219886672806204</v>
      </c>
      <c r="D113" s="3">
        <v>3.3733770361789599</v>
      </c>
      <c r="E113" s="3">
        <v>3.5606202842947501</v>
      </c>
      <c r="F113" s="3">
        <v>2.45098040489043</v>
      </c>
      <c r="G113" s="3">
        <v>3.2874728188919402</v>
      </c>
      <c r="H113" s="3">
        <v>4.2916901601909796</v>
      </c>
      <c r="I113" s="3">
        <v>0.94677205203163695</v>
      </c>
      <c r="J113" s="3">
        <v>1.54662116097726</v>
      </c>
      <c r="K113" s="3">
        <v>3.2160105407342701</v>
      </c>
      <c r="L113" s="3">
        <v>2.6917991048380601</v>
      </c>
      <c r="M113" s="3">
        <v>2.9406213510383399</v>
      </c>
      <c r="N113" s="3">
        <v>5.4709530250112701</v>
      </c>
    </row>
    <row r="114" spans="1:25" x14ac:dyDescent="0.35">
      <c r="A114" s="2">
        <v>45314</v>
      </c>
      <c r="B114" s="3">
        <v>2.9896857112054902</v>
      </c>
      <c r="C114" s="3">
        <v>4.0583733768864398</v>
      </c>
      <c r="D114" s="3">
        <v>3.3406079169826599</v>
      </c>
      <c r="E114" s="3">
        <v>3.6090863432766001</v>
      </c>
      <c r="F114" s="3">
        <v>2.2601672911215398</v>
      </c>
      <c r="G114" s="3">
        <v>3.3544411951002302</v>
      </c>
      <c r="H114" s="3">
        <v>4.4355478471601204</v>
      </c>
      <c r="I114" s="3">
        <v>0.91444169222513805</v>
      </c>
      <c r="J114" s="3">
        <v>1.5191873081323699</v>
      </c>
      <c r="K114" s="3">
        <v>3.2935737822851001</v>
      </c>
      <c r="L114" s="3">
        <v>2.6916110997422198</v>
      </c>
      <c r="M114" s="3">
        <v>3.0377711378163399</v>
      </c>
      <c r="N114" s="3">
        <v>5.4967475094083103</v>
      </c>
    </row>
    <row r="115" spans="1:25" x14ac:dyDescent="0.35">
      <c r="A115" s="2">
        <v>45345</v>
      </c>
      <c r="B115" s="3">
        <v>2.9007954748399398</v>
      </c>
      <c r="C115" s="3">
        <v>3.98777833281678</v>
      </c>
      <c r="D115" s="3">
        <v>3.2482452373491402</v>
      </c>
      <c r="E115" s="3">
        <v>3.4147333681852401</v>
      </c>
      <c r="F115" s="3">
        <v>2.2004003438589299</v>
      </c>
      <c r="G115" s="3">
        <v>3.2689220887541199</v>
      </c>
      <c r="H115" s="3">
        <v>4.1839804308485604</v>
      </c>
      <c r="I115" s="3">
        <v>0.91478674774400204</v>
      </c>
      <c r="J115" s="3">
        <v>1.4757317087777899</v>
      </c>
      <c r="K115" s="3">
        <v>3.1024036709098102</v>
      </c>
      <c r="L115" s="3">
        <v>2.48317771550396</v>
      </c>
      <c r="M115" s="3">
        <v>3.3190434128822801</v>
      </c>
      <c r="N115" s="3">
        <v>5.2775345404803904</v>
      </c>
    </row>
    <row r="116" spans="1:25" x14ac:dyDescent="0.35">
      <c r="A116" s="2">
        <v>45373</v>
      </c>
      <c r="B116" s="3">
        <v>2.7494753383730099</v>
      </c>
      <c r="C116" s="3">
        <v>3.9623489340378502</v>
      </c>
      <c r="D116" s="3">
        <v>3.1261263566284399</v>
      </c>
      <c r="E116" s="3">
        <v>3.29362977123278</v>
      </c>
      <c r="F116" s="3">
        <v>2.10630751808849</v>
      </c>
      <c r="G116" s="3">
        <v>3.2756056231373401</v>
      </c>
      <c r="H116" s="3">
        <v>4.0439272406140496</v>
      </c>
      <c r="I116" s="3">
        <v>0.903621381794945</v>
      </c>
      <c r="J116" s="3">
        <v>1.4348609110388</v>
      </c>
      <c r="K116" s="3">
        <v>3.0657261289369</v>
      </c>
      <c r="L116" s="3">
        <v>2.5415305522631702</v>
      </c>
      <c r="M116" s="3">
        <v>3.1708986982446898</v>
      </c>
      <c r="N116" s="3">
        <v>5.12571666578269</v>
      </c>
    </row>
    <row r="117" spans="1:25" x14ac:dyDescent="0.35">
      <c r="A117" s="2">
        <v>45405</v>
      </c>
      <c r="B117" s="3">
        <v>2.7909482745225498</v>
      </c>
      <c r="C117" s="3">
        <v>3.9994226313712198</v>
      </c>
      <c r="D117" s="3">
        <v>3.1053134470011798</v>
      </c>
      <c r="E117" s="3">
        <v>3.3354707687074199</v>
      </c>
      <c r="F117" s="3">
        <v>2.2619149960950899</v>
      </c>
      <c r="G117" s="3">
        <v>3.3406818062687198</v>
      </c>
      <c r="H117" s="3">
        <v>3.9938790750833202</v>
      </c>
      <c r="I117" s="3">
        <v>0.95434317623549503</v>
      </c>
      <c r="J117" s="3">
        <v>1.489889800304</v>
      </c>
      <c r="K117" s="3">
        <v>3.1092039938914602</v>
      </c>
      <c r="L117" s="3">
        <v>2.57163537748194</v>
      </c>
      <c r="M117" s="3">
        <v>3.2819849831299299</v>
      </c>
      <c r="N117" s="3">
        <v>5.1955080173733403</v>
      </c>
    </row>
    <row r="118" spans="1:25" x14ac:dyDescent="0.35">
      <c r="A118" s="2">
        <v>45435</v>
      </c>
      <c r="B118" s="3">
        <v>2.7266913123958401</v>
      </c>
      <c r="C118" s="3">
        <v>3.93928488653233</v>
      </c>
      <c r="D118" s="3">
        <v>3.1252327748153998</v>
      </c>
      <c r="E118" s="3">
        <v>3.3373544834851501</v>
      </c>
      <c r="F118" s="3">
        <v>2.2162340313027098</v>
      </c>
      <c r="G118" s="3">
        <v>3.2174805003364102</v>
      </c>
      <c r="H118" s="3">
        <v>3.8499254504951002</v>
      </c>
      <c r="I118" s="3">
        <v>0.91702118294474</v>
      </c>
      <c r="J118" s="3">
        <v>1.45295219857527</v>
      </c>
      <c r="K118" s="3">
        <v>3.11015325722376</v>
      </c>
      <c r="L118" s="3">
        <v>2.4751003203801001</v>
      </c>
      <c r="M118" s="3">
        <v>3.14758895265589</v>
      </c>
      <c r="N118" s="3">
        <v>5.2508942371436698</v>
      </c>
    </row>
    <row r="119" spans="1:25" x14ac:dyDescent="0.35">
      <c r="A119" s="2">
        <v>45464</v>
      </c>
      <c r="B119" s="3">
        <v>2.7358281590920401</v>
      </c>
      <c r="C119" s="3">
        <v>3.9232640907162999</v>
      </c>
      <c r="D119" s="3">
        <v>3.39520742883788</v>
      </c>
      <c r="E119" s="3">
        <v>3.45113976389122</v>
      </c>
      <c r="F119" s="3">
        <v>2.3035515895115002</v>
      </c>
      <c r="G119" s="3">
        <v>3.2168408824896901</v>
      </c>
      <c r="H119" s="3">
        <v>3.9448666374107799</v>
      </c>
      <c r="I119" s="3">
        <v>0.86964275086168796</v>
      </c>
      <c r="J119" s="3">
        <v>1.41012109813616</v>
      </c>
      <c r="K119" s="3">
        <v>3.3357546884287701</v>
      </c>
      <c r="L119" s="3">
        <v>2.48057689763217</v>
      </c>
      <c r="M119" s="3">
        <v>3.2470494160081702</v>
      </c>
      <c r="N119" s="3">
        <v>5.4491884735569096</v>
      </c>
    </row>
    <row r="120" spans="1:25" x14ac:dyDescent="0.35">
      <c r="A120" s="2">
        <v>45496</v>
      </c>
      <c r="B120" s="3">
        <v>2.6072175050599302</v>
      </c>
      <c r="C120" s="3">
        <v>3.8414576414115098</v>
      </c>
      <c r="D120" s="3">
        <v>3.21758040699696</v>
      </c>
      <c r="E120" s="3">
        <v>3.3782651218187398</v>
      </c>
      <c r="F120" s="3">
        <v>2.2385291959728599</v>
      </c>
      <c r="G120" s="3">
        <v>3.1770472461999599</v>
      </c>
      <c r="H120" s="3">
        <v>3.9186512502109001</v>
      </c>
      <c r="I120" s="3">
        <v>0.83157635835673804</v>
      </c>
      <c r="J120" s="3">
        <v>1.391371826011</v>
      </c>
      <c r="K120" s="3">
        <v>3.3484767390945702</v>
      </c>
      <c r="L120" s="3">
        <v>2.5275363892228202</v>
      </c>
      <c r="M120" s="3">
        <v>3.2009706590343199</v>
      </c>
      <c r="N120" s="3">
        <v>5.2589045360601396</v>
      </c>
    </row>
    <row r="121" spans="1:25" x14ac:dyDescent="0.35">
      <c r="A121" s="2">
        <v>45527</v>
      </c>
      <c r="B121" s="3">
        <v>2.50125026182097</v>
      </c>
      <c r="C121" s="3">
        <v>3.7626268270974998</v>
      </c>
      <c r="D121" s="3">
        <v>3.1559054548844299</v>
      </c>
      <c r="E121" s="3">
        <v>3.3876462068448201</v>
      </c>
      <c r="F121" s="3">
        <v>2.3933043934568401</v>
      </c>
      <c r="G121" s="3">
        <v>3.1047339416497399</v>
      </c>
      <c r="H121" s="3">
        <v>3.8261179045337399</v>
      </c>
      <c r="I121" s="3">
        <v>0.82628986167095297</v>
      </c>
      <c r="J121" s="3">
        <v>1.3762891493937599</v>
      </c>
      <c r="K121" s="3">
        <v>3.3578102922068802</v>
      </c>
      <c r="L121" s="3">
        <v>2.6031001269676799</v>
      </c>
      <c r="M121" s="3">
        <v>3.2441250884119599</v>
      </c>
      <c r="N121" s="3">
        <v>5.3893474568438204</v>
      </c>
    </row>
    <row r="122" spans="1:25" x14ac:dyDescent="0.35">
      <c r="A122" s="2">
        <v>45554</v>
      </c>
      <c r="B122" s="3">
        <v>3.0414931807269001</v>
      </c>
      <c r="C122" s="3">
        <v>3.6134712190085199</v>
      </c>
      <c r="D122" s="3">
        <v>3.0716995318076599</v>
      </c>
      <c r="E122" s="3">
        <v>3.32235390015967</v>
      </c>
      <c r="F122" s="3">
        <v>2.5387188651753001</v>
      </c>
      <c r="G122" s="3">
        <v>3.1914536610739499</v>
      </c>
      <c r="H122" s="3">
        <v>3.8966617363481002</v>
      </c>
      <c r="I122" s="3">
        <v>0.82647516313735103</v>
      </c>
      <c r="J122" s="3">
        <v>1.3618868065038701</v>
      </c>
      <c r="K122" s="3">
        <v>3.4223988062525601</v>
      </c>
      <c r="L122" s="3">
        <v>2.6341568459170301</v>
      </c>
      <c r="M122" s="3">
        <v>3.2356624096170701</v>
      </c>
      <c r="N122" s="3">
        <v>5.3296849498730099</v>
      </c>
    </row>
    <row r="125" spans="1:25" x14ac:dyDescent="0.35">
      <c r="A125" s="2" t="s">
        <v>91</v>
      </c>
      <c r="B125" s="3" cm="1">
        <f t="array" ref="B125">MIN(_xlfn._xlws.FILTER(B1:B122, ISNUMBER(B1:B122)))</f>
        <v>2.3098509223250598</v>
      </c>
      <c r="C125" s="3" cm="1">
        <f t="array" ref="C125">MIN(_xlfn._xlws.FILTER(C1:C122, ISNUMBER(C1:C122)))</f>
        <v>3.37951815231246</v>
      </c>
      <c r="D125" s="3" cm="1">
        <f t="array" ref="D125">MIN(_xlfn._xlws.FILTER(D1:D122, ISNUMBER(D1:D122)))</f>
        <v>2.6770311163772602</v>
      </c>
      <c r="E125" s="3" cm="1">
        <f t="array" ref="E125">MIN(_xlfn._xlws.FILTER(E1:E122, ISNUMBER(E1:E122)))</f>
        <v>2.6914785926985298</v>
      </c>
      <c r="F125" s="3" cm="1">
        <f t="array" ref="F125">MIN(_xlfn._xlws.FILTER(F1:F122, ISNUMBER(F1:F122)))</f>
        <v>1.80721524352469</v>
      </c>
      <c r="G125" s="3" cm="1">
        <f t="array" ref="G125">MIN(_xlfn._xlws.FILTER(G1:G122, ISNUMBER(G1:G122)))</f>
        <v>2.5475046769663598</v>
      </c>
      <c r="H125" s="3" cm="1">
        <f t="array" ref="H125">MIN(_xlfn._xlws.FILTER(H1:H122, ISNUMBER(H1:H122)))</f>
        <v>3.8261179045337399</v>
      </c>
      <c r="I125" s="3" cm="1">
        <f t="array" ref="I125">MIN(_xlfn._xlws.FILTER(I1:I122, ISNUMBER(I1:I122)))</f>
        <v>0.68222900180394896</v>
      </c>
      <c r="J125" s="3" cm="1">
        <f t="array" ref="J125">MIN(_xlfn._xlws.FILTER(J1:J122, ISNUMBER(J1:J122)))</f>
        <v>1.3618868065038701</v>
      </c>
      <c r="K125" s="3" cm="1">
        <f t="array" ref="K125">MIN(_xlfn._xlws.FILTER(K1:K122, ISNUMBER(K1:K122)))</f>
        <v>2.6855598584438898</v>
      </c>
      <c r="L125" s="3" cm="1">
        <f t="array" ref="L125">MIN(_xlfn._xlws.FILTER(L1:L122, ISNUMBER(L1:L122)))</f>
        <v>1.8497219027608101</v>
      </c>
      <c r="M125" s="3" cm="1">
        <f t="array" ref="M125">MIN(_xlfn._xlws.FILTER(M1:M122, ISNUMBER(M1:M122)))</f>
        <v>2.7040240162806</v>
      </c>
      <c r="N125" s="3" cm="1">
        <f t="array" ref="N125">MIN(_xlfn._xlws.FILTER(N1:N122, ISNUMBER(N1:N122)))</f>
        <v>3.1168003772430901</v>
      </c>
    </row>
    <row r="126" spans="1:25" x14ac:dyDescent="0.35">
      <c r="A126" s="2" t="s">
        <v>92</v>
      </c>
      <c r="B126" s="3" cm="1">
        <f t="array" ref="B126">MAX(_xlfn._xlws.FILTER(B1:B122, ISNUMBER(B1:B122)))</f>
        <v>5.1733629115929602</v>
      </c>
      <c r="C126" s="3" cm="1">
        <f t="array" ref="C126">MAX(_xlfn._xlws.FILTER(C1:C122, ISNUMBER(C1:C122)))</f>
        <v>6.1343569351317804</v>
      </c>
      <c r="D126" s="3" cm="1">
        <f t="array" ref="D126">MAX(_xlfn._xlws.FILTER(D1:D122, ISNUMBER(D1:D122)))</f>
        <v>5.1596782503585699</v>
      </c>
      <c r="E126" s="3" cm="1">
        <f t="array" ref="E126">MAX(_xlfn._xlws.FILTER(E1:E122, ISNUMBER(E1:E122)))</f>
        <v>4.5467504185860799</v>
      </c>
      <c r="F126" s="3" cm="1">
        <f t="array" ref="F126">MAX(_xlfn._xlws.FILTER(F1:F122, ISNUMBER(F1:F122)))</f>
        <v>3.25786229114857</v>
      </c>
      <c r="G126" s="3" cm="1">
        <f t="array" ref="G126">MAX(_xlfn._xlws.FILTER(G1:G122, ISNUMBER(G1:G122)))</f>
        <v>4.0214884710086096</v>
      </c>
      <c r="H126" s="3" cm="1">
        <f t="array" ref="H126">MAX(_xlfn._xlws.FILTER(H1:H122, ISNUMBER(H1:H122)))</f>
        <v>7.3297985128070904</v>
      </c>
      <c r="I126" s="3" cm="1">
        <f t="array" ref="I126">MAX(_xlfn._xlws.FILTER(I1:I122, ISNUMBER(I1:I122)))</f>
        <v>1.4254410473720001</v>
      </c>
      <c r="J126" s="3" cm="1">
        <f t="array" ref="J126">MAX(_xlfn._xlws.FILTER(J1:J122, ISNUMBER(J1:J122)))</f>
        <v>2.82641440802225</v>
      </c>
      <c r="K126" s="3" cm="1">
        <f t="array" ref="K126">MAX(_xlfn._xlws.FILTER(K1:K122, ISNUMBER(K1:K122)))</f>
        <v>4.9990489501616704</v>
      </c>
      <c r="L126" s="3" cm="1">
        <f t="array" ref="L126">MAX(_xlfn._xlws.FILTER(L1:L122, ISNUMBER(L1:L122)))</f>
        <v>3.6850413317776001</v>
      </c>
      <c r="M126" s="3" cm="1">
        <f t="array" ref="M126">MAX(_xlfn._xlws.FILTER(M1:M122, ISNUMBER(M1:M122)))</f>
        <v>4.8728478378546001</v>
      </c>
      <c r="N126" s="3" cm="1">
        <f t="array" ref="N126">MAX(_xlfn._xlws.FILTER(N1:N122, ISNUMBER(N1:N122)))</f>
        <v>6.8304141240972704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0.28599999999999998</v>
      </c>
      <c r="C128" s="9" cm="1">
        <f t="array" ref="C128">_xlfn.PERCENTRANK.EXC(_xlfn._xlws.FILTER(C1:C122, ISNUMBER(C1:C122)),C122)</f>
        <v>6.5000000000000002E-2</v>
      </c>
      <c r="D128" s="9" cm="1">
        <f t="array" ref="D128">_xlfn.PERCENTRANK.EXC(_xlfn._xlws.FILTER(D1:D122, ISNUMBER(D1:D122)),D122)</f>
        <v>0.40899999999999997</v>
      </c>
      <c r="E128" s="9" cm="1">
        <f t="array" ref="E128">_xlfn.PERCENTRANK.EXC(_xlfn._xlws.FILTER(E1:E122, ISNUMBER(E1:E122)),E122)</f>
        <v>0.57299999999999995</v>
      </c>
      <c r="F128" s="9" cm="1">
        <f t="array" ref="F128">_xlfn.PERCENTRANK.EXC(_xlfn._xlws.FILTER(F1:F122, ISNUMBER(F1:F122)),F122)</f>
        <v>0.77</v>
      </c>
      <c r="G128" s="9" cm="1">
        <f t="array" ref="G128">_xlfn.PERCENTRANK.EXC(_xlfn._xlws.FILTER(G1:G122, ISNUMBER(G1:G122)),G122)</f>
        <v>0.377</v>
      </c>
      <c r="H128" s="9" cm="1">
        <f t="array" ref="H128">_xlfn.PERCENTRANK.EXC(_xlfn._xlws.FILTER(H1:H122, ISNUMBER(H1:H122)),H122)</f>
        <v>6.5000000000000002E-2</v>
      </c>
      <c r="I128" s="9" cm="1">
        <f t="array" ref="I128">_xlfn.PERCENTRANK.EXC(_xlfn._xlws.FILTER(I1:I122, ISNUMBER(I1:I122)),I122)</f>
        <v>0.18</v>
      </c>
      <c r="J128" s="9" cm="1">
        <f t="array" ref="J128">_xlfn.PERCENTRANK.EXC(_xlfn._xlws.FILTER(J1:J122, ISNUMBER(J1:J122)),J122)</f>
        <v>8.0000000000000002E-3</v>
      </c>
      <c r="K128" s="9" cm="1">
        <f t="array" ref="K128">_xlfn.PERCENTRANK.EXC(_xlfn._xlws.FILTER(K1:K122, ISNUMBER(K1:K122)),K122)</f>
        <v>0.61399999999999999</v>
      </c>
      <c r="L128" s="9" cm="1">
        <f t="array" ref="L128">_xlfn.PERCENTRANK.EXC(_xlfn._xlws.FILTER(L1:L122, ISNUMBER(L1:L122)),L122)</f>
        <v>0.311</v>
      </c>
      <c r="M128" s="9" cm="1">
        <f t="array" ref="M128">_xlfn.PERCENTRANK.EXC(_xlfn._xlws.FILTER(M1:M122, ISNUMBER(M1:M122)),M122)</f>
        <v>0.23699999999999999</v>
      </c>
      <c r="N128" s="9" cm="1">
        <f t="array" ref="N128">_xlfn.PERCENTRANK.EXC(_xlfn._xlws.FILTER(N1:N122, ISNUMBER(N1:N122)),N122)</f>
        <v>0.80300000000000005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41905</v>
      </c>
      <c r="B2" s="24" cm="1">
        <f t="array" ref="B2:B122">_xll.FDS(B1,"FG_TOTAL_RETURNC(-10AY,0,AM)")/100</f>
        <v>-2.6108324999999998E-2</v>
      </c>
      <c r="C2" s="24" cm="1">
        <f t="array" ref="C2:C122">_xll.FDS(C1,"FG_TOTAL_RETURNC(-10AY,0,AM)")/100</f>
        <v>-8.2405389999999995E-2</v>
      </c>
      <c r="D2" s="24" cm="1">
        <f t="array" ref="D2:D122">_xll.FDS(D1,"FG_TOTAL_RETURNC(-10AY,0,AM)")/100</f>
        <v>-3.02096E-2</v>
      </c>
      <c r="E2" s="24" cm="1">
        <f t="array" ref="E2:E122">_xll.FDS(E1,"FG_TOTAL_RETURNC(-10AY,0,AM)")/100</f>
        <v>-7.9860690000000002E-3</v>
      </c>
      <c r="F2" s="24" cm="1">
        <f t="array" ref="F2:F122">_xll.FDS(F1,"FG_TOTAL_RETURNC(-10AY,0,AM)")/100</f>
        <v>-1.1744976000000001E-2</v>
      </c>
      <c r="G2" s="24" cm="1">
        <f t="array" ref="G2:G122">_xll.FDS(G1,"FG_TOTAL_RETURNC(-10AY,0,AM)")/100</f>
        <v>-1.1101186000000001E-2</v>
      </c>
      <c r="H2" s="24" cm="1">
        <f t="array" ref="H2:H122">_xll.FDS(H1,"FG_TOTAL_RETURNC(-10AY,0,AM)")/100</f>
        <v>-2.7531922E-2</v>
      </c>
      <c r="I2" s="24" cm="1">
        <f t="array" ref="I2:I122">_xll.FDS(I1,"FG_TOTAL_RETURNC(-10AY,0,AM)")/100</f>
        <v>-3.5399199999999997E-4</v>
      </c>
      <c r="J2" s="24" cm="1">
        <f t="array" ref="J2:J122">_xll.FDS(J1,"FG_TOTAL_RETURNC(-10AY,0,AM)")/100</f>
        <v>-1.2722611E-3</v>
      </c>
      <c r="K2" s="24" cm="1">
        <f t="array" ref="K2:K122">_xll.FDS(K1,"FG_TOTAL_RETURNC(-10AY,0,AM)")/100</f>
        <v>-8.5059999999999997E-3</v>
      </c>
      <c r="L2" s="24" cm="1">
        <f t="array" ref="L2:L122">_xll.FDS(L1,"FG_TOTAL_RETURNC(-10AY,0,AM)")/100</f>
        <v>6.2263010000000001E-3</v>
      </c>
      <c r="M2" s="24" cm="1">
        <f t="array" ref="M2:M122">_xll.FDS(M1,"FG_TOTAL_RETURNC(-10AY,0,AM)")/100</f>
        <v>-1.9264460000000001E-2</v>
      </c>
      <c r="N2" s="24" cm="1">
        <f t="array" ref="N2:N122">_xll.FDS(N1,"FG_TOTAL_RETURNC(-10AY,0,AM)")/100</f>
        <v>-6.9974659999999999E-3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41935</v>
      </c>
      <c r="B3" s="24">
        <v>-1.3151227999999999E-2</v>
      </c>
      <c r="C3" s="24">
        <v>-2.8316974999999999E-3</v>
      </c>
      <c r="D3" s="24">
        <v>-5.7851257000000003E-2</v>
      </c>
      <c r="E3" s="24">
        <v>-7.0703563999999997E-2</v>
      </c>
      <c r="F3" s="24">
        <v>-4.7538159999999996E-2</v>
      </c>
      <c r="G3" s="24">
        <v>-4.3689249999999999E-2</v>
      </c>
      <c r="H3" s="24">
        <v>-5.9150640000000004E-2</v>
      </c>
      <c r="I3" s="24">
        <v>-9.7185372999999999E-3</v>
      </c>
      <c r="J3" s="24">
        <v>-1.5554786000000001E-2</v>
      </c>
      <c r="K3" s="24">
        <v>-6.1171173999999995E-2</v>
      </c>
      <c r="L3" s="24">
        <v>-5.7718753999999997E-2</v>
      </c>
      <c r="M3" s="24">
        <v>-4.4345200000000001E-2</v>
      </c>
      <c r="N3" s="24">
        <v>-6.2780259999999991E-2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41964</v>
      </c>
      <c r="B4" s="24">
        <v>4.792416E-2</v>
      </c>
      <c r="C4" s="24">
        <v>-1.6227186000000001E-2</v>
      </c>
      <c r="D4" s="24">
        <v>4.6896100000000003E-2</v>
      </c>
      <c r="E4" s="24">
        <v>5.3672313999999999E-2</v>
      </c>
      <c r="F4" s="24">
        <v>3.6987542999999998E-2</v>
      </c>
      <c r="G4" s="24">
        <v>4.3147206E-2</v>
      </c>
      <c r="H4" s="24">
        <v>3.0628679999999998E-2</v>
      </c>
      <c r="I4" s="24">
        <v>6.1848283000000004E-2</v>
      </c>
      <c r="J4" s="24">
        <v>6.0278060000000001E-2</v>
      </c>
      <c r="K4" s="24">
        <v>2.8605459999999999E-2</v>
      </c>
      <c r="L4" s="24">
        <v>5.5555462999999999E-2</v>
      </c>
      <c r="M4" s="24">
        <v>3.2077192999999997E-2</v>
      </c>
      <c r="N4" s="24">
        <v>1.0936380000000001E-2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41996</v>
      </c>
      <c r="B5" s="24">
        <v>-1.1923075E-2</v>
      </c>
      <c r="C5" s="24">
        <v>-5.8194757E-2</v>
      </c>
      <c r="D5" s="24">
        <v>-6.1989726999999994E-2</v>
      </c>
      <c r="E5" s="24">
        <v>1.6086102E-3</v>
      </c>
      <c r="F5" s="24">
        <v>-5.7864190000000001E-3</v>
      </c>
      <c r="G5" s="24">
        <v>-2.0681261999999999E-2</v>
      </c>
      <c r="H5" s="24">
        <v>-3.0239164999999998E-2</v>
      </c>
      <c r="I5" s="24">
        <v>6.9932939999999997E-3</v>
      </c>
      <c r="J5" s="24">
        <v>1.070106E-2</v>
      </c>
      <c r="K5" s="24">
        <v>-1.7225623000000002E-2</v>
      </c>
      <c r="L5" s="24">
        <v>3.8335322999999998E-3</v>
      </c>
      <c r="M5" s="24">
        <v>-2.5181174000000001E-2</v>
      </c>
      <c r="N5" s="24">
        <v>-4.8878250000000005E-2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42027</v>
      </c>
      <c r="B6" s="24">
        <v>-5.0891039999999997E-3</v>
      </c>
      <c r="C6" s="24">
        <v>-5.4249762999999994E-3</v>
      </c>
      <c r="D6" s="24">
        <v>-5.0504980000000005E-2</v>
      </c>
      <c r="E6" s="24">
        <v>-9.2790720000000011E-3</v>
      </c>
      <c r="F6" s="24">
        <v>-3.4782289999999998E-3</v>
      </c>
      <c r="G6" s="24">
        <v>4.9688815999999998E-3</v>
      </c>
      <c r="H6" s="24">
        <v>-2.1929145E-3</v>
      </c>
      <c r="I6" s="24">
        <v>4.7981740000000003E-4</v>
      </c>
      <c r="J6" s="24">
        <v>-1.3381480999999999E-2</v>
      </c>
      <c r="K6" s="24">
        <v>-1.070571E-2</v>
      </c>
      <c r="L6" s="24">
        <v>-2.3838878000000001E-2</v>
      </c>
      <c r="M6" s="24">
        <v>-2.4010003000000002E-2</v>
      </c>
      <c r="N6" s="24">
        <v>-2.4337887999999998E-2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42058</v>
      </c>
      <c r="B7" s="24">
        <v>1.8414377999999999E-2</v>
      </c>
      <c r="C7" s="24">
        <v>6.6363573000000009E-2</v>
      </c>
      <c r="D7" s="24">
        <v>1.6507626000000001E-2</v>
      </c>
      <c r="E7" s="24">
        <v>5.9798239999999996E-2</v>
      </c>
      <c r="F7" s="24">
        <v>6.9808006000000006E-2</v>
      </c>
      <c r="G7" s="24">
        <v>2.8430103999999998E-2</v>
      </c>
      <c r="H7" s="24">
        <v>4.6703219999999997E-2</v>
      </c>
      <c r="I7" s="24">
        <v>4.0859340000000001E-2</v>
      </c>
      <c r="J7" s="24">
        <v>3.0438542000000002E-2</v>
      </c>
      <c r="K7" s="24">
        <v>6.1723350000000003E-2</v>
      </c>
      <c r="L7" s="24">
        <v>7.1999907000000002E-2</v>
      </c>
      <c r="M7" s="24">
        <v>9.2332249999999991E-2</v>
      </c>
      <c r="N7" s="24">
        <v>9.1709499999999999E-2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42086</v>
      </c>
      <c r="B8" s="24">
        <v>4.1185260000000001E-2</v>
      </c>
      <c r="C8" s="24">
        <v>2.7280570000000001E-2</v>
      </c>
      <c r="D8" s="24">
        <v>-4.3305159999999995E-3</v>
      </c>
      <c r="E8" s="24">
        <v>2.6852489E-2</v>
      </c>
      <c r="F8" s="24">
        <v>4.9755216000000005E-2</v>
      </c>
      <c r="G8" s="24">
        <v>3.3353329000000001E-2</v>
      </c>
      <c r="H8" s="24">
        <v>-1.0498643E-2</v>
      </c>
      <c r="I8" s="24">
        <v>4.3845176999999998E-4</v>
      </c>
      <c r="J8" s="24">
        <v>-1.3257264999999999E-3</v>
      </c>
      <c r="K8" s="24">
        <v>2.2649764999999999E-3</v>
      </c>
      <c r="L8" s="24">
        <v>2.395916E-2</v>
      </c>
      <c r="M8" s="24">
        <v>2.9249190000000002E-3</v>
      </c>
      <c r="N8" s="24">
        <v>5.3763389999999999E-3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42117</v>
      </c>
      <c r="B9" s="24">
        <v>-2.9184758999999998E-2</v>
      </c>
      <c r="C9" s="24">
        <v>-2.9045700000000001E-2</v>
      </c>
      <c r="D9" s="24">
        <v>6.2703850000000005E-2</v>
      </c>
      <c r="E9" s="24">
        <v>-1.9198954000000001E-2</v>
      </c>
      <c r="F9" s="24">
        <v>3.0303001E-2</v>
      </c>
      <c r="G9" s="24">
        <v>1.5702248000000002E-2</v>
      </c>
      <c r="H9" s="24">
        <v>1.6976117999999998E-2</v>
      </c>
      <c r="I9" s="24">
        <v>6.8316460000000002E-3</v>
      </c>
      <c r="J9" s="24">
        <v>5.5238010000000001E-3</v>
      </c>
      <c r="K9" s="24">
        <v>1.9585729E-2</v>
      </c>
      <c r="L9" s="24">
        <v>8.8224410000000003E-3</v>
      </c>
      <c r="M9" s="24">
        <v>1.4581679999999999E-3</v>
      </c>
      <c r="N9" s="24">
        <v>5.3476095000000003E-3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42146</v>
      </c>
      <c r="B10" s="24">
        <v>-2.9813706999999998E-2</v>
      </c>
      <c r="C10" s="24">
        <v>-2.8632461999999997E-2</v>
      </c>
      <c r="D10" s="24">
        <v>-2.864939E-2</v>
      </c>
      <c r="E10" s="24">
        <v>1.8562316999999998E-2</v>
      </c>
      <c r="F10" s="24">
        <v>1.508236E-3</v>
      </c>
      <c r="G10" s="24">
        <v>1.8036126999999999E-2</v>
      </c>
      <c r="H10" s="24">
        <v>2.7647376000000001E-2</v>
      </c>
      <c r="I10" s="24">
        <v>1.2928724000000001E-2</v>
      </c>
      <c r="J10" s="24">
        <v>8.6663959999999998E-3</v>
      </c>
      <c r="K10" s="24">
        <v>1.8101215E-2</v>
      </c>
      <c r="L10" s="24">
        <v>2.4334669999999999E-2</v>
      </c>
      <c r="M10" s="24">
        <v>6.4065455999999998E-3</v>
      </c>
      <c r="N10" s="24">
        <v>4.9202085E-2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42178</v>
      </c>
      <c r="B11" s="24">
        <v>-7.0422529999999997E-2</v>
      </c>
      <c r="C11" s="24">
        <v>-5.7193039999999997E-3</v>
      </c>
      <c r="D11" s="24">
        <v>-2.2120773999999999E-2</v>
      </c>
      <c r="E11" s="24">
        <v>-9.2777013999999994E-3</v>
      </c>
      <c r="F11" s="24">
        <v>-6.0240625999999995E-3</v>
      </c>
      <c r="G11" s="24">
        <v>-1.2654662000000001E-2</v>
      </c>
      <c r="H11" s="24">
        <v>-1.1675179000000001E-2</v>
      </c>
      <c r="I11" s="24">
        <v>5.2162409999999999E-3</v>
      </c>
      <c r="J11" s="24">
        <v>4.0411950000000005E-4</v>
      </c>
      <c r="K11" s="24">
        <v>1.8142462000000001E-3</v>
      </c>
      <c r="L11" s="24">
        <v>6.6815614999999997E-3</v>
      </c>
      <c r="M11" s="24">
        <v>6.6550969999999996E-3</v>
      </c>
      <c r="N11" s="24">
        <v>1.4575481E-2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42208</v>
      </c>
      <c r="B12" s="24">
        <v>-1.4539242000000001E-2</v>
      </c>
      <c r="C12" s="24">
        <v>-6.8219065999999995E-2</v>
      </c>
      <c r="D12" s="24">
        <v>-9.07197E-2</v>
      </c>
      <c r="E12" s="24">
        <v>-2.483672E-2</v>
      </c>
      <c r="F12" s="24">
        <v>-2.0080863999999997E-2</v>
      </c>
      <c r="G12" s="24">
        <v>-7.3195695999999999E-3</v>
      </c>
      <c r="H12" s="24">
        <v>-4.4008310000000002E-2</v>
      </c>
      <c r="I12" s="24">
        <v>1.2726784E-2</v>
      </c>
      <c r="J12" s="24">
        <v>-8.7719559999999992E-3</v>
      </c>
      <c r="K12" s="24">
        <v>-1.6966641000000001E-2</v>
      </c>
      <c r="L12" s="24">
        <v>-7.2474480000000001E-3</v>
      </c>
      <c r="M12" s="24">
        <v>-4.2179290000000001E-2</v>
      </c>
      <c r="N12" s="24">
        <v>-1.6705452999999999E-2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42237</v>
      </c>
      <c r="B13" s="24">
        <v>-2.3802637999999997E-2</v>
      </c>
      <c r="C13" s="24">
        <v>-8.4630375000000008E-2</v>
      </c>
      <c r="D13" s="24">
        <v>-6.4464750000000001E-2</v>
      </c>
      <c r="E13" s="24">
        <v>-9.2463379999999998E-2</v>
      </c>
      <c r="F13" s="24">
        <v>-7.3815049999999993E-2</v>
      </c>
      <c r="G13" s="24">
        <v>-5.9635819999999999E-2</v>
      </c>
      <c r="H13" s="24">
        <v>-6.0175060000000002E-2</v>
      </c>
      <c r="I13" s="24">
        <v>-8.7343989999999996E-2</v>
      </c>
      <c r="J13" s="24">
        <v>-5.9710684E-2</v>
      </c>
      <c r="K13" s="24">
        <v>-5.8074236000000001E-2</v>
      </c>
      <c r="L13" s="24">
        <v>-8.3803119999999995E-2</v>
      </c>
      <c r="M13" s="24">
        <v>-6.1199130000000004E-2</v>
      </c>
      <c r="N13" s="24">
        <v>-5.4945050000000002E-2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42270</v>
      </c>
      <c r="B14" s="24">
        <v>-6.7567586999999998E-2</v>
      </c>
      <c r="C14" s="24">
        <v>-5.2603601999999999E-2</v>
      </c>
      <c r="D14" s="24">
        <v>-1.9566178E-2</v>
      </c>
      <c r="E14" s="24">
        <v>-5.3825435999999997E-2</v>
      </c>
      <c r="F14" s="24">
        <v>-4.2785225000000003E-2</v>
      </c>
      <c r="G14" s="24">
        <v>-5.6544780000000003E-2</v>
      </c>
      <c r="H14" s="24">
        <v>-4.772991E-2</v>
      </c>
      <c r="I14" s="24">
        <v>1.9893885E-2</v>
      </c>
      <c r="J14" s="24">
        <v>-1.5212000000000002E-2</v>
      </c>
      <c r="K14" s="24">
        <v>-5.0119343000000004E-2</v>
      </c>
      <c r="L14" s="24">
        <v>-5.1681640000000001E-2</v>
      </c>
      <c r="M14" s="24">
        <v>-4.5334159999999998E-2</v>
      </c>
      <c r="N14" s="24">
        <v>-3.5567700000000001E-2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42300</v>
      </c>
      <c r="B15" s="24">
        <v>0.14366734</v>
      </c>
      <c r="C15" s="24">
        <v>0.10992718</v>
      </c>
      <c r="D15" s="24">
        <v>5.9869884999999998E-2</v>
      </c>
      <c r="E15" s="24">
        <v>0.10524177999999999</v>
      </c>
      <c r="F15" s="24">
        <v>9.6406699999999998E-2</v>
      </c>
      <c r="G15" s="24">
        <v>6.5894010000000003E-2</v>
      </c>
      <c r="H15" s="24">
        <v>8.1907160000000007E-2</v>
      </c>
      <c r="I15" s="24">
        <v>8.2549460000000005E-2</v>
      </c>
      <c r="J15" s="24">
        <v>7.1849109999999994E-2</v>
      </c>
      <c r="K15" s="24">
        <v>9.7152469999999991E-2</v>
      </c>
      <c r="L15" s="24">
        <v>9.2132330000000012E-2</v>
      </c>
      <c r="M15" s="24">
        <v>5.6152463E-2</v>
      </c>
      <c r="N15" s="24">
        <v>7.1631192999999996E-2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42331</v>
      </c>
      <c r="B16" s="24">
        <v>-2.6721716E-2</v>
      </c>
      <c r="C16" s="24">
        <v>-2.8297186000000002E-2</v>
      </c>
      <c r="D16" s="24">
        <v>-5.566931E-2</v>
      </c>
      <c r="E16" s="24">
        <v>-1.7647087999999998E-2</v>
      </c>
      <c r="F16" s="24">
        <v>3.9968490000000002E-3</v>
      </c>
      <c r="G16" s="24">
        <v>-4.2870464000000004E-2</v>
      </c>
      <c r="H16" s="24">
        <v>-3.7288130000000003E-2</v>
      </c>
      <c r="I16" s="24">
        <v>1.2147546E-2</v>
      </c>
      <c r="J16" s="24">
        <v>7.5178146000000005E-3</v>
      </c>
      <c r="K16" s="24">
        <v>-4.6946645000000002E-2</v>
      </c>
      <c r="L16" s="24">
        <v>-2.8518617000000003E-2</v>
      </c>
      <c r="M16" s="24">
        <v>-2.1660626000000002E-2</v>
      </c>
      <c r="N16" s="24">
        <v>-6.4857663999999995E-2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42361</v>
      </c>
      <c r="B17" s="24">
        <v>6.5417886000000008E-2</v>
      </c>
      <c r="C17" s="24">
        <v>6.6447259999999992E-4</v>
      </c>
      <c r="D17" s="24">
        <v>-3.6943793000000003E-2</v>
      </c>
      <c r="E17" s="24">
        <v>2.6198626000000004E-3</v>
      </c>
      <c r="F17" s="24">
        <v>-1.5977323000000002E-2</v>
      </c>
      <c r="G17" s="24">
        <v>1.7851353E-2</v>
      </c>
      <c r="H17" s="24">
        <v>-2.0735085E-2</v>
      </c>
      <c r="I17" s="24">
        <v>-1.0416209999999999E-2</v>
      </c>
      <c r="J17" s="24">
        <v>-8.6196659999999998E-3</v>
      </c>
      <c r="K17" s="24">
        <v>-8.2539915999999998E-3</v>
      </c>
      <c r="L17" s="24">
        <v>-9.2315080000000011E-3</v>
      </c>
      <c r="M17" s="24">
        <v>-3.8131475E-3</v>
      </c>
      <c r="N17" s="24">
        <v>1.6019343999999999E-3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42391</v>
      </c>
      <c r="B18" s="24">
        <v>-5.3201555999999997E-2</v>
      </c>
      <c r="C18" s="24">
        <v>-8.0662430000000007E-2</v>
      </c>
      <c r="D18" s="24">
        <v>-8.7135020000000007E-2</v>
      </c>
      <c r="E18" s="24">
        <v>-9.7424449999999996E-2</v>
      </c>
      <c r="F18" s="24">
        <v>-7.9869629999999997E-2</v>
      </c>
      <c r="G18" s="24">
        <v>-7.8443885000000005E-2</v>
      </c>
      <c r="H18" s="24">
        <v>-9.0464590000000011E-2</v>
      </c>
      <c r="I18" s="24">
        <v>-7.8501042999999993E-2</v>
      </c>
      <c r="J18" s="24">
        <v>-7.5235423999999995E-2</v>
      </c>
      <c r="K18" s="24">
        <v>-7.7581644000000005E-2</v>
      </c>
      <c r="L18" s="24">
        <v>-5.4026069999999995E-2</v>
      </c>
      <c r="M18" s="24">
        <v>-7.9878690000000002E-2</v>
      </c>
      <c r="N18" s="24">
        <v>-0.12756902000000001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42423</v>
      </c>
      <c r="B19" s="24">
        <v>3.6602735999999997E-2</v>
      </c>
      <c r="C19" s="24">
        <v>3.2539248E-2</v>
      </c>
      <c r="D19" s="24">
        <v>5.8470726000000001E-2</v>
      </c>
      <c r="E19" s="24">
        <v>-1.9851088999999999E-2</v>
      </c>
      <c r="F19" s="24">
        <v>-4.0744009999999997E-2</v>
      </c>
      <c r="G19" s="24">
        <v>-2.1107197000000001E-2</v>
      </c>
      <c r="H19" s="24">
        <v>-9.4086529999999995E-3</v>
      </c>
      <c r="I19" s="24">
        <v>-2.1104335999999998E-2</v>
      </c>
      <c r="J19" s="24">
        <v>9.4478130000000011E-3</v>
      </c>
      <c r="K19" s="24">
        <v>-6.5904856000000003E-3</v>
      </c>
      <c r="L19" s="24">
        <v>-1.400435E-2</v>
      </c>
      <c r="M19" s="24">
        <v>1.5384674000000001E-2</v>
      </c>
      <c r="N19" s="24">
        <v>-9.0170619999999993E-2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42452</v>
      </c>
      <c r="B20" s="24">
        <v>8.2482814999999987E-2</v>
      </c>
      <c r="C20" s="24">
        <v>8.4411979999999998E-2</v>
      </c>
      <c r="D20" s="24">
        <v>9.5373040000000006E-2</v>
      </c>
      <c r="E20" s="24">
        <v>7.299578000000001E-2</v>
      </c>
      <c r="F20" s="24">
        <v>5.4478289999999999E-2</v>
      </c>
      <c r="G20" s="24">
        <v>4.1003822999999995E-2</v>
      </c>
      <c r="H20" s="24">
        <v>4.7489759999999999E-2</v>
      </c>
      <c r="I20" s="24">
        <v>5.8745739999999998E-2</v>
      </c>
      <c r="J20" s="24">
        <v>6.2046530000000003E-2</v>
      </c>
      <c r="K20" s="24">
        <v>6.0150265999999994E-2</v>
      </c>
      <c r="L20" s="24">
        <v>8.1225030000000004E-2</v>
      </c>
      <c r="M20" s="24">
        <v>4.3650865999999997E-2</v>
      </c>
      <c r="N20" s="24">
        <v>8.9285739999999988E-2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42482</v>
      </c>
      <c r="B21" s="24">
        <v>5.7084559999999999E-2</v>
      </c>
      <c r="C21" s="24">
        <v>5.1375149999999994E-2</v>
      </c>
      <c r="D21" s="24">
        <v>8.0172300000000002E-2</v>
      </c>
      <c r="E21" s="24">
        <v>4.3256043999999993E-2</v>
      </c>
      <c r="F21" s="24">
        <v>6.9176909999999994E-2</v>
      </c>
      <c r="G21" s="24">
        <v>3.8709639999999997E-2</v>
      </c>
      <c r="H21" s="24">
        <v>5.3756475000000005E-2</v>
      </c>
      <c r="I21" s="24">
        <v>1.6320108999999999E-2</v>
      </c>
      <c r="J21" s="24">
        <v>2.8349160000000002E-2</v>
      </c>
      <c r="K21" s="24">
        <v>3.8381338000000001E-2</v>
      </c>
      <c r="L21" s="24">
        <v>1.7241359000000001E-2</v>
      </c>
      <c r="M21" s="24">
        <v>5.5305960000000001E-2</v>
      </c>
      <c r="N21" s="24">
        <v>2.5409818000000001E-2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42513</v>
      </c>
      <c r="B22" s="24">
        <v>-1.0125339000000001E-2</v>
      </c>
      <c r="C22" s="24">
        <v>-4.6396850000000003E-2</v>
      </c>
      <c r="D22" s="24">
        <v>-3.7509918000000003E-2</v>
      </c>
      <c r="E22" s="24">
        <v>-5.0885797000000003E-2</v>
      </c>
      <c r="F22" s="24">
        <v>-5.2416086000000001E-2</v>
      </c>
      <c r="G22" s="24">
        <v>-1.5364467999999999E-2</v>
      </c>
      <c r="H22" s="24">
        <v>-2.2741318E-2</v>
      </c>
      <c r="I22" s="24">
        <v>-2.4316430000000003E-2</v>
      </c>
      <c r="J22" s="24">
        <v>-1.7992973000000002E-2</v>
      </c>
      <c r="K22" s="24">
        <v>-3.8167894000000001E-2</v>
      </c>
      <c r="L22" s="24">
        <v>-2.4213076E-2</v>
      </c>
      <c r="M22" s="24">
        <v>-5.6338069999999997E-2</v>
      </c>
      <c r="N22" s="24">
        <v>-5.8353367000000003E-2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42544</v>
      </c>
      <c r="B23" s="24">
        <v>7.0962070000000002E-2</v>
      </c>
      <c r="C23" s="24">
        <v>4.9874187E-2</v>
      </c>
      <c r="D23" s="24">
        <v>4.6804309999999995E-2</v>
      </c>
      <c r="E23" s="24">
        <v>5.9283732999999998E-2</v>
      </c>
      <c r="F23" s="24">
        <v>3.0585290000000001E-2</v>
      </c>
      <c r="G23" s="24">
        <v>3.7187338E-2</v>
      </c>
      <c r="H23" s="24">
        <v>6.6565394E-2</v>
      </c>
      <c r="I23" s="24">
        <v>2.5700926999999998E-2</v>
      </c>
      <c r="J23" s="24">
        <v>3.265357E-2</v>
      </c>
      <c r="K23" s="24">
        <v>5.8347583000000001E-2</v>
      </c>
      <c r="L23" s="24">
        <v>3.3757925000000001E-2</v>
      </c>
      <c r="M23" s="24">
        <v>5.0055145999999995E-2</v>
      </c>
      <c r="N23" s="24">
        <v>6.2541960000000008E-2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42573</v>
      </c>
      <c r="B24" s="24">
        <v>2.3721814000000001E-2</v>
      </c>
      <c r="C24" s="24">
        <v>1.6000032000000001E-2</v>
      </c>
      <c r="D24" s="24">
        <v>2.3952723E-3</v>
      </c>
      <c r="E24" s="24">
        <v>-4.8387109999999997E-2</v>
      </c>
      <c r="F24" s="24">
        <v>2.5359391999999997E-3</v>
      </c>
      <c r="G24" s="24">
        <v>-2.1031857000000001E-2</v>
      </c>
      <c r="H24" s="24">
        <v>-6.6465197000000004E-2</v>
      </c>
      <c r="I24" s="24">
        <v>4.4865370000000002E-2</v>
      </c>
      <c r="J24" s="24">
        <v>3.0501485000000002E-2</v>
      </c>
      <c r="K24" s="24">
        <v>-5.9919060000000003E-2</v>
      </c>
      <c r="L24" s="24">
        <v>-3.8960992999999999E-2</v>
      </c>
      <c r="M24" s="24">
        <v>-5.0515532000000002E-2</v>
      </c>
      <c r="N24" s="24">
        <v>-0.10024654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42605</v>
      </c>
      <c r="B25" s="24">
        <v>7.5140595000000004E-2</v>
      </c>
      <c r="C25" s="24">
        <v>3.1496047999999999E-2</v>
      </c>
      <c r="D25" s="24">
        <v>3.3054590000000002E-2</v>
      </c>
      <c r="E25" s="24">
        <v>7.2235584000000005E-2</v>
      </c>
      <c r="F25" s="24">
        <v>4.3844939999999999E-2</v>
      </c>
      <c r="G25" s="24">
        <v>3.3568263000000001E-2</v>
      </c>
      <c r="H25" s="24">
        <v>3.4951447999999996E-2</v>
      </c>
      <c r="I25" s="24">
        <v>3.4403800000000005E-2</v>
      </c>
      <c r="J25" s="24">
        <v>7.9635379999999992E-3</v>
      </c>
      <c r="K25" s="24">
        <v>3.7037015E-2</v>
      </c>
      <c r="L25" s="24">
        <v>5.0253389999999995E-2</v>
      </c>
      <c r="M25" s="24">
        <v>4.7050357000000001E-2</v>
      </c>
      <c r="N25" s="24">
        <v>2.9223800000000001E-2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42636</v>
      </c>
      <c r="B26" s="24">
        <v>-4.0594340000000007E-2</v>
      </c>
      <c r="C26" s="24">
        <v>-2.0038067999999999E-2</v>
      </c>
      <c r="D26" s="24">
        <v>-1.9660771E-2</v>
      </c>
      <c r="E26" s="24">
        <v>-4.8927069999999996E-3</v>
      </c>
      <c r="F26" s="24">
        <v>2.1001577E-2</v>
      </c>
      <c r="G26" s="24">
        <v>9.7429750000000001E-4</v>
      </c>
      <c r="H26" s="24">
        <v>-1.1882424000000001E-2</v>
      </c>
      <c r="I26" s="24">
        <v>9.0717080000000012E-3</v>
      </c>
      <c r="J26" s="24">
        <v>-8.6069110000000001E-3</v>
      </c>
      <c r="K26" s="24">
        <v>5.8139560000000003E-3</v>
      </c>
      <c r="L26" s="24">
        <v>2.8146504999999999E-3</v>
      </c>
      <c r="M26" s="24">
        <v>3.4565926000000003E-3</v>
      </c>
      <c r="N26" s="24">
        <v>-2.2182762999999998E-2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42664</v>
      </c>
      <c r="B27" s="24">
        <v>-6.0196279999999998E-2</v>
      </c>
      <c r="C27" s="24">
        <v>9.250164E-3</v>
      </c>
      <c r="D27" s="24">
        <v>1.0617375E-2</v>
      </c>
      <c r="E27" s="24">
        <v>-2.2692918999999999E-2</v>
      </c>
      <c r="F27" s="24">
        <v>-5.5380463999999997E-3</v>
      </c>
      <c r="G27" s="24">
        <v>-3.9909123999999997E-2</v>
      </c>
      <c r="H27" s="24">
        <v>-3.7341774000000001E-2</v>
      </c>
      <c r="I27" s="24">
        <v>-1.5211700999999999E-3</v>
      </c>
      <c r="J27" s="24">
        <v>-9.3060136000000012E-3</v>
      </c>
      <c r="K27" s="24">
        <v>-1.1973560000000001E-2</v>
      </c>
      <c r="L27" s="24">
        <v>-1.7241417999999998E-2</v>
      </c>
      <c r="M27" s="24">
        <v>-2.3079573999999999E-2</v>
      </c>
      <c r="N27" s="24">
        <v>1.7241359000000001E-2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42697</v>
      </c>
      <c r="B28" s="24">
        <v>-3.45788E-2</v>
      </c>
      <c r="C28" s="24">
        <v>-5.7886839999999997E-3</v>
      </c>
      <c r="D28" s="24">
        <v>8.9493990000000002E-3</v>
      </c>
      <c r="E28" s="24">
        <v>-3.9860725E-2</v>
      </c>
      <c r="F28" s="24">
        <v>-7.3587893999999994E-3</v>
      </c>
      <c r="G28" s="24">
        <v>-5.2044629999999995E-2</v>
      </c>
      <c r="H28" s="24">
        <v>-8.547008E-3</v>
      </c>
      <c r="I28" s="24">
        <v>2.2852420999999999E-3</v>
      </c>
      <c r="J28" s="24">
        <v>3.1404852999999996E-2</v>
      </c>
      <c r="K28" s="24">
        <v>-3.0087829E-2</v>
      </c>
      <c r="L28" s="24">
        <v>-4.0391684000000004E-2</v>
      </c>
      <c r="M28" s="24">
        <v>-3.2087444999999999E-2</v>
      </c>
      <c r="N28" s="24">
        <v>-5.1293490000000004E-2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42727</v>
      </c>
      <c r="B29" s="24">
        <v>-1.8175482999999999E-2</v>
      </c>
      <c r="C29" s="24">
        <v>-1.1588334999999999E-3</v>
      </c>
      <c r="D29" s="24">
        <v>1.5444755999999999E-2</v>
      </c>
      <c r="E29" s="24">
        <v>6.0823799999999997E-2</v>
      </c>
      <c r="F29" s="24">
        <v>8.6879729999999999E-3</v>
      </c>
      <c r="G29" s="24">
        <v>4.3431280000000003E-2</v>
      </c>
      <c r="H29" s="24">
        <v>2.2251487E-2</v>
      </c>
      <c r="I29" s="24">
        <v>1.8043636999999998E-2</v>
      </c>
      <c r="J29" s="24">
        <v>2.8739810000000001E-2</v>
      </c>
      <c r="K29" s="24">
        <v>5.6346654999999995E-2</v>
      </c>
      <c r="L29" s="24">
        <v>3.7001848000000004E-2</v>
      </c>
      <c r="M29" s="24">
        <v>3.8428307000000002E-2</v>
      </c>
      <c r="N29" s="24">
        <v>0.14587855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42758</v>
      </c>
      <c r="B30" s="24">
        <v>8.8145849999999998E-2</v>
      </c>
      <c r="C30" s="24">
        <v>5.8852909999999994E-2</v>
      </c>
      <c r="D30" s="24">
        <v>2.8768658999999999E-2</v>
      </c>
      <c r="E30" s="24">
        <v>3.9528727999999999E-2</v>
      </c>
      <c r="F30" s="24">
        <v>1.5273333E-2</v>
      </c>
      <c r="G30" s="24">
        <v>3.4529923999999997E-2</v>
      </c>
      <c r="H30" s="24">
        <v>3.4199357E-2</v>
      </c>
      <c r="I30" s="24">
        <v>2.6206374000000001E-2</v>
      </c>
      <c r="J30" s="24">
        <v>1.9493103E-3</v>
      </c>
      <c r="K30" s="24">
        <v>3.2337308000000002E-2</v>
      </c>
      <c r="L30" s="24">
        <v>2.7408600000000002E-2</v>
      </c>
      <c r="M30" s="24">
        <v>4.1403530000000001E-2</v>
      </c>
      <c r="N30" s="24">
        <v>2.1118044999999998E-2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42789</v>
      </c>
      <c r="B31" s="24">
        <v>-3.0260086000000004E-3</v>
      </c>
      <c r="C31" s="24">
        <v>5.3697704999999998E-2</v>
      </c>
      <c r="D31" s="24">
        <v>2.9082775000000002E-2</v>
      </c>
      <c r="E31" s="24">
        <v>1.6453385000000001E-2</v>
      </c>
      <c r="F31" s="24">
        <v>2.1971464E-2</v>
      </c>
      <c r="G31" s="24">
        <v>2.8089879999999998E-2</v>
      </c>
      <c r="H31" s="24">
        <v>2.5437235999999998E-2</v>
      </c>
      <c r="I31" s="24">
        <v>5.3992630000000007E-2</v>
      </c>
      <c r="J31" s="24">
        <v>4.5500755000000004E-2</v>
      </c>
      <c r="K31" s="24">
        <v>-5.5510999999999998E-3</v>
      </c>
      <c r="L31" s="24">
        <v>3.0315279999999997E-2</v>
      </c>
      <c r="M31" s="24">
        <v>4.1778919999999997E-2</v>
      </c>
      <c r="N31" s="24">
        <v>-4.9067260000000001E-2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42817</v>
      </c>
      <c r="B32" s="24">
        <v>-3.6656618000000002E-2</v>
      </c>
      <c r="C32" s="24">
        <v>-1.5645981E-2</v>
      </c>
      <c r="D32" s="24">
        <v>-3.7318885000000003E-2</v>
      </c>
      <c r="E32" s="24">
        <v>2.050364E-2</v>
      </c>
      <c r="F32" s="24">
        <v>-1.5495419999999999E-3</v>
      </c>
      <c r="G32" s="24">
        <v>2.8286695000000001E-2</v>
      </c>
      <c r="H32" s="24">
        <v>9.3022585000000005E-3</v>
      </c>
      <c r="I32" s="24">
        <v>4.7795773000000007E-3</v>
      </c>
      <c r="J32" s="24">
        <v>-5.8787465000000004E-3</v>
      </c>
      <c r="K32" s="24">
        <v>4.6252009999999996E-2</v>
      </c>
      <c r="L32" s="24">
        <v>5.1000475999999996E-2</v>
      </c>
      <c r="M32" s="24">
        <v>1.6170739999999999E-2</v>
      </c>
      <c r="N32" s="24">
        <v>8.8272929999999986E-2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42846</v>
      </c>
      <c r="B33" s="24">
        <v>2.8599142999999997E-2</v>
      </c>
      <c r="C33" s="24">
        <v>1.4078139999999999E-2</v>
      </c>
      <c r="D33" s="24">
        <v>0</v>
      </c>
      <c r="E33" s="24">
        <v>-1.0575056E-3</v>
      </c>
      <c r="F33" s="24">
        <v>-1.7458797000000001E-3</v>
      </c>
      <c r="G33" s="24">
        <v>5.3141119999999993E-3</v>
      </c>
      <c r="H33" s="24">
        <v>-5.5299399999999997E-3</v>
      </c>
      <c r="I33" s="24">
        <v>1.687634E-2</v>
      </c>
      <c r="J33" s="24">
        <v>2.3928880000000001E-3</v>
      </c>
      <c r="K33" s="24">
        <v>6.4786670000000005E-3</v>
      </c>
      <c r="L33" s="24">
        <v>1.0078311E-2</v>
      </c>
      <c r="M33" s="24">
        <v>-3.1827092000000002E-3</v>
      </c>
      <c r="N33" s="24">
        <v>-2.1159886999999999E-2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42878</v>
      </c>
      <c r="B34" s="24">
        <v>2.8746486000000002E-2</v>
      </c>
      <c r="C34" s="24">
        <v>-2.1495700000000003E-2</v>
      </c>
      <c r="D34" s="24">
        <v>-6.7745449999999999E-3</v>
      </c>
      <c r="E34" s="24">
        <v>9.3154544999999991E-2</v>
      </c>
      <c r="F34" s="24">
        <v>3.1675099999999998E-2</v>
      </c>
      <c r="G34" s="24">
        <v>8.5820790000000008E-2</v>
      </c>
      <c r="H34" s="24">
        <v>7.2907089999999994E-2</v>
      </c>
      <c r="I34" s="24">
        <v>4.9637913999999998E-2</v>
      </c>
      <c r="J34" s="24">
        <v>2.3274659999999999E-2</v>
      </c>
      <c r="K34" s="24">
        <v>0.11321472999999999</v>
      </c>
      <c r="L34" s="24">
        <v>8.8691829999999999E-2</v>
      </c>
      <c r="M34" s="24">
        <v>8.8761090000000001E-2</v>
      </c>
      <c r="N34" s="24">
        <v>0.14811849999999999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42909</v>
      </c>
      <c r="B35" s="24">
        <v>6.4173099999999997E-2</v>
      </c>
      <c r="C35" s="24">
        <v>-9.3150140000000008E-4</v>
      </c>
      <c r="D35" s="24">
        <v>7.1014166000000004E-3</v>
      </c>
      <c r="E35" s="24">
        <v>4.9957036999999996E-3</v>
      </c>
      <c r="F35" s="24">
        <v>2.4640917999999998E-2</v>
      </c>
      <c r="G35" s="24">
        <v>2.9540062E-3</v>
      </c>
      <c r="H35" s="24">
        <v>-2.7322291999999998E-2</v>
      </c>
      <c r="I35" s="24">
        <v>1.7873287000000002E-2</v>
      </c>
      <c r="J35" s="24">
        <v>1.7769217E-2</v>
      </c>
      <c r="K35" s="24">
        <v>-1.0496378E-3</v>
      </c>
      <c r="L35" s="24">
        <v>-5.9511659999999999E-3</v>
      </c>
      <c r="M35" s="24">
        <v>5.0166845000000002E-3</v>
      </c>
      <c r="N35" s="24">
        <v>-2.2981644000000002E-2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42937</v>
      </c>
      <c r="B36" s="24">
        <v>3.5079956000000002E-2</v>
      </c>
      <c r="C36" s="24">
        <v>4.8220872999999997E-2</v>
      </c>
      <c r="D36" s="24">
        <v>5.4628134000000002E-2</v>
      </c>
      <c r="E36" s="24">
        <v>3.9292574000000004E-3</v>
      </c>
      <c r="F36" s="24">
        <v>5.7353973000000003E-3</v>
      </c>
      <c r="G36" s="24">
        <v>1.5164733E-2</v>
      </c>
      <c r="H36" s="24">
        <v>2.6937007999999998E-2</v>
      </c>
      <c r="I36" s="24">
        <v>2.0319938999999999E-2</v>
      </c>
      <c r="J36" s="24">
        <v>1.5423894E-2</v>
      </c>
      <c r="K36" s="24">
        <v>1.8011689000000001E-2</v>
      </c>
      <c r="L36" s="24">
        <v>4.8392653000000001E-2</v>
      </c>
      <c r="M36" s="24">
        <v>2.2381425E-2</v>
      </c>
      <c r="N36" s="24">
        <v>5.7412744000000002E-2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42970</v>
      </c>
      <c r="B37" s="24">
        <v>-4.2364000000000004E-3</v>
      </c>
      <c r="C37" s="24">
        <v>1.0272502999999999E-2</v>
      </c>
      <c r="D37" s="24">
        <v>-7.913649E-3</v>
      </c>
      <c r="E37" s="24">
        <v>7.1754456000000001E-3</v>
      </c>
      <c r="F37" s="24">
        <v>1.8395185E-3</v>
      </c>
      <c r="G37" s="24">
        <v>-1.6949176999999999E-2</v>
      </c>
      <c r="H37" s="24">
        <v>-1.5620350999999999E-2</v>
      </c>
      <c r="I37" s="24">
        <v>-9.8535419999999999E-3</v>
      </c>
      <c r="J37" s="24">
        <v>-9.3973279999999999E-3</v>
      </c>
      <c r="K37" s="24">
        <v>8.5062980000000007E-3</v>
      </c>
      <c r="L37" s="24">
        <v>8.9020729999999999E-3</v>
      </c>
      <c r="M37" s="24">
        <v>-3.5026073000000001E-3</v>
      </c>
      <c r="N37" s="24">
        <v>3.0927777E-2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43000</v>
      </c>
      <c r="B38" s="24">
        <v>7.2325470000000006E-3</v>
      </c>
      <c r="C38" s="24">
        <v>3.9787292000000004E-3</v>
      </c>
      <c r="D38" s="24">
        <v>4.4597507000000002E-2</v>
      </c>
      <c r="E38" s="24">
        <v>4.2422294999999999E-2</v>
      </c>
      <c r="F38" s="24">
        <v>1.7811298E-2</v>
      </c>
      <c r="G38" s="24">
        <v>1.6949057999999999E-2</v>
      </c>
      <c r="H38" s="24">
        <v>4.311371E-2</v>
      </c>
      <c r="I38" s="24">
        <v>1.3642787999999999E-2</v>
      </c>
      <c r="J38" s="24">
        <v>2.5007486000000002E-2</v>
      </c>
      <c r="K38" s="24">
        <v>4.2510149999999997E-2</v>
      </c>
      <c r="L38" s="24">
        <v>1.9607902E-2</v>
      </c>
      <c r="M38" s="24">
        <v>4.6865940000000002E-2</v>
      </c>
      <c r="N38" s="24">
        <v>5.0333379999999997E-2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43031</v>
      </c>
      <c r="B39" s="24">
        <v>-2.1119297000000002E-2</v>
      </c>
      <c r="C39" s="24">
        <v>1.1448741E-2</v>
      </c>
      <c r="D39" s="24">
        <v>7.6363086999999994E-3</v>
      </c>
      <c r="E39" s="24">
        <v>1.0562301000000001E-2</v>
      </c>
      <c r="F39" s="24">
        <v>4.0230870000000002E-2</v>
      </c>
      <c r="G39" s="24">
        <v>-2.2987722999999998E-3</v>
      </c>
      <c r="H39" s="24">
        <v>1.4351606E-3</v>
      </c>
      <c r="I39" s="24">
        <v>2.3697376000000003E-2</v>
      </c>
      <c r="J39" s="24">
        <v>2.6739836000000003E-2</v>
      </c>
      <c r="K39" s="24">
        <v>3.2362938000000002E-3</v>
      </c>
      <c r="L39" s="24">
        <v>1.0897398000000001E-2</v>
      </c>
      <c r="M39" s="24">
        <v>8.9535712999999992E-3</v>
      </c>
      <c r="N39" s="24">
        <v>-2.8879701999999997E-2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43061</v>
      </c>
      <c r="B40" s="24">
        <v>-1.9417405000000002E-2</v>
      </c>
      <c r="C40" s="24">
        <v>-1.3059973999999999E-3</v>
      </c>
      <c r="D40" s="24">
        <v>1.2400866E-2</v>
      </c>
      <c r="E40" s="24">
        <v>8.9148283000000002E-3</v>
      </c>
      <c r="F40" s="24">
        <v>3.2951832E-2</v>
      </c>
      <c r="G40" s="24">
        <v>7.4884890000000001E-3</v>
      </c>
      <c r="H40" s="24">
        <v>0</v>
      </c>
      <c r="I40" s="24">
        <v>5.3810716000000001E-2</v>
      </c>
      <c r="J40" s="24">
        <v>1.4251827999999999E-2</v>
      </c>
      <c r="K40" s="24">
        <v>3.2258033999999999E-4</v>
      </c>
      <c r="L40" s="24">
        <v>-4.1217804000000004E-3</v>
      </c>
      <c r="M40" s="24">
        <v>-3.9101481E-2</v>
      </c>
      <c r="N40" s="24">
        <v>5.8823824000000004E-3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43091</v>
      </c>
      <c r="B41" s="24">
        <v>5.9686064999999996E-2</v>
      </c>
      <c r="C41" s="24">
        <v>2.5962830000000003E-2</v>
      </c>
      <c r="D41" s="24">
        <v>5.2258970000000002E-3</v>
      </c>
      <c r="E41" s="24">
        <v>1.1076927E-2</v>
      </c>
      <c r="F41" s="24">
        <v>1.4306426000000001E-2</v>
      </c>
      <c r="G41" s="24">
        <v>6.00338E-3</v>
      </c>
      <c r="H41" s="24">
        <v>3.1744718999999998E-2</v>
      </c>
      <c r="I41" s="24">
        <v>1.2889504000000001E-2</v>
      </c>
      <c r="J41" s="24">
        <v>3.5056948999999997E-2</v>
      </c>
      <c r="K41" s="24">
        <v>8.8618993999999996E-3</v>
      </c>
      <c r="L41" s="24">
        <v>1.2863278000000001E-2</v>
      </c>
      <c r="M41" s="24">
        <v>-7.7710749999999997E-3</v>
      </c>
      <c r="N41" s="24">
        <v>3.8836001999999997E-3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43123</v>
      </c>
      <c r="B42" s="24">
        <v>3.4387946000000003E-2</v>
      </c>
      <c r="C42" s="24">
        <v>3.3522009999999998E-2</v>
      </c>
      <c r="D42" s="24">
        <v>3.9766908000000004E-2</v>
      </c>
      <c r="E42" s="24">
        <v>7.7039360000000001E-2</v>
      </c>
      <c r="F42" s="24">
        <v>7.4654220000000007E-2</v>
      </c>
      <c r="G42" s="24">
        <v>5.0866723000000003E-2</v>
      </c>
      <c r="H42" s="24">
        <v>6.5666556000000001E-2</v>
      </c>
      <c r="I42" s="24">
        <v>7.7143072999999993E-2</v>
      </c>
      <c r="J42" s="24">
        <v>5.8988449999999998E-2</v>
      </c>
      <c r="K42" s="24">
        <v>6.9573640000000006E-2</v>
      </c>
      <c r="L42" s="24">
        <v>6.9701314E-2</v>
      </c>
      <c r="M42" s="24">
        <v>7.2561619999999993E-2</v>
      </c>
      <c r="N42" s="24">
        <v>0.10608529999999999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43154</v>
      </c>
      <c r="B43" s="24">
        <v>-8.1837179999999998E-4</v>
      </c>
      <c r="C43" s="24">
        <v>-2.1903991999999997E-2</v>
      </c>
      <c r="D43" s="24">
        <v>-6.1655163999999998E-2</v>
      </c>
      <c r="E43" s="24">
        <v>-7.0687237E-2</v>
      </c>
      <c r="F43" s="24">
        <v>-4.3882730000000002E-2</v>
      </c>
      <c r="G43" s="24">
        <v>-3.6776662000000002E-2</v>
      </c>
      <c r="H43" s="24">
        <v>-5.683941E-2</v>
      </c>
      <c r="I43" s="24">
        <v>-7.9051256E-3</v>
      </c>
      <c r="J43" s="24">
        <v>-3.0287027000000001E-2</v>
      </c>
      <c r="K43" s="24">
        <v>-3.5072028999999998E-2</v>
      </c>
      <c r="L43" s="24">
        <v>-4.2848705999999993E-2</v>
      </c>
      <c r="M43" s="24">
        <v>-5.0123214999999999E-2</v>
      </c>
      <c r="N43" s="24">
        <v>-4.5601725999999995E-2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43182</v>
      </c>
      <c r="B44" s="24">
        <v>1.3103962E-2</v>
      </c>
      <c r="C44" s="24">
        <v>-5.8139442999999999E-2</v>
      </c>
      <c r="D44" s="24">
        <v>-4.4623969999999999E-2</v>
      </c>
      <c r="E44" s="24">
        <v>-5.4935159999999997E-2</v>
      </c>
      <c r="F44" s="24">
        <v>-5.4816779999999996E-2</v>
      </c>
      <c r="G44" s="24">
        <v>-5.6709709999999997E-2</v>
      </c>
      <c r="H44" s="24">
        <v>-4.4776144000000004E-2</v>
      </c>
      <c r="I44" s="24">
        <v>-5.5881920000000002E-2</v>
      </c>
      <c r="J44" s="24">
        <v>-5.6888460000000002E-2</v>
      </c>
      <c r="K44" s="24">
        <v>-4.4734360000000001E-2</v>
      </c>
      <c r="L44" s="24">
        <v>-3.1491159999999997E-2</v>
      </c>
      <c r="M44" s="24">
        <v>-5.4786679999999997E-2</v>
      </c>
      <c r="N44" s="24">
        <v>-2.5585651000000001E-2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43213</v>
      </c>
      <c r="B45" s="24">
        <v>-3.8197220000000004E-2</v>
      </c>
      <c r="C45" s="24">
        <v>1.41747E-2</v>
      </c>
      <c r="D45" s="24">
        <v>2.7583718E-2</v>
      </c>
      <c r="E45" s="24">
        <v>4.8866152999999996E-2</v>
      </c>
      <c r="F45" s="24">
        <v>3.9979458000000002E-2</v>
      </c>
      <c r="G45" s="24">
        <v>2.0535827000000003E-2</v>
      </c>
      <c r="H45" s="24">
        <v>6.8691134000000001E-2</v>
      </c>
      <c r="I45" s="24">
        <v>2.1323561999999997E-2</v>
      </c>
      <c r="J45" s="24">
        <v>3.3016919999999998E-2</v>
      </c>
      <c r="K45" s="24">
        <v>6.2113759999999997E-2</v>
      </c>
      <c r="L45" s="24">
        <v>2.9327393E-2</v>
      </c>
      <c r="M45" s="24">
        <v>3.8133025000000001E-2</v>
      </c>
      <c r="N45" s="24">
        <v>8.0037959999999991E-2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43243</v>
      </c>
      <c r="B46" s="24">
        <v>4.6228170000000004E-3</v>
      </c>
      <c r="C46" s="24">
        <v>2.3895382999999999E-2</v>
      </c>
      <c r="D46" s="24">
        <v>4.402292E-2</v>
      </c>
      <c r="E46" s="24">
        <v>-9.4397664000000006E-3</v>
      </c>
      <c r="F46" s="24">
        <v>1.4848709E-3</v>
      </c>
      <c r="G46" s="24">
        <v>-6.9991946000000005E-3</v>
      </c>
      <c r="H46" s="24">
        <v>1.4068961E-2</v>
      </c>
      <c r="I46" s="24">
        <v>4.7624946000000001E-2</v>
      </c>
      <c r="J46" s="24">
        <v>2.5471687E-2</v>
      </c>
      <c r="K46" s="24">
        <v>-3.9804578E-3</v>
      </c>
      <c r="L46" s="24">
        <v>-8.671522000000001E-3</v>
      </c>
      <c r="M46" s="24">
        <v>-9.4034670000000004E-3</v>
      </c>
      <c r="N46" s="24">
        <v>-7.2934985000000008E-2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43273</v>
      </c>
      <c r="B47" s="24">
        <v>5.7667970000000006E-2</v>
      </c>
      <c r="C47" s="24">
        <v>1.8661498999999998E-2</v>
      </c>
      <c r="D47" s="24">
        <v>-1.4866054E-2</v>
      </c>
      <c r="E47" s="24">
        <v>-3.5673320000000001E-2</v>
      </c>
      <c r="F47" s="24">
        <v>-2.238679E-2</v>
      </c>
      <c r="G47" s="24">
        <v>-1.5264511000000001E-2</v>
      </c>
      <c r="H47" s="24">
        <v>-2.3002923000000002E-2</v>
      </c>
      <c r="I47" s="24">
        <v>3.5942435000000002E-2</v>
      </c>
      <c r="J47" s="24">
        <v>9.5655920000000012E-3</v>
      </c>
      <c r="K47" s="24">
        <v>-3.2460928E-2</v>
      </c>
      <c r="L47" s="24">
        <v>-1.4215231E-2</v>
      </c>
      <c r="M47" s="24">
        <v>-3.9403020999999996E-2</v>
      </c>
      <c r="N47" s="24">
        <v>-5.4154989999999993E-2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43304</v>
      </c>
      <c r="B48" s="24">
        <v>-4.2831299999999996E-2</v>
      </c>
      <c r="C48" s="24">
        <v>-3.0850171999999999E-3</v>
      </c>
      <c r="D48" s="24">
        <v>9.4703436000000002E-3</v>
      </c>
      <c r="E48" s="24">
        <v>5.5501460000000006E-3</v>
      </c>
      <c r="F48" s="24">
        <v>-6.7934989999999997E-3</v>
      </c>
      <c r="G48" s="24">
        <v>3.7908911999999996E-2</v>
      </c>
      <c r="H48" s="24">
        <v>-1.2257694999999999E-2</v>
      </c>
      <c r="I48" s="24">
        <v>2.4184345999999999E-2</v>
      </c>
      <c r="J48" s="24">
        <v>1.9873381000000002E-2</v>
      </c>
      <c r="K48" s="24">
        <v>9.0820789999999998E-3</v>
      </c>
      <c r="L48" s="24">
        <v>2.4476646999999997E-2</v>
      </c>
      <c r="M48" s="24">
        <v>1.7453073999999999E-2</v>
      </c>
      <c r="N48" s="24">
        <v>-2.403915E-3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43335</v>
      </c>
      <c r="B49" s="24">
        <v>1.5756249999999999E-2</v>
      </c>
      <c r="C49" s="24">
        <v>-1.3262629999999999E-2</v>
      </c>
      <c r="D49" s="24">
        <v>2.0847320000000002E-3</v>
      </c>
      <c r="E49" s="24">
        <v>-2.4999976E-2</v>
      </c>
      <c r="F49" s="24">
        <v>-1.8296837999999999E-2</v>
      </c>
      <c r="G49" s="24">
        <v>1.2960196E-2</v>
      </c>
      <c r="H49" s="24">
        <v>-3.0014454999999999E-2</v>
      </c>
      <c r="I49" s="24">
        <v>6.9057939999999998E-3</v>
      </c>
      <c r="J49" s="24">
        <v>1.9950031999999999E-2</v>
      </c>
      <c r="K49" s="24">
        <v>-7.0717334999999999E-3</v>
      </c>
      <c r="L49" s="24">
        <v>-3.2065332000000002E-2</v>
      </c>
      <c r="M49" s="24">
        <v>1.2706518000000001E-3</v>
      </c>
      <c r="N49" s="24">
        <v>-5.6110144000000001E-2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43364</v>
      </c>
      <c r="B50" s="24">
        <v>2.1096230000000001E-2</v>
      </c>
      <c r="C50" s="24">
        <v>-8.9609620000000005E-4</v>
      </c>
      <c r="D50" s="24">
        <v>7.2815419999999994E-3</v>
      </c>
      <c r="E50" s="24">
        <v>1.8314957999999999E-2</v>
      </c>
      <c r="F50" s="24">
        <v>4.5810820000000002E-2</v>
      </c>
      <c r="G50" s="24">
        <v>2.5297999999999998E-2</v>
      </c>
      <c r="H50" s="24">
        <v>1.6066670000000002E-2</v>
      </c>
      <c r="I50" s="24">
        <v>1.6095161E-2</v>
      </c>
      <c r="J50" s="24">
        <v>2.6322125999999998E-2</v>
      </c>
      <c r="K50" s="24">
        <v>2.9135703999999998E-2</v>
      </c>
      <c r="L50" s="24">
        <v>1.2991427999999999E-3</v>
      </c>
      <c r="M50" s="24">
        <v>5.3299545999999996E-2</v>
      </c>
      <c r="N50" s="24">
        <v>6.0175060000000002E-2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43396</v>
      </c>
      <c r="B51" s="24">
        <v>-8.8717820000000003E-2</v>
      </c>
      <c r="C51" s="24">
        <v>-8.1165904999999997E-2</v>
      </c>
      <c r="D51" s="24">
        <v>-7.332182000000001E-2</v>
      </c>
      <c r="E51" s="24">
        <v>-0.10529757000000001</v>
      </c>
      <c r="F51" s="24">
        <v>-7.3117913999999992E-2</v>
      </c>
      <c r="G51" s="24">
        <v>-7.0334673E-2</v>
      </c>
      <c r="H51" s="24">
        <v>-6.617867999999999E-2</v>
      </c>
      <c r="I51" s="24">
        <v>-5.5137395999999998E-2</v>
      </c>
      <c r="J51" s="24">
        <v>-6.2947392000000005E-2</v>
      </c>
      <c r="K51" s="24">
        <v>-0.10254801000000001</v>
      </c>
      <c r="L51" s="24">
        <v>-9.0820609999999996E-2</v>
      </c>
      <c r="M51" s="24">
        <v>-0.11144579</v>
      </c>
      <c r="N51" s="24">
        <v>-0.12831098000000002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43427</v>
      </c>
      <c r="B52" s="24">
        <v>3.7614941999999998E-2</v>
      </c>
      <c r="C52" s="24">
        <v>4.3923855000000001E-3</v>
      </c>
      <c r="D52" s="24">
        <v>-2.8231799999999998E-2</v>
      </c>
      <c r="E52" s="24">
        <v>-2.9239833000000003E-2</v>
      </c>
      <c r="F52" s="24">
        <v>-2.8212009999999999E-2</v>
      </c>
      <c r="G52" s="24">
        <v>-6.7113040000000004E-3</v>
      </c>
      <c r="H52" s="24">
        <v>-1.9128203E-2</v>
      </c>
      <c r="I52" s="24">
        <v>-8.114499E-2</v>
      </c>
      <c r="J52" s="24">
        <v>-3.7864089999999996E-2</v>
      </c>
      <c r="K52" s="24">
        <v>-3.1545817999999996E-2</v>
      </c>
      <c r="L52" s="24">
        <v>-1.0703206E-3</v>
      </c>
      <c r="M52" s="24">
        <v>-3.9322019E-2</v>
      </c>
      <c r="N52" s="24">
        <v>-2.4467289999999999E-2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43455</v>
      </c>
      <c r="B53" s="24">
        <v>-2.0007670000000002E-2</v>
      </c>
      <c r="C53" s="24">
        <v>-6.9908380000000006E-2</v>
      </c>
      <c r="D53" s="24">
        <v>-8.9361490000000002E-2</v>
      </c>
      <c r="E53" s="24">
        <v>-6.0617447000000005E-2</v>
      </c>
      <c r="F53" s="24">
        <v>-7.4608859999999999E-2</v>
      </c>
      <c r="G53" s="24">
        <v>-5.6511105999999998E-2</v>
      </c>
      <c r="H53" s="24">
        <v>-5.8502854999999999E-2</v>
      </c>
      <c r="I53" s="24">
        <v>-7.3110999999999995E-2</v>
      </c>
      <c r="J53" s="24">
        <v>-8.0207349999999997E-2</v>
      </c>
      <c r="K53" s="24">
        <v>-5.5757103000000002E-2</v>
      </c>
      <c r="L53" s="24">
        <v>-7.4492810000000007E-2</v>
      </c>
      <c r="M53" s="24">
        <v>-4.0005502999999998E-2</v>
      </c>
      <c r="N53" s="24">
        <v>-2.2865414999999997E-2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43488</v>
      </c>
      <c r="B54" s="24">
        <v>7.8215480000000004E-2</v>
      </c>
      <c r="C54" s="24">
        <v>9.3868620000000014E-2</v>
      </c>
      <c r="D54" s="24">
        <v>0.114383335</v>
      </c>
      <c r="E54" s="24">
        <v>5.7314515000000003E-2</v>
      </c>
      <c r="F54" s="24">
        <v>6.7861439999999995E-2</v>
      </c>
      <c r="G54" s="24">
        <v>7.7148438E-2</v>
      </c>
      <c r="H54" s="24">
        <v>6.9396257000000003E-2</v>
      </c>
      <c r="I54" s="24">
        <v>0.10202109999999999</v>
      </c>
      <c r="J54" s="24">
        <v>9.4349860000000008E-2</v>
      </c>
      <c r="K54" s="24">
        <v>4.5051930000000004E-2</v>
      </c>
      <c r="L54" s="24">
        <v>6.5529226999999995E-2</v>
      </c>
      <c r="M54" s="24">
        <v>7.355642300000001E-2</v>
      </c>
      <c r="N54" s="24">
        <v>7.1698070000000003E-2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43518</v>
      </c>
      <c r="B55" s="24">
        <v>2.6725769999999999E-2</v>
      </c>
      <c r="C55" s="24">
        <v>5.6051610000000002E-2</v>
      </c>
      <c r="D55" s="24">
        <v>6.8556069999999997E-2</v>
      </c>
      <c r="E55" s="24">
        <v>2.4639964E-2</v>
      </c>
      <c r="F55" s="24">
        <v>3.111446E-2</v>
      </c>
      <c r="G55" s="24">
        <v>4.1704416000000001E-2</v>
      </c>
      <c r="H55" s="24">
        <v>5.3212165999999998E-2</v>
      </c>
      <c r="I55" s="24">
        <v>6.6234946000000003E-2</v>
      </c>
      <c r="J55" s="24">
        <v>5.9716820000000004E-2</v>
      </c>
      <c r="K55" s="24">
        <v>7.0744275999999995E-2</v>
      </c>
      <c r="L55" s="24">
        <v>7.4963689999999999E-2</v>
      </c>
      <c r="M55" s="24">
        <v>3.3230543000000001E-2</v>
      </c>
      <c r="N55" s="24">
        <v>4.0688633999999994E-2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43546</v>
      </c>
      <c r="B56" s="24">
        <v>1.6683459000000001E-2</v>
      </c>
      <c r="C56" s="24">
        <v>-2.8182864000000003E-3</v>
      </c>
      <c r="D56" s="24">
        <v>-1.6845882E-2</v>
      </c>
      <c r="E56" s="24">
        <v>-1.0728835999999999E-2</v>
      </c>
      <c r="F56" s="24">
        <v>-7.3153376999999997E-3</v>
      </c>
      <c r="G56" s="24">
        <v>8.703232E-3</v>
      </c>
      <c r="H56" s="24">
        <v>1.5403628000000001E-2</v>
      </c>
      <c r="I56" s="24">
        <v>3.4671902999999997E-2</v>
      </c>
      <c r="J56" s="24">
        <v>4.7792195999999997E-3</v>
      </c>
      <c r="K56" s="24">
        <v>4.4735670000000003E-3</v>
      </c>
      <c r="L56" s="24">
        <v>1.3540983000000001E-3</v>
      </c>
      <c r="M56" s="24">
        <v>4.3103694999999994E-3</v>
      </c>
      <c r="N56" s="24">
        <v>3.5338402000000005E-2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43578</v>
      </c>
      <c r="B57" s="24">
        <v>2.7876616E-2</v>
      </c>
      <c r="C57" s="24">
        <v>3.5327314999999998E-2</v>
      </c>
      <c r="D57" s="24">
        <v>4.4841409999999998E-2</v>
      </c>
      <c r="E57" s="24">
        <v>6.9184780000000001E-2</v>
      </c>
      <c r="F57" s="24">
        <v>2.1739125000000002E-2</v>
      </c>
      <c r="G57" s="24">
        <v>2.8760433000000002E-2</v>
      </c>
      <c r="H57" s="24">
        <v>2.7305841000000001E-2</v>
      </c>
      <c r="I57" s="24">
        <v>6.5804242999999998E-2</v>
      </c>
      <c r="J57" s="24">
        <v>4.8809289999999998E-2</v>
      </c>
      <c r="K57" s="24">
        <v>5.3785562999999995E-2</v>
      </c>
      <c r="L57" s="24">
        <v>5.5442809999999995E-2</v>
      </c>
      <c r="M57" s="24">
        <v>7.5602530000000001E-2</v>
      </c>
      <c r="N57" s="24">
        <v>2.9048681E-2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43608</v>
      </c>
      <c r="B58" s="24">
        <v>-1.1540650999999999E-3</v>
      </c>
      <c r="C58" s="24">
        <v>-2.7297139999999998E-3</v>
      </c>
      <c r="D58" s="24">
        <v>-3.6287487E-2</v>
      </c>
      <c r="E58" s="24">
        <v>-3.8125217000000003E-2</v>
      </c>
      <c r="F58" s="24">
        <v>-4.5618414999999995E-2</v>
      </c>
      <c r="G58" s="24">
        <v>1.1182547000000001E-2</v>
      </c>
      <c r="H58" s="24">
        <v>-5.3750752999999998E-2</v>
      </c>
      <c r="I58" s="24">
        <v>-6.3370284999999998E-2</v>
      </c>
      <c r="J58" s="24">
        <v>-3.6670267999999999E-2</v>
      </c>
      <c r="K58" s="24">
        <v>-4.8764649999999993E-2</v>
      </c>
      <c r="L58" s="24">
        <v>-3.9718150000000001E-2</v>
      </c>
      <c r="M58" s="24">
        <v>-8.8704769999999988E-2</v>
      </c>
      <c r="N58" s="24">
        <v>-6.3514413999999991E-2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43637</v>
      </c>
      <c r="B59" s="24">
        <v>9.0587140000000007E-3</v>
      </c>
      <c r="C59" s="24">
        <v>3.6721587E-2</v>
      </c>
      <c r="D59" s="24">
        <v>4.4524549999999996E-2</v>
      </c>
      <c r="E59" s="24">
        <v>3.7120819999999999E-2</v>
      </c>
      <c r="F59" s="24">
        <v>3.8248061999999999E-2</v>
      </c>
      <c r="G59" s="24">
        <v>5.8640600000000001E-2</v>
      </c>
      <c r="H59" s="24">
        <v>2.9183984E-2</v>
      </c>
      <c r="I59" s="24">
        <v>5.7896256E-2</v>
      </c>
      <c r="J59" s="24">
        <v>4.7110079999999999E-2</v>
      </c>
      <c r="K59" s="24">
        <v>6.7174435000000005E-2</v>
      </c>
      <c r="L59" s="24">
        <v>4.7849535999999998E-2</v>
      </c>
      <c r="M59" s="24">
        <v>6.5384865E-2</v>
      </c>
      <c r="N59" s="24">
        <v>7.6908469999999993E-2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43669</v>
      </c>
      <c r="B60" s="24">
        <v>7.8845380000000007E-2</v>
      </c>
      <c r="C60" s="24">
        <v>2.3798822999999997E-2</v>
      </c>
      <c r="D60" s="24">
        <v>8.3944799999999993E-3</v>
      </c>
      <c r="E60" s="24">
        <v>-7.2050094999999989E-4</v>
      </c>
      <c r="F60" s="24">
        <v>1.3404369000000001E-2</v>
      </c>
      <c r="G60" s="24">
        <v>5.0638914000000002E-3</v>
      </c>
      <c r="H60" s="24">
        <v>2.1772384999999999E-3</v>
      </c>
      <c r="I60" s="24">
        <v>2.9951810000000002E-2</v>
      </c>
      <c r="J60" s="24">
        <v>2.0510196999999997E-2</v>
      </c>
      <c r="K60" s="24">
        <v>5.9074163000000001E-3</v>
      </c>
      <c r="L60" s="24">
        <v>3.0984998E-2</v>
      </c>
      <c r="M60" s="24">
        <v>-4.8939586000000005E-3</v>
      </c>
      <c r="N60" s="24">
        <v>1.5568376E-2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43700</v>
      </c>
      <c r="B61" s="24">
        <v>-7.9727053999999992E-2</v>
      </c>
      <c r="C61" s="24">
        <v>-7.5438557000000003E-2</v>
      </c>
      <c r="D61" s="24">
        <v>-4.8907400000000004E-2</v>
      </c>
      <c r="E61" s="24">
        <v>-7.3900460000000001E-2</v>
      </c>
      <c r="F61" s="24">
        <v>-4.3486120000000003E-2</v>
      </c>
      <c r="G61" s="24">
        <v>-2.3335933999999999E-2</v>
      </c>
      <c r="H61" s="24">
        <v>-7.5419005999999997E-2</v>
      </c>
      <c r="I61" s="24">
        <v>-6.0477790000000003E-2</v>
      </c>
      <c r="J61" s="24">
        <v>-5.0594925999999998E-2</v>
      </c>
      <c r="K61" s="24">
        <v>-6.1337650000000001E-2</v>
      </c>
      <c r="L61" s="24">
        <v>-6.1056613999999995E-2</v>
      </c>
      <c r="M61" s="24">
        <v>-9.3114740000000001E-2</v>
      </c>
      <c r="N61" s="24">
        <v>-8.1639879999999998E-2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43731</v>
      </c>
      <c r="B62" s="24">
        <v>1.7170787E-2</v>
      </c>
      <c r="C62" s="24">
        <v>6.261861299999999E-2</v>
      </c>
      <c r="D62" s="24">
        <v>6.3092590000000004E-2</v>
      </c>
      <c r="E62" s="24">
        <v>5.1771164000000001E-2</v>
      </c>
      <c r="F62" s="24">
        <v>7.7666162999999996E-2</v>
      </c>
      <c r="G62" s="24">
        <v>2.2807360000000002E-2</v>
      </c>
      <c r="H62" s="24">
        <v>5.7737469999999999E-2</v>
      </c>
      <c r="I62" s="24">
        <v>4.8410773000000004E-2</v>
      </c>
      <c r="J62" s="24">
        <v>5.1758050000000007E-2</v>
      </c>
      <c r="K62" s="24">
        <v>5.0052047000000002E-2</v>
      </c>
      <c r="L62" s="24">
        <v>6.0309887E-2</v>
      </c>
      <c r="M62" s="24">
        <v>7.5921893000000004E-2</v>
      </c>
      <c r="N62" s="24">
        <v>6.9487569999999999E-2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43761</v>
      </c>
      <c r="B63" s="24">
        <v>1.3427972999999999E-2</v>
      </c>
      <c r="C63" s="24">
        <v>9.8215339999999998E-3</v>
      </c>
      <c r="D63" s="24">
        <v>-1.3722122000000002E-2</v>
      </c>
      <c r="E63" s="24">
        <v>5.1073193999999995E-2</v>
      </c>
      <c r="F63" s="24">
        <v>2.1093369000000001E-2</v>
      </c>
      <c r="G63" s="24">
        <v>-1.3272761999999999E-3</v>
      </c>
      <c r="H63" s="24">
        <v>2.8245091000000003E-2</v>
      </c>
      <c r="I63" s="24">
        <v>9.0289115999999999E-3</v>
      </c>
      <c r="J63" s="24">
        <v>5.6000950000000002E-3</v>
      </c>
      <c r="K63" s="24">
        <v>1.6219853999999999E-2</v>
      </c>
      <c r="L63" s="24">
        <v>1.0009527000000001E-2</v>
      </c>
      <c r="M63" s="24">
        <v>5.3427460000000003E-2</v>
      </c>
      <c r="N63" s="24">
        <v>2.9401183000000001E-2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43791</v>
      </c>
      <c r="B64" s="24">
        <v>1.6846418000000002E-2</v>
      </c>
      <c r="C64" s="24">
        <v>-4.8629642000000001E-3</v>
      </c>
      <c r="D64" s="24">
        <v>2.3304342999999998E-2</v>
      </c>
      <c r="E64" s="24">
        <v>1.6549349000000001E-2</v>
      </c>
      <c r="F64" s="24">
        <v>2.5477647999999999E-2</v>
      </c>
      <c r="G64" s="24">
        <v>2.7379155000000002E-2</v>
      </c>
      <c r="H64" s="24">
        <v>6.1727759999999996E-3</v>
      </c>
      <c r="I64" s="24">
        <v>4.9994826000000006E-2</v>
      </c>
      <c r="J64" s="24">
        <v>3.6948084999999999E-2</v>
      </c>
      <c r="K64" s="24">
        <v>3.2573341999999998E-2</v>
      </c>
      <c r="L64" s="24">
        <v>2.0292640000000001E-2</v>
      </c>
      <c r="M64" s="24">
        <v>1.0845304E-2</v>
      </c>
      <c r="N64" s="24">
        <v>2.6798367999999999E-2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43822</v>
      </c>
      <c r="B65" s="24">
        <v>8.9373229999999998E-2</v>
      </c>
      <c r="C65" s="24">
        <v>2.5429845000000003E-2</v>
      </c>
      <c r="D65" s="24">
        <v>2.0581722E-2</v>
      </c>
      <c r="E65" s="24">
        <v>1.5933513999999999E-2</v>
      </c>
      <c r="F65" s="24">
        <v>1.5272974999999999E-2</v>
      </c>
      <c r="G65" s="24">
        <v>4.7865390000000001E-2</v>
      </c>
      <c r="H65" s="24">
        <v>4.8719764000000006E-2</v>
      </c>
      <c r="I65" s="24">
        <v>5.1715016000000003E-2</v>
      </c>
      <c r="J65" s="24">
        <v>3.8051248000000003E-2</v>
      </c>
      <c r="K65" s="24">
        <v>2.7103782E-2</v>
      </c>
      <c r="L65" s="24">
        <v>4.1263103000000002E-2</v>
      </c>
      <c r="M65" s="24">
        <v>5.7906029999999997E-2</v>
      </c>
      <c r="N65" s="24">
        <v>2.7018665999999997E-2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43853</v>
      </c>
      <c r="B66" s="24">
        <v>2.7797580000000002E-2</v>
      </c>
      <c r="C66" s="24">
        <v>3.5793303999999998E-2</v>
      </c>
      <c r="D66" s="24">
        <v>3.1049609999999998E-2</v>
      </c>
      <c r="E66" s="24">
        <v>1.0228395E-2</v>
      </c>
      <c r="F66" s="24">
        <v>-1.6736984000000001E-4</v>
      </c>
      <c r="G66" s="24">
        <v>2.6419758999999998E-2</v>
      </c>
      <c r="H66" s="24">
        <v>3.8690566999999999E-3</v>
      </c>
      <c r="I66" s="24">
        <v>6.0337066999999994E-2</v>
      </c>
      <c r="J66" s="24">
        <v>3.2687902000000005E-2</v>
      </c>
      <c r="K66" s="24">
        <v>-2.4623275E-3</v>
      </c>
      <c r="L66" s="24">
        <v>2.9730796999999999E-4</v>
      </c>
      <c r="M66" s="24">
        <v>-3.6242603999999999E-3</v>
      </c>
      <c r="N66" s="24">
        <v>-1.0437727000000001E-2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43882</v>
      </c>
      <c r="B67" s="24">
        <v>-2.3809314000000002E-2</v>
      </c>
      <c r="C67" s="24">
        <v>-2.9863536000000003E-2</v>
      </c>
      <c r="D67" s="24">
        <v>2.6186704999999998E-3</v>
      </c>
      <c r="E67" s="24">
        <v>-1.6537309E-2</v>
      </c>
      <c r="F67" s="24">
        <v>-5.2376149999999996E-2</v>
      </c>
      <c r="G67" s="24">
        <v>8.6600779999999999E-3</v>
      </c>
      <c r="H67" s="24">
        <v>-3.0536591999999998E-2</v>
      </c>
      <c r="I67" s="24">
        <v>2.5290607999999999E-2</v>
      </c>
      <c r="J67" s="24">
        <v>5.3057670000000003E-3</v>
      </c>
      <c r="K67" s="24">
        <v>-9.8735094000000009E-3</v>
      </c>
      <c r="L67" s="24">
        <v>8.6207389999999988E-3</v>
      </c>
      <c r="M67" s="24">
        <v>1.8187283999999998E-2</v>
      </c>
      <c r="N67" s="24">
        <v>1.1228323E-2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43913</v>
      </c>
      <c r="B68" s="24">
        <v>-0.35311169999999997</v>
      </c>
      <c r="C68" s="24">
        <v>-0.43623572999999999</v>
      </c>
      <c r="D68" s="24">
        <v>-0.42376755000000005</v>
      </c>
      <c r="E68" s="24">
        <v>-0.36204529999999996</v>
      </c>
      <c r="F68" s="24">
        <v>-0.21172523000000001</v>
      </c>
      <c r="G68" s="24">
        <v>-0.27235872</v>
      </c>
      <c r="H68" s="24">
        <v>-0.39877678000000005</v>
      </c>
      <c r="I68" s="24">
        <v>-0.25816349999999999</v>
      </c>
      <c r="J68" s="24">
        <v>-0.32733714999999997</v>
      </c>
      <c r="K68" s="24">
        <v>-0.36272979999999999</v>
      </c>
      <c r="L68" s="24">
        <v>-0.31889182999999999</v>
      </c>
      <c r="M68" s="24">
        <v>-0.3602263</v>
      </c>
      <c r="N68" s="24">
        <v>-0.36675635999999995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43944</v>
      </c>
      <c r="B69" s="24">
        <v>0.29239857000000002</v>
      </c>
      <c r="C69" s="24">
        <v>0.25507020000000002</v>
      </c>
      <c r="D69" s="24">
        <v>0.30934846999999999</v>
      </c>
      <c r="E69" s="24">
        <v>0.19580412</v>
      </c>
      <c r="F69" s="24">
        <v>0.13127243</v>
      </c>
      <c r="G69" s="24">
        <v>0.18649626000000002</v>
      </c>
      <c r="H69" s="24">
        <v>0.23702955000000001</v>
      </c>
      <c r="I69" s="24">
        <v>0.2350111</v>
      </c>
      <c r="J69" s="24">
        <v>0.25176048000000001</v>
      </c>
      <c r="K69" s="24">
        <v>0.13789725</v>
      </c>
      <c r="L69" s="24">
        <v>0.18173943999999997</v>
      </c>
      <c r="M69" s="24">
        <v>0.21824110000000002</v>
      </c>
      <c r="N69" s="24">
        <v>5.4197670000000003E-2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43973</v>
      </c>
      <c r="B70" s="24">
        <v>3.5799979999999995E-2</v>
      </c>
      <c r="C70" s="24">
        <v>7.7687980000000004E-2</v>
      </c>
      <c r="D70" s="24">
        <v>5.5387259999999994E-2</v>
      </c>
      <c r="E70" s="24">
        <v>8.9968569999999998E-2</v>
      </c>
      <c r="F70" s="24">
        <v>4.2970300000000003E-2</v>
      </c>
      <c r="G70" s="24">
        <v>3.2320380000000003E-2</v>
      </c>
      <c r="H70" s="24">
        <v>2.8371692E-2</v>
      </c>
      <c r="I70" s="24">
        <v>9.0917700000000004E-2</v>
      </c>
      <c r="J70" s="24">
        <v>5.8621287000000001E-2</v>
      </c>
      <c r="K70" s="24">
        <v>3.6527753000000003E-2</v>
      </c>
      <c r="L70" s="24">
        <v>7.762730000000001E-2</v>
      </c>
      <c r="M70" s="24">
        <v>7.1428537E-2</v>
      </c>
      <c r="N70" s="24">
        <v>5.0403237000000004E-2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44005</v>
      </c>
      <c r="B71" s="24">
        <v>0.10961533</v>
      </c>
      <c r="C71" s="24">
        <v>0.14006842</v>
      </c>
      <c r="D71" s="24">
        <v>7.7569127000000002E-2</v>
      </c>
      <c r="E71" s="24">
        <v>0.14720976</v>
      </c>
      <c r="F71" s="24">
        <v>8.2465650000000001E-2</v>
      </c>
      <c r="G71" s="24">
        <v>7.2825074000000004E-2</v>
      </c>
      <c r="H71" s="24">
        <v>7.2390200000000002E-2</v>
      </c>
      <c r="I71" s="24">
        <v>8.5377810000000012E-2</v>
      </c>
      <c r="J71" s="24">
        <v>6.0896753999999997E-2</v>
      </c>
      <c r="K71" s="24">
        <v>0.15175485999999999</v>
      </c>
      <c r="L71" s="24">
        <v>0.13214087499999999</v>
      </c>
      <c r="M71" s="24">
        <v>0.11973059</v>
      </c>
      <c r="N71" s="24">
        <v>0.19228697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44035</v>
      </c>
      <c r="B72" s="24">
        <v>6.2329173000000002E-2</v>
      </c>
      <c r="C72" s="24">
        <v>3.4907580000000001E-2</v>
      </c>
      <c r="D72" s="24">
        <v>3.8816333000000001E-2</v>
      </c>
      <c r="E72" s="24">
        <v>6.6884756000000004E-2</v>
      </c>
      <c r="F72" s="24">
        <v>-1.1845886999999999E-2</v>
      </c>
      <c r="G72" s="24">
        <v>4.4866919999999998E-2</v>
      </c>
      <c r="H72" s="24">
        <v>-1.8924475E-3</v>
      </c>
      <c r="I72" s="24">
        <v>3.6851047999999997E-2</v>
      </c>
      <c r="J72" s="24">
        <v>3.4962415999999996E-2</v>
      </c>
      <c r="K72" s="24">
        <v>3.9855122999999999E-2</v>
      </c>
      <c r="L72" s="24">
        <v>5.4045915999999999E-2</v>
      </c>
      <c r="M72" s="24">
        <v>0.10763335</v>
      </c>
      <c r="N72" s="24">
        <v>5.2460313000000001E-2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44064</v>
      </c>
      <c r="B73" s="24">
        <v>7.7199935999999999E-3</v>
      </c>
      <c r="C73" s="24">
        <v>2.1825432999999998E-2</v>
      </c>
      <c r="D73" s="24">
        <v>5.1424264999999997E-2</v>
      </c>
      <c r="E73" s="24">
        <v>4.0885210000000003E-3</v>
      </c>
      <c r="F73" s="24">
        <v>3.0774712999999999E-2</v>
      </c>
      <c r="G73" s="24">
        <v>1.1887430999999999E-2</v>
      </c>
      <c r="H73" s="24">
        <v>5.3089859999999999E-3</v>
      </c>
      <c r="I73" s="24">
        <v>9.2476959999999997E-2</v>
      </c>
      <c r="J73" s="24">
        <v>5.1151869999999995E-2</v>
      </c>
      <c r="K73" s="24">
        <v>2.7874707999999996E-3</v>
      </c>
      <c r="L73" s="24">
        <v>-8.5932019999999997E-4</v>
      </c>
      <c r="M73" s="24">
        <v>6.6320895999999992E-3</v>
      </c>
      <c r="N73" s="24">
        <v>-1.0046303000000001E-2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44097</v>
      </c>
      <c r="B74" s="24">
        <v>-4.2049703999999993E-2</v>
      </c>
      <c r="C74" s="24">
        <v>-4.9514589999999997E-2</v>
      </c>
      <c r="D74" s="24">
        <v>-5.3835335000000005E-2</v>
      </c>
      <c r="E74" s="24">
        <v>-3.1557439999999999E-2</v>
      </c>
      <c r="F74" s="24">
        <v>2.2391914999999998E-2</v>
      </c>
      <c r="G74" s="24">
        <v>-1.8460810000000001E-2</v>
      </c>
      <c r="H74" s="24">
        <v>-5.3187490000000004E-2</v>
      </c>
      <c r="I74" s="24">
        <v>-6.1470212999999996E-2</v>
      </c>
      <c r="J74" s="24">
        <v>-4.5755863000000001E-2</v>
      </c>
      <c r="K74" s="24">
        <v>-4.5170307E-2</v>
      </c>
      <c r="L74" s="24">
        <v>-2.5229393999999999E-2</v>
      </c>
      <c r="M74" s="24">
        <v>-1.8332839E-2</v>
      </c>
      <c r="N74" s="24">
        <v>-6.0499669999999998E-2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44127</v>
      </c>
      <c r="B75" s="24">
        <v>0.10341394</v>
      </c>
      <c r="C75" s="24">
        <v>6.6394209999999995E-2</v>
      </c>
      <c r="D75" s="24">
        <v>4.5370100000000003E-2</v>
      </c>
      <c r="E75" s="24">
        <v>3.0133127999999999E-2</v>
      </c>
      <c r="F75" s="24">
        <v>6.7911149999999995E-3</v>
      </c>
      <c r="G75" s="24">
        <v>1.2212992000000001E-2</v>
      </c>
      <c r="H75" s="24">
        <v>2.6693224999999998E-2</v>
      </c>
      <c r="I75" s="24">
        <v>7.7907324E-2</v>
      </c>
      <c r="J75" s="24">
        <v>7.1720720000000002E-2</v>
      </c>
      <c r="K75" s="24">
        <v>5.7132482999999998E-2</v>
      </c>
      <c r="L75" s="24">
        <v>6.1176540000000001E-2</v>
      </c>
      <c r="M75" s="24">
        <v>6.7114115000000002E-2</v>
      </c>
      <c r="N75" s="24">
        <v>3.7390947000000001E-2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44158</v>
      </c>
      <c r="B76" s="24">
        <v>3.6252737E-2</v>
      </c>
      <c r="C76" s="24">
        <v>9.2432979999999998E-2</v>
      </c>
      <c r="D76" s="24">
        <v>6.0476660000000002E-2</v>
      </c>
      <c r="E76" s="24">
        <v>2.4829865E-2</v>
      </c>
      <c r="F76" s="24">
        <v>9.2411519999999997E-2</v>
      </c>
      <c r="G76" s="24">
        <v>2.6785731E-2</v>
      </c>
      <c r="H76" s="24">
        <v>0.1109817</v>
      </c>
      <c r="I76" s="24">
        <v>1.9842744000000002E-2</v>
      </c>
      <c r="J76" s="24">
        <v>3.3778667000000005E-2</v>
      </c>
      <c r="K76" s="24">
        <v>0.11290884</v>
      </c>
      <c r="L76" s="24">
        <v>6.5964460000000003E-2</v>
      </c>
      <c r="M76" s="24">
        <v>6.5080642999999994E-2</v>
      </c>
      <c r="N76" s="24">
        <v>0.1257509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44188</v>
      </c>
      <c r="B77" s="24">
        <v>5.1010489999999999E-2</v>
      </c>
      <c r="C77" s="24">
        <v>5.8004020000000003E-2</v>
      </c>
      <c r="D77" s="24">
        <v>5.0217270000000001E-2</v>
      </c>
      <c r="E77" s="24">
        <v>6.7715286999999999E-2</v>
      </c>
      <c r="F77" s="24">
        <v>2.3755193000000001E-2</v>
      </c>
      <c r="G77" s="24">
        <v>2.9680013999999998E-2</v>
      </c>
      <c r="H77" s="24">
        <v>3.7600636E-2</v>
      </c>
      <c r="I77" s="24">
        <v>6.3259720000000005E-2</v>
      </c>
      <c r="J77" s="24">
        <v>3.2683730000000001E-2</v>
      </c>
      <c r="K77" s="24">
        <v>3.3858060000000002E-2</v>
      </c>
      <c r="L77" s="24">
        <v>7.5006009999999998E-2</v>
      </c>
      <c r="M77" s="24">
        <v>2.610755E-2</v>
      </c>
      <c r="N77" s="24">
        <v>5.7040452999999998E-2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44218</v>
      </c>
      <c r="B78" s="24">
        <v>2.9917717E-2</v>
      </c>
      <c r="C78" s="24">
        <v>3.9281250000000004E-2</v>
      </c>
      <c r="D78" s="24">
        <v>2.3285865999999999E-2</v>
      </c>
      <c r="E78" s="24">
        <v>2.4551392000000002E-2</v>
      </c>
      <c r="F78" s="24">
        <v>4.8138021999999996E-2</v>
      </c>
      <c r="G78" s="24">
        <v>4.3388844000000003E-2</v>
      </c>
      <c r="H78" s="24">
        <v>4.2560460000000001E-2</v>
      </c>
      <c r="I78" s="24">
        <v>5.58728E-2</v>
      </c>
      <c r="J78" s="24">
        <v>4.1651964E-2</v>
      </c>
      <c r="K78" s="24">
        <v>6.6145659999999997E-3</v>
      </c>
      <c r="L78" s="24">
        <v>7.4739219999999995E-2</v>
      </c>
      <c r="M78" s="24">
        <v>6.2263726999999998E-2</v>
      </c>
      <c r="N78" s="24">
        <v>-6.1078670000000003E-3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44250</v>
      </c>
      <c r="B79" s="24">
        <v>-5.9549749999999999E-2</v>
      </c>
      <c r="C79" s="24">
        <v>3.0156849999999999E-2</v>
      </c>
      <c r="D79" s="24">
        <v>4.4879913E-2</v>
      </c>
      <c r="E79" s="24">
        <v>-5.5299399999999997E-3</v>
      </c>
      <c r="F79" s="24">
        <v>2.556336E-2</v>
      </c>
      <c r="G79" s="24">
        <v>-4.005247E-2</v>
      </c>
      <c r="H79" s="24">
        <v>2.416718E-2</v>
      </c>
      <c r="I79" s="24">
        <v>-1.2107432E-2</v>
      </c>
      <c r="J79" s="24">
        <v>1.2066482999999999E-2</v>
      </c>
      <c r="K79" s="24">
        <v>3.2556771999999998E-2</v>
      </c>
      <c r="L79" s="24">
        <v>1.5579104E-2</v>
      </c>
      <c r="M79" s="24">
        <v>1.8509746000000001E-2</v>
      </c>
      <c r="N79" s="24">
        <v>3.4141301999999998E-2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44278</v>
      </c>
      <c r="B80" s="24">
        <v>-4.6486435000000007E-2</v>
      </c>
      <c r="C80" s="24">
        <v>-4.1764317000000002E-2</v>
      </c>
      <c r="D80" s="24">
        <v>2.4198412999999998E-2</v>
      </c>
      <c r="E80" s="24">
        <v>2.2551775E-2</v>
      </c>
      <c r="F80" s="24">
        <v>-2.5911927000000001E-2</v>
      </c>
      <c r="G80" s="24">
        <v>1.6871810000000001E-2</v>
      </c>
      <c r="H80" s="24">
        <v>-1.5625E-2</v>
      </c>
      <c r="I80" s="24">
        <v>-1.2028873000000001E-2</v>
      </c>
      <c r="J80" s="24">
        <v>8.4589720000000004E-3</v>
      </c>
      <c r="K80" s="24">
        <v>-3.7605166E-3</v>
      </c>
      <c r="L80" s="24">
        <v>-7.5589419999999999E-3</v>
      </c>
      <c r="M80" s="24">
        <v>2.9356956E-2</v>
      </c>
      <c r="N80" s="24">
        <v>2.1129011999999999E-2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44309</v>
      </c>
      <c r="B81" s="24">
        <v>4.5351505E-2</v>
      </c>
      <c r="C81" s="24">
        <v>6.8839073000000001E-2</v>
      </c>
      <c r="D81" s="24">
        <v>3.4554004999999999E-2</v>
      </c>
      <c r="E81" s="24">
        <v>6.1631440000000003E-2</v>
      </c>
      <c r="F81" s="24">
        <v>-1.0119676599999999E-3</v>
      </c>
      <c r="G81" s="24">
        <v>5.4260135000000001E-2</v>
      </c>
      <c r="H81" s="24">
        <v>5.1506280000000002E-2</v>
      </c>
      <c r="I81" s="24">
        <v>6.9983006E-2</v>
      </c>
      <c r="J81" s="24">
        <v>6.9935799999999992E-2</v>
      </c>
      <c r="K81" s="24">
        <v>7.7526209999999998E-2</v>
      </c>
      <c r="L81" s="24">
        <v>9.9910369999999998E-2</v>
      </c>
      <c r="M81" s="24">
        <v>7.6957940000000002E-2</v>
      </c>
      <c r="N81" s="24">
        <v>4.073715E-2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44337</v>
      </c>
      <c r="B82" s="24">
        <v>-2.9284180000000003E-2</v>
      </c>
      <c r="C82" s="24">
        <v>2.2865534000000003E-3</v>
      </c>
      <c r="D82" s="24">
        <v>6.4516187000000003E-2</v>
      </c>
      <c r="E82" s="24">
        <v>1.2236834E-2</v>
      </c>
      <c r="F82" s="24">
        <v>-1.6931951000000001E-2</v>
      </c>
      <c r="G82" s="24">
        <v>2.1267532999999998E-2</v>
      </c>
      <c r="H82" s="24">
        <v>4.1281579999999998E-2</v>
      </c>
      <c r="I82" s="24">
        <v>-3.6562383000000004E-2</v>
      </c>
      <c r="J82" s="24">
        <v>-4.319191E-3</v>
      </c>
      <c r="K82" s="24">
        <v>3.503096E-2</v>
      </c>
      <c r="L82" s="24">
        <v>-8.9612603000000009E-3</v>
      </c>
      <c r="M82" s="24">
        <v>1.0508656999999999E-2</v>
      </c>
      <c r="N82" s="24">
        <v>2.9201746000000001E-2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44370</v>
      </c>
      <c r="B83" s="24">
        <v>-1.9296825E-2</v>
      </c>
      <c r="C83" s="24">
        <v>7.3839425999999994E-3</v>
      </c>
      <c r="D83" s="24">
        <v>1.236105E-2</v>
      </c>
      <c r="E83" s="24">
        <v>-1.0742426000000001E-2</v>
      </c>
      <c r="F83" s="24">
        <v>1.2601614E-3</v>
      </c>
      <c r="G83" s="24">
        <v>3.3503056000000003E-2</v>
      </c>
      <c r="H83" s="24">
        <v>-6.8709254000000001E-3</v>
      </c>
      <c r="I83" s="24">
        <v>6.4617753E-2</v>
      </c>
      <c r="J83" s="24">
        <v>2.1837829999999999E-2</v>
      </c>
      <c r="K83" s="24">
        <v>3.7992E-3</v>
      </c>
      <c r="L83" s="24">
        <v>-3.3071636999999999E-3</v>
      </c>
      <c r="M83" s="24">
        <v>-1.6512156E-2</v>
      </c>
      <c r="N83" s="24">
        <v>-7.6662900000000001E-3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44400</v>
      </c>
      <c r="B84" s="24">
        <v>1.5930414E-2</v>
      </c>
      <c r="C84" s="24">
        <v>-9.1848373000000001E-3</v>
      </c>
      <c r="D84" s="24">
        <v>-1.5724956999999998E-2</v>
      </c>
      <c r="E84" s="24">
        <v>-2.8896332000000001E-4</v>
      </c>
      <c r="F84" s="24">
        <v>5.1836970000000001E-3</v>
      </c>
      <c r="G84" s="24">
        <v>1.7648219999999999E-2</v>
      </c>
      <c r="H84" s="24">
        <v>-1.7267465999999999E-2</v>
      </c>
      <c r="I84" s="24">
        <v>5.8837175000000005E-2</v>
      </c>
      <c r="J84" s="24">
        <v>4.1031720000000001E-2</v>
      </c>
      <c r="K84" s="24">
        <v>-9.7036960000000012E-3</v>
      </c>
      <c r="L84" s="24">
        <v>2.7189732000000001E-2</v>
      </c>
      <c r="M84" s="24">
        <v>4.1549443999999998E-2</v>
      </c>
      <c r="N84" s="24">
        <v>-1.4778316E-2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44431</v>
      </c>
      <c r="B85" s="24">
        <v>-4.8496722999999999E-3</v>
      </c>
      <c r="C85" s="24">
        <v>-1.1973739000000001E-2</v>
      </c>
      <c r="D85" s="24">
        <v>7.8526735000000007E-3</v>
      </c>
      <c r="E85" s="24">
        <v>8.0947876000000002E-3</v>
      </c>
      <c r="F85" s="24">
        <v>-4.8622489999999999E-3</v>
      </c>
      <c r="G85" s="24">
        <v>2.9844759999999998E-2</v>
      </c>
      <c r="H85" s="24">
        <v>1.4796495E-2</v>
      </c>
      <c r="I85" s="24">
        <v>1.3661026999999999E-2</v>
      </c>
      <c r="J85" s="24">
        <v>1.6638637000000001E-2</v>
      </c>
      <c r="K85" s="24">
        <v>1.5625E-2</v>
      </c>
      <c r="L85" s="24">
        <v>4.2836904999999995E-2</v>
      </c>
      <c r="M85" s="24">
        <v>-1.0388553E-2</v>
      </c>
      <c r="N85" s="24">
        <v>2.8125048E-2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44462</v>
      </c>
      <c r="B86" s="24">
        <v>4.5971393999999999E-2</v>
      </c>
      <c r="C86" s="24">
        <v>1.1727809999999999E-3</v>
      </c>
      <c r="D86" s="24">
        <v>-4.0301084999999999E-3</v>
      </c>
      <c r="E86" s="24">
        <v>-1.577282E-2</v>
      </c>
      <c r="F86" s="24">
        <v>7.9508423999999994E-2</v>
      </c>
      <c r="G86" s="24">
        <v>-4.4448794999999999E-2</v>
      </c>
      <c r="H86" s="24">
        <v>-1.8225311999999999E-3</v>
      </c>
      <c r="I86" s="24">
        <v>4.6122074E-4</v>
      </c>
      <c r="J86" s="24">
        <v>-5.9163569999999997E-3</v>
      </c>
      <c r="K86" s="24">
        <v>1.3298631E-2</v>
      </c>
      <c r="L86" s="24">
        <v>2.7707815E-2</v>
      </c>
      <c r="M86" s="24">
        <v>-7.3483586000000004E-3</v>
      </c>
      <c r="N86" s="24">
        <v>-4.2554139999999999E-3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44491</v>
      </c>
      <c r="B87" s="24">
        <v>-8.0757740000000008E-3</v>
      </c>
      <c r="C87" s="24">
        <v>3.6313891000000001E-2</v>
      </c>
      <c r="D87" s="24">
        <v>6.7170259999999996E-2</v>
      </c>
      <c r="E87" s="24">
        <v>-1.5734315000000002E-2</v>
      </c>
      <c r="F87" s="24">
        <v>-6.1582860000000003E-2</v>
      </c>
      <c r="G87" s="24">
        <v>1.4958978000000001E-2</v>
      </c>
      <c r="H87" s="24">
        <v>2.6780366999999999E-2</v>
      </c>
      <c r="I87" s="24">
        <v>3.0028820000000001E-3</v>
      </c>
      <c r="J87" s="24">
        <v>2.242887E-2</v>
      </c>
      <c r="K87" s="24">
        <v>2.8307438E-3</v>
      </c>
      <c r="L87" s="24">
        <v>-1.0558069000000002E-2</v>
      </c>
      <c r="M87" s="24">
        <v>3.1091451999999999E-2</v>
      </c>
      <c r="N87" s="24">
        <v>1.8315076999999999E-2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44523</v>
      </c>
      <c r="B88" s="24">
        <v>-6.4819155000000003E-2</v>
      </c>
      <c r="C88" s="24">
        <v>-3.4287930000000001E-2</v>
      </c>
      <c r="D88" s="24">
        <v>-1.1375128999999999E-2</v>
      </c>
      <c r="E88" s="24">
        <v>-1.4505565E-2</v>
      </c>
      <c r="F88" s="24">
        <v>1.7684816999999999E-2</v>
      </c>
      <c r="G88" s="24">
        <v>2.8265715000000001E-3</v>
      </c>
      <c r="H88" s="24">
        <v>-1.5115677999999999E-2</v>
      </c>
      <c r="I88" s="24">
        <v>6.2496660000000002E-2</v>
      </c>
      <c r="J88" s="24">
        <v>3.3258320000000001E-2</v>
      </c>
      <c r="K88" s="24">
        <v>7.698178E-3</v>
      </c>
      <c r="L88" s="24">
        <v>-3.3346056999999998E-2</v>
      </c>
      <c r="M88" s="24">
        <v>-4.5333329999999998E-2</v>
      </c>
      <c r="N88" s="24">
        <v>-1.2589991E-2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44553</v>
      </c>
      <c r="B89" s="24">
        <v>-1.5120506E-3</v>
      </c>
      <c r="C89" s="24">
        <v>2.1743774E-3</v>
      </c>
      <c r="D89" s="24">
        <v>-1.7099797999999999E-2</v>
      </c>
      <c r="E89" s="24">
        <v>-1.1830807E-2</v>
      </c>
      <c r="F89" s="24">
        <v>-1.9174039E-2</v>
      </c>
      <c r="G89" s="24">
        <v>4.912424E-2</v>
      </c>
      <c r="H89" s="24">
        <v>1.7324923999999998E-2</v>
      </c>
      <c r="I89" s="24">
        <v>-1.1980533999999999E-4</v>
      </c>
      <c r="J89" s="24">
        <v>8.7242125999999996E-3</v>
      </c>
      <c r="K89" s="24">
        <v>8.5600615000000005E-3</v>
      </c>
      <c r="L89" s="24">
        <v>-1.5667080999999999E-2</v>
      </c>
      <c r="M89" s="24">
        <v>9.5111129999999999E-3</v>
      </c>
      <c r="N89" s="24">
        <v>7.5459480000000003E-5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44582</v>
      </c>
      <c r="B90" s="24">
        <v>-6.741577E-2</v>
      </c>
      <c r="C90" s="24">
        <v>-5.4172754000000004E-2</v>
      </c>
      <c r="D90" s="24">
        <v>-9.2227460000000004E-3</v>
      </c>
      <c r="E90" s="24">
        <v>-1.5452921E-2</v>
      </c>
      <c r="F90" s="24">
        <v>-3.8427353000000004E-2</v>
      </c>
      <c r="G90" s="24">
        <v>-4.3561696999999996E-2</v>
      </c>
      <c r="H90" s="24">
        <v>2.4316072000000001E-2</v>
      </c>
      <c r="I90" s="24">
        <v>-0.11395246000000001</v>
      </c>
      <c r="J90" s="24">
        <v>-6.9315730000000006E-2</v>
      </c>
      <c r="K90" s="24">
        <v>-1.2973547E-2</v>
      </c>
      <c r="L90" s="24">
        <v>-5.6884469999999999E-2</v>
      </c>
      <c r="M90" s="24">
        <v>-6.9603680000000001E-2</v>
      </c>
      <c r="N90" s="24">
        <v>-2.1551846999999999E-3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44615</v>
      </c>
      <c r="B91" s="24">
        <v>-4.289925E-3</v>
      </c>
      <c r="C91" s="24">
        <v>2.2610903000000002E-2</v>
      </c>
      <c r="D91" s="24">
        <v>-8.5106490000000003E-3</v>
      </c>
      <c r="E91" s="24">
        <v>-6.6023053999999998E-2</v>
      </c>
      <c r="F91" s="24">
        <v>-3.6105513999999998E-2</v>
      </c>
      <c r="G91" s="24">
        <v>-4.052973E-2</v>
      </c>
      <c r="H91" s="24">
        <v>1.1869311E-2</v>
      </c>
      <c r="I91" s="24">
        <v>-6.3322782999999994E-2</v>
      </c>
      <c r="J91" s="24">
        <v>-3.6599815000000001E-2</v>
      </c>
      <c r="K91" s="24">
        <v>-4.3901204999999999E-2</v>
      </c>
      <c r="L91" s="24">
        <v>-7.9070749999999995E-2</v>
      </c>
      <c r="M91" s="24">
        <v>-9.5799920000000011E-2</v>
      </c>
      <c r="N91" s="24">
        <v>-3.7025630000000004E-2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44643</v>
      </c>
      <c r="B92" s="24">
        <v>2.3283482000000001E-2</v>
      </c>
      <c r="C92" s="24">
        <v>8.4689250000000008E-2</v>
      </c>
      <c r="D92" s="24">
        <v>7.4570893999999999E-2</v>
      </c>
      <c r="E92" s="24">
        <v>-6.1353802999999998E-2</v>
      </c>
      <c r="F92" s="24">
        <v>-6.4030885999999997E-3</v>
      </c>
      <c r="G92" s="24">
        <v>1.1710643999999999E-2</v>
      </c>
      <c r="H92" s="24">
        <v>-1.876831E-2</v>
      </c>
      <c r="I92" s="24">
        <v>6.9351673000000003E-2</v>
      </c>
      <c r="J92" s="24">
        <v>5.5015444999999996E-2</v>
      </c>
      <c r="K92" s="24">
        <v>-4.8666477E-2</v>
      </c>
      <c r="L92" s="24">
        <v>-2.7539910000000001E-2</v>
      </c>
      <c r="M92" s="24">
        <v>2.1137834000000001E-2</v>
      </c>
      <c r="N92" s="24">
        <v>-8.683109E-2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44673</v>
      </c>
      <c r="B93" s="24">
        <v>-7.7667293999999998E-2</v>
      </c>
      <c r="C93" s="24">
        <v>-2.7307629999999999E-2</v>
      </c>
      <c r="D93" s="24">
        <v>-4.6929654999999994E-2</v>
      </c>
      <c r="E93" s="24">
        <v>-3.7655412999999999E-2</v>
      </c>
      <c r="F93" s="24">
        <v>-8.3131969999999999E-2</v>
      </c>
      <c r="G93" s="24">
        <v>-1.4468788999999999E-2</v>
      </c>
      <c r="H93" s="24">
        <v>-1.4345467000000001E-2</v>
      </c>
      <c r="I93" s="24">
        <v>-7.5121460000000001E-2</v>
      </c>
      <c r="J93" s="24">
        <v>-4.0017962000000004E-2</v>
      </c>
      <c r="K93" s="24">
        <v>-1.2427746999999999E-2</v>
      </c>
      <c r="L93" s="24">
        <v>-4.1646840000000004E-2</v>
      </c>
      <c r="M93" s="24">
        <v>-2.9900372000000001E-2</v>
      </c>
      <c r="N93" s="24">
        <v>-5.6140420000000005E-3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44704</v>
      </c>
      <c r="B94" s="24">
        <v>-6.2354269999999996E-2</v>
      </c>
      <c r="C94" s="24">
        <v>-3.7168859999999998E-2</v>
      </c>
      <c r="D94" s="24">
        <v>-3.5096884000000002E-2</v>
      </c>
      <c r="E94" s="24">
        <v>-1.4765561E-2</v>
      </c>
      <c r="F94" s="24">
        <v>1.2827277E-2</v>
      </c>
      <c r="G94" s="24">
        <v>-6.6275177000000005E-2</v>
      </c>
      <c r="H94" s="24">
        <v>-8.186816999999999E-3</v>
      </c>
      <c r="I94" s="24">
        <v>-9.8094579999999987E-2</v>
      </c>
      <c r="J94" s="24">
        <v>-6.8350369999999994E-2</v>
      </c>
      <c r="K94" s="24">
        <v>-2.1656333999999999E-2</v>
      </c>
      <c r="L94" s="24">
        <v>-5.2396355000000006E-2</v>
      </c>
      <c r="M94" s="24">
        <v>-5.7955740000000006E-2</v>
      </c>
      <c r="N94" s="24">
        <v>-4.9399734000000004E-3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44735</v>
      </c>
      <c r="B95" s="24">
        <v>-6.477028E-2</v>
      </c>
      <c r="C95" s="24">
        <v>-0.10801899000000001</v>
      </c>
      <c r="D95" s="24">
        <v>-9.5916329999999994E-2</v>
      </c>
      <c r="E95" s="24">
        <v>-9.7317040000000007E-2</v>
      </c>
      <c r="F95" s="24">
        <v>-7.7460409999999993E-2</v>
      </c>
      <c r="G95" s="24">
        <v>-7.838291E-2</v>
      </c>
      <c r="H95" s="24">
        <v>-8.3445250000000012E-2</v>
      </c>
      <c r="I95" s="24">
        <v>-2.7584672000000001E-2</v>
      </c>
      <c r="J95" s="24">
        <v>-4.3410596999999995E-2</v>
      </c>
      <c r="K95" s="24">
        <v>-7.7364325999999997E-2</v>
      </c>
      <c r="L95" s="24">
        <v>-9.071325999999999E-2</v>
      </c>
      <c r="M95" s="24">
        <v>-0.118951025</v>
      </c>
      <c r="N95" s="24">
        <v>-0.106731415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44764</v>
      </c>
      <c r="B96" s="24">
        <v>3.6530733000000003E-2</v>
      </c>
      <c r="C96" s="24">
        <v>3.3745169999999998E-2</v>
      </c>
      <c r="D96" s="24">
        <v>2.0266175000000001E-2</v>
      </c>
      <c r="E96" s="24">
        <v>-1.9255458999999999E-2</v>
      </c>
      <c r="F96" s="24">
        <v>3.8739084999999999E-2</v>
      </c>
      <c r="G96" s="24">
        <v>5.1977158000000002E-2</v>
      </c>
      <c r="H96" s="24">
        <v>6.7933799999999999E-3</v>
      </c>
      <c r="I96" s="24">
        <v>6.0171960000000003E-2</v>
      </c>
      <c r="J96" s="24">
        <v>4.5045732999999998E-2</v>
      </c>
      <c r="K96" s="24">
        <v>1.7356514999999999E-2</v>
      </c>
      <c r="L96" s="24">
        <v>7.2408794999999998E-2</v>
      </c>
      <c r="M96" s="24">
        <v>5.7478785999999997E-2</v>
      </c>
      <c r="N96" s="24">
        <v>-5.4828166999999997E-2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44796</v>
      </c>
      <c r="B97" s="24">
        <v>3.3513545999999998E-2</v>
      </c>
      <c r="C97" s="24">
        <v>3.0804634000000001E-2</v>
      </c>
      <c r="D97" s="24">
        <v>5.0696729999999995E-2</v>
      </c>
      <c r="E97" s="24">
        <v>-3.4031449999999998E-2</v>
      </c>
      <c r="F97" s="24">
        <v>8.9578629999999999E-3</v>
      </c>
      <c r="G97" s="24">
        <v>-1.3711511999999999E-2</v>
      </c>
      <c r="H97" s="24">
        <v>2.3616790000000002E-2</v>
      </c>
      <c r="I97" s="24">
        <v>4.0100693999999999E-2</v>
      </c>
      <c r="J97" s="24">
        <v>4.3686269999999999E-2</v>
      </c>
      <c r="K97" s="24">
        <v>2.6246310000000001E-3</v>
      </c>
      <c r="L97" s="24">
        <v>-3.1854032999999997E-2</v>
      </c>
      <c r="M97" s="24">
        <v>-3.8604140000000002E-2</v>
      </c>
      <c r="N97" s="24">
        <v>3.6363602000000002E-2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44827</v>
      </c>
      <c r="B98" s="24">
        <v>-9.8953959999999994E-2</v>
      </c>
      <c r="C98" s="24">
        <v>-0.11016947000000001</v>
      </c>
      <c r="D98" s="24">
        <v>-0.11681711</v>
      </c>
      <c r="E98" s="24">
        <v>-9.3947590000000011E-2</v>
      </c>
      <c r="F98" s="24">
        <v>-9.3313989999999999E-2</v>
      </c>
      <c r="G98" s="24">
        <v>-9.7315489999999991E-2</v>
      </c>
      <c r="H98" s="24">
        <v>-0.13480556500000002</v>
      </c>
      <c r="I98" s="24">
        <v>-0.12129616999999999</v>
      </c>
      <c r="J98" s="24">
        <v>-0.1039809</v>
      </c>
      <c r="K98" s="24">
        <v>-0.11649216</v>
      </c>
      <c r="L98" s="24">
        <v>-0.12992125500000001</v>
      </c>
      <c r="M98" s="24">
        <v>-0.13491803000000002</v>
      </c>
      <c r="N98" s="24">
        <v>-8.4377650000000012E-2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44855</v>
      </c>
      <c r="B99" s="24">
        <v>-3.5888075999999998E-2</v>
      </c>
      <c r="C99" s="24">
        <v>2.2556305000000002E-2</v>
      </c>
      <c r="D99" s="24">
        <v>2.1086216000000001E-2</v>
      </c>
      <c r="E99" s="24">
        <v>5.6331040000000006E-2</v>
      </c>
      <c r="F99" s="24">
        <v>-1.4988005E-2</v>
      </c>
      <c r="G99" s="24">
        <v>1.3807774E-2</v>
      </c>
      <c r="H99" s="24">
        <v>3.5809516999999999E-2</v>
      </c>
      <c r="I99" s="24">
        <v>-3.2663345000000005E-4</v>
      </c>
      <c r="J99" s="24">
        <v>1.723063E-2</v>
      </c>
      <c r="K99" s="24">
        <v>6.7407370000000008E-2</v>
      </c>
      <c r="L99" s="24">
        <v>3.9431094999999999E-2</v>
      </c>
      <c r="M99" s="24">
        <v>5.161524E-2</v>
      </c>
      <c r="N99" s="24">
        <v>5.0182460000000005E-2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44888</v>
      </c>
      <c r="B100" s="24">
        <v>0.12584686</v>
      </c>
      <c r="C100" s="24">
        <v>0.13578439</v>
      </c>
      <c r="D100" s="24">
        <v>0.10043799999999999</v>
      </c>
      <c r="E100" s="24">
        <v>0.18310524</v>
      </c>
      <c r="F100" s="24">
        <v>0.12761211</v>
      </c>
      <c r="G100" s="24">
        <v>0.122053385</v>
      </c>
      <c r="H100" s="24">
        <v>0.14122844000000001</v>
      </c>
      <c r="I100" s="24">
        <v>4.8652886999999999E-2</v>
      </c>
      <c r="J100" s="24">
        <v>7.5155615999999995E-2</v>
      </c>
      <c r="K100" s="24">
        <v>0.15336573000000001</v>
      </c>
      <c r="L100" s="24">
        <v>0.19496272999999997</v>
      </c>
      <c r="M100" s="24">
        <v>0.18467510000000001</v>
      </c>
      <c r="N100" s="24">
        <v>0.19417893999999999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44918</v>
      </c>
      <c r="B101" s="24">
        <v>4.2678237000000001E-2</v>
      </c>
      <c r="C101" s="24">
        <v>-1.8747032E-2</v>
      </c>
      <c r="D101" s="24">
        <v>-5.2355109999999996E-2</v>
      </c>
      <c r="E101" s="24">
        <v>-1.3230562E-2</v>
      </c>
      <c r="F101" s="24">
        <v>-1.2383521E-2</v>
      </c>
      <c r="G101" s="24">
        <v>-2.0541548999999999E-2</v>
      </c>
      <c r="H101" s="24">
        <v>7.7668429999999998E-3</v>
      </c>
      <c r="I101" s="24">
        <v>-7.2053194000000001E-2</v>
      </c>
      <c r="J101" s="24">
        <v>-4.4059157000000002E-2</v>
      </c>
      <c r="K101" s="24">
        <v>-6.2024593000000003E-4</v>
      </c>
      <c r="L101" s="24">
        <v>-1.6830981000000002E-2</v>
      </c>
      <c r="M101" s="24">
        <v>-2.9355704999999999E-2</v>
      </c>
      <c r="N101" s="24">
        <v>-3.4249425E-3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44949</v>
      </c>
      <c r="B102" s="24">
        <v>6.9470286000000006E-2</v>
      </c>
      <c r="C102" s="24">
        <v>9.9910369999999998E-2</v>
      </c>
      <c r="D102" s="24">
        <v>7.5494766000000005E-2</v>
      </c>
      <c r="E102" s="24">
        <v>0.12697136000000001</v>
      </c>
      <c r="F102" s="24">
        <v>5.3313850000000003E-2</v>
      </c>
      <c r="G102" s="24">
        <v>7.7693104999999998E-2</v>
      </c>
      <c r="H102" s="24">
        <v>6.3291073000000003E-2</v>
      </c>
      <c r="I102" s="24">
        <v>8.078993000000001E-2</v>
      </c>
      <c r="J102" s="24">
        <v>4.6277165000000002E-2</v>
      </c>
      <c r="K102" s="24">
        <v>0.10694861</v>
      </c>
      <c r="L102" s="24">
        <v>0.12889481</v>
      </c>
      <c r="M102" s="24">
        <v>0.11272383</v>
      </c>
      <c r="N102" s="24">
        <v>9.6702460000000004E-2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44980</v>
      </c>
      <c r="B103" s="24">
        <v>-4.0092524999999997E-2</v>
      </c>
      <c r="C103" s="24">
        <v>-4.8472460000000002E-2</v>
      </c>
      <c r="D103" s="24">
        <v>-3.1135082000000001E-2</v>
      </c>
      <c r="E103" s="24">
        <v>-2.8704404999999999E-3</v>
      </c>
      <c r="F103" s="24">
        <v>-2.1320820000000001E-2</v>
      </c>
      <c r="G103" s="24">
        <v>-1.6585587999999998E-2</v>
      </c>
      <c r="H103" s="24">
        <v>-6.7154170000000004E-3</v>
      </c>
      <c r="I103" s="24">
        <v>2.7201056000000001E-2</v>
      </c>
      <c r="J103" s="24">
        <v>7.4863433999999992E-5</v>
      </c>
      <c r="K103" s="24">
        <v>1.2554526E-2</v>
      </c>
      <c r="L103" s="24">
        <v>-2.2882760000000002E-2</v>
      </c>
      <c r="M103" s="24">
        <v>-1.0824323E-2</v>
      </c>
      <c r="N103" s="24">
        <v>1.6553998E-2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45008</v>
      </c>
      <c r="B104" s="24">
        <v>-2.4698794E-2</v>
      </c>
      <c r="C104" s="24">
        <v>-5.6506815000000002E-2</v>
      </c>
      <c r="D104" s="24">
        <v>-4.8495473999999997E-2</v>
      </c>
      <c r="E104" s="24">
        <v>-1.2954294999999999E-2</v>
      </c>
      <c r="F104" s="24">
        <v>8.8558200000000004E-3</v>
      </c>
      <c r="G104" s="24">
        <v>-2.5185585E-2</v>
      </c>
      <c r="H104" s="24">
        <v>-3.9643525999999998E-2</v>
      </c>
      <c r="I104" s="24">
        <v>4.5172334000000001E-2</v>
      </c>
      <c r="J104" s="24">
        <v>-1.4904140999999999E-2</v>
      </c>
      <c r="K104" s="24">
        <v>-1.7520130000000002E-2</v>
      </c>
      <c r="L104" s="24">
        <v>-9.6571444999999992E-3</v>
      </c>
      <c r="M104" s="24">
        <v>-4.9663304999999998E-2</v>
      </c>
      <c r="N104" s="24">
        <v>-2.4260519999999997E-2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45037</v>
      </c>
      <c r="B105" s="24">
        <v>8.8531970000000001E-3</v>
      </c>
      <c r="C105" s="24">
        <v>5.4900169999999998E-2</v>
      </c>
      <c r="D105" s="24">
        <v>8.1363319999999989E-2</v>
      </c>
      <c r="E105" s="24">
        <v>6.6715239999999995E-2</v>
      </c>
      <c r="F105" s="24">
        <v>3.599012E-2</v>
      </c>
      <c r="G105" s="24">
        <v>0.10957325000000001</v>
      </c>
      <c r="H105" s="24">
        <v>8.127999000000001E-2</v>
      </c>
      <c r="I105" s="24">
        <v>2.2146819999999998E-2</v>
      </c>
      <c r="J105" s="24">
        <v>4.8401474999999999E-2</v>
      </c>
      <c r="K105" s="24">
        <v>8.943748E-2</v>
      </c>
      <c r="L105" s="24">
        <v>2.852261E-2</v>
      </c>
      <c r="M105" s="24">
        <v>7.8535557000000006E-2</v>
      </c>
      <c r="N105" s="24">
        <v>7.9359650000000004E-2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45069</v>
      </c>
      <c r="B106" s="24">
        <v>1.7959236999999999E-2</v>
      </c>
      <c r="C106" s="24">
        <v>-2.2795736999999996E-2</v>
      </c>
      <c r="D106" s="24">
        <v>-2.2430479999999999E-2</v>
      </c>
      <c r="E106" s="24">
        <v>-1.4695822999999998E-2</v>
      </c>
      <c r="F106" s="24">
        <v>2.2708058000000003E-2</v>
      </c>
      <c r="G106" s="24">
        <v>-1.2058197999999999E-2</v>
      </c>
      <c r="H106" s="24">
        <v>-2.3675619999999998E-2</v>
      </c>
      <c r="I106" s="24">
        <v>5.290425E-2</v>
      </c>
      <c r="J106" s="24">
        <v>4.5851470000000004E-3</v>
      </c>
      <c r="K106" s="24">
        <v>-3.8781165999999999E-2</v>
      </c>
      <c r="L106" s="24">
        <v>5.6885479999999999E-3</v>
      </c>
      <c r="M106" s="24">
        <v>-3.1480908000000002E-2</v>
      </c>
      <c r="N106" s="24">
        <v>-2.4929046999999999E-2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45100</v>
      </c>
      <c r="B107" s="24">
        <v>-2.846253E-2</v>
      </c>
      <c r="C107" s="24">
        <v>-6.2120557E-3</v>
      </c>
      <c r="D107" s="24">
        <v>-8.0580115000000001E-3</v>
      </c>
      <c r="E107" s="24">
        <v>-4.6158433000000002E-3</v>
      </c>
      <c r="F107" s="24">
        <v>1.6404510000000001E-2</v>
      </c>
      <c r="G107" s="24">
        <v>-1.800102E-2</v>
      </c>
      <c r="H107" s="24">
        <v>-1.1475622999999999E-2</v>
      </c>
      <c r="I107" s="24">
        <v>8.9026809999999998E-2</v>
      </c>
      <c r="J107" s="24">
        <v>5.0073860000000005E-2</v>
      </c>
      <c r="K107" s="24">
        <v>-6.8383216999999994E-3</v>
      </c>
      <c r="L107" s="24">
        <v>-5.2406790000000007E-3</v>
      </c>
      <c r="M107" s="24">
        <v>-3.1373680000000001E-2</v>
      </c>
      <c r="N107" s="24">
        <v>1.3595581000000001E-2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45128</v>
      </c>
      <c r="B108" s="24">
        <v>2.3551464000000001E-2</v>
      </c>
      <c r="C108" s="24">
        <v>4.4223784999999995E-2</v>
      </c>
      <c r="D108" s="24">
        <v>5.8858275000000002E-2</v>
      </c>
      <c r="E108" s="24">
        <v>4.1890499999999997E-2</v>
      </c>
      <c r="F108" s="24">
        <v>2.4626492999999999E-2</v>
      </c>
      <c r="G108" s="24">
        <v>3.9000869000000001E-2</v>
      </c>
      <c r="H108" s="24">
        <v>4.0325046000000003E-2</v>
      </c>
      <c r="I108" s="24">
        <v>3.6106348000000003E-2</v>
      </c>
      <c r="J108" s="24">
        <v>4.3789386999999999E-2</v>
      </c>
      <c r="K108" s="24">
        <v>6.3376426999999999E-2</v>
      </c>
      <c r="L108" s="24">
        <v>5.7259200000000003E-2</v>
      </c>
      <c r="M108" s="24">
        <v>4.4353724000000004E-2</v>
      </c>
      <c r="N108" s="24">
        <v>7.8181148000000006E-2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45161</v>
      </c>
      <c r="B109" s="24">
        <v>-6.7807015999999998E-2</v>
      </c>
      <c r="C109" s="24">
        <v>-6.006914E-2</v>
      </c>
      <c r="D109" s="24">
        <v>-5.4469289999999997E-2</v>
      </c>
      <c r="E109" s="24">
        <v>-4.9828233999999999E-2</v>
      </c>
      <c r="F109" s="24">
        <v>-3.1405210000000003E-2</v>
      </c>
      <c r="G109" s="24">
        <v>-3.3951878999999997E-2</v>
      </c>
      <c r="H109" s="24">
        <v>-5.0781193000000002E-2</v>
      </c>
      <c r="I109" s="24">
        <v>-1.7357528000000001E-2</v>
      </c>
      <c r="J109" s="24">
        <v>-2.0235300000000001E-2</v>
      </c>
      <c r="K109" s="24">
        <v>-5.0722779999999995E-2</v>
      </c>
      <c r="L109" s="24">
        <v>-6.2769116999999999E-2</v>
      </c>
      <c r="M109" s="24">
        <v>-7.6557755000000005E-2</v>
      </c>
      <c r="N109" s="24">
        <v>-4.1868925000000001E-2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45191</v>
      </c>
      <c r="B110" s="24">
        <v>-2.4901688000000002E-2</v>
      </c>
      <c r="C110" s="24">
        <v>-5.0575139999999999E-3</v>
      </c>
      <c r="D110" s="24">
        <v>2.9542446000000002E-3</v>
      </c>
      <c r="E110" s="24">
        <v>-3.3996403000000001E-2</v>
      </c>
      <c r="F110" s="24">
        <v>2.233243E-2</v>
      </c>
      <c r="G110" s="24">
        <v>-3.2307326999999997E-2</v>
      </c>
      <c r="H110" s="24">
        <v>1.3295293E-2</v>
      </c>
      <c r="I110" s="24">
        <v>-2.8942108000000001E-2</v>
      </c>
      <c r="J110" s="24">
        <v>-2.4993896000000002E-2</v>
      </c>
      <c r="K110" s="24">
        <v>-3.7403166000000002E-2</v>
      </c>
      <c r="L110" s="24">
        <v>-7.2292090000000003E-2</v>
      </c>
      <c r="M110" s="24">
        <v>-1.6943931999999998E-2</v>
      </c>
      <c r="N110" s="24">
        <v>-1.773274E-2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45222</v>
      </c>
      <c r="B111" s="24">
        <v>-5.8243693999999999E-2</v>
      </c>
      <c r="C111" s="24">
        <v>-4.4824360000000001E-2</v>
      </c>
      <c r="D111" s="24">
        <v>-4.5360860000000003E-2</v>
      </c>
      <c r="E111" s="24">
        <v>-5.3537964999999993E-2</v>
      </c>
      <c r="F111" s="24">
        <v>-6.1650457000000006E-2</v>
      </c>
      <c r="G111" s="24">
        <v>-4.8725549999999999E-2</v>
      </c>
      <c r="H111" s="24">
        <v>-3.6863446000000001E-2</v>
      </c>
      <c r="I111" s="24">
        <v>-6.2585473000000003E-3</v>
      </c>
      <c r="J111" s="24">
        <v>-2.3140252E-2</v>
      </c>
      <c r="K111" s="24">
        <v>-4.7460437000000001E-2</v>
      </c>
      <c r="L111" s="24">
        <v>-3.9614320000000001E-2</v>
      </c>
      <c r="M111" s="24">
        <v>-3.016317E-2</v>
      </c>
      <c r="N111" s="24">
        <v>-4.1263699999999993E-2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45252</v>
      </c>
      <c r="B112" s="24">
        <v>5.2568913000000002E-2</v>
      </c>
      <c r="C112" s="24">
        <v>7.6439260000000009E-2</v>
      </c>
      <c r="D112" s="24">
        <v>6.2017800000000005E-2</v>
      </c>
      <c r="E112" s="24">
        <v>0.10561705</v>
      </c>
      <c r="F112" s="24">
        <v>7.7599525000000003E-2</v>
      </c>
      <c r="G112" s="24">
        <v>6.3552259999999999E-2</v>
      </c>
      <c r="H112" s="24">
        <v>4.0544986999999998E-2</v>
      </c>
      <c r="I112" s="24">
        <v>9.6690650000000003E-2</v>
      </c>
      <c r="J112" s="24">
        <v>8.219564E-2</v>
      </c>
      <c r="K112" s="24">
        <v>8.8869459999999997E-2</v>
      </c>
      <c r="L112" s="24">
        <v>0.13568521</v>
      </c>
      <c r="M112" s="24">
        <v>0.13487780000000002</v>
      </c>
      <c r="N112" s="24">
        <v>8.9105610000000002E-2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45282</v>
      </c>
      <c r="B113" s="24">
        <v>0.10005272</v>
      </c>
      <c r="C113" s="24">
        <v>0.11188423</v>
      </c>
      <c r="D113" s="24">
        <v>7.2817205999999995E-2</v>
      </c>
      <c r="E113" s="24">
        <v>5.6227090000000007E-2</v>
      </c>
      <c r="F113" s="24">
        <v>2.7726649999999999E-2</v>
      </c>
      <c r="G113" s="24">
        <v>5.7971120000000001E-2</v>
      </c>
      <c r="H113" s="24">
        <v>4.9808739999999997E-2</v>
      </c>
      <c r="I113" s="24">
        <v>4.904592E-2</v>
      </c>
      <c r="J113" s="24">
        <v>4.5170902999999998E-2</v>
      </c>
      <c r="K113" s="24">
        <v>5.3916335000000003E-2</v>
      </c>
      <c r="L113" s="24">
        <v>6.5325019999999998E-2</v>
      </c>
      <c r="M113" s="24">
        <v>0.12985730000000001</v>
      </c>
      <c r="N113" s="24">
        <v>5.5134059999999999E-2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45314</v>
      </c>
      <c r="B114" s="24">
        <v>-2.8625370000000001E-2</v>
      </c>
      <c r="C114" s="24">
        <v>-3.1353116E-2</v>
      </c>
      <c r="D114" s="24">
        <v>-6.5880419999999997E-3</v>
      </c>
      <c r="E114" s="24">
        <v>-2.2696494999999997E-2</v>
      </c>
      <c r="F114" s="24">
        <v>4.3581130000000003E-2</v>
      </c>
      <c r="G114" s="24">
        <v>-1.9388855E-2</v>
      </c>
      <c r="H114" s="24">
        <v>-2.7946472E-2</v>
      </c>
      <c r="I114" s="24">
        <v>3.7519217000000001E-2</v>
      </c>
      <c r="J114" s="24">
        <v>2.3667216000000001E-2</v>
      </c>
      <c r="K114" s="24">
        <v>-3.5011590000000002E-2</v>
      </c>
      <c r="L114" s="24">
        <v>-6.7794320000000004E-4</v>
      </c>
      <c r="M114" s="24">
        <v>-6.5939609999999996E-2</v>
      </c>
      <c r="N114" s="24">
        <v>-2.0444393000000002E-2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45345</v>
      </c>
      <c r="B115" s="24">
        <v>-9.4991325999999997E-3</v>
      </c>
      <c r="C115" s="24">
        <v>1.8313527E-2</v>
      </c>
      <c r="D115" s="24">
        <v>2.2105693999999999E-2</v>
      </c>
      <c r="E115" s="24">
        <v>4.7487019999999998E-2</v>
      </c>
      <c r="F115" s="24">
        <v>4.4182300000000001E-2</v>
      </c>
      <c r="G115" s="24">
        <v>1.8482685000000002E-2</v>
      </c>
      <c r="H115" s="24">
        <v>3.1562448E-2</v>
      </c>
      <c r="I115" s="24">
        <v>3.1406402999999999E-2</v>
      </c>
      <c r="J115" s="24">
        <v>4.7415852999999994E-2</v>
      </c>
      <c r="K115" s="24">
        <v>6.8326354000000006E-2</v>
      </c>
      <c r="L115" s="24">
        <v>7.5531482999999996E-2</v>
      </c>
      <c r="M115" s="24">
        <v>6.9508432999999994E-2</v>
      </c>
      <c r="N115" s="24">
        <v>8.0459710000000004E-2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45373</v>
      </c>
      <c r="B116" s="24">
        <v>-1.2859643E-2</v>
      </c>
      <c r="C116" s="24">
        <v>1.4638185999999999E-2</v>
      </c>
      <c r="D116" s="24">
        <v>2.2168160000000003E-2</v>
      </c>
      <c r="E116" s="24">
        <v>3.5407066000000001E-2</v>
      </c>
      <c r="F116" s="24">
        <v>4.0718674999999996E-2</v>
      </c>
      <c r="G116" s="24">
        <v>2.1111964999999999E-4</v>
      </c>
      <c r="H116" s="24">
        <v>2.6961684E-2</v>
      </c>
      <c r="I116" s="24">
        <v>2.3318648000000001E-2</v>
      </c>
      <c r="J116" s="24">
        <v>2.9517649999999999E-2</v>
      </c>
      <c r="K116" s="24">
        <v>1.9087791E-2</v>
      </c>
      <c r="L116" s="24">
        <v>3.1539082999999996E-2</v>
      </c>
      <c r="M116" s="24">
        <v>3.2749413999999998E-2</v>
      </c>
      <c r="N116" s="24">
        <v>4.6752452999999999E-2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45405</v>
      </c>
      <c r="B117" s="24">
        <v>-2.7599930000000002E-2</v>
      </c>
      <c r="C117" s="24">
        <v>-1.6488016000000001E-2</v>
      </c>
      <c r="D117" s="24">
        <v>-2.9093026999999997E-3</v>
      </c>
      <c r="E117" s="24">
        <v>-1.1505306E-2</v>
      </c>
      <c r="F117" s="24">
        <v>-6.265664E-2</v>
      </c>
      <c r="G117" s="24">
        <v>-2.0253239999999999E-2</v>
      </c>
      <c r="H117" s="24">
        <v>1.0914445E-2</v>
      </c>
      <c r="I117" s="24">
        <v>-4.7739562999999999E-2</v>
      </c>
      <c r="J117" s="24">
        <v>-2.9853642E-2</v>
      </c>
      <c r="K117" s="24">
        <v>-1.1189461000000001E-2</v>
      </c>
      <c r="L117" s="24">
        <v>-1.1618435E-2</v>
      </c>
      <c r="M117" s="24">
        <v>-2.9252647999999999E-2</v>
      </c>
      <c r="N117" s="24">
        <v>5.8839319999999997E-3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45435</v>
      </c>
      <c r="B118" s="24">
        <v>2.4977206999999998E-2</v>
      </c>
      <c r="C118" s="24">
        <v>2.6823163000000001E-2</v>
      </c>
      <c r="D118" s="24">
        <v>3.4482479999999997E-3</v>
      </c>
      <c r="E118" s="24">
        <v>3.2331110000000003E-2</v>
      </c>
      <c r="F118" s="24">
        <v>5.9417485999999995E-3</v>
      </c>
      <c r="G118" s="24">
        <v>3.7898421000000002E-2</v>
      </c>
      <c r="H118" s="24">
        <v>5.3399444000000004E-2</v>
      </c>
      <c r="I118" s="24">
        <v>6.7259550000000001E-2</v>
      </c>
      <c r="J118" s="24">
        <v>4.0166139999999996E-2</v>
      </c>
      <c r="K118" s="24">
        <v>2.3616195000000003E-2</v>
      </c>
      <c r="L118" s="24">
        <v>5.2175640000000002E-2</v>
      </c>
      <c r="M118" s="24">
        <v>4.6340823000000003E-2</v>
      </c>
      <c r="N118" s="24">
        <v>1.7548561000000001E-2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45464</v>
      </c>
      <c r="B119" s="24">
        <v>1.8377780999999999E-2</v>
      </c>
      <c r="C119" s="24">
        <v>1.4076471E-2</v>
      </c>
      <c r="D119" s="24">
        <v>-2.6288629000000001E-2</v>
      </c>
      <c r="E119" s="24">
        <v>-3.1493305999999999E-2</v>
      </c>
      <c r="F119" s="24">
        <v>-1.7966210999999999E-2</v>
      </c>
      <c r="G119" s="24">
        <v>2.9238224E-2</v>
      </c>
      <c r="H119" s="24">
        <v>-8.3773730000000005E-3</v>
      </c>
      <c r="I119" s="24">
        <v>5.8457850000000006E-2</v>
      </c>
      <c r="J119" s="24">
        <v>3.86132E-2</v>
      </c>
      <c r="K119" s="24">
        <v>-5.6197999999999998E-2</v>
      </c>
      <c r="L119" s="24">
        <v>3.7491321999999997E-3</v>
      </c>
      <c r="M119" s="24">
        <v>-9.4615819999999996E-3</v>
      </c>
      <c r="N119" s="24">
        <v>-3.5751343000000005E-2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45496</v>
      </c>
      <c r="B120" s="24">
        <v>2.1701096999999999E-2</v>
      </c>
      <c r="C120" s="24">
        <v>2.1337628000000001E-2</v>
      </c>
      <c r="D120" s="24">
        <v>5.2068950000000003E-2</v>
      </c>
      <c r="E120" s="24">
        <v>4.0424110000000006E-2</v>
      </c>
      <c r="F120" s="24">
        <v>6.4081189999999996E-2</v>
      </c>
      <c r="G120" s="24">
        <v>1.8110752000000001E-2</v>
      </c>
      <c r="H120" s="24">
        <v>1.0538220000000001E-2</v>
      </c>
      <c r="I120" s="24">
        <v>2.5244949999999999E-3</v>
      </c>
      <c r="J120" s="24">
        <v>1.7024516999999999E-2</v>
      </c>
      <c r="K120" s="24">
        <v>6.5138339999999996E-3</v>
      </c>
      <c r="L120" s="24">
        <v>-7.7013969999999996E-3</v>
      </c>
      <c r="M120" s="24">
        <v>-5.7100060000000001E-3</v>
      </c>
      <c r="N120" s="24">
        <v>4.9708486000000003E-2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45527</v>
      </c>
      <c r="B121" s="24">
        <v>6.0931087000000002E-2</v>
      </c>
      <c r="C121" s="24">
        <v>4.0578603999999997E-2</v>
      </c>
      <c r="D121" s="24">
        <v>4.7408222999999999E-2</v>
      </c>
      <c r="E121" s="24">
        <v>3.2484054999999998E-2</v>
      </c>
      <c r="F121" s="24">
        <v>2.4060369000000002E-2</v>
      </c>
      <c r="G121" s="24">
        <v>6.1451315999999999E-2</v>
      </c>
      <c r="H121" s="24">
        <v>5.4115057000000001E-2</v>
      </c>
      <c r="I121" s="24">
        <v>-1.2899636999999999E-3</v>
      </c>
      <c r="J121" s="24">
        <v>1.5078187E-2</v>
      </c>
      <c r="K121" s="24">
        <v>3.7276745E-2</v>
      </c>
      <c r="L121" s="24">
        <v>5.77116E-3</v>
      </c>
      <c r="M121" s="24">
        <v>4.7440767000000002E-2</v>
      </c>
      <c r="N121" s="24">
        <v>1.6931175999999999E-2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45558</v>
      </c>
      <c r="B122" s="24">
        <v>3.1142235000000003E-3</v>
      </c>
      <c r="C122" s="24">
        <v>2.7606130000000003E-2</v>
      </c>
      <c r="D122" s="24">
        <v>2.7978063000000001E-2</v>
      </c>
      <c r="E122" s="24">
        <v>1.1721133999999999E-2</v>
      </c>
      <c r="F122" s="24">
        <v>-3.1976104000000002E-3</v>
      </c>
      <c r="G122" s="24">
        <v>-2.8661131999999999E-2</v>
      </c>
      <c r="H122" s="24">
        <v>-1.3369321999999998E-4</v>
      </c>
      <c r="I122" s="24">
        <v>8.9101790000000007E-3</v>
      </c>
      <c r="J122" s="24">
        <v>1.7043590000000001E-2</v>
      </c>
      <c r="K122" s="24">
        <v>-1.2228549E-2</v>
      </c>
      <c r="L122" s="24">
        <v>-2.2061765000000001E-2</v>
      </c>
      <c r="M122" s="24">
        <v>1.1203765999999999E-2</v>
      </c>
      <c r="N122" s="50">
        <v>-1.2999772999999998E-4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0.29239857000000002</v>
      </c>
      <c r="C126" s="24" cm="1">
        <f t="array" ref="C126">MAX(_xlfn._xlws.FILTER(C1:C122, ISNUMBER(C1:C122)))</f>
        <v>0.25507020000000002</v>
      </c>
      <c r="D126" s="24" cm="1">
        <f t="array" ref="D126">MAX(_xlfn._xlws.FILTER(D1:D122, ISNUMBER(D1:D122)))</f>
        <v>0.30934846999999999</v>
      </c>
      <c r="E126" s="24" cm="1">
        <f t="array" ref="E126">MAX(_xlfn._xlws.FILTER(E1:E122, ISNUMBER(E1:E122)))</f>
        <v>0.19580412</v>
      </c>
      <c r="F126" s="24" cm="1">
        <f t="array" ref="F126">MAX(_xlfn._xlws.FILTER(F1:F122, ISNUMBER(F1:F122)))</f>
        <v>0.13127243</v>
      </c>
      <c r="G126" s="24" cm="1">
        <f t="array" ref="G126">MAX(_xlfn._xlws.FILTER(G1:G122, ISNUMBER(G1:G122)))</f>
        <v>0.18649626000000002</v>
      </c>
      <c r="H126" s="24" cm="1">
        <f t="array" ref="H126">MAX(_xlfn._xlws.FILTER(H1:H122, ISNUMBER(H1:H122)))</f>
        <v>0.23702955000000001</v>
      </c>
      <c r="I126" s="24" cm="1">
        <f t="array" ref="I126">MAX(_xlfn._xlws.FILTER(I1:I122, ISNUMBER(I1:I122)))</f>
        <v>0.2350111</v>
      </c>
      <c r="J126" s="24" cm="1">
        <f t="array" ref="J126">MAX(_xlfn._xlws.FILTER(J1:J122, ISNUMBER(J1:J122)))</f>
        <v>0.25176048000000001</v>
      </c>
      <c r="K126" s="24" cm="1">
        <f t="array" ref="K126">MAX(_xlfn._xlws.FILTER(K1:K122, ISNUMBER(K1:K122)))</f>
        <v>0.15336573000000001</v>
      </c>
      <c r="L126" s="24" cm="1">
        <f t="array" ref="L126">MAX(_xlfn._xlws.FILTER(L1:L122, ISNUMBER(L1:L122)))</f>
        <v>0.19496272999999997</v>
      </c>
      <c r="M126" s="24" cm="1">
        <f t="array" ref="M126">MAX(_xlfn._xlws.FILTER(M1:M122, ISNUMBER(M1:M122)))</f>
        <v>0.21824110000000002</v>
      </c>
      <c r="N126" s="24" cm="1">
        <f t="array" ref="N126">MAX(_xlfn._xlws.FILTER(N1:N122, ISNUMBER(N1:N122)))</f>
        <v>0.19417893999999999</v>
      </c>
    </row>
    <row r="127" spans="1:26" x14ac:dyDescent="0.35">
      <c r="A127" t="s">
        <v>85</v>
      </c>
      <c r="B127" s="24" cm="1">
        <f t="array" ref="B127">MIN(_xlfn._xlws.FILTER(B2:B122, ISNUMBER(B2:B122)))</f>
        <v>-0.35311169999999997</v>
      </c>
      <c r="C127" s="24" cm="1">
        <f t="array" ref="C127">MIN(_xlfn._xlws.FILTER(C2:C122, ISNUMBER(C2:C122)))</f>
        <v>-0.43623572999999999</v>
      </c>
      <c r="D127" s="24" cm="1">
        <f t="array" ref="D127">MIN(_xlfn._xlws.FILTER(D2:D122, ISNUMBER(D2:D122)))</f>
        <v>-0.42376755000000005</v>
      </c>
      <c r="E127" s="24" cm="1">
        <f t="array" ref="E127">MIN(_xlfn._xlws.FILTER(E2:E122, ISNUMBER(E2:E122)))</f>
        <v>-0.36204529999999996</v>
      </c>
      <c r="F127" s="24" cm="1">
        <f t="array" ref="F127">MIN(_xlfn._xlws.FILTER(F2:F122, ISNUMBER(F2:F122)))</f>
        <v>-0.21172523000000001</v>
      </c>
      <c r="G127" s="24" cm="1">
        <f t="array" ref="G127">MIN(_xlfn._xlws.FILTER(G2:G122, ISNUMBER(G2:G122)))</f>
        <v>-0.27235872</v>
      </c>
      <c r="H127" s="24" cm="1">
        <f t="array" ref="H127">MIN(_xlfn._xlws.FILTER(H2:H122, ISNUMBER(H2:H122)))</f>
        <v>-0.39877678000000005</v>
      </c>
      <c r="I127" s="24" cm="1">
        <f t="array" ref="I127">MIN(_xlfn._xlws.FILTER(I2:I122, ISNUMBER(I2:I122)))</f>
        <v>-0.25816349999999999</v>
      </c>
      <c r="J127" s="24" cm="1">
        <f t="array" ref="J127">MIN(_xlfn._xlws.FILTER(J2:J122, ISNUMBER(J2:J122)))</f>
        <v>-0.32733714999999997</v>
      </c>
      <c r="K127" s="24" cm="1">
        <f t="array" ref="K127">MIN(_xlfn._xlws.FILTER(K2:K122, ISNUMBER(K2:K122)))</f>
        <v>-0.36272979999999999</v>
      </c>
      <c r="L127" s="24" cm="1">
        <f t="array" ref="L127">MIN(_xlfn._xlws.FILTER(L2:L122, ISNUMBER(L2:L122)))</f>
        <v>-0.31889182999999999</v>
      </c>
      <c r="M127" s="24" cm="1">
        <f t="array" ref="M127">MIN(_xlfn._xlws.FILTER(M2:M122, ISNUMBER(M2:M122)))</f>
        <v>-0.3602263</v>
      </c>
      <c r="N127" s="24" cm="1">
        <f t="array" ref="N127">MIN(_xlfn._xlws.FILTER(N2:N122, ISNUMBER(N2:N122)))</f>
        <v>-0.36675635999999995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16</v>
      </c>
      <c r="C129">
        <f>COUNTIF(C2:C122, "&lt;"&amp;Assumption!$E$50)</f>
        <v>16</v>
      </c>
      <c r="D129">
        <f>COUNTIF(D2:D122, "&lt;"&amp;Assumption!$E$50)</f>
        <v>16</v>
      </c>
      <c r="E129">
        <f>COUNTIF(E2:E122, "&lt;"&amp;Assumption!$E$50)</f>
        <v>16</v>
      </c>
      <c r="F129">
        <f>COUNTIF(F2:F122, "&lt;"&amp;Assumption!$E$50)</f>
        <v>14</v>
      </c>
      <c r="G129">
        <f>COUNTIF(G2:G122, "&lt;"&amp;Assumption!$E$50)</f>
        <v>11</v>
      </c>
      <c r="H129">
        <f>COUNTIF(H2:H122, "&lt;"&amp;Assumption!$E$50)</f>
        <v>14</v>
      </c>
      <c r="I129">
        <f>COUNTIF(I2:I122, "&lt;"&amp;Assumption!$E$50)</f>
        <v>16</v>
      </c>
      <c r="J129">
        <f>COUNTIF(J2:J122, "&lt;"&amp;Assumption!$E$50)</f>
        <v>10</v>
      </c>
      <c r="K129">
        <f>COUNTIF(K2:K122, "&lt;"&amp;Assumption!$E$50)</f>
        <v>13</v>
      </c>
      <c r="L129">
        <f>COUNTIF(L2:L122, "&lt;"&amp;Assumption!$E$50)</f>
        <v>15</v>
      </c>
      <c r="M129">
        <f>COUNTIF(M2:M122, "&lt;"&amp;Assumption!$E$50)</f>
        <v>17</v>
      </c>
      <c r="N129">
        <f>COUNTIF(N2:N122, "&lt;"&amp;Assumption!$E$50)</f>
        <v>20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0.13223140495867769</v>
      </c>
      <c r="C132" s="9">
        <f t="shared" si="2"/>
        <v>0.13223140495867769</v>
      </c>
      <c r="D132" s="9">
        <f t="shared" si="2"/>
        <v>0.13223140495867769</v>
      </c>
      <c r="E132" s="9">
        <f t="shared" si="2"/>
        <v>0.13223140495867769</v>
      </c>
      <c r="F132" s="9">
        <f t="shared" si="2"/>
        <v>0.11570247933884298</v>
      </c>
      <c r="G132" s="9">
        <f t="shared" si="2"/>
        <v>9.0909090909090912E-2</v>
      </c>
      <c r="H132" s="9">
        <f t="shared" si="2"/>
        <v>0.11570247933884298</v>
      </c>
      <c r="I132" s="9">
        <f t="shared" si="2"/>
        <v>0.13223140495867769</v>
      </c>
      <c r="J132" s="9">
        <f t="shared" si="2"/>
        <v>8.2644628099173556E-2</v>
      </c>
      <c r="K132" s="9">
        <f t="shared" ref="K132:N132" si="3">K129/K130</f>
        <v>0.10743801652892562</v>
      </c>
      <c r="L132" s="9">
        <f t="shared" si="3"/>
        <v>0.12396694214876033</v>
      </c>
      <c r="M132" s="9">
        <f t="shared" si="3"/>
        <v>0.14049586776859505</v>
      </c>
      <c r="N132" s="9">
        <f t="shared" si="3"/>
        <v>0.16528925619834711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0.47499999999999998</v>
      </c>
      <c r="C134" s="9" cm="1">
        <f t="array" ref="C134">_xlfn.PERCENTRANK.EXC(_xlfn._xlws.FILTER(C2:C122, ISNUMBER(C2:C122)),C122)</f>
        <v>0.68</v>
      </c>
      <c r="D134" s="9" cm="1">
        <f t="array" ref="D134">_xlfn.PERCENTRANK.EXC(_xlfn._xlws.FILTER(D2:D122, ISNUMBER(D2:D122)),D122)</f>
        <v>0.64700000000000002</v>
      </c>
      <c r="E134" s="9" cm="1">
        <f t="array" ref="E134">_xlfn.PERCENTRANK.EXC(_xlfn._xlws.FILTER(E2:E122, ISNUMBER(E2:E122)),E122)</f>
        <v>0.59</v>
      </c>
      <c r="F134" s="9" cm="1">
        <f t="array" ref="F134">_xlfn.PERCENTRANK.EXC(_xlfn._xlws.FILTER(F2:F122, ISNUMBER(F2:F122)),F122)</f>
        <v>0.38500000000000001</v>
      </c>
      <c r="G134" s="9" cm="1">
        <f t="array" ref="G134">_xlfn.PERCENTRANK.EXC(_xlfn._xlws.FILTER(G2:G122, ISNUMBER(G2:G122)),G122)</f>
        <v>0.188</v>
      </c>
      <c r="H134" s="9" cm="1">
        <f t="array" ref="H134">_xlfn.PERCENTRANK.EXC(_xlfn._xlws.FILTER(H2:H122, ISNUMBER(H2:H122)),H122)</f>
        <v>0.442</v>
      </c>
      <c r="I134" s="9" cm="1">
        <f t="array" ref="I134">_xlfn.PERCENTRANK.EXC(_xlfn._xlws.FILTER(I2:I122, ISNUMBER(I2:I122)),I122)</f>
        <v>0.38500000000000001</v>
      </c>
      <c r="J134" s="9" cm="1">
        <f t="array" ref="J134">_xlfn.PERCENTRANK.EXC(_xlfn._xlws.FILTER(J2:J122, ISNUMBER(J2:J122)),J122)</f>
        <v>0.5</v>
      </c>
      <c r="K134" s="9" cm="1">
        <f t="array" ref="K134">_xlfn.PERCENTRANK.EXC(_xlfn._xlws.FILTER(K2:K122, ISNUMBER(K2:K122)),K122)</f>
        <v>0.28599999999999998</v>
      </c>
      <c r="L134" s="9" cm="1">
        <f t="array" ref="L134">_xlfn.PERCENTRANK.EXC(_xlfn._xlws.FILTER(L2:L122, ISNUMBER(L2:L122)),L122)</f>
        <v>0.26200000000000001</v>
      </c>
      <c r="M134" s="9" cm="1">
        <f t="array" ref="M134">_xlfn.PERCENTRANK.EXC(_xlfn._xlws.FILTER(M2:M122, ISNUMBER(M2:M122)),M122)</f>
        <v>0.55700000000000005</v>
      </c>
      <c r="N134" s="9" cm="1">
        <f t="array" ref="N134">_xlfn.PERCENTRANK.EXC(_xlfn._xlws.FILTER(N2:N122, ISNUMBER(N2:N122)),N122)</f>
        <v>0.45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0.95</v>
      </c>
      <c r="C136" s="9" cm="1">
        <f t="array" ref="C136">_xlfn.PERCENTRANK.EXC(_xlfn._xlws.FILTER(C4:C125, ISNUMBER(C4:C125)),C113)</f>
        <v>0.96599999999999997</v>
      </c>
      <c r="D136" s="9" cm="1">
        <f t="array" ref="D136">_xlfn.PERCENTRANK.EXC(_xlfn._xlws.FILTER(D4:D125, ISNUMBER(D4:D125)),D113)</f>
        <v>0.91600000000000004</v>
      </c>
      <c r="E136" s="9" cm="1">
        <f t="array" ref="E136">_xlfn.PERCENTRANK.EXC(_xlfn._xlws.FILTER(E4:E125, ISNUMBER(E4:E125)),E113)</f>
        <v>0.81599999999999995</v>
      </c>
      <c r="F136" s="9" cm="1">
        <f t="array" ref="F136">_xlfn.PERCENTRANK.EXC(_xlfn._xlws.FILTER(F4:F125, ISNUMBER(F4:F125)),F113)</f>
        <v>0.7</v>
      </c>
      <c r="G136" s="9" cm="1">
        <f t="array" ref="G136">_xlfn.PERCENTRANK.EXC(_xlfn._xlws.FILTER(G4:G125, ISNUMBER(G4:G125)),G113)</f>
        <v>0.9</v>
      </c>
      <c r="H136" s="9" cm="1">
        <f t="array" ref="H136">_xlfn.PERCENTRANK.EXC(_xlfn._xlws.FILTER(H4:H125, ISNUMBER(H4:H125)),H113)</f>
        <v>0.84099999999999997</v>
      </c>
      <c r="I136" s="9" cm="1">
        <f t="array" ref="I136">_xlfn.PERCENTRANK.EXC(_xlfn._xlws.FILTER(I4:I125, ISNUMBER(I4:I125)),I113)</f>
        <v>0.71599999999999997</v>
      </c>
      <c r="J136" s="9" cm="1">
        <f t="array" ref="J136">_xlfn.PERCENTRANK.EXC(_xlfn._xlws.FILTER(J4:J125, ISNUMBER(J4:J125)),J113)</f>
        <v>0.8</v>
      </c>
      <c r="K136" s="9" cm="1">
        <f t="array" ref="K136">_xlfn.PERCENTRANK.EXC(_xlfn._xlws.FILTER(K4:K125, ISNUMBER(K4:K125)),K113)</f>
        <v>0.80800000000000005</v>
      </c>
      <c r="L136" s="9" cm="1">
        <f t="array" ref="L136">_xlfn.PERCENTRANK.EXC(_xlfn._xlws.FILTER(L4:L125, ISNUMBER(L4:L125)),L113)</f>
        <v>0.83299999999999996</v>
      </c>
      <c r="M136" s="9" cm="1">
        <f t="array" ref="M136">_xlfn.PERCENTRANK.EXC(_xlfn._xlws.FILTER(M4:M125, ISNUMBER(M4:M125)),M113)</f>
        <v>0.96599999999999997</v>
      </c>
      <c r="N136" s="9" cm="1">
        <f t="array" ref="N136">_xlfn.PERCENTRANK.EXC(_xlfn._xlws.FILTER(N4:N125, ISNUMBER(N4:N125)),N113)</f>
        <v>0.8</v>
      </c>
    </row>
    <row r="138" spans="1:17" x14ac:dyDescent="0.35">
      <c r="A138" t="s">
        <v>829</v>
      </c>
      <c r="B138">
        <f t="shared" ref="B138:J138" si="4">STDEV(B40:B122)</f>
        <v>6.9691856093008819E-2</v>
      </c>
      <c r="C138">
        <f t="shared" si="4"/>
        <v>7.5036033261763418E-2</v>
      </c>
      <c r="D138">
        <f t="shared" si="4"/>
        <v>7.4306542137825282E-2</v>
      </c>
      <c r="E138">
        <f t="shared" si="4"/>
        <v>6.9139606951698601E-2</v>
      </c>
      <c r="F138">
        <f t="shared" si="4"/>
        <v>5.1701747210471619E-2</v>
      </c>
      <c r="G138">
        <f t="shared" si="4"/>
        <v>5.492973045540387E-2</v>
      </c>
      <c r="H138">
        <f t="shared" si="4"/>
        <v>6.7574032670267445E-2</v>
      </c>
      <c r="I138">
        <f t="shared" si="4"/>
        <v>6.5153655455809367E-2</v>
      </c>
      <c r="J138">
        <f t="shared" si="4"/>
        <v>6.1282384936039172E-2</v>
      </c>
      <c r="K138">
        <f t="shared" ref="K138:N138" si="5">STDEV(K40:K122)</f>
        <v>6.6359848327787518E-2</v>
      </c>
      <c r="L138">
        <f t="shared" si="5"/>
        <v>6.9114794137662888E-2</v>
      </c>
      <c r="M138">
        <f t="shared" si="5"/>
        <v>7.6967793348621527E-2</v>
      </c>
      <c r="N138">
        <f t="shared" si="5"/>
        <v>7.1032291695148408E-2</v>
      </c>
    </row>
    <row r="139" spans="1:17" x14ac:dyDescent="0.35">
      <c r="A139" t="s">
        <v>830</v>
      </c>
      <c r="B139" s="74">
        <f t="shared" ref="B139:J139" si="6">B138*SQRT(12)</f>
        <v>0.24141967125373981</v>
      </c>
      <c r="C139" s="74">
        <f t="shared" si="6"/>
        <v>0.25993244401560489</v>
      </c>
      <c r="D139" s="74">
        <f t="shared" si="6"/>
        <v>0.25740541263494215</v>
      </c>
      <c r="E139" s="74">
        <f t="shared" si="6"/>
        <v>0.23950662411136864</v>
      </c>
      <c r="F139" s="74">
        <f t="shared" si="6"/>
        <v>0.17910010601723861</v>
      </c>
      <c r="G139" s="74">
        <f t="shared" si="6"/>
        <v>0.19028216798964603</v>
      </c>
      <c r="H139" s="74">
        <f t="shared" si="6"/>
        <v>0.23408331571444485</v>
      </c>
      <c r="I139" s="74">
        <f t="shared" si="6"/>
        <v>0.225698883096598</v>
      </c>
      <c r="J139" s="74">
        <f t="shared" si="6"/>
        <v>0.2122884086364269</v>
      </c>
      <c r="K139" s="74">
        <f t="shared" ref="K139:N139" si="7">K138*SQRT(12)</f>
        <v>0.22987725777258516</v>
      </c>
      <c r="L139" s="74">
        <f t="shared" si="7"/>
        <v>0.23942067000219142</v>
      </c>
      <c r="M139" s="74">
        <f t="shared" si="7"/>
        <v>0.26662425725254874</v>
      </c>
      <c r="N139" s="74">
        <f t="shared" si="7"/>
        <v>0.24606307638809971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41905</v>
      </c>
      <c r="B2" s="7" cm="1">
        <f t="array" ref="B2:B122">_xll.FDS(B1,"P_PRICE_RETURNS_PR('52W',2,-10AY,0,AM)")</f>
        <v>7.6727986000000001</v>
      </c>
      <c r="C2" s="7" cm="1">
        <f t="array" ref="C2:C122">_xll.FDS(C1,"P_PRICE_RETURNS_PR('52W',2,-10AY,0,AM)")</f>
        <v>0.23146868000000001</v>
      </c>
      <c r="D2" s="7" cm="1">
        <f t="array" ref="D2:D122">_xll.FDS(D1,"P_PRICE_RETURNS_PR('52W',2,-10AY,0,AM)")</f>
        <v>13.205957</v>
      </c>
      <c r="E2" s="7" cm="1">
        <f t="array" ref="E2:E122">_xll.FDS(E1,"P_PRICE_RETURNS_PR('52W',2,-10AY,0,AM)")</f>
        <v>4.5421123999999997</v>
      </c>
      <c r="F2" s="7" cm="1">
        <f t="array" ref="F2:F122">_xll.FDS(F1,"P_PRICE_RETURNS_PR('52W',2,-10AY,0,AM)")</f>
        <v>0.11128187</v>
      </c>
      <c r="G2" s="7" cm="1">
        <f t="array" ref="G2:G122">_xll.FDS(G1,"P_PRICE_RETURNS_PR('52W',2,-10AY,0,AM)")</f>
        <v>7.7235459999999998</v>
      </c>
      <c r="H2" s="7" cm="1">
        <f t="array" ref="H2:H122">_xll.FDS(H1,"P_PRICE_RETURNS_PR('52W',2,-10AY,0,AM)")</f>
        <v>6.0497639999999997</v>
      </c>
      <c r="I2" s="7" cm="1">
        <f t="array" ref="I2:I122">_xll.FDS(I1,"P_PRICE_RETURNS_PR('52W',2,-10AY,0,AM)")</f>
        <v>27.154505</v>
      </c>
      <c r="J2" s="7" cm="1">
        <f t="array" ref="J2:J122">_xll.FDS(J1,"P_PRICE_RETURNS_PR('52W',2,-10AY,0,AM)")</f>
        <v>18.788219999999999</v>
      </c>
      <c r="K2" s="158" cm="1">
        <f t="array" ref="K2:K122">_xll.FDS(K1,"P_PRICE_RETURNS_PR('52W',2,-10AY,0,AM)")</f>
        <v>1.789844</v>
      </c>
      <c r="L2" s="158" cm="1">
        <f t="array" ref="L2:L122">_xll.FDS(L1,"P_PRICE_RETURNS_PR('52W',2,-10AY,0,AM)")</f>
        <v>3.453827</v>
      </c>
      <c r="M2" s="158" cm="1">
        <f t="array" ref="M2:M122">_xll.FDS(M1,"P_PRICE_RETURNS_PR('52W',2,-10AY,0,AM)")</f>
        <v>-0.57570933999999996</v>
      </c>
      <c r="N2" s="158" cm="1">
        <f t="array" ref="N2:N122">_xll.FDS(N1,"P_PRICE_RETURNS_PR('52W',2,-10AY,0,AM)")</f>
        <v>10.7109785</v>
      </c>
    </row>
    <row r="3" spans="1:14" x14ac:dyDescent="0.35">
      <c r="A3" s="2">
        <v>41935</v>
      </c>
      <c r="B3" s="40">
        <v>1.2900233000000001</v>
      </c>
      <c r="C3" s="40">
        <v>-4.3720007000000001</v>
      </c>
      <c r="D3" s="40">
        <v>3.6972046000000001</v>
      </c>
      <c r="E3" s="40">
        <v>-7.9034686000000001</v>
      </c>
      <c r="F3" s="40">
        <v>-4.3673697000000002</v>
      </c>
      <c r="G3" s="40">
        <v>-1.1515081</v>
      </c>
      <c r="H3" s="40">
        <v>-2.8243184000000001</v>
      </c>
      <c r="I3" s="40">
        <v>21.124791999999999</v>
      </c>
      <c r="J3" s="40">
        <v>13.832259000000001</v>
      </c>
      <c r="K3" s="47">
        <v>-8.1763449999999995</v>
      </c>
      <c r="L3" s="47">
        <v>-6.2069893</v>
      </c>
      <c r="M3" s="47">
        <v>-5.5515470000000002</v>
      </c>
      <c r="N3" s="47">
        <v>-3.9180337999999999</v>
      </c>
    </row>
    <row r="4" spans="1:14" x14ac:dyDescent="0.35">
      <c r="A4" s="2">
        <v>41964</v>
      </c>
      <c r="B4" s="40">
        <v>9.4085579999999993</v>
      </c>
      <c r="C4" s="40">
        <v>-1.9034266</v>
      </c>
      <c r="D4" s="40">
        <v>7.6383349999999997</v>
      </c>
      <c r="E4" s="40">
        <v>-3.9726138</v>
      </c>
      <c r="F4" s="40">
        <v>-3.0303119999999999</v>
      </c>
      <c r="G4" s="40">
        <v>4.8165560000000003</v>
      </c>
      <c r="H4" s="40">
        <v>-0.43564439999999999</v>
      </c>
      <c r="I4" s="40">
        <v>26.168215</v>
      </c>
      <c r="J4" s="40">
        <v>17.111470000000001</v>
      </c>
      <c r="K4" s="47">
        <v>-3.5247742999999998</v>
      </c>
      <c r="L4" s="47">
        <v>-0.44095516000000001</v>
      </c>
      <c r="M4" s="47">
        <v>2.0288110000000001</v>
      </c>
      <c r="N4" s="47">
        <v>-0.62915087000000003</v>
      </c>
    </row>
    <row r="5" spans="1:14" x14ac:dyDescent="0.35">
      <c r="A5" s="2">
        <v>41996</v>
      </c>
      <c r="B5" s="40">
        <v>11.22967</v>
      </c>
      <c r="C5" s="40">
        <v>-4.4626894000000004</v>
      </c>
      <c r="D5" s="40">
        <v>1.8845438999999999</v>
      </c>
      <c r="E5" s="40">
        <v>-8.0860249999999994</v>
      </c>
      <c r="F5" s="40">
        <v>-2.2915542000000002</v>
      </c>
      <c r="G5" s="40">
        <v>1.8238306</v>
      </c>
      <c r="H5" s="40">
        <v>-4.1040063</v>
      </c>
      <c r="I5" s="40">
        <v>21.04429</v>
      </c>
      <c r="J5" s="40">
        <v>16.039192</v>
      </c>
      <c r="K5" s="47">
        <v>-6.2213479999999999</v>
      </c>
      <c r="L5" s="47">
        <v>-1.5759825999999999</v>
      </c>
      <c r="M5" s="47">
        <v>-4.1244209999999999</v>
      </c>
      <c r="N5" s="47">
        <v>-6.2803389999999997</v>
      </c>
    </row>
    <row r="6" spans="1:14" x14ac:dyDescent="0.35">
      <c r="A6" s="2">
        <v>42027</v>
      </c>
      <c r="B6" s="40">
        <v>4.7386410000000003</v>
      </c>
      <c r="C6" s="40">
        <v>-1.5502274</v>
      </c>
      <c r="D6" s="40">
        <v>-2.6522815</v>
      </c>
      <c r="E6" s="40">
        <v>-10.209256</v>
      </c>
      <c r="F6" s="40">
        <v>-2.1388172999999999</v>
      </c>
      <c r="G6" s="40">
        <v>-0.41010975999999999</v>
      </c>
      <c r="H6" s="40">
        <v>-7.4962435000000003</v>
      </c>
      <c r="I6" s="40">
        <v>19.637882000000001</v>
      </c>
      <c r="J6" s="40">
        <v>14.32358</v>
      </c>
      <c r="K6" s="47">
        <v>-8.643478</v>
      </c>
      <c r="L6" s="47">
        <v>-6.3326000000000002</v>
      </c>
      <c r="M6" s="47">
        <v>-9.5828950000000006</v>
      </c>
      <c r="N6" s="47">
        <v>-13.612824</v>
      </c>
    </row>
    <row r="7" spans="1:14" x14ac:dyDescent="0.35">
      <c r="A7" s="2">
        <v>42058</v>
      </c>
      <c r="B7" s="40">
        <v>7.3234079999999997</v>
      </c>
      <c r="C7" s="40">
        <v>-1.6910194999999999</v>
      </c>
      <c r="D7" s="40">
        <v>-2.3765266</v>
      </c>
      <c r="E7" s="40">
        <v>-4.9604534999999998</v>
      </c>
      <c r="F7" s="40">
        <v>7.8762053999999999</v>
      </c>
      <c r="G7" s="40">
        <v>1.2937307</v>
      </c>
      <c r="H7" s="40">
        <v>-3.9969503999999998</v>
      </c>
      <c r="I7" s="40">
        <v>22.518384999999999</v>
      </c>
      <c r="J7" s="40">
        <v>17.098735999999999</v>
      </c>
      <c r="K7" s="47">
        <v>-5.2282333000000003</v>
      </c>
      <c r="L7" s="47">
        <v>1.7068266999999999</v>
      </c>
      <c r="M7" s="47">
        <v>-0.3734827</v>
      </c>
      <c r="N7" s="47">
        <v>-8.418965</v>
      </c>
    </row>
    <row r="8" spans="1:14" x14ac:dyDescent="0.35">
      <c r="A8" s="2">
        <v>42086</v>
      </c>
      <c r="B8" s="40">
        <v>3.4213423999999999</v>
      </c>
      <c r="C8" s="40">
        <v>1.6002654999999999</v>
      </c>
      <c r="D8" s="40">
        <v>-3.1334279999999999</v>
      </c>
      <c r="E8" s="40">
        <v>1.0804415000000001</v>
      </c>
      <c r="F8" s="40">
        <v>19.800926</v>
      </c>
      <c r="G8" s="40">
        <v>5.0159096999999999</v>
      </c>
      <c r="H8" s="40">
        <v>-1.2552738000000001E-2</v>
      </c>
      <c r="I8" s="40">
        <v>23.05913</v>
      </c>
      <c r="J8" s="40">
        <v>14.983475</v>
      </c>
      <c r="K8" s="47">
        <v>-4.2821464999999996</v>
      </c>
      <c r="L8" s="47">
        <v>6.3046575000000002</v>
      </c>
      <c r="M8" s="47">
        <v>-1.1660397</v>
      </c>
      <c r="N8" s="47">
        <v>-9.6155170000000005</v>
      </c>
    </row>
    <row r="9" spans="1:14" x14ac:dyDescent="0.35">
      <c r="A9" s="2">
        <v>42117</v>
      </c>
      <c r="B9" s="40">
        <v>-0.70416330000000005</v>
      </c>
      <c r="C9" s="40">
        <v>-7.7691080000000001</v>
      </c>
      <c r="D9" s="40">
        <v>-0.11545420000000001</v>
      </c>
      <c r="E9" s="40">
        <v>-3.6720036999999999</v>
      </c>
      <c r="F9" s="40">
        <v>20.658756</v>
      </c>
      <c r="G9" s="40">
        <v>2.9465436999999999</v>
      </c>
      <c r="H9" s="40">
        <v>-2.5197983000000002</v>
      </c>
      <c r="I9" s="40">
        <v>27.098703</v>
      </c>
      <c r="J9" s="40">
        <v>14.847636</v>
      </c>
      <c r="K9" s="47">
        <v>-6.0097990000000001</v>
      </c>
      <c r="L9" s="47">
        <v>5.3094505999999999</v>
      </c>
      <c r="M9" s="47">
        <v>-1.1319338999999999</v>
      </c>
      <c r="N9" s="47">
        <v>-14.112621000000001</v>
      </c>
    </row>
    <row r="10" spans="1:14" x14ac:dyDescent="0.35">
      <c r="A10" s="2">
        <v>42146</v>
      </c>
      <c r="B10" s="40">
        <v>-2.7980923999999998</v>
      </c>
      <c r="C10" s="40">
        <v>-9.5939099999999993</v>
      </c>
      <c r="D10" s="40">
        <v>-5.406606</v>
      </c>
      <c r="E10" s="40">
        <v>-2.1956085999999999</v>
      </c>
      <c r="F10" s="40">
        <v>19.233822</v>
      </c>
      <c r="G10" s="40">
        <v>3.1977891999999999</v>
      </c>
      <c r="H10" s="40">
        <v>-3.2727062999999998</v>
      </c>
      <c r="I10" s="40">
        <v>25.178194000000001</v>
      </c>
      <c r="J10" s="40">
        <v>14.535368</v>
      </c>
      <c r="K10" s="47">
        <v>-4.6779929999999998</v>
      </c>
      <c r="L10" s="47">
        <v>7.4510693999999997</v>
      </c>
      <c r="M10" s="47">
        <v>-3.7867188000000001</v>
      </c>
      <c r="N10" s="47">
        <v>-3.1716228000000002</v>
      </c>
    </row>
    <row r="11" spans="1:14" x14ac:dyDescent="0.35">
      <c r="A11" s="2">
        <v>42178</v>
      </c>
      <c r="B11" s="40">
        <v>-10.452723499999999</v>
      </c>
      <c r="C11" s="40">
        <v>-11.38885</v>
      </c>
      <c r="D11" s="40">
        <v>-11.444478999999999</v>
      </c>
      <c r="E11" s="40">
        <v>-4.7073603000000004</v>
      </c>
      <c r="F11" s="40">
        <v>10.5752945</v>
      </c>
      <c r="G11" s="40">
        <v>1.6899227999999999</v>
      </c>
      <c r="H11" s="40">
        <v>-5.4005327000000003</v>
      </c>
      <c r="I11" s="40">
        <v>20.679462000000001</v>
      </c>
      <c r="J11" s="40">
        <v>10.374605000000001</v>
      </c>
      <c r="K11" s="47">
        <v>-5.6769550000000004</v>
      </c>
      <c r="L11" s="47">
        <v>6.01722</v>
      </c>
      <c r="M11" s="47">
        <v>-2.0143925999999999</v>
      </c>
      <c r="N11" s="47">
        <v>-8.5733529999999991</v>
      </c>
    </row>
    <row r="12" spans="1:14" x14ac:dyDescent="0.35">
      <c r="A12" s="2">
        <v>42208</v>
      </c>
      <c r="B12" s="40">
        <v>-11.787653000000001</v>
      </c>
      <c r="C12" s="40">
        <v>-19.769276000000001</v>
      </c>
      <c r="D12" s="40">
        <v>-21.58475</v>
      </c>
      <c r="E12" s="40">
        <v>-4.3078957000000004</v>
      </c>
      <c r="F12" s="40">
        <v>7.0868373</v>
      </c>
      <c r="G12" s="40">
        <v>2.5691986</v>
      </c>
      <c r="H12" s="40">
        <v>-9.2274670000000008</v>
      </c>
      <c r="I12" s="40">
        <v>16.637957</v>
      </c>
      <c r="J12" s="40">
        <v>7.8862785999999998</v>
      </c>
      <c r="K12" s="47">
        <v>-3.173095</v>
      </c>
      <c r="L12" s="47">
        <v>9.2199329999999993</v>
      </c>
      <c r="M12" s="47">
        <v>-3.8737655000000002</v>
      </c>
      <c r="N12" s="47">
        <v>-5.3614674000000004</v>
      </c>
    </row>
    <row r="13" spans="1:14" x14ac:dyDescent="0.35">
      <c r="A13" s="2">
        <v>42237</v>
      </c>
      <c r="B13" s="40">
        <v>-11.553668999999999</v>
      </c>
      <c r="C13" s="40">
        <v>-26.423470999999999</v>
      </c>
      <c r="D13" s="40">
        <v>-26.098030000000001</v>
      </c>
      <c r="E13" s="40">
        <v>-8.6908455</v>
      </c>
      <c r="F13" s="40">
        <v>0.33838750000000001</v>
      </c>
      <c r="G13" s="40">
        <v>-2.0193636000000001</v>
      </c>
      <c r="H13" s="40">
        <v>-12.428183000000001</v>
      </c>
      <c r="I13" s="40">
        <v>4.6496034000000002</v>
      </c>
      <c r="J13" s="40">
        <v>1.0070086</v>
      </c>
      <c r="K13" s="47">
        <v>-5.4529905000000003</v>
      </c>
      <c r="L13" s="47">
        <v>1.1093259</v>
      </c>
      <c r="M13" s="47">
        <v>-8.5519680000000005</v>
      </c>
      <c r="N13" s="47">
        <v>-5.0033750000000001</v>
      </c>
    </row>
    <row r="14" spans="1:14" x14ac:dyDescent="0.35">
      <c r="A14" s="2">
        <v>42270</v>
      </c>
      <c r="B14" s="40">
        <v>-15.339745000000001</v>
      </c>
      <c r="C14" s="40">
        <v>-23.723666999999999</v>
      </c>
      <c r="D14" s="40">
        <v>-25.148766999999999</v>
      </c>
      <c r="E14" s="40">
        <v>-12.365776</v>
      </c>
      <c r="F14" s="40">
        <v>-2.0793735999999998</v>
      </c>
      <c r="G14" s="40">
        <v>-6.1853942999999996</v>
      </c>
      <c r="H14" s="40">
        <v>-14.120543</v>
      </c>
      <c r="I14" s="40">
        <v>6.6075920000000004</v>
      </c>
      <c r="J14" s="40">
        <v>-0.24779439</v>
      </c>
      <c r="K14" s="47">
        <v>-8.61721</v>
      </c>
      <c r="L14" s="47">
        <v>-4.0036259999999997</v>
      </c>
      <c r="M14" s="47">
        <v>-10.463165999999999</v>
      </c>
      <c r="N14" s="47">
        <v>-7.4431124000000004</v>
      </c>
    </row>
    <row r="15" spans="1:14" x14ac:dyDescent="0.35">
      <c r="A15" s="2">
        <v>42300</v>
      </c>
      <c r="B15" s="40">
        <v>-1.8865228000000001</v>
      </c>
      <c r="C15" s="40">
        <v>-15.098417</v>
      </c>
      <c r="D15" s="40">
        <v>-15.796131000000001</v>
      </c>
      <c r="E15" s="40">
        <v>4.226172</v>
      </c>
      <c r="F15" s="40">
        <v>12.719309000000001</v>
      </c>
      <c r="G15" s="40">
        <v>4.5647859999999998</v>
      </c>
      <c r="H15" s="40">
        <v>-1.2449859999999999</v>
      </c>
      <c r="I15" s="40">
        <v>16.540586000000001</v>
      </c>
      <c r="J15" s="40">
        <v>8.6086989999999997</v>
      </c>
      <c r="K15" s="47">
        <v>6.7935467000000003</v>
      </c>
      <c r="L15" s="47">
        <v>11.262679</v>
      </c>
      <c r="M15" s="47">
        <v>-1.0473787999999999</v>
      </c>
      <c r="N15" s="47">
        <v>5.8309436000000003</v>
      </c>
    </row>
    <row r="16" spans="1:14" x14ac:dyDescent="0.35">
      <c r="A16" s="2">
        <v>42331</v>
      </c>
      <c r="B16" s="40">
        <v>-8.8753399999999996</v>
      </c>
      <c r="C16" s="40">
        <v>-16.140080000000001</v>
      </c>
      <c r="D16" s="40">
        <v>-24.045670000000001</v>
      </c>
      <c r="E16" s="40">
        <v>-2.8285502999999999</v>
      </c>
      <c r="F16" s="40">
        <v>9.1332550000000001</v>
      </c>
      <c r="G16" s="40">
        <v>-4.0576040000000004</v>
      </c>
      <c r="H16" s="40">
        <v>-7.7527879999999998</v>
      </c>
      <c r="I16" s="40">
        <v>11.085808</v>
      </c>
      <c r="J16" s="40">
        <v>3.2042264999999999</v>
      </c>
      <c r="K16" s="47">
        <v>-1.0505496999999999</v>
      </c>
      <c r="L16" s="47">
        <v>2.4006962999999999</v>
      </c>
      <c r="M16" s="47">
        <v>-6.1996099999999998</v>
      </c>
      <c r="N16" s="47">
        <v>-2.1036446</v>
      </c>
    </row>
    <row r="17" spans="1:14" x14ac:dyDescent="0.35">
      <c r="A17" s="2">
        <v>42361</v>
      </c>
      <c r="B17" s="40">
        <v>-1.7426372000000001</v>
      </c>
      <c r="C17" s="40">
        <v>-10.899162</v>
      </c>
      <c r="D17" s="40">
        <v>-22.017605</v>
      </c>
      <c r="E17" s="40">
        <v>-2.7304469999999998</v>
      </c>
      <c r="F17" s="40">
        <v>8.0146069999999998</v>
      </c>
      <c r="G17" s="40">
        <v>-0.28260945999999998</v>
      </c>
      <c r="H17" s="40">
        <v>-6.8487166999999998</v>
      </c>
      <c r="I17" s="40">
        <v>9.1652869999999993</v>
      </c>
      <c r="J17" s="40">
        <v>1.2313843</v>
      </c>
      <c r="K17" s="47">
        <v>-0.14725326999999999</v>
      </c>
      <c r="L17" s="47">
        <v>1.0679483000000001</v>
      </c>
      <c r="M17" s="47">
        <v>-4.1435122</v>
      </c>
      <c r="N17" s="47">
        <v>3.0921460000000001</v>
      </c>
    </row>
    <row r="18" spans="1:14" x14ac:dyDescent="0.35">
      <c r="A18" s="2">
        <v>42391</v>
      </c>
      <c r="B18" s="40">
        <v>-7.0840540000000001</v>
      </c>
      <c r="C18" s="40">
        <v>-18.454891</v>
      </c>
      <c r="D18" s="40">
        <v>-24.998528</v>
      </c>
      <c r="E18" s="40">
        <v>-11.5121</v>
      </c>
      <c r="F18" s="40">
        <v>-0.61246750000000005</v>
      </c>
      <c r="G18" s="40">
        <v>-8.5026499999999992</v>
      </c>
      <c r="H18" s="40">
        <v>-15.507232999999999</v>
      </c>
      <c r="I18" s="40">
        <v>0.76974629999999999</v>
      </c>
      <c r="J18" s="40">
        <v>-5.635345</v>
      </c>
      <c r="K18" s="47">
        <v>-7.3798537</v>
      </c>
      <c r="L18" s="47">
        <v>-3.1584560000000002</v>
      </c>
      <c r="M18" s="47">
        <v>-11.135369000000001</v>
      </c>
      <c r="N18" s="47">
        <v>-10.12355</v>
      </c>
    </row>
    <row r="19" spans="1:14" x14ac:dyDescent="0.35">
      <c r="A19" s="2">
        <v>42423</v>
      </c>
      <c r="B19" s="40">
        <v>-4.8242570000000002</v>
      </c>
      <c r="C19" s="40">
        <v>-20.251863</v>
      </c>
      <c r="D19" s="40">
        <v>-21.930997999999999</v>
      </c>
      <c r="E19" s="40">
        <v>-18.044513999999999</v>
      </c>
      <c r="F19" s="40">
        <v>-10.5719385</v>
      </c>
      <c r="G19" s="40">
        <v>-12.963706</v>
      </c>
      <c r="H19" s="40">
        <v>-19.641310000000001</v>
      </c>
      <c r="I19" s="40">
        <v>-5.4382744000000001</v>
      </c>
      <c r="J19" s="40">
        <v>-7.047987</v>
      </c>
      <c r="K19" s="47">
        <v>-12.887727999999999</v>
      </c>
      <c r="L19" s="47">
        <v>-9.9152450000000005</v>
      </c>
      <c r="M19" s="47">
        <v>-15.996556999999999</v>
      </c>
      <c r="N19" s="47">
        <v>-23.173672</v>
      </c>
    </row>
    <row r="20" spans="1:14" x14ac:dyDescent="0.35">
      <c r="A20" s="2">
        <v>42452</v>
      </c>
      <c r="B20" s="40">
        <v>-1.0492086</v>
      </c>
      <c r="C20" s="40">
        <v>-15.816736000000001</v>
      </c>
      <c r="D20" s="40">
        <v>-14.113384</v>
      </c>
      <c r="E20" s="40">
        <v>-14.36171</v>
      </c>
      <c r="F20" s="40">
        <v>-10.169589999999999</v>
      </c>
      <c r="G20" s="40">
        <v>-12.319326</v>
      </c>
      <c r="H20" s="40">
        <v>-14.932001</v>
      </c>
      <c r="I20" s="40">
        <v>7.2932239999999995E-2</v>
      </c>
      <c r="J20" s="40">
        <v>-1.1495948</v>
      </c>
      <c r="K20" s="47">
        <v>-7.8566016999999997</v>
      </c>
      <c r="L20" s="47">
        <v>-4.8771563000000002</v>
      </c>
      <c r="M20" s="47">
        <v>-12.585419999999999</v>
      </c>
      <c r="N20" s="47">
        <v>-16.761690000000002</v>
      </c>
    </row>
    <row r="21" spans="1:14" x14ac:dyDescent="0.35">
      <c r="A21" s="2">
        <v>42482</v>
      </c>
      <c r="B21" s="40">
        <v>6.0343622999999997</v>
      </c>
      <c r="C21" s="40">
        <v>-8.1770309999999995</v>
      </c>
      <c r="D21" s="40">
        <v>-11.55532</v>
      </c>
      <c r="E21" s="40">
        <v>-9.2148780000000006</v>
      </c>
      <c r="F21" s="40">
        <v>-6.8504990000000001</v>
      </c>
      <c r="G21" s="40">
        <v>-9.2944980000000008</v>
      </c>
      <c r="H21" s="40">
        <v>-11.253565999999999</v>
      </c>
      <c r="I21" s="40">
        <v>1.3972163</v>
      </c>
      <c r="J21" s="40">
        <v>1.3486743000000001</v>
      </c>
      <c r="K21" s="47">
        <v>-5.7051420000000004</v>
      </c>
      <c r="L21" s="47">
        <v>-3.5331427999999998</v>
      </c>
      <c r="M21" s="47">
        <v>-7.818079</v>
      </c>
      <c r="N21" s="47">
        <v>-14.532356999999999</v>
      </c>
    </row>
    <row r="22" spans="1:14" x14ac:dyDescent="0.35">
      <c r="A22" s="2">
        <v>42513</v>
      </c>
      <c r="B22" s="40">
        <v>9.9303129999999999</v>
      </c>
      <c r="C22" s="40">
        <v>-10.511177999999999</v>
      </c>
      <c r="D22" s="40">
        <v>-13.497930999999999</v>
      </c>
      <c r="E22" s="40">
        <v>-15.119325999999999</v>
      </c>
      <c r="F22" s="40">
        <v>-11.799497000000001</v>
      </c>
      <c r="G22" s="40">
        <v>-13.275074999999999</v>
      </c>
      <c r="H22" s="40">
        <v>-16.177385000000001</v>
      </c>
      <c r="I22" s="40">
        <v>-2.6982963</v>
      </c>
      <c r="J22" s="40">
        <v>-1.5776515</v>
      </c>
      <c r="K22" s="47">
        <v>-11.344504000000001</v>
      </c>
      <c r="L22" s="47">
        <v>-8.6292380000000009</v>
      </c>
      <c r="M22" s="47">
        <v>-13.628107</v>
      </c>
      <c r="N22" s="47">
        <v>-23.803799999999999</v>
      </c>
    </row>
    <row r="23" spans="1:14" x14ac:dyDescent="0.35">
      <c r="A23" s="2">
        <v>42544</v>
      </c>
      <c r="B23" s="40">
        <v>26.650227000000001</v>
      </c>
      <c r="C23" s="40">
        <v>-5.5075703000000003</v>
      </c>
      <c r="D23" s="40">
        <v>-7.4008884000000004</v>
      </c>
      <c r="E23" s="40">
        <v>-9.2452819999999996</v>
      </c>
      <c r="F23" s="40">
        <v>-8.5509540000000008</v>
      </c>
      <c r="G23" s="40">
        <v>-8.8971195000000005</v>
      </c>
      <c r="H23" s="40">
        <v>-9.5415709999999994</v>
      </c>
      <c r="I23" s="40">
        <v>-0.71544649999999999</v>
      </c>
      <c r="J23" s="40">
        <v>1.5951394999999999</v>
      </c>
      <c r="K23" s="47">
        <v>-6.3415822999999998</v>
      </c>
      <c r="L23" s="47">
        <v>-6.1716740000000003</v>
      </c>
      <c r="M23" s="47">
        <v>-9.9043369999999999</v>
      </c>
      <c r="N23" s="47">
        <v>-20.201445</v>
      </c>
    </row>
    <row r="24" spans="1:14" x14ac:dyDescent="0.35">
      <c r="A24" s="2">
        <v>42573</v>
      </c>
      <c r="B24" s="40">
        <v>31.718563</v>
      </c>
      <c r="C24" s="40">
        <v>1.7953395999999999</v>
      </c>
      <c r="D24" s="40">
        <v>1.5563726</v>
      </c>
      <c r="E24" s="40">
        <v>-11.529636</v>
      </c>
      <c r="F24" s="40">
        <v>-6.5129222999999996</v>
      </c>
      <c r="G24" s="40">
        <v>-9.4640310000000003</v>
      </c>
      <c r="H24" s="40">
        <v>-12.811213499999999</v>
      </c>
      <c r="I24" s="40">
        <v>2.0533085</v>
      </c>
      <c r="J24" s="40">
        <v>5.025792</v>
      </c>
      <c r="K24" s="47">
        <v>-10.333085000000001</v>
      </c>
      <c r="L24" s="47">
        <v>-8.9294670000000007</v>
      </c>
      <c r="M24" s="47">
        <v>-10.965061</v>
      </c>
      <c r="N24" s="47">
        <v>-27.028321999999999</v>
      </c>
    </row>
    <row r="25" spans="1:14" x14ac:dyDescent="0.35">
      <c r="A25" s="2">
        <v>42605</v>
      </c>
      <c r="B25" s="40">
        <v>44.902610000000003</v>
      </c>
      <c r="C25" s="40">
        <v>16.104198</v>
      </c>
      <c r="D25" s="40">
        <v>12.722635</v>
      </c>
      <c r="E25" s="40">
        <v>4.6352982999999996</v>
      </c>
      <c r="F25" s="40">
        <v>5.4452777000000001</v>
      </c>
      <c r="G25" s="40">
        <v>-1.2506366</v>
      </c>
      <c r="H25" s="40">
        <v>-2.725625</v>
      </c>
      <c r="I25" s="40">
        <v>16.100156999999999</v>
      </c>
      <c r="J25" s="40">
        <v>13.222111</v>
      </c>
      <c r="K25" s="47">
        <v>-1.3899028</v>
      </c>
      <c r="L25" s="47">
        <v>4.1212200000000001</v>
      </c>
      <c r="M25" s="47">
        <v>-0.39029717000000003</v>
      </c>
      <c r="N25" s="47">
        <v>-20.477926</v>
      </c>
    </row>
    <row r="26" spans="1:14" x14ac:dyDescent="0.35">
      <c r="A26" s="2">
        <v>42636</v>
      </c>
      <c r="B26" s="40">
        <v>49.094357000000002</v>
      </c>
      <c r="C26" s="40">
        <v>20.095146</v>
      </c>
      <c r="D26" s="40">
        <v>12.711774999999999</v>
      </c>
      <c r="E26" s="40">
        <v>10.046661</v>
      </c>
      <c r="F26" s="40">
        <v>12.471951000000001</v>
      </c>
      <c r="G26" s="40">
        <v>4.7697544000000001</v>
      </c>
      <c r="H26" s="40">
        <v>0.93619823000000002</v>
      </c>
      <c r="I26" s="40">
        <v>14.868212</v>
      </c>
      <c r="J26" s="40">
        <v>13.981509000000001</v>
      </c>
      <c r="K26" s="47">
        <v>4.4167040000000002</v>
      </c>
      <c r="L26" s="47">
        <v>10.104668</v>
      </c>
      <c r="M26" s="47">
        <v>4.7005296000000003</v>
      </c>
      <c r="N26" s="47">
        <v>-19.374275000000001</v>
      </c>
    </row>
    <row r="27" spans="1:14" x14ac:dyDescent="0.35">
      <c r="A27" s="2">
        <v>42664</v>
      </c>
      <c r="B27" s="40">
        <v>25.208055000000002</v>
      </c>
      <c r="C27" s="40">
        <v>12.910318</v>
      </c>
      <c r="D27" s="40">
        <v>9.2630020000000002</v>
      </c>
      <c r="E27" s="40">
        <v>0.52375793000000004</v>
      </c>
      <c r="F27" s="40">
        <v>4.2645334999999998</v>
      </c>
      <c r="G27" s="40">
        <v>-3.7461161999999999</v>
      </c>
      <c r="H27" s="40">
        <v>-8.7978729999999992</v>
      </c>
      <c r="I27" s="40">
        <v>11.130630500000001</v>
      </c>
      <c r="J27" s="40">
        <v>8.3055020000000006</v>
      </c>
      <c r="K27" s="47">
        <v>-3.5389482999999999</v>
      </c>
      <c r="L27" s="47">
        <v>0.73405503999999999</v>
      </c>
      <c r="M27" s="47">
        <v>-1.0098636000000001</v>
      </c>
      <c r="N27" s="47">
        <v>-23.263227000000001</v>
      </c>
    </row>
    <row r="28" spans="1:14" x14ac:dyDescent="0.35">
      <c r="A28" s="2">
        <v>42697</v>
      </c>
      <c r="B28" s="40">
        <v>21.528578</v>
      </c>
      <c r="C28" s="40">
        <v>11.7313385</v>
      </c>
      <c r="D28" s="40">
        <v>14.828241</v>
      </c>
      <c r="E28" s="40">
        <v>-4.8919379999999997</v>
      </c>
      <c r="F28" s="40">
        <v>0.86040497000000005</v>
      </c>
      <c r="G28" s="40">
        <v>-6.5344810000000004</v>
      </c>
      <c r="H28" s="40">
        <v>-7.5078430000000003</v>
      </c>
      <c r="I28" s="40">
        <v>4.9152136000000004</v>
      </c>
      <c r="J28" s="40">
        <v>7.8491569999999999</v>
      </c>
      <c r="K28" s="47">
        <v>-4.3055477</v>
      </c>
      <c r="L28" s="47">
        <v>-2.1328627999999998</v>
      </c>
      <c r="M28" s="47">
        <v>-4.1862069999999996</v>
      </c>
      <c r="N28" s="47">
        <v>-22.356247</v>
      </c>
    </row>
    <row r="29" spans="1:14" x14ac:dyDescent="0.35">
      <c r="A29" s="2">
        <v>42727</v>
      </c>
      <c r="B29" s="40">
        <v>11.9933605</v>
      </c>
      <c r="C29" s="40">
        <v>11.527753000000001</v>
      </c>
      <c r="D29" s="40">
        <v>21.074712999999999</v>
      </c>
      <c r="E29" s="40">
        <v>0.62928200000000001</v>
      </c>
      <c r="F29" s="40">
        <v>3.3885480000000001</v>
      </c>
      <c r="G29" s="40">
        <v>-4.1855630000000001</v>
      </c>
      <c r="H29" s="40">
        <v>-3.4477532000000002</v>
      </c>
      <c r="I29" s="40">
        <v>7.9325080000000003</v>
      </c>
      <c r="J29" s="40">
        <v>11.9133835</v>
      </c>
      <c r="K29" s="47">
        <v>1.9278287999999999</v>
      </c>
      <c r="L29" s="47">
        <v>2.4340272000000001</v>
      </c>
      <c r="M29" s="47">
        <v>-0.123399496</v>
      </c>
      <c r="N29" s="47">
        <v>-11.171996999999999</v>
      </c>
    </row>
    <row r="30" spans="1:14" x14ac:dyDescent="0.35">
      <c r="A30" s="2">
        <v>42758</v>
      </c>
      <c r="B30" s="40">
        <v>28.712845000000002</v>
      </c>
      <c r="C30" s="40">
        <v>28.45279</v>
      </c>
      <c r="D30" s="40">
        <v>36.447204999999997</v>
      </c>
      <c r="E30" s="40">
        <v>15.898346999999999</v>
      </c>
      <c r="F30" s="40">
        <v>14.079094</v>
      </c>
      <c r="G30" s="40">
        <v>7.5603484999999999</v>
      </c>
      <c r="H30" s="40">
        <v>9.7860099999999992</v>
      </c>
      <c r="I30" s="40">
        <v>20.196580000000001</v>
      </c>
      <c r="J30" s="40">
        <v>21.254147</v>
      </c>
      <c r="K30" s="47">
        <v>14.073933</v>
      </c>
      <c r="L30" s="47">
        <v>11.252129</v>
      </c>
      <c r="M30" s="47">
        <v>13.041449</v>
      </c>
      <c r="N30" s="47">
        <v>3.9668201999999999</v>
      </c>
    </row>
    <row r="31" spans="1:14" x14ac:dyDescent="0.35">
      <c r="A31" s="2">
        <v>42789</v>
      </c>
      <c r="B31" s="40">
        <v>23.792207999999999</v>
      </c>
      <c r="C31" s="40">
        <v>31.084990999999999</v>
      </c>
      <c r="D31" s="40">
        <v>32.658790000000003</v>
      </c>
      <c r="E31" s="40">
        <v>20.191203999999999</v>
      </c>
      <c r="F31" s="40">
        <v>21.537517999999999</v>
      </c>
      <c r="G31" s="40">
        <v>12.96612</v>
      </c>
      <c r="H31" s="40">
        <v>13.647938</v>
      </c>
      <c r="I31" s="40">
        <v>29.417587000000001</v>
      </c>
      <c r="J31" s="40">
        <v>25.584816</v>
      </c>
      <c r="K31" s="47">
        <v>14.193296</v>
      </c>
      <c r="L31" s="47">
        <v>16.252827</v>
      </c>
      <c r="M31" s="47">
        <v>15.979898</v>
      </c>
      <c r="N31" s="47">
        <v>8.6637380000000004</v>
      </c>
    </row>
    <row r="32" spans="1:14" x14ac:dyDescent="0.35">
      <c r="A32" s="2">
        <v>42817</v>
      </c>
      <c r="B32" s="40">
        <v>10.167491999999999</v>
      </c>
      <c r="C32" s="40">
        <v>18.989871999999998</v>
      </c>
      <c r="D32" s="40">
        <v>16.588723999999999</v>
      </c>
      <c r="E32" s="40">
        <v>14.311325</v>
      </c>
      <c r="F32" s="40">
        <v>15.079821000000001</v>
      </c>
      <c r="G32" s="40">
        <v>11.586093999999999</v>
      </c>
      <c r="H32" s="40">
        <v>9.5047709999999999</v>
      </c>
      <c r="I32" s="40">
        <v>22.820938000000002</v>
      </c>
      <c r="J32" s="40">
        <v>17.552779999999998</v>
      </c>
      <c r="K32" s="47">
        <v>12.69623</v>
      </c>
      <c r="L32" s="47">
        <v>13.003075000000001</v>
      </c>
      <c r="M32" s="47">
        <v>12.926064999999999</v>
      </c>
      <c r="N32" s="47">
        <v>8.5626960000000008</v>
      </c>
    </row>
    <row r="33" spans="1:14" x14ac:dyDescent="0.35">
      <c r="A33" s="2">
        <v>42846</v>
      </c>
      <c r="B33" s="40">
        <v>5.8463693000000001</v>
      </c>
      <c r="C33" s="40">
        <v>14.3736</v>
      </c>
      <c r="D33" s="40">
        <v>8.4981200000000001</v>
      </c>
      <c r="E33" s="40">
        <v>8.8812350000000002</v>
      </c>
      <c r="F33" s="40">
        <v>8.2439900000000002</v>
      </c>
      <c r="G33" s="40">
        <v>7.5064780000000004</v>
      </c>
      <c r="H33" s="40">
        <v>3.470993</v>
      </c>
      <c r="I33" s="40">
        <v>21.033455</v>
      </c>
      <c r="J33" s="40">
        <v>14.585661999999999</v>
      </c>
      <c r="K33" s="47">
        <v>9.0148329999999994</v>
      </c>
      <c r="L33" s="47">
        <v>11.846268</v>
      </c>
      <c r="M33" s="47">
        <v>6.1112165000000003</v>
      </c>
      <c r="N33" s="47">
        <v>3.4668326</v>
      </c>
    </row>
    <row r="34" spans="1:14" x14ac:dyDescent="0.35">
      <c r="A34" s="2">
        <v>42878</v>
      </c>
      <c r="B34" s="40">
        <v>11.408436</v>
      </c>
      <c r="C34" s="40">
        <v>17.765689999999999</v>
      </c>
      <c r="D34" s="40">
        <v>11.381995999999999</v>
      </c>
      <c r="E34" s="40">
        <v>26.067139000000001</v>
      </c>
      <c r="F34" s="40">
        <v>16.981183999999999</v>
      </c>
      <c r="G34" s="40">
        <v>19.096888</v>
      </c>
      <c r="H34" s="40">
        <v>13.458479000000001</v>
      </c>
      <c r="I34" s="40">
        <v>32.202755000000003</v>
      </c>
      <c r="J34" s="40">
        <v>19.400977999999999</v>
      </c>
      <c r="K34" s="47">
        <v>26.426124999999999</v>
      </c>
      <c r="L34" s="47">
        <v>25.190460000000002</v>
      </c>
      <c r="M34" s="47">
        <v>23.068677999999998</v>
      </c>
      <c r="N34" s="47">
        <v>26.355350000000001</v>
      </c>
    </row>
    <row r="35" spans="1:14" x14ac:dyDescent="0.35">
      <c r="A35" s="2">
        <v>42909</v>
      </c>
      <c r="B35" s="40">
        <v>10.702192</v>
      </c>
      <c r="C35" s="40">
        <v>12.066757000000001</v>
      </c>
      <c r="D35" s="40">
        <v>7.1575164999999998</v>
      </c>
      <c r="E35" s="40">
        <v>19.606245000000001</v>
      </c>
      <c r="F35" s="40">
        <v>16.306436999999999</v>
      </c>
      <c r="G35" s="40">
        <v>15.16596</v>
      </c>
      <c r="H35" s="40">
        <v>3.4709572999999998</v>
      </c>
      <c r="I35" s="40">
        <v>31.193864999999999</v>
      </c>
      <c r="J35" s="40">
        <v>17.679988999999999</v>
      </c>
      <c r="K35" s="47">
        <v>19.330750999999999</v>
      </c>
      <c r="L35" s="47">
        <v>20.381618</v>
      </c>
      <c r="M35" s="47">
        <v>17.790068000000002</v>
      </c>
      <c r="N35" s="47">
        <v>16.185057</v>
      </c>
    </row>
    <row r="36" spans="1:14" x14ac:dyDescent="0.35">
      <c r="A36" s="2">
        <v>42937</v>
      </c>
      <c r="B36" s="40">
        <v>12.84436</v>
      </c>
      <c r="C36" s="40">
        <v>15.507102</v>
      </c>
      <c r="D36" s="40">
        <v>12.606764</v>
      </c>
      <c r="E36" s="40">
        <v>26.130866999999999</v>
      </c>
      <c r="F36" s="40">
        <v>16.874718000000001</v>
      </c>
      <c r="G36" s="40">
        <v>19.745730999999999</v>
      </c>
      <c r="H36" s="40">
        <v>13.602865</v>
      </c>
      <c r="I36" s="40">
        <v>28.643941999999999</v>
      </c>
      <c r="J36" s="40">
        <v>16.480945999999999</v>
      </c>
      <c r="K36" s="47">
        <v>29.390191999999999</v>
      </c>
      <c r="L36" s="47">
        <v>31.713056999999999</v>
      </c>
      <c r="M36" s="47">
        <v>26.376045000000001</v>
      </c>
      <c r="N36" s="47">
        <v>36.418987000000001</v>
      </c>
    </row>
    <row r="37" spans="1:14" x14ac:dyDescent="0.35">
      <c r="A37" s="2">
        <v>42970</v>
      </c>
      <c r="B37" s="40">
        <v>3.6666750000000001</v>
      </c>
      <c r="C37" s="40">
        <v>13.241839000000001</v>
      </c>
      <c r="D37" s="40">
        <v>8.2702749999999998</v>
      </c>
      <c r="E37" s="40">
        <v>18.525421000000001</v>
      </c>
      <c r="F37" s="40">
        <v>11.982417</v>
      </c>
      <c r="G37" s="40">
        <v>13.587082000000001</v>
      </c>
      <c r="H37" s="40">
        <v>8.2615850000000002</v>
      </c>
      <c r="I37" s="40">
        <v>22.630596000000001</v>
      </c>
      <c r="J37" s="40">
        <v>13.960945000000001</v>
      </c>
      <c r="K37" s="47">
        <v>25.667870000000001</v>
      </c>
      <c r="L37" s="47">
        <v>26.153134999999999</v>
      </c>
      <c r="M37" s="47">
        <v>20.709752999999999</v>
      </c>
      <c r="N37" s="47">
        <v>36.769640000000003</v>
      </c>
    </row>
    <row r="38" spans="1:14" x14ac:dyDescent="0.35">
      <c r="A38" s="2">
        <v>43000</v>
      </c>
      <c r="B38" s="40">
        <v>6.9222570000000001</v>
      </c>
      <c r="C38" s="40">
        <v>15.847958</v>
      </c>
      <c r="D38" s="40">
        <v>13.844943000000001</v>
      </c>
      <c r="E38" s="40">
        <v>23.693192</v>
      </c>
      <c r="F38" s="40">
        <v>10.065115</v>
      </c>
      <c r="G38" s="40">
        <v>14.471292500000001</v>
      </c>
      <c r="H38" s="40">
        <v>13.283372</v>
      </c>
      <c r="I38" s="40">
        <v>22.399961000000001</v>
      </c>
      <c r="J38" s="40">
        <v>17.179321000000002</v>
      </c>
      <c r="K38" s="47">
        <v>29.397917</v>
      </c>
      <c r="L38" s="47">
        <v>27.855587</v>
      </c>
      <c r="M38" s="47">
        <v>25.112760000000002</v>
      </c>
      <c r="N38" s="47">
        <v>45.069659999999999</v>
      </c>
    </row>
    <row r="39" spans="1:14" x14ac:dyDescent="0.35">
      <c r="A39" s="2">
        <v>43031</v>
      </c>
      <c r="B39" s="40">
        <v>13.359833</v>
      </c>
      <c r="C39" s="40">
        <v>16.269874999999999</v>
      </c>
      <c r="D39" s="40">
        <v>15.026749000000001</v>
      </c>
      <c r="E39" s="40">
        <v>28.385902000000002</v>
      </c>
      <c r="F39" s="40">
        <v>16.770244999999999</v>
      </c>
      <c r="G39" s="40">
        <v>19.920491999999999</v>
      </c>
      <c r="H39" s="40">
        <v>18.890761999999999</v>
      </c>
      <c r="I39" s="40">
        <v>26.29739</v>
      </c>
      <c r="J39" s="40">
        <v>22.111916000000001</v>
      </c>
      <c r="K39" s="47">
        <v>32.257877000000001</v>
      </c>
      <c r="L39" s="47">
        <v>31.938278</v>
      </c>
      <c r="M39" s="47">
        <v>30.060911000000001</v>
      </c>
      <c r="N39" s="47">
        <v>40.251719999999999</v>
      </c>
    </row>
    <row r="40" spans="1:14" x14ac:dyDescent="0.35">
      <c r="A40" s="2">
        <v>43061</v>
      </c>
      <c r="B40" s="40">
        <v>15.112399999999999</v>
      </c>
      <c r="C40" s="40">
        <v>17.880832999999999</v>
      </c>
      <c r="D40" s="40">
        <v>15.198112</v>
      </c>
      <c r="E40" s="40">
        <v>33.402419999999999</v>
      </c>
      <c r="F40" s="40">
        <v>21.51221</v>
      </c>
      <c r="G40" s="40">
        <v>26.50459</v>
      </c>
      <c r="H40" s="40">
        <v>19.87593</v>
      </c>
      <c r="I40" s="40">
        <v>32.254016999999997</v>
      </c>
      <c r="J40" s="40">
        <v>20.146405999999999</v>
      </c>
      <c r="K40" s="47">
        <v>34.836112999999997</v>
      </c>
      <c r="L40" s="47">
        <v>35.371090000000002</v>
      </c>
      <c r="M40" s="47">
        <v>27.906894999999999</v>
      </c>
      <c r="N40" s="47">
        <v>48.147095</v>
      </c>
    </row>
    <row r="41" spans="1:14" x14ac:dyDescent="0.35">
      <c r="A41" s="2">
        <v>43091</v>
      </c>
      <c r="B41" s="40">
        <v>24.176682</v>
      </c>
      <c r="C41" s="40">
        <v>19.074608000000001</v>
      </c>
      <c r="D41" s="40">
        <v>13.648415</v>
      </c>
      <c r="E41" s="40">
        <v>28.777290000000001</v>
      </c>
      <c r="F41" s="40">
        <v>22.410451999999999</v>
      </c>
      <c r="G41" s="40">
        <v>22.964047999999998</v>
      </c>
      <c r="H41" s="40">
        <v>21.228622000000001</v>
      </c>
      <c r="I41" s="40">
        <v>32.205820000000003</v>
      </c>
      <c r="J41" s="40">
        <v>20.995377999999999</v>
      </c>
      <c r="K41" s="47">
        <v>30.593754000000001</v>
      </c>
      <c r="L41" s="47">
        <v>34.407626999999998</v>
      </c>
      <c r="M41" s="47">
        <v>24.02674</v>
      </c>
      <c r="N41" s="47">
        <v>31.971205000000001</v>
      </c>
    </row>
    <row r="42" spans="1:14" x14ac:dyDescent="0.35">
      <c r="A42" s="2">
        <v>43123</v>
      </c>
      <c r="B42" s="40">
        <v>18.131626000000001</v>
      </c>
      <c r="C42" s="40">
        <v>17.09553</v>
      </c>
      <c r="D42" s="40">
        <v>15.480221</v>
      </c>
      <c r="E42" s="40">
        <v>33.221268000000002</v>
      </c>
      <c r="F42" s="40">
        <v>29.335571000000002</v>
      </c>
      <c r="G42" s="40">
        <v>24.820446</v>
      </c>
      <c r="H42" s="40">
        <v>24.711811000000001</v>
      </c>
      <c r="I42" s="40">
        <v>38.675606000000002</v>
      </c>
      <c r="J42" s="40">
        <v>27.696429999999999</v>
      </c>
      <c r="K42" s="47">
        <v>34.971953999999997</v>
      </c>
      <c r="L42" s="47">
        <v>39.243065000000001</v>
      </c>
      <c r="M42" s="47">
        <v>27.065239999999999</v>
      </c>
      <c r="N42" s="47">
        <v>41.117539999999998</v>
      </c>
    </row>
    <row r="43" spans="1:14" x14ac:dyDescent="0.35">
      <c r="A43" s="2">
        <v>43154</v>
      </c>
      <c r="B43" s="40">
        <v>18.393208000000001</v>
      </c>
      <c r="C43" s="40">
        <v>8.6940399999999993</v>
      </c>
      <c r="D43" s="40">
        <v>5.297911</v>
      </c>
      <c r="E43" s="40">
        <v>21.800219999999999</v>
      </c>
      <c r="F43" s="40">
        <v>21.001387000000001</v>
      </c>
      <c r="G43" s="40">
        <v>16.944980000000001</v>
      </c>
      <c r="H43" s="40">
        <v>14.705491</v>
      </c>
      <c r="I43" s="40">
        <v>30.53162</v>
      </c>
      <c r="J43" s="40">
        <v>18.439781</v>
      </c>
      <c r="K43" s="47">
        <v>30.965209999999999</v>
      </c>
      <c r="L43" s="47">
        <v>29.355239999999998</v>
      </c>
      <c r="M43" s="47">
        <v>15.855980000000001</v>
      </c>
      <c r="N43" s="47">
        <v>41.631830000000001</v>
      </c>
    </row>
    <row r="44" spans="1:14" x14ac:dyDescent="0.35">
      <c r="A44" s="2">
        <v>43182</v>
      </c>
      <c r="B44" s="40">
        <v>24.508703000000001</v>
      </c>
      <c r="C44" s="40">
        <v>4.0018320000000003</v>
      </c>
      <c r="D44" s="40">
        <v>4.4988869999999999</v>
      </c>
      <c r="E44" s="40">
        <v>12.796366000000001</v>
      </c>
      <c r="F44" s="40">
        <v>14.545977000000001</v>
      </c>
      <c r="G44" s="40">
        <v>7.2785140000000004</v>
      </c>
      <c r="H44" s="40">
        <v>8.5595610000000004</v>
      </c>
      <c r="I44" s="40">
        <v>22.651040999999999</v>
      </c>
      <c r="J44" s="40">
        <v>12.362469000000001</v>
      </c>
      <c r="K44" s="47">
        <v>19.575953999999999</v>
      </c>
      <c r="L44" s="47">
        <v>19.202316</v>
      </c>
      <c r="M44" s="47">
        <v>7.7659606999999999</v>
      </c>
      <c r="N44" s="47">
        <v>26.813866000000001</v>
      </c>
    </row>
    <row r="45" spans="1:14" x14ac:dyDescent="0.35">
      <c r="A45" s="2">
        <v>43213</v>
      </c>
      <c r="B45" s="40">
        <v>16.423214000000002</v>
      </c>
      <c r="C45" s="40">
        <v>4.0117383000000002</v>
      </c>
      <c r="D45" s="40">
        <v>7.3813440000000003</v>
      </c>
      <c r="E45" s="40">
        <v>18.433523000000001</v>
      </c>
      <c r="F45" s="40">
        <v>19.333803</v>
      </c>
      <c r="G45" s="40">
        <v>8.9028360000000006</v>
      </c>
      <c r="H45" s="40">
        <v>16.661776</v>
      </c>
      <c r="I45" s="40">
        <v>23.187446999999999</v>
      </c>
      <c r="J45" s="40">
        <v>15.795267000000001</v>
      </c>
      <c r="K45" s="47">
        <v>26.185762</v>
      </c>
      <c r="L45" s="47">
        <v>21.473956999999999</v>
      </c>
      <c r="M45" s="47">
        <v>12.232601000000001</v>
      </c>
      <c r="N45" s="47">
        <v>39.924576000000002</v>
      </c>
    </row>
    <row r="46" spans="1:14" x14ac:dyDescent="0.35">
      <c r="A46" s="2">
        <v>43243</v>
      </c>
      <c r="B46" s="40">
        <v>13.693153000000001</v>
      </c>
      <c r="C46" s="40">
        <v>8.8366620000000005</v>
      </c>
      <c r="D46" s="40">
        <v>12.873257000000001</v>
      </c>
      <c r="E46" s="40">
        <v>7.3183655999999999</v>
      </c>
      <c r="F46" s="40">
        <v>15.841699</v>
      </c>
      <c r="G46" s="40">
        <v>-0.40658116</v>
      </c>
      <c r="H46" s="40">
        <v>10.264051</v>
      </c>
      <c r="I46" s="40">
        <v>22.95121</v>
      </c>
      <c r="J46" s="40">
        <v>16.043865</v>
      </c>
      <c r="K46" s="47">
        <v>12.901377999999999</v>
      </c>
      <c r="L46" s="47">
        <v>10.610366000000001</v>
      </c>
      <c r="M46" s="47">
        <v>2.1135092000000002</v>
      </c>
      <c r="N46" s="47">
        <v>12.984133</v>
      </c>
    </row>
    <row r="47" spans="1:14" x14ac:dyDescent="0.35">
      <c r="A47" s="2">
        <v>43273</v>
      </c>
      <c r="B47" s="40">
        <v>12.94862</v>
      </c>
      <c r="C47" s="40">
        <v>11.755884</v>
      </c>
      <c r="D47" s="40">
        <v>10.831654</v>
      </c>
      <c r="E47" s="40">
        <v>3.0092477999999998</v>
      </c>
      <c r="F47" s="40">
        <v>10.443211</v>
      </c>
      <c r="G47" s="40">
        <v>-1.8148124000000001</v>
      </c>
      <c r="H47" s="40">
        <v>11.089933</v>
      </c>
      <c r="I47" s="40">
        <v>25.614082</v>
      </c>
      <c r="J47" s="40">
        <v>15.245974</v>
      </c>
      <c r="K47" s="47">
        <v>9.7313639999999992</v>
      </c>
      <c r="L47" s="47">
        <v>10.109472</v>
      </c>
      <c r="M47" s="47">
        <v>-1.7251848999999999</v>
      </c>
      <c r="N47" s="47">
        <v>9.4985719999999993</v>
      </c>
    </row>
    <row r="48" spans="1:14" x14ac:dyDescent="0.35">
      <c r="A48" s="2">
        <v>43304</v>
      </c>
      <c r="B48" s="40">
        <v>4.4927000000000001</v>
      </c>
      <c r="C48" s="40">
        <v>5.5395126000000001</v>
      </c>
      <c r="D48" s="40">
        <v>5.6835529999999999</v>
      </c>
      <c r="E48" s="40">
        <v>3.1417727000000002</v>
      </c>
      <c r="F48" s="40">
        <v>9.148085</v>
      </c>
      <c r="G48" s="40">
        <v>-2.4878978999999999E-2</v>
      </c>
      <c r="H48" s="40">
        <v>6.5266013000000003</v>
      </c>
      <c r="I48" s="40">
        <v>25.60774</v>
      </c>
      <c r="J48" s="40">
        <v>15.612912</v>
      </c>
      <c r="K48" s="47">
        <v>8.3920960000000004</v>
      </c>
      <c r="L48" s="47">
        <v>7.1885466999999998</v>
      </c>
      <c r="M48" s="47">
        <v>-2.8701781999999998</v>
      </c>
      <c r="N48" s="47">
        <v>3.1917333999999999</v>
      </c>
    </row>
    <row r="49" spans="1:14" x14ac:dyDescent="0.35">
      <c r="A49" s="2">
        <v>43335</v>
      </c>
      <c r="B49" s="40">
        <v>6.5906763000000002</v>
      </c>
      <c r="C49" s="40">
        <v>3.0808806</v>
      </c>
      <c r="D49" s="40">
        <v>6.7486286</v>
      </c>
      <c r="E49" s="40">
        <v>-0.15320777999999999</v>
      </c>
      <c r="F49" s="40">
        <v>6.9542646000000001</v>
      </c>
      <c r="G49" s="40">
        <v>3.0168653000000001</v>
      </c>
      <c r="H49" s="40">
        <v>4.9689173999999996</v>
      </c>
      <c r="I49" s="40">
        <v>27.733791</v>
      </c>
      <c r="J49" s="40">
        <v>19.038032999999999</v>
      </c>
      <c r="K49" s="47">
        <v>6.7178009999999997</v>
      </c>
      <c r="L49" s="47">
        <v>2.8360485999999998</v>
      </c>
      <c r="M49" s="47">
        <v>-2.4049222000000001</v>
      </c>
      <c r="N49" s="47">
        <v>-5.5204152999999998</v>
      </c>
    </row>
    <row r="50" spans="1:14" x14ac:dyDescent="0.35">
      <c r="A50" s="2">
        <v>43364</v>
      </c>
      <c r="B50" s="40">
        <v>8.6775059999999993</v>
      </c>
      <c r="C50" s="40">
        <v>3.3082246999999998</v>
      </c>
      <c r="D50" s="40">
        <v>2.8638720000000002</v>
      </c>
      <c r="E50" s="40">
        <v>-2.2801518000000001</v>
      </c>
      <c r="F50" s="40">
        <v>10.015631000000001</v>
      </c>
      <c r="G50" s="40">
        <v>4.0719510000000003</v>
      </c>
      <c r="H50" s="40">
        <v>2.6301146000000002</v>
      </c>
      <c r="I50" s="40">
        <v>27.918742999999999</v>
      </c>
      <c r="J50" s="40">
        <v>19.214594000000002</v>
      </c>
      <c r="K50" s="47">
        <v>5.7594180000000001</v>
      </c>
      <c r="L50" s="47">
        <v>0.92476605999999995</v>
      </c>
      <c r="M50" s="47">
        <v>-1.4743268</v>
      </c>
      <c r="N50" s="47">
        <v>-4.3923974000000001</v>
      </c>
    </row>
    <row r="51" spans="1:14" x14ac:dyDescent="0.35">
      <c r="A51" s="2">
        <v>43396</v>
      </c>
      <c r="B51" s="40">
        <v>0.595665</v>
      </c>
      <c r="C51" s="40">
        <v>-6.8125249999999999</v>
      </c>
      <c r="D51" s="40">
        <v>-5.3350153000000002</v>
      </c>
      <c r="E51" s="40">
        <v>-13.644875000000001</v>
      </c>
      <c r="F51" s="40">
        <v>-2.0783423999999999</v>
      </c>
      <c r="G51" s="40">
        <v>-3.2200514999999998</v>
      </c>
      <c r="H51" s="40">
        <v>-4.6562489999999999</v>
      </c>
      <c r="I51" s="40">
        <v>18.182278</v>
      </c>
      <c r="J51" s="40">
        <v>8.7792159999999999</v>
      </c>
      <c r="K51" s="47">
        <v>-5.7595729999999996</v>
      </c>
      <c r="L51" s="47">
        <v>-9.1722599999999996</v>
      </c>
      <c r="M51" s="47">
        <v>-13.522826999999999</v>
      </c>
      <c r="N51" s="47">
        <v>-14.399367</v>
      </c>
    </row>
    <row r="52" spans="1:14" x14ac:dyDescent="0.35">
      <c r="A52" s="2">
        <v>43427</v>
      </c>
      <c r="B52" s="40">
        <v>6.4464807999999998</v>
      </c>
      <c r="C52" s="40">
        <v>-6.2808156000000004</v>
      </c>
      <c r="D52" s="40">
        <v>-9.1343990000000002</v>
      </c>
      <c r="E52" s="40">
        <v>-16.910612</v>
      </c>
      <c r="F52" s="40">
        <v>-7.8765510000000001</v>
      </c>
      <c r="G52" s="40">
        <v>-4.5840797000000002</v>
      </c>
      <c r="H52" s="40">
        <v>-6.4800024000000001</v>
      </c>
      <c r="I52" s="40">
        <v>3.0473113000000001</v>
      </c>
      <c r="J52" s="40">
        <v>3.1897544999999998</v>
      </c>
      <c r="K52" s="47">
        <v>-8.7619009999999999</v>
      </c>
      <c r="L52" s="47">
        <v>-8.8939550000000001</v>
      </c>
      <c r="M52" s="47">
        <v>-13.542676</v>
      </c>
      <c r="N52" s="47">
        <v>-16.982126000000001</v>
      </c>
    </row>
    <row r="53" spans="1:14" x14ac:dyDescent="0.35">
      <c r="A53" s="2">
        <v>43455</v>
      </c>
      <c r="B53" s="40">
        <v>-1.0457753999999999</v>
      </c>
      <c r="C53" s="40">
        <v>-14.629591</v>
      </c>
      <c r="D53" s="40">
        <v>-17.627980000000001</v>
      </c>
      <c r="E53" s="40">
        <v>-22.965305000000001</v>
      </c>
      <c r="F53" s="40">
        <v>-15.558201</v>
      </c>
      <c r="G53" s="40">
        <v>-10.513370999999999</v>
      </c>
      <c r="H53" s="40">
        <v>-14.369422</v>
      </c>
      <c r="I53" s="40">
        <v>-5.8097659999999998</v>
      </c>
      <c r="J53" s="40">
        <v>-8.3254760000000001</v>
      </c>
      <c r="K53" s="47">
        <v>-14.660543000000001</v>
      </c>
      <c r="L53" s="47">
        <v>-16.659344000000001</v>
      </c>
      <c r="M53" s="47">
        <v>-16.030729999999998</v>
      </c>
      <c r="N53" s="47">
        <v>-18.983280000000001</v>
      </c>
    </row>
    <row r="54" spans="1:14" x14ac:dyDescent="0.35">
      <c r="A54" s="2">
        <v>43488</v>
      </c>
      <c r="B54" s="40">
        <v>2.6121854999999998</v>
      </c>
      <c r="C54" s="40">
        <v>-10.07756</v>
      </c>
      <c r="D54" s="40">
        <v>-11.777282</v>
      </c>
      <c r="E54" s="40">
        <v>-24.216187000000001</v>
      </c>
      <c r="F54" s="40">
        <v>-16.483450000000001</v>
      </c>
      <c r="G54" s="40">
        <v>-8.2753540000000001</v>
      </c>
      <c r="H54" s="40">
        <v>-14.361602</v>
      </c>
      <c r="I54" s="40">
        <v>-3.5240770000000001</v>
      </c>
      <c r="J54" s="40">
        <v>-5.2395287000000001</v>
      </c>
      <c r="K54" s="47">
        <v>-16.563611999999999</v>
      </c>
      <c r="L54" s="47">
        <v>-17.076236999999999</v>
      </c>
      <c r="M54" s="47">
        <v>-16.273827000000001</v>
      </c>
      <c r="N54" s="47">
        <v>-21.706372999999999</v>
      </c>
    </row>
    <row r="55" spans="1:14" x14ac:dyDescent="0.35">
      <c r="A55" s="2">
        <v>43518</v>
      </c>
      <c r="B55" s="40">
        <v>4.9894333</v>
      </c>
      <c r="C55" s="40">
        <v>-2.1521091000000001</v>
      </c>
      <c r="D55" s="40">
        <v>1.7521977</v>
      </c>
      <c r="E55" s="40">
        <v>-15.832692</v>
      </c>
      <c r="F55" s="40">
        <v>-8.6133959999999998</v>
      </c>
      <c r="G55" s="40">
        <v>-0.35425424999999999</v>
      </c>
      <c r="H55" s="40">
        <v>-3.5541832000000002</v>
      </c>
      <c r="I55" s="40">
        <v>5.8059215999999996</v>
      </c>
      <c r="J55" s="40">
        <v>5.2062749999999998</v>
      </c>
      <c r="K55" s="47">
        <v>-6.8349359999999999</v>
      </c>
      <c r="L55" s="47">
        <v>-5.9987902999999996</v>
      </c>
      <c r="M55" s="47">
        <v>-8.5839990000000004</v>
      </c>
      <c r="N55" s="47">
        <v>-13.236814499999999</v>
      </c>
    </row>
    <row r="56" spans="1:14" x14ac:dyDescent="0.35">
      <c r="A56" s="2">
        <v>43546</v>
      </c>
      <c r="B56" s="40">
        <v>5.7065844999999999</v>
      </c>
      <c r="C56" s="40">
        <v>1.4468312000000001</v>
      </c>
      <c r="D56" s="40">
        <v>2.3696660000000001</v>
      </c>
      <c r="E56" s="40">
        <v>-13.6100235</v>
      </c>
      <c r="F56" s="40">
        <v>-7.3922689999999998</v>
      </c>
      <c r="G56" s="40">
        <v>5.3870560000000003</v>
      </c>
      <c r="H56" s="40">
        <v>1.2677073000000001</v>
      </c>
      <c r="I56" s="40">
        <v>10.636198</v>
      </c>
      <c r="J56" s="40">
        <v>7.9753400000000001</v>
      </c>
      <c r="K56" s="47">
        <v>-3.4295857000000001</v>
      </c>
      <c r="L56" s="47">
        <v>-4.5025769999999996</v>
      </c>
      <c r="M56" s="47">
        <v>-3.7025749999999999</v>
      </c>
      <c r="N56" s="47">
        <v>-9.3471349999999997</v>
      </c>
    </row>
    <row r="57" spans="1:14" x14ac:dyDescent="0.35">
      <c r="A57" s="2">
        <v>43578</v>
      </c>
      <c r="B57" s="40">
        <v>13.082576</v>
      </c>
      <c r="C57" s="40">
        <v>4.9359679999999999</v>
      </c>
      <c r="D57" s="40">
        <v>5.1225185</v>
      </c>
      <c r="E57" s="40">
        <v>-10.839546</v>
      </c>
      <c r="F57" s="40">
        <v>-7.0650997000000002</v>
      </c>
      <c r="G57" s="40">
        <v>6.9319962999999998</v>
      </c>
      <c r="H57" s="40">
        <v>-2.2808134999999998</v>
      </c>
      <c r="I57" s="40">
        <v>18.579350999999999</v>
      </c>
      <c r="J57" s="40">
        <v>12.013541999999999</v>
      </c>
      <c r="K57" s="47">
        <v>-3.407848</v>
      </c>
      <c r="L57" s="47">
        <v>-1.2681007</v>
      </c>
      <c r="M57" s="47">
        <v>0.26009083</v>
      </c>
      <c r="N57" s="47">
        <v>-13.572269</v>
      </c>
    </row>
    <row r="58" spans="1:14" x14ac:dyDescent="0.35">
      <c r="A58" s="2">
        <v>43608</v>
      </c>
      <c r="B58" s="40">
        <v>12.432301000000001</v>
      </c>
      <c r="C58" s="40">
        <v>2.2072554000000002</v>
      </c>
      <c r="D58" s="40">
        <v>-2.9639183999999998</v>
      </c>
      <c r="E58" s="40">
        <v>-13.421530000000001</v>
      </c>
      <c r="F58" s="40">
        <v>-11.436158000000001</v>
      </c>
      <c r="G58" s="40">
        <v>8.8898899999999994</v>
      </c>
      <c r="H58" s="40">
        <v>-8.816141</v>
      </c>
      <c r="I58" s="40">
        <v>6.0159326000000002</v>
      </c>
      <c r="J58" s="40">
        <v>5.2257059999999997</v>
      </c>
      <c r="K58" s="47">
        <v>-7.7509284000000003</v>
      </c>
      <c r="L58" s="47">
        <v>-4.3602046999999997</v>
      </c>
      <c r="M58" s="47">
        <v>-7.7661275999999999</v>
      </c>
      <c r="N58" s="47">
        <v>-12.694019000000001</v>
      </c>
    </row>
    <row r="59" spans="1:14" x14ac:dyDescent="0.35">
      <c r="A59" s="2">
        <v>43637</v>
      </c>
      <c r="B59" s="40">
        <v>7.8069924999999998</v>
      </c>
      <c r="C59" s="40">
        <v>5.5072903999999996</v>
      </c>
      <c r="D59" s="40">
        <v>3.8697599999999999</v>
      </c>
      <c r="E59" s="40">
        <v>-5.9959707</v>
      </c>
      <c r="F59" s="40">
        <v>-5.4775895999999999</v>
      </c>
      <c r="G59" s="40">
        <v>19.175315999999999</v>
      </c>
      <c r="H59" s="40">
        <v>-2.3589551000000002</v>
      </c>
      <c r="I59" s="40">
        <v>8.0223449999999996</v>
      </c>
      <c r="J59" s="40">
        <v>9.3379019999999997</v>
      </c>
      <c r="K59" s="47">
        <v>2.9508470999999998</v>
      </c>
      <c r="L59" s="47">
        <v>2.6864528999999999</v>
      </c>
      <c r="M59" s="47">
        <v>3.3981322999999999</v>
      </c>
      <c r="N59" s="47">
        <v>0.64803359999999999</v>
      </c>
    </row>
    <row r="60" spans="1:14" x14ac:dyDescent="0.35">
      <c r="A60" s="2">
        <v>43669</v>
      </c>
      <c r="B60" s="40">
        <v>20.900738</v>
      </c>
      <c r="C60" s="40">
        <v>6.8243859999999996</v>
      </c>
      <c r="D60" s="40">
        <v>2.7764199999999999</v>
      </c>
      <c r="E60" s="40">
        <v>-7.4666379999999997</v>
      </c>
      <c r="F60" s="40">
        <v>-4.0303946000000002</v>
      </c>
      <c r="G60" s="40">
        <v>13.357687</v>
      </c>
      <c r="H60" s="40">
        <v>-2.5417447000000002</v>
      </c>
      <c r="I60" s="40">
        <v>8.8723069999999993</v>
      </c>
      <c r="J60" s="40">
        <v>9.2070690000000006</v>
      </c>
      <c r="K60" s="47">
        <v>1.4286041</v>
      </c>
      <c r="L60" s="47">
        <v>2.3070930999999999</v>
      </c>
      <c r="M60" s="47">
        <v>4.8518180000000001E-2</v>
      </c>
      <c r="N60" s="47">
        <v>1.1945724</v>
      </c>
    </row>
    <row r="61" spans="1:14" x14ac:dyDescent="0.35">
      <c r="A61" s="2">
        <v>43700</v>
      </c>
      <c r="B61" s="40">
        <v>9.5357894999999999</v>
      </c>
      <c r="C61" s="40">
        <v>9.3221663999999996E-2</v>
      </c>
      <c r="D61" s="40">
        <v>-2.4534642999999998</v>
      </c>
      <c r="E61" s="40">
        <v>-12.107593</v>
      </c>
      <c r="F61" s="40">
        <v>-6.4928590000000002</v>
      </c>
      <c r="G61" s="40">
        <v>9.2958809999999996</v>
      </c>
      <c r="H61" s="40">
        <v>-7.1037172999999996</v>
      </c>
      <c r="I61" s="40">
        <v>1.5864134000000001</v>
      </c>
      <c r="J61" s="40">
        <v>1.6537428000000001</v>
      </c>
      <c r="K61" s="47">
        <v>-4.1147229999999997</v>
      </c>
      <c r="L61" s="47">
        <v>-0.75718759999999996</v>
      </c>
      <c r="M61" s="47">
        <v>-9.3826180000000008</v>
      </c>
      <c r="N61" s="47">
        <v>-1.5424788</v>
      </c>
    </row>
    <row r="62" spans="1:14" x14ac:dyDescent="0.35">
      <c r="A62" s="2">
        <v>43731</v>
      </c>
      <c r="B62" s="40">
        <v>9.114706</v>
      </c>
      <c r="C62" s="40">
        <v>6.4563036</v>
      </c>
      <c r="D62" s="40">
        <v>2.9513717000000002</v>
      </c>
      <c r="E62" s="40">
        <v>-9.2199329999999993</v>
      </c>
      <c r="F62" s="40">
        <v>-3.6446393000000001</v>
      </c>
      <c r="G62" s="40">
        <v>9.0303780000000007</v>
      </c>
      <c r="H62" s="40">
        <v>-3.293866</v>
      </c>
      <c r="I62" s="40">
        <v>4.8172354999999998</v>
      </c>
      <c r="J62" s="40">
        <v>4.1730999999999998</v>
      </c>
      <c r="K62" s="47">
        <v>-2.1659373999999998</v>
      </c>
      <c r="L62" s="47">
        <v>5.0916195000000002</v>
      </c>
      <c r="M62" s="47">
        <v>-7.4363650000000003</v>
      </c>
      <c r="N62" s="47">
        <v>-0.67762730000000004</v>
      </c>
    </row>
    <row r="63" spans="1:14" x14ac:dyDescent="0.35">
      <c r="A63" s="2">
        <v>43761</v>
      </c>
      <c r="B63" s="40">
        <v>21.345388</v>
      </c>
      <c r="C63" s="40">
        <v>16.998123</v>
      </c>
      <c r="D63" s="40">
        <v>9.5727209999999996</v>
      </c>
      <c r="E63" s="40">
        <v>6.6460610000000004</v>
      </c>
      <c r="F63" s="40">
        <v>6.1492323999999998</v>
      </c>
      <c r="G63" s="40">
        <v>17.123497</v>
      </c>
      <c r="H63" s="40">
        <v>6.484604</v>
      </c>
      <c r="I63" s="40">
        <v>11.935449</v>
      </c>
      <c r="J63" s="40">
        <v>11.793577000000001</v>
      </c>
      <c r="K63" s="47">
        <v>10.781324</v>
      </c>
      <c r="L63" s="47">
        <v>16.746531999999998</v>
      </c>
      <c r="M63" s="47">
        <v>9.7390174999999992</v>
      </c>
      <c r="N63" s="47">
        <v>17.292463000000001</v>
      </c>
    </row>
    <row r="64" spans="1:14" x14ac:dyDescent="0.35">
      <c r="A64" s="2">
        <v>43791</v>
      </c>
      <c r="B64" s="40">
        <v>18.314147999999999</v>
      </c>
      <c r="C64" s="40">
        <v>15.7512665</v>
      </c>
      <c r="D64" s="40">
        <v>13.81743</v>
      </c>
      <c r="E64" s="40">
        <v>10.470188</v>
      </c>
      <c r="F64" s="40">
        <v>11.601089999999999</v>
      </c>
      <c r="G64" s="40">
        <v>20.772362000000001</v>
      </c>
      <c r="H64" s="40">
        <v>7.8861949999999998</v>
      </c>
      <c r="I64" s="40">
        <v>26.985764</v>
      </c>
      <c r="J64" s="40">
        <v>19.681560000000001</v>
      </c>
      <c r="K64" s="47">
        <v>16.972840000000001</v>
      </c>
      <c r="L64" s="47">
        <v>18.903518999999999</v>
      </c>
      <c r="M64" s="47">
        <v>14.660501500000001</v>
      </c>
      <c r="N64" s="47">
        <v>22.958935</v>
      </c>
    </row>
    <row r="65" spans="1:14" x14ac:dyDescent="0.35">
      <c r="A65" s="2">
        <v>43822</v>
      </c>
      <c r="B65" s="40">
        <v>32.189323000000002</v>
      </c>
      <c r="C65" s="40">
        <v>27.802277</v>
      </c>
      <c r="D65" s="40">
        <v>29.314232000000001</v>
      </c>
      <c r="E65" s="40">
        <v>20.776962000000001</v>
      </c>
      <c r="F65" s="40">
        <v>22.893547000000002</v>
      </c>
      <c r="G65" s="40">
        <v>34.545135000000002</v>
      </c>
      <c r="H65" s="40">
        <v>21.671151999999999</v>
      </c>
      <c r="I65" s="40">
        <v>45.137</v>
      </c>
      <c r="J65" s="40">
        <v>35.97728</v>
      </c>
      <c r="K65" s="47">
        <v>28.481017999999999</v>
      </c>
      <c r="L65" s="47">
        <v>34.157359999999997</v>
      </c>
      <c r="M65" s="47">
        <v>27.246642999999999</v>
      </c>
      <c r="N65" s="47">
        <v>29.758953000000002</v>
      </c>
    </row>
    <row r="66" spans="1:14" x14ac:dyDescent="0.35">
      <c r="A66" s="2">
        <v>43853</v>
      </c>
      <c r="B66" s="40">
        <v>26.008092999999999</v>
      </c>
      <c r="C66" s="40">
        <v>21.017026999999999</v>
      </c>
      <c r="D66" s="40">
        <v>19.644093000000002</v>
      </c>
      <c r="E66" s="40">
        <v>15.398323</v>
      </c>
      <c r="F66" s="40">
        <v>15.064537</v>
      </c>
      <c r="G66" s="40">
        <v>28.208673000000001</v>
      </c>
      <c r="H66" s="40">
        <v>14.215755</v>
      </c>
      <c r="I66" s="40">
        <v>39.647174999999997</v>
      </c>
      <c r="J66" s="40">
        <v>28.315532999999999</v>
      </c>
      <c r="K66" s="47">
        <v>22.639502</v>
      </c>
      <c r="L66" s="47">
        <v>25.944210000000002</v>
      </c>
      <c r="M66" s="47">
        <v>18.098557</v>
      </c>
      <c r="N66" s="47">
        <v>19.814109999999999</v>
      </c>
    </row>
    <row r="67" spans="1:14" x14ac:dyDescent="0.35">
      <c r="A67" s="2">
        <v>43882</v>
      </c>
      <c r="B67" s="40">
        <v>20.544280000000001</v>
      </c>
      <c r="C67" s="40">
        <v>12.439192</v>
      </c>
      <c r="D67" s="40">
        <v>12.868047000000001</v>
      </c>
      <c r="E67" s="40">
        <v>11.089600000000001</v>
      </c>
      <c r="F67" s="40">
        <v>5.9802055000000003</v>
      </c>
      <c r="G67" s="40">
        <v>24.647976</v>
      </c>
      <c r="H67" s="40">
        <v>5.4584979999999996</v>
      </c>
      <c r="I67" s="40">
        <v>35.278309999999998</v>
      </c>
      <c r="J67" s="40">
        <v>22.481881999999999</v>
      </c>
      <c r="K67" s="47">
        <v>13.915407</v>
      </c>
      <c r="L67" s="47">
        <v>18.452083999999999</v>
      </c>
      <c r="M67" s="47">
        <v>17.627144000000001</v>
      </c>
      <c r="N67" s="47">
        <v>16.861688999999998</v>
      </c>
    </row>
    <row r="68" spans="1:14" x14ac:dyDescent="0.35">
      <c r="A68" s="2">
        <v>43913</v>
      </c>
      <c r="B68" s="40">
        <v>-23.770659999999999</v>
      </c>
      <c r="C68" s="40">
        <v>-37.148243000000001</v>
      </c>
      <c r="D68" s="40">
        <v>-34.203029999999998</v>
      </c>
      <c r="E68" s="40">
        <v>-28.5733</v>
      </c>
      <c r="F68" s="40">
        <v>-16.027533999999999</v>
      </c>
      <c r="G68" s="40">
        <v>-10.448741999999999</v>
      </c>
      <c r="H68" s="40">
        <v>-37.750100000000003</v>
      </c>
      <c r="I68" s="40">
        <v>-3.7209509999999999</v>
      </c>
      <c r="J68" s="40">
        <v>-18.508112000000001</v>
      </c>
      <c r="K68" s="47">
        <v>-28.051727</v>
      </c>
      <c r="L68" s="47">
        <v>-19.621341999999999</v>
      </c>
      <c r="M68" s="47">
        <v>-25.86326</v>
      </c>
      <c r="N68" s="47">
        <v>-28.792636999999999</v>
      </c>
    </row>
    <row r="69" spans="1:14" x14ac:dyDescent="0.35">
      <c r="A69" s="2">
        <v>43944</v>
      </c>
      <c r="B69" s="40">
        <v>-4.1531982000000003</v>
      </c>
      <c r="C69" s="40">
        <v>-23.808288999999998</v>
      </c>
      <c r="D69" s="40">
        <v>-17.546182999999999</v>
      </c>
      <c r="E69" s="40">
        <v>-20.114511</v>
      </c>
      <c r="F69" s="40">
        <v>-7.0254564000000004</v>
      </c>
      <c r="G69" s="40">
        <v>3.2818079999999998</v>
      </c>
      <c r="H69" s="40">
        <v>-25.041836</v>
      </c>
      <c r="I69" s="40">
        <v>11.564291000000001</v>
      </c>
      <c r="J69" s="40">
        <v>-2.7389228000000001</v>
      </c>
      <c r="K69" s="47">
        <v>-22.308904999999999</v>
      </c>
      <c r="L69" s="47">
        <v>-10.00306</v>
      </c>
      <c r="M69" s="47">
        <v>-16.031790000000001</v>
      </c>
      <c r="N69" s="47">
        <v>-27.052385000000001</v>
      </c>
    </row>
    <row r="70" spans="1:14" x14ac:dyDescent="0.35">
      <c r="A70" s="2">
        <v>43973</v>
      </c>
      <c r="B70" s="40">
        <v>0.28111934999999999</v>
      </c>
      <c r="C70" s="40">
        <v>-18.186872000000001</v>
      </c>
      <c r="D70" s="40">
        <v>-10.991669</v>
      </c>
      <c r="E70" s="40">
        <v>-10.645818999999999</v>
      </c>
      <c r="F70" s="40">
        <v>0.84265469999999998</v>
      </c>
      <c r="G70" s="40">
        <v>5.2081226999999997</v>
      </c>
      <c r="H70" s="40">
        <v>-19.565695000000002</v>
      </c>
      <c r="I70" s="40">
        <v>27.953517999999999</v>
      </c>
      <c r="J70" s="40">
        <v>5.5760860000000001</v>
      </c>
      <c r="K70" s="47">
        <v>-16.484451</v>
      </c>
      <c r="L70" s="47">
        <v>-0.20388961</v>
      </c>
      <c r="M70" s="47">
        <v>-3.2004535000000001</v>
      </c>
      <c r="N70" s="47">
        <v>-19.51313</v>
      </c>
    </row>
    <row r="71" spans="1:14" x14ac:dyDescent="0.35">
      <c r="A71" s="2">
        <v>44005</v>
      </c>
      <c r="B71" s="40">
        <v>9.2977159999999994</v>
      </c>
      <c r="C71" s="40">
        <v>-9.4566344999999998</v>
      </c>
      <c r="D71" s="40">
        <v>-6.8459805999999999</v>
      </c>
      <c r="E71" s="40">
        <v>0.13289451999999999</v>
      </c>
      <c r="F71" s="40">
        <v>5.9319496000000003</v>
      </c>
      <c r="G71" s="40">
        <v>6.8536042999999998</v>
      </c>
      <c r="H71" s="40">
        <v>-15.116489</v>
      </c>
      <c r="I71" s="40">
        <v>33.317492999999999</v>
      </c>
      <c r="J71" s="40">
        <v>8.2892890000000001</v>
      </c>
      <c r="K71" s="47">
        <v>-8.6331129999999998</v>
      </c>
      <c r="L71" s="47">
        <v>9.1187000000000005</v>
      </c>
      <c r="M71" s="47">
        <v>3.7590623000000001</v>
      </c>
      <c r="N71" s="47">
        <v>-9.4125510000000006</v>
      </c>
    </row>
    <row r="72" spans="1:14" x14ac:dyDescent="0.35">
      <c r="A72" s="2">
        <v>44035</v>
      </c>
      <c r="B72" s="40">
        <v>7.6244472999999999</v>
      </c>
      <c r="C72" s="40">
        <v>-8.4741710000000001</v>
      </c>
      <c r="D72" s="40">
        <v>-4.0356755</v>
      </c>
      <c r="E72" s="40">
        <v>6.9072842999999997</v>
      </c>
      <c r="F72" s="40">
        <v>3.2925247999999998</v>
      </c>
      <c r="G72" s="40">
        <v>11.085272</v>
      </c>
      <c r="H72" s="40">
        <v>-15.461195</v>
      </c>
      <c r="I72" s="40">
        <v>34.210540000000002</v>
      </c>
      <c r="J72" s="40">
        <v>9.8228340000000003</v>
      </c>
      <c r="K72" s="47">
        <v>-5.5496397000000002</v>
      </c>
      <c r="L72" s="47">
        <v>11.55945</v>
      </c>
      <c r="M72" s="47">
        <v>15.492236999999999</v>
      </c>
      <c r="N72" s="47">
        <v>-6.1218320000000004</v>
      </c>
    </row>
    <row r="73" spans="1:14" x14ac:dyDescent="0.35">
      <c r="A73" s="2">
        <v>44064</v>
      </c>
      <c r="B73" s="40">
        <v>15.795172000000001</v>
      </c>
      <c r="C73" s="40">
        <v>-0.4047811</v>
      </c>
      <c r="D73" s="40">
        <v>4.038799</v>
      </c>
      <c r="E73" s="40">
        <v>14.0456915</v>
      </c>
      <c r="F73" s="40">
        <v>9.8962420000000009</v>
      </c>
      <c r="G73" s="40">
        <v>13.763344</v>
      </c>
      <c r="H73" s="40">
        <v>-8.8751549999999995</v>
      </c>
      <c r="I73" s="40">
        <v>50.632786000000003</v>
      </c>
      <c r="J73" s="40">
        <v>18.432580000000002</v>
      </c>
      <c r="K73" s="47">
        <v>-0.99000929999999998</v>
      </c>
      <c r="L73" s="47">
        <v>16.397880000000001</v>
      </c>
      <c r="M73" s="47">
        <v>25.651109999999999</v>
      </c>
      <c r="N73" s="47">
        <v>-0.76788069999999997</v>
      </c>
    </row>
    <row r="74" spans="1:14" x14ac:dyDescent="0.35">
      <c r="A74" s="2">
        <v>44097</v>
      </c>
      <c r="B74" s="40">
        <v>10.989845000000001</v>
      </c>
      <c r="C74" s="40">
        <v>-9.5199949999999998</v>
      </c>
      <c r="D74" s="40">
        <v>-5.5807232999999998</v>
      </c>
      <c r="E74" s="40">
        <v>6.7269920000000001</v>
      </c>
      <c r="F74" s="40">
        <v>5.6025862999999996</v>
      </c>
      <c r="G74" s="40">
        <v>10.447846999999999</v>
      </c>
      <c r="H74" s="40">
        <v>-17.719512999999999</v>
      </c>
      <c r="I74" s="40">
        <v>39.703879999999998</v>
      </c>
      <c r="J74" s="40">
        <v>10.318970999999999</v>
      </c>
      <c r="K74" s="47">
        <v>-8.2474410000000002</v>
      </c>
      <c r="L74" s="47">
        <v>9.1347810000000003</v>
      </c>
      <c r="M74" s="47">
        <v>16.964663000000002</v>
      </c>
      <c r="N74" s="47">
        <v>-11.102873000000001</v>
      </c>
    </row>
    <row r="75" spans="1:14" x14ac:dyDescent="0.35">
      <c r="A75" s="2">
        <v>44127</v>
      </c>
      <c r="B75" s="40">
        <v>20.845043</v>
      </c>
      <c r="C75" s="40">
        <v>-4.4510784000000001</v>
      </c>
      <c r="D75" s="40">
        <v>7.6341629999999994E-2</v>
      </c>
      <c r="E75" s="40">
        <v>4.6007037000000004</v>
      </c>
      <c r="F75" s="40">
        <v>4.1234374000000003</v>
      </c>
      <c r="G75" s="40">
        <v>11.945332000000001</v>
      </c>
      <c r="H75" s="40">
        <v>-17.843686999999999</v>
      </c>
      <c r="I75" s="40">
        <v>49.240364</v>
      </c>
      <c r="J75" s="40">
        <v>17.572711999999999</v>
      </c>
      <c r="K75" s="47">
        <v>-4.5535207</v>
      </c>
      <c r="L75" s="47">
        <v>14.663542</v>
      </c>
      <c r="M75" s="47">
        <v>18.484317999999998</v>
      </c>
      <c r="N75" s="47">
        <v>-10.412902000000001</v>
      </c>
    </row>
    <row r="76" spans="1:14" x14ac:dyDescent="0.35">
      <c r="A76" s="2">
        <v>44158</v>
      </c>
      <c r="B76" s="40">
        <v>23.151339</v>
      </c>
      <c r="C76" s="40">
        <v>4.8908829999999996</v>
      </c>
      <c r="D76" s="40">
        <v>3.7117003999999998</v>
      </c>
      <c r="E76" s="40">
        <v>5.4527640000000002</v>
      </c>
      <c r="F76" s="40">
        <v>10.919655000000001</v>
      </c>
      <c r="G76" s="40">
        <v>11.880672000000001</v>
      </c>
      <c r="H76" s="40">
        <v>-9.2858079999999994</v>
      </c>
      <c r="I76" s="40">
        <v>44.954715999999998</v>
      </c>
      <c r="J76" s="40">
        <v>17.213356000000001</v>
      </c>
      <c r="K76" s="47">
        <v>2.8723478</v>
      </c>
      <c r="L76" s="47">
        <v>19.796275999999999</v>
      </c>
      <c r="M76" s="47">
        <v>24.841415000000001</v>
      </c>
      <c r="N76" s="47">
        <v>-1.7793833999999999</v>
      </c>
    </row>
    <row r="77" spans="1:14" x14ac:dyDescent="0.35">
      <c r="A77" s="2">
        <v>44188</v>
      </c>
      <c r="B77" s="40">
        <v>18.814505</v>
      </c>
      <c r="C77" s="40">
        <v>8.2228899999999996</v>
      </c>
      <c r="D77" s="40">
        <v>6.723249</v>
      </c>
      <c r="E77" s="40">
        <v>10.827661000000001</v>
      </c>
      <c r="F77" s="40">
        <v>11.846315000000001</v>
      </c>
      <c r="G77" s="40">
        <v>9.9390140000000002</v>
      </c>
      <c r="H77" s="40">
        <v>-10.247605999999999</v>
      </c>
      <c r="I77" s="40">
        <v>46.545887</v>
      </c>
      <c r="J77" s="40">
        <v>16.607285000000001</v>
      </c>
      <c r="K77" s="47">
        <v>3.5488247999999998</v>
      </c>
      <c r="L77" s="47">
        <v>23.678374999999999</v>
      </c>
      <c r="M77" s="47">
        <v>21.088944999999999</v>
      </c>
      <c r="N77" s="47">
        <v>1.0918021</v>
      </c>
    </row>
    <row r="78" spans="1:14" x14ac:dyDescent="0.35">
      <c r="A78" s="2">
        <v>44218</v>
      </c>
      <c r="B78" s="40">
        <v>19.308388000000001</v>
      </c>
      <c r="C78" s="40">
        <v>8.4947700000000008</v>
      </c>
      <c r="D78" s="40">
        <v>6.3373210000000002</v>
      </c>
      <c r="E78" s="40">
        <v>11.795282</v>
      </c>
      <c r="F78" s="40">
        <v>17.387522000000001</v>
      </c>
      <c r="G78" s="40">
        <v>11.248087999999999</v>
      </c>
      <c r="H78" s="40">
        <v>-7.1736217</v>
      </c>
      <c r="I78" s="40">
        <v>46.398223999999999</v>
      </c>
      <c r="J78" s="40">
        <v>17.754363999999999</v>
      </c>
      <c r="K78" s="47">
        <v>4.2979716999999997</v>
      </c>
      <c r="L78" s="47">
        <v>32.136153999999998</v>
      </c>
      <c r="M78" s="47">
        <v>28.279709</v>
      </c>
      <c r="N78" s="47">
        <v>1.7071605000000001</v>
      </c>
    </row>
    <row r="79" spans="1:14" x14ac:dyDescent="0.35">
      <c r="A79" s="2">
        <v>44250</v>
      </c>
      <c r="B79" s="40">
        <v>14.70058</v>
      </c>
      <c r="C79" s="40">
        <v>15.305400000000001</v>
      </c>
      <c r="D79" s="40">
        <v>10.384237000000001</v>
      </c>
      <c r="E79" s="40">
        <v>13.656998</v>
      </c>
      <c r="F79" s="40">
        <v>26.893509000000002</v>
      </c>
      <c r="G79" s="40">
        <v>6.3593507000000002</v>
      </c>
      <c r="H79" s="40">
        <v>-1.5287042</v>
      </c>
      <c r="I79" s="40">
        <v>40.606056000000002</v>
      </c>
      <c r="J79" s="40">
        <v>18.410456</v>
      </c>
      <c r="K79" s="47">
        <v>8.9688540000000003</v>
      </c>
      <c r="L79" s="47">
        <v>33.799232000000003</v>
      </c>
      <c r="M79" s="47">
        <v>29.137146000000001</v>
      </c>
      <c r="N79" s="47">
        <v>3.8347601999999998</v>
      </c>
    </row>
    <row r="80" spans="1:14" x14ac:dyDescent="0.35">
      <c r="A80" s="2">
        <v>44278</v>
      </c>
      <c r="B80" s="40">
        <v>69.068695000000005</v>
      </c>
      <c r="C80" s="40">
        <v>95.985749999999996</v>
      </c>
      <c r="D80" s="40">
        <v>96.197495000000004</v>
      </c>
      <c r="E80" s="40">
        <v>82.176186000000001</v>
      </c>
      <c r="F80" s="40">
        <v>56.805027000000003</v>
      </c>
      <c r="G80" s="40">
        <v>48.636172999999999</v>
      </c>
      <c r="H80" s="40">
        <v>61.225783999999997</v>
      </c>
      <c r="I80" s="40">
        <v>87.257890000000003</v>
      </c>
      <c r="J80" s="40">
        <v>77.521479999999997</v>
      </c>
      <c r="K80" s="47">
        <v>70.350160000000002</v>
      </c>
      <c r="L80" s="47">
        <v>94.958519999999993</v>
      </c>
      <c r="M80" s="47">
        <v>107.77383</v>
      </c>
      <c r="N80" s="47">
        <v>67.437449999999998</v>
      </c>
    </row>
    <row r="81" spans="1:14" x14ac:dyDescent="0.35">
      <c r="A81" s="2">
        <v>44309</v>
      </c>
      <c r="B81" s="40">
        <v>36.750529999999998</v>
      </c>
      <c r="C81" s="40">
        <v>66.904769999999999</v>
      </c>
      <c r="D81" s="40">
        <v>55.021296999999997</v>
      </c>
      <c r="E81" s="40">
        <v>61.735474000000004</v>
      </c>
      <c r="F81" s="40">
        <v>38.469169999999998</v>
      </c>
      <c r="G81" s="40">
        <v>32.070540000000001</v>
      </c>
      <c r="H81" s="40">
        <v>37.045990000000003</v>
      </c>
      <c r="I81" s="40">
        <v>62.235570000000003</v>
      </c>
      <c r="J81" s="40">
        <v>51.735570000000003</v>
      </c>
      <c r="K81" s="47">
        <v>61.312232999999999</v>
      </c>
      <c r="L81" s="47">
        <v>81.458709999999996</v>
      </c>
      <c r="M81" s="47">
        <v>83.67765</v>
      </c>
      <c r="N81" s="47">
        <v>65.299499999999995</v>
      </c>
    </row>
    <row r="82" spans="1:14" x14ac:dyDescent="0.35">
      <c r="A82" s="2">
        <v>44337</v>
      </c>
      <c r="B82" s="40">
        <v>27.468109999999999</v>
      </c>
      <c r="C82" s="40">
        <v>54.959023000000002</v>
      </c>
      <c r="D82" s="40">
        <v>56.362212999999997</v>
      </c>
      <c r="E82" s="40">
        <v>50.698790000000002</v>
      </c>
      <c r="F82" s="40">
        <v>30.689990999999999</v>
      </c>
      <c r="G82" s="40">
        <v>29.960940999999998</v>
      </c>
      <c r="H82" s="40">
        <v>37.884307999999997</v>
      </c>
      <c r="I82" s="40">
        <v>43.771970000000003</v>
      </c>
      <c r="J82" s="40">
        <v>42.985120000000002</v>
      </c>
      <c r="K82" s="47">
        <v>61.212966999999999</v>
      </c>
      <c r="L82" s="47">
        <v>66.764949999999999</v>
      </c>
      <c r="M82" s="47">
        <v>72.496055999999996</v>
      </c>
      <c r="N82" s="47">
        <v>63.216186999999998</v>
      </c>
    </row>
    <row r="83" spans="1:14" x14ac:dyDescent="0.35">
      <c r="A83" s="2">
        <v>44370</v>
      </c>
      <c r="B83" s="40">
        <v>13.268827999999999</v>
      </c>
      <c r="C83" s="40">
        <v>37.161340000000003</v>
      </c>
      <c r="D83" s="40">
        <v>46.900115999999997</v>
      </c>
      <c r="E83" s="40">
        <v>29.520966000000001</v>
      </c>
      <c r="F83" s="40">
        <v>20.725118999999999</v>
      </c>
      <c r="G83" s="40">
        <v>25.867546000000001</v>
      </c>
      <c r="H83" s="40">
        <v>28.510082000000001</v>
      </c>
      <c r="I83" s="40">
        <v>40.536952999999997</v>
      </c>
      <c r="J83" s="40">
        <v>37.459816000000004</v>
      </c>
      <c r="K83" s="47">
        <v>40.386879999999998</v>
      </c>
      <c r="L83" s="47">
        <v>46.913147000000002</v>
      </c>
      <c r="M83" s="47">
        <v>52.155830000000002</v>
      </c>
      <c r="N83" s="47">
        <v>34.800956999999997</v>
      </c>
    </row>
    <row r="84" spans="1:14" x14ac:dyDescent="0.35">
      <c r="A84" s="2">
        <v>44400</v>
      </c>
      <c r="B84" s="40">
        <v>8.3216549999999998</v>
      </c>
      <c r="C84" s="40">
        <v>31.317543000000001</v>
      </c>
      <c r="D84" s="40">
        <v>39.187385999999996</v>
      </c>
      <c r="E84" s="40">
        <v>21.366001000000001</v>
      </c>
      <c r="F84" s="40">
        <v>22.805655000000002</v>
      </c>
      <c r="G84" s="40">
        <v>22.588706999999999</v>
      </c>
      <c r="H84" s="40">
        <v>26.530493</v>
      </c>
      <c r="I84" s="40">
        <v>43.516993999999997</v>
      </c>
      <c r="J84" s="40">
        <v>38.265906999999999</v>
      </c>
      <c r="K84" s="47">
        <v>33.696114000000001</v>
      </c>
      <c r="L84" s="47">
        <v>43.169930000000001</v>
      </c>
      <c r="M84" s="47">
        <v>43.077860000000001</v>
      </c>
      <c r="N84" s="47">
        <v>26.188922999999999</v>
      </c>
    </row>
    <row r="85" spans="1:14" x14ac:dyDescent="0.35">
      <c r="A85" s="2">
        <v>44431</v>
      </c>
      <c r="B85" s="40">
        <v>6.9705130000000004</v>
      </c>
      <c r="C85" s="40">
        <v>26.973927</v>
      </c>
      <c r="D85" s="40">
        <v>33.419384000000001</v>
      </c>
      <c r="E85" s="40">
        <v>21.850239999999999</v>
      </c>
      <c r="F85" s="40">
        <v>18.559895999999998</v>
      </c>
      <c r="G85" s="40">
        <v>24.764215</v>
      </c>
      <c r="H85" s="40">
        <v>27.724610999999999</v>
      </c>
      <c r="I85" s="40">
        <v>33.163069999999998</v>
      </c>
      <c r="J85" s="40">
        <v>33.726129999999998</v>
      </c>
      <c r="K85" s="47">
        <v>35.407684000000003</v>
      </c>
      <c r="L85" s="47">
        <v>49.431289999999997</v>
      </c>
      <c r="M85" s="47">
        <v>40.658639999999998</v>
      </c>
      <c r="N85" s="47">
        <v>31.054592</v>
      </c>
    </row>
    <row r="86" spans="1:14" x14ac:dyDescent="0.35">
      <c r="A86" s="2">
        <v>44462</v>
      </c>
      <c r="B86" s="40">
        <v>16.799472999999999</v>
      </c>
      <c r="C86" s="40">
        <v>33.745193</v>
      </c>
      <c r="D86" s="40">
        <v>40.442444000000002</v>
      </c>
      <c r="E86" s="40">
        <v>23.836279000000001</v>
      </c>
      <c r="F86" s="40">
        <v>25.183308</v>
      </c>
      <c r="G86" s="40">
        <v>21.460867</v>
      </c>
      <c r="H86" s="40">
        <v>34.653725000000001</v>
      </c>
      <c r="I86" s="40">
        <v>41.950189999999999</v>
      </c>
      <c r="J86" s="40">
        <v>39.309193</v>
      </c>
      <c r="K86" s="47">
        <v>43.699370000000002</v>
      </c>
      <c r="L86" s="47">
        <v>57.546509999999998</v>
      </c>
      <c r="M86" s="47">
        <v>42.232548000000001</v>
      </c>
      <c r="N86" s="47">
        <v>38.90034</v>
      </c>
    </row>
    <row r="87" spans="1:14" x14ac:dyDescent="0.35">
      <c r="A87" s="2">
        <v>44491</v>
      </c>
      <c r="B87" s="40">
        <v>5.1693916</v>
      </c>
      <c r="C87" s="40">
        <v>30.913043999999999</v>
      </c>
      <c r="D87" s="40">
        <v>43.831764</v>
      </c>
      <c r="E87" s="40">
        <v>19.419086</v>
      </c>
      <c r="F87" s="40">
        <v>16.740835000000001</v>
      </c>
      <c r="G87" s="40">
        <v>22.529565999999999</v>
      </c>
      <c r="H87" s="40">
        <v>36.037660000000002</v>
      </c>
      <c r="I87" s="40">
        <v>32.346269999999997</v>
      </c>
      <c r="J87" s="40">
        <v>33.353127000000001</v>
      </c>
      <c r="K87" s="47">
        <v>38.172935000000003</v>
      </c>
      <c r="L87" s="47">
        <v>47.550846</v>
      </c>
      <c r="M87" s="47">
        <v>38.644385999999997</v>
      </c>
      <c r="N87" s="47">
        <v>38.00423</v>
      </c>
    </row>
    <row r="88" spans="1:14" x14ac:dyDescent="0.35">
      <c r="A88" s="2">
        <v>44523</v>
      </c>
      <c r="B88" s="40">
        <v>-5.2430925000000004</v>
      </c>
      <c r="C88" s="40">
        <v>14.895916</v>
      </c>
      <c r="D88" s="40">
        <v>33.657240000000002</v>
      </c>
      <c r="E88" s="40">
        <v>13.78088</v>
      </c>
      <c r="F88" s="40">
        <v>8.700132</v>
      </c>
      <c r="G88" s="40">
        <v>18.948495999999999</v>
      </c>
      <c r="H88" s="40">
        <v>19.380533</v>
      </c>
      <c r="I88" s="40">
        <v>37.610349999999997</v>
      </c>
      <c r="J88" s="40">
        <v>32.834994999999999</v>
      </c>
      <c r="K88" s="47">
        <v>23.430931000000001</v>
      </c>
      <c r="L88" s="47">
        <v>33.210900000000002</v>
      </c>
      <c r="M88" s="47">
        <v>23.184072</v>
      </c>
      <c r="N88" s="47">
        <v>19.590927000000001</v>
      </c>
    </row>
    <row r="89" spans="1:14" x14ac:dyDescent="0.35">
      <c r="A89" s="2">
        <v>44553</v>
      </c>
      <c r="B89" s="40">
        <v>-9.9784140000000008</v>
      </c>
      <c r="C89" s="40">
        <v>8.8329909999999998</v>
      </c>
      <c r="D89" s="40">
        <v>25.090050000000002</v>
      </c>
      <c r="E89" s="40">
        <v>5.3040504000000004</v>
      </c>
      <c r="F89" s="40">
        <v>4.1419864000000004</v>
      </c>
      <c r="G89" s="40">
        <v>21.194696</v>
      </c>
      <c r="H89" s="40">
        <v>17.047713999999999</v>
      </c>
      <c r="I89" s="40">
        <v>29.40756</v>
      </c>
      <c r="J89" s="40">
        <v>29.753077000000001</v>
      </c>
      <c r="K89" s="47">
        <v>20.410622</v>
      </c>
      <c r="L89" s="47">
        <v>21.975017999999999</v>
      </c>
      <c r="M89" s="47">
        <v>21.191680000000002</v>
      </c>
      <c r="N89" s="47">
        <v>13.146055</v>
      </c>
    </row>
    <row r="90" spans="1:14" x14ac:dyDescent="0.35">
      <c r="A90" s="2">
        <v>44582</v>
      </c>
      <c r="B90" s="40">
        <v>-17.388104999999999</v>
      </c>
      <c r="C90" s="40">
        <v>-1.7044127</v>
      </c>
      <c r="D90" s="40">
        <v>19.529402000000001</v>
      </c>
      <c r="E90" s="40">
        <v>0.78982114999999997</v>
      </c>
      <c r="F90" s="40">
        <v>-4.4038352999999999</v>
      </c>
      <c r="G90" s="40">
        <v>11.046350500000001</v>
      </c>
      <c r="H90" s="40">
        <v>13.883661999999999</v>
      </c>
      <c r="I90" s="40">
        <v>8.2810400000000008</v>
      </c>
      <c r="J90" s="40">
        <v>15.520096000000001</v>
      </c>
      <c r="K90" s="47">
        <v>17.296742999999999</v>
      </c>
      <c r="L90" s="47">
        <v>6.6034554999999999</v>
      </c>
      <c r="M90" s="47">
        <v>5.8457613000000004</v>
      </c>
      <c r="N90" s="47">
        <v>11.726927999999999</v>
      </c>
    </row>
    <row r="91" spans="1:14" x14ac:dyDescent="0.35">
      <c r="A91" s="2">
        <v>44615</v>
      </c>
      <c r="B91" s="40">
        <v>-13.696331000000001</v>
      </c>
      <c r="C91" s="40">
        <v>-1.6789913000000001</v>
      </c>
      <c r="D91" s="40">
        <v>14.927376000000001</v>
      </c>
      <c r="E91" s="40">
        <v>-4.9631176000000004</v>
      </c>
      <c r="F91" s="40">
        <v>-10.204095000000001</v>
      </c>
      <c r="G91" s="40">
        <v>11.039733999999999</v>
      </c>
      <c r="H91" s="40">
        <v>13.618565</v>
      </c>
      <c r="I91" s="40">
        <v>2.963984</v>
      </c>
      <c r="J91" s="40">
        <v>10.35577</v>
      </c>
      <c r="K91" s="47">
        <v>9.3249440000000003</v>
      </c>
      <c r="L91" s="47">
        <v>-2.9388964</v>
      </c>
      <c r="M91" s="47">
        <v>-5.7659625999999999</v>
      </c>
      <c r="N91" s="47">
        <v>5.7786344999999999</v>
      </c>
    </row>
    <row r="92" spans="1:14" x14ac:dyDescent="0.35">
      <c r="A92" s="2">
        <v>44643</v>
      </c>
      <c r="B92" s="40">
        <v>-7.3813677000000002</v>
      </c>
      <c r="C92" s="40">
        <v>11.2959385</v>
      </c>
      <c r="D92" s="40">
        <v>20.579778999999998</v>
      </c>
      <c r="E92" s="40">
        <v>-12.761366000000001</v>
      </c>
      <c r="F92" s="40">
        <v>-8.4056909999999991</v>
      </c>
      <c r="G92" s="40">
        <v>10.476136</v>
      </c>
      <c r="H92" s="40">
        <v>13.255751</v>
      </c>
      <c r="I92" s="40">
        <v>11.445259999999999</v>
      </c>
      <c r="J92" s="40">
        <v>15.450454000000001</v>
      </c>
      <c r="K92" s="47">
        <v>4.3970585</v>
      </c>
      <c r="L92" s="47">
        <v>-4.8930350000000002</v>
      </c>
      <c r="M92" s="47">
        <v>-6.5183935000000002</v>
      </c>
      <c r="N92" s="47">
        <v>-5.4049373000000003</v>
      </c>
    </row>
    <row r="93" spans="1:14" x14ac:dyDescent="0.35">
      <c r="A93" s="2">
        <v>44673</v>
      </c>
      <c r="B93" s="40">
        <v>-17.501145999999999</v>
      </c>
      <c r="C93" s="40">
        <v>2.5348066999999999</v>
      </c>
      <c r="D93" s="40">
        <v>11.752594</v>
      </c>
      <c r="E93" s="40">
        <v>-20.216346999999999</v>
      </c>
      <c r="F93" s="40">
        <v>-15.186310000000001</v>
      </c>
      <c r="G93" s="40">
        <v>4.0039540000000002</v>
      </c>
      <c r="H93" s="40">
        <v>6.8211554999999997</v>
      </c>
      <c r="I93" s="40">
        <v>-2.455479</v>
      </c>
      <c r="J93" s="40">
        <v>4.7091246</v>
      </c>
      <c r="K93" s="47">
        <v>-3.5121918000000001</v>
      </c>
      <c r="L93" s="47">
        <v>-15.550852000000001</v>
      </c>
      <c r="M93" s="47">
        <v>-14.718431000000001</v>
      </c>
      <c r="N93" s="47">
        <v>-8.4806740000000005</v>
      </c>
    </row>
    <row r="94" spans="1:14" x14ac:dyDescent="0.35">
      <c r="A94" s="2">
        <v>44704</v>
      </c>
      <c r="B94" s="40">
        <v>-21.064865000000001</v>
      </c>
      <c r="C94" s="40">
        <v>-2.7027130000000001</v>
      </c>
      <c r="D94" s="40">
        <v>0.68799259999999995</v>
      </c>
      <c r="E94" s="40">
        <v>-23.029709</v>
      </c>
      <c r="F94" s="40">
        <v>-13.390237000000001</v>
      </c>
      <c r="G94" s="40">
        <v>-5.5785894000000003</v>
      </c>
      <c r="H94" s="40">
        <v>1.1194824999999999</v>
      </c>
      <c r="I94" s="40">
        <v>-9.8207109999999993</v>
      </c>
      <c r="J94" s="40">
        <v>-3.0755102999999999</v>
      </c>
      <c r="K94" s="47">
        <v>-9.5585710000000006</v>
      </c>
      <c r="L94" s="47">
        <v>-20.765066000000001</v>
      </c>
      <c r="M94" s="47">
        <v>-21.499030999999999</v>
      </c>
      <c r="N94" s="47">
        <v>-12.616146000000001</v>
      </c>
    </row>
    <row r="95" spans="1:14" x14ac:dyDescent="0.35">
      <c r="A95" s="2">
        <v>44735</v>
      </c>
      <c r="B95" s="40">
        <v>-24.724955000000001</v>
      </c>
      <c r="C95" s="40">
        <v>-13.848805</v>
      </c>
      <c r="D95" s="40">
        <v>-10.081137</v>
      </c>
      <c r="E95" s="40">
        <v>-29.765743000000001</v>
      </c>
      <c r="F95" s="40">
        <v>-20.199615000000001</v>
      </c>
      <c r="G95" s="40">
        <v>-15.800547999999999</v>
      </c>
      <c r="H95" s="40">
        <v>-6.6772340000000003</v>
      </c>
      <c r="I95" s="40">
        <v>-17.630784999999999</v>
      </c>
      <c r="J95" s="40">
        <v>-9.2645169999999997</v>
      </c>
      <c r="K95" s="47">
        <v>-16.871334000000001</v>
      </c>
      <c r="L95" s="47">
        <v>-27.713663</v>
      </c>
      <c r="M95" s="47">
        <v>-29.67559</v>
      </c>
      <c r="N95" s="47">
        <v>-21.33972</v>
      </c>
    </row>
    <row r="96" spans="1:14" x14ac:dyDescent="0.35">
      <c r="A96" s="2">
        <v>44764</v>
      </c>
      <c r="B96" s="40">
        <v>-22.723877000000002</v>
      </c>
      <c r="C96" s="40">
        <v>-9.4867469999999994</v>
      </c>
      <c r="D96" s="40">
        <v>-6.2345623999999997</v>
      </c>
      <c r="E96" s="40">
        <v>-30.535924999999999</v>
      </c>
      <c r="F96" s="40">
        <v>-17.071379</v>
      </c>
      <c r="G96" s="40">
        <v>-12.055759999999999</v>
      </c>
      <c r="H96" s="40">
        <v>-3.5599470000000002</v>
      </c>
      <c r="I96" s="40">
        <v>-16.563880000000001</v>
      </c>
      <c r="J96" s="40">
        <v>-7.9775809999999998</v>
      </c>
      <c r="K96" s="47">
        <v>-13.685465000000001</v>
      </c>
      <c r="L96" s="47">
        <v>-23.589652999999998</v>
      </c>
      <c r="M96" s="47">
        <v>-27.850538</v>
      </c>
      <c r="N96" s="47">
        <v>-23.823153999999999</v>
      </c>
    </row>
    <row r="97" spans="1:14" x14ac:dyDescent="0.35">
      <c r="A97" s="2">
        <v>44796</v>
      </c>
      <c r="B97" s="40">
        <v>-20.237874999999999</v>
      </c>
      <c r="C97" s="40">
        <v>-6.2243579999999996</v>
      </c>
      <c r="D97" s="40">
        <v>-2.8309166000000001</v>
      </c>
      <c r="E97" s="40">
        <v>-33.977490000000003</v>
      </c>
      <c r="F97" s="40">
        <v>-16.390454999999999</v>
      </c>
      <c r="G97" s="40">
        <v>-16.641462000000001</v>
      </c>
      <c r="H97" s="40">
        <v>-3.5613655999999998</v>
      </c>
      <c r="I97" s="40">
        <v>-15.375775000000001</v>
      </c>
      <c r="J97" s="40">
        <v>-6.4913454000000002</v>
      </c>
      <c r="K97" s="47">
        <v>-15.692966999999999</v>
      </c>
      <c r="L97" s="47">
        <v>-29.936737000000001</v>
      </c>
      <c r="M97" s="47">
        <v>-30.635802999999999</v>
      </c>
      <c r="N97" s="47">
        <v>-23.932611000000001</v>
      </c>
    </row>
    <row r="98" spans="1:14" x14ac:dyDescent="0.35">
      <c r="A98" s="2">
        <v>44827</v>
      </c>
      <c r="B98" s="40">
        <v>-31.289375</v>
      </c>
      <c r="C98" s="40">
        <v>-16.653324000000001</v>
      </c>
      <c r="D98" s="40">
        <v>-13.834673</v>
      </c>
      <c r="E98" s="40">
        <v>-39.221496999999999</v>
      </c>
      <c r="F98" s="40">
        <v>-29.775815999999999</v>
      </c>
      <c r="G98" s="40">
        <v>-21.253342</v>
      </c>
      <c r="H98" s="40">
        <v>-16.409481</v>
      </c>
      <c r="I98" s="40">
        <v>-25.674645999999999</v>
      </c>
      <c r="J98" s="40">
        <v>-15.715801000000001</v>
      </c>
      <c r="K98" s="47">
        <v>-26.491630000000001</v>
      </c>
      <c r="L98" s="47">
        <v>-40.682989999999997</v>
      </c>
      <c r="M98" s="47">
        <v>-39.550080000000001</v>
      </c>
      <c r="N98" s="47">
        <v>-30.053335000000001</v>
      </c>
    </row>
    <row r="99" spans="1:14" x14ac:dyDescent="0.35">
      <c r="A99" s="2">
        <v>44855</v>
      </c>
      <c r="B99" s="40">
        <v>-33.132182999999998</v>
      </c>
      <c r="C99" s="40">
        <v>-17.26098</v>
      </c>
      <c r="D99" s="40">
        <v>-17.430353</v>
      </c>
      <c r="E99" s="40">
        <v>-34.304703000000003</v>
      </c>
      <c r="F99" s="40">
        <v>-25.680720999999998</v>
      </c>
      <c r="G99" s="40">
        <v>-20.911532999999999</v>
      </c>
      <c r="H99" s="40">
        <v>-15.624392</v>
      </c>
      <c r="I99" s="40">
        <v>-26.54382</v>
      </c>
      <c r="J99" s="40">
        <v>-16.231209</v>
      </c>
      <c r="K99" s="47">
        <v>-21.130704999999999</v>
      </c>
      <c r="L99" s="47">
        <v>-37.135117000000001</v>
      </c>
      <c r="M99" s="47">
        <v>-37.448647000000001</v>
      </c>
      <c r="N99" s="47">
        <v>-27.777815</v>
      </c>
    </row>
    <row r="100" spans="1:14" x14ac:dyDescent="0.35">
      <c r="A100" s="2">
        <v>44888</v>
      </c>
      <c r="B100" s="40">
        <v>-19.599914999999999</v>
      </c>
      <c r="C100" s="40">
        <v>-3.2764137</v>
      </c>
      <c r="D100" s="40">
        <v>-8.2311519999999998</v>
      </c>
      <c r="E100" s="40">
        <v>-21.691863999999999</v>
      </c>
      <c r="F100" s="40">
        <v>-18.326962000000002</v>
      </c>
      <c r="G100" s="40">
        <v>-11.991023999999999</v>
      </c>
      <c r="H100" s="40">
        <v>-2.2882639999999999</v>
      </c>
      <c r="I100" s="40">
        <v>-26.886576000000002</v>
      </c>
      <c r="J100" s="40">
        <v>-12.7440815</v>
      </c>
      <c r="K100" s="47">
        <v>-10.44786</v>
      </c>
      <c r="L100" s="47">
        <v>-22.968567</v>
      </c>
      <c r="M100" s="47">
        <v>-23.492681999999999</v>
      </c>
      <c r="N100" s="47">
        <v>-12.758832999999999</v>
      </c>
    </row>
    <row r="101" spans="1:14" x14ac:dyDescent="0.35">
      <c r="A101" s="2">
        <v>44918</v>
      </c>
      <c r="B101" s="40">
        <v>-16.041630000000001</v>
      </c>
      <c r="C101" s="40">
        <v>-5.2956159999999999</v>
      </c>
      <c r="D101" s="40">
        <v>-11.522764</v>
      </c>
      <c r="E101" s="40">
        <v>-21.802783999999999</v>
      </c>
      <c r="F101" s="40">
        <v>-17.761510000000001</v>
      </c>
      <c r="G101" s="40">
        <v>-17.835156999999999</v>
      </c>
      <c r="H101" s="40">
        <v>-3.2063006999999999</v>
      </c>
      <c r="I101" s="40">
        <v>-32.146500000000003</v>
      </c>
      <c r="J101" s="40">
        <v>-17.309909999999999</v>
      </c>
      <c r="K101" s="47">
        <v>-11.2630005</v>
      </c>
      <c r="L101" s="47">
        <v>-23.059653999999998</v>
      </c>
      <c r="M101" s="47">
        <v>-26.43826</v>
      </c>
      <c r="N101" s="47">
        <v>-13.064199</v>
      </c>
    </row>
    <row r="102" spans="1:14" x14ac:dyDescent="0.35">
      <c r="A102" s="2">
        <v>44949</v>
      </c>
      <c r="B102" s="40">
        <v>-3.7180960000000001</v>
      </c>
      <c r="C102" s="40">
        <v>10.132515</v>
      </c>
      <c r="D102" s="40">
        <v>-3.9574205999999998</v>
      </c>
      <c r="E102" s="40">
        <v>-10.490799000000001</v>
      </c>
      <c r="F102" s="40">
        <v>-9.9153579999999994</v>
      </c>
      <c r="G102" s="40">
        <v>-7.4185075999999999</v>
      </c>
      <c r="H102" s="40">
        <v>0.47667027000000001</v>
      </c>
      <c r="I102" s="40">
        <v>-17.233128000000001</v>
      </c>
      <c r="J102" s="40">
        <v>-7.0396184999999996</v>
      </c>
      <c r="K102" s="47">
        <v>-0.48159360000000001</v>
      </c>
      <c r="L102" s="47">
        <v>-7.9035880000000001</v>
      </c>
      <c r="M102" s="47">
        <v>-12.022537</v>
      </c>
      <c r="N102" s="47">
        <v>-4.4513645000000004</v>
      </c>
    </row>
    <row r="103" spans="1:14" x14ac:dyDescent="0.35">
      <c r="A103" s="2">
        <v>44980</v>
      </c>
      <c r="B103" s="40">
        <v>-7.1801003999999997</v>
      </c>
      <c r="C103" s="40">
        <v>2.477014</v>
      </c>
      <c r="D103" s="40">
        <v>-6.1489940000000001</v>
      </c>
      <c r="E103" s="40">
        <v>-4.438472</v>
      </c>
      <c r="F103" s="40">
        <v>-8.5335970000000003</v>
      </c>
      <c r="G103" s="40">
        <v>-5.1080823000000004</v>
      </c>
      <c r="H103" s="40">
        <v>-1.3687551</v>
      </c>
      <c r="I103" s="40">
        <v>-9.2342429999999993</v>
      </c>
      <c r="J103" s="40">
        <v>-3.5008073</v>
      </c>
      <c r="K103" s="47">
        <v>5.3947805999999998</v>
      </c>
      <c r="L103" s="47">
        <v>-2.2845863999999998</v>
      </c>
      <c r="M103" s="47">
        <v>-3.7545204000000001</v>
      </c>
      <c r="N103" s="47">
        <v>0.86493489999999995</v>
      </c>
    </row>
    <row r="104" spans="1:14" x14ac:dyDescent="0.35">
      <c r="A104" s="2">
        <v>45008</v>
      </c>
      <c r="B104" s="40">
        <v>-11.532479</v>
      </c>
      <c r="C104" s="40">
        <v>-10.862607000000001</v>
      </c>
      <c r="D104" s="40">
        <v>-16.897375</v>
      </c>
      <c r="E104" s="40">
        <v>0.48897266</v>
      </c>
      <c r="F104" s="40">
        <v>-7.1289243999999998</v>
      </c>
      <c r="G104" s="40">
        <v>-8.5687160000000002</v>
      </c>
      <c r="H104" s="40">
        <v>-3.467095</v>
      </c>
      <c r="I104" s="40">
        <v>-11.286574</v>
      </c>
      <c r="J104" s="40">
        <v>-9.896153</v>
      </c>
      <c r="K104" s="47">
        <v>8.8453660000000003</v>
      </c>
      <c r="L104" s="47">
        <v>-0.48767327999999999</v>
      </c>
      <c r="M104" s="47">
        <v>-10.42775</v>
      </c>
      <c r="N104" s="47">
        <v>7.7762245999999999</v>
      </c>
    </row>
    <row r="105" spans="1:14" x14ac:dyDescent="0.35">
      <c r="A105" s="2">
        <v>45037</v>
      </c>
      <c r="B105" s="40">
        <v>-5.1137090000000001</v>
      </c>
      <c r="C105" s="40">
        <v>-6.9708110000000003</v>
      </c>
      <c r="D105" s="40">
        <v>-8.7463320000000007</v>
      </c>
      <c r="E105" s="40">
        <v>9.1710089999999997</v>
      </c>
      <c r="F105" s="40">
        <v>3.3749937999999999</v>
      </c>
      <c r="G105" s="40">
        <v>2.3167968000000001</v>
      </c>
      <c r="H105" s="40">
        <v>3.5435677000000001</v>
      </c>
      <c r="I105" s="40">
        <v>-4.5240400000000003</v>
      </c>
      <c r="J105" s="40">
        <v>-4.2972029999999997</v>
      </c>
      <c r="K105" s="47">
        <v>18.409109999999998</v>
      </c>
      <c r="L105" s="47">
        <v>5.1791549999999997</v>
      </c>
      <c r="M105" s="47">
        <v>-1.7357349</v>
      </c>
      <c r="N105" s="47">
        <v>14.7589445</v>
      </c>
    </row>
    <row r="106" spans="1:14" x14ac:dyDescent="0.35">
      <c r="A106" s="2">
        <v>45069</v>
      </c>
      <c r="B106" s="40">
        <v>5.0547839999999997</v>
      </c>
      <c r="C106" s="40">
        <v>-1.8859982</v>
      </c>
      <c r="D106" s="40">
        <v>-4.4731736</v>
      </c>
      <c r="E106" s="40">
        <v>11.395348</v>
      </c>
      <c r="F106" s="40">
        <v>5.9608816999999998</v>
      </c>
      <c r="G106" s="40">
        <v>8.9163064999999992</v>
      </c>
      <c r="H106" s="40">
        <v>4.2444825000000002</v>
      </c>
      <c r="I106" s="40">
        <v>14.457917</v>
      </c>
      <c r="J106" s="40">
        <v>6.106484</v>
      </c>
      <c r="K106" s="47">
        <v>17.97073</v>
      </c>
      <c r="L106" s="47">
        <v>13.344896</v>
      </c>
      <c r="M106" s="47">
        <v>2.3831606000000001</v>
      </c>
      <c r="N106" s="47">
        <v>14.636028</v>
      </c>
    </row>
    <row r="107" spans="1:14" x14ac:dyDescent="0.35">
      <c r="A107" s="2">
        <v>45100</v>
      </c>
      <c r="B107" s="40">
        <v>9.1332550000000001</v>
      </c>
      <c r="C107" s="40">
        <v>9.3123199999999997</v>
      </c>
      <c r="D107" s="40">
        <v>4.8100829999999997</v>
      </c>
      <c r="E107" s="40">
        <v>22.835122999999999</v>
      </c>
      <c r="F107" s="40">
        <v>16.742001999999999</v>
      </c>
      <c r="G107" s="40">
        <v>16.052209999999999</v>
      </c>
      <c r="H107" s="40">
        <v>12.429952999999999</v>
      </c>
      <c r="I107" s="40">
        <v>28.18364</v>
      </c>
      <c r="J107" s="40">
        <v>16.475940000000001</v>
      </c>
      <c r="K107" s="47">
        <v>26.988351999999999</v>
      </c>
      <c r="L107" s="47">
        <v>23.999272999999999</v>
      </c>
      <c r="M107" s="47">
        <v>12.560153</v>
      </c>
      <c r="N107" s="47">
        <v>30.077992999999999</v>
      </c>
    </row>
    <row r="108" spans="1:14" x14ac:dyDescent="0.35">
      <c r="A108" s="2">
        <v>45128</v>
      </c>
      <c r="B108" s="40">
        <v>6.9228769999999997</v>
      </c>
      <c r="C108" s="40">
        <v>10.420358999999999</v>
      </c>
      <c r="D108" s="40">
        <v>8.0378895000000004</v>
      </c>
      <c r="E108" s="40">
        <v>29.870165</v>
      </c>
      <c r="F108" s="40">
        <v>15.514922</v>
      </c>
      <c r="G108" s="40">
        <v>14.296436</v>
      </c>
      <c r="H108" s="40">
        <v>15.900755</v>
      </c>
      <c r="I108" s="40">
        <v>23.077179000000001</v>
      </c>
      <c r="J108" s="40">
        <v>15.256536499999999</v>
      </c>
      <c r="K108" s="47">
        <v>32.212139999999998</v>
      </c>
      <c r="L108" s="47">
        <v>20.930599999999998</v>
      </c>
      <c r="M108" s="47">
        <v>10.412931</v>
      </c>
      <c r="N108" s="47">
        <v>47.998832999999998</v>
      </c>
    </row>
    <row r="109" spans="1:14" x14ac:dyDescent="0.35">
      <c r="A109" s="2">
        <v>45161</v>
      </c>
      <c r="B109" s="40">
        <v>-2.7981997000000001</v>
      </c>
      <c r="C109" s="40">
        <v>0.68591833000000002</v>
      </c>
      <c r="D109" s="40">
        <v>-2.1128594999999999</v>
      </c>
      <c r="E109" s="40">
        <v>28.359449999999999</v>
      </c>
      <c r="F109" s="40">
        <v>10.549116</v>
      </c>
      <c r="G109" s="40">
        <v>12.268471999999999</v>
      </c>
      <c r="H109" s="40">
        <v>7.7307579999999998</v>
      </c>
      <c r="I109" s="40">
        <v>18.353390000000001</v>
      </c>
      <c r="J109" s="40">
        <v>9.2108135000000004</v>
      </c>
      <c r="K109" s="47">
        <v>25.670241999999998</v>
      </c>
      <c r="L109" s="47">
        <v>18.343924999999999</v>
      </c>
      <c r="M109" s="47">
        <v>6.7746519999999997</v>
      </c>
      <c r="N109" s="47">
        <v>37.182139999999997</v>
      </c>
    </row>
    <row r="110" spans="1:14" x14ac:dyDescent="0.35">
      <c r="A110" s="2">
        <v>45191</v>
      </c>
      <c r="B110" s="40">
        <v>1.2525797000000001</v>
      </c>
      <c r="C110" s="40">
        <v>8.3435539999999992</v>
      </c>
      <c r="D110" s="40">
        <v>7.4542640000000002</v>
      </c>
      <c r="E110" s="40">
        <v>31.352388000000001</v>
      </c>
      <c r="F110" s="40">
        <v>22.135508000000002</v>
      </c>
      <c r="G110" s="40">
        <v>17.972898000000001</v>
      </c>
      <c r="H110" s="40">
        <v>19.394648</v>
      </c>
      <c r="I110" s="40">
        <v>28.66311</v>
      </c>
      <c r="J110" s="40">
        <v>16.846990000000002</v>
      </c>
      <c r="K110" s="47">
        <v>31.466425000000001</v>
      </c>
      <c r="L110" s="47">
        <v>21.926366999999999</v>
      </c>
      <c r="M110" s="47">
        <v>17.665635999999999</v>
      </c>
      <c r="N110" s="47">
        <v>40.317689999999999</v>
      </c>
    </row>
    <row r="111" spans="1:14" x14ac:dyDescent="0.35">
      <c r="A111" s="2">
        <v>45222</v>
      </c>
      <c r="B111" s="40">
        <v>2.7511716000000002</v>
      </c>
      <c r="C111" s="40">
        <v>5.1611659999999997</v>
      </c>
      <c r="D111" s="40">
        <v>3.9281009999999998</v>
      </c>
      <c r="E111" s="40">
        <v>22.618628000000001</v>
      </c>
      <c r="F111" s="40">
        <v>18.744553</v>
      </c>
      <c r="G111" s="40">
        <v>12.930035999999999</v>
      </c>
      <c r="H111" s="40">
        <v>17.319430000000001</v>
      </c>
      <c r="I111" s="40">
        <v>30.016529999999999</v>
      </c>
      <c r="J111" s="40">
        <v>14.121771000000001</v>
      </c>
      <c r="K111" s="47">
        <v>22.185385</v>
      </c>
      <c r="L111" s="47">
        <v>16.586601000000002</v>
      </c>
      <c r="M111" s="47">
        <v>11.900233999999999</v>
      </c>
      <c r="N111" s="47">
        <v>34.352336999999999</v>
      </c>
    </row>
    <row r="112" spans="1:14" x14ac:dyDescent="0.35">
      <c r="A112" s="2">
        <v>45252</v>
      </c>
      <c r="B112" s="40">
        <v>-3.6893666000000001</v>
      </c>
      <c r="C112" s="40">
        <v>1.0180235</v>
      </c>
      <c r="D112" s="40">
        <v>0.64299107</v>
      </c>
      <c r="E112" s="40">
        <v>15.416335999999999</v>
      </c>
      <c r="F112" s="40">
        <v>14.778948</v>
      </c>
      <c r="G112" s="40">
        <v>8.2039950000000008</v>
      </c>
      <c r="H112" s="40">
        <v>8.5076920000000005</v>
      </c>
      <c r="I112" s="40">
        <v>37.337173</v>
      </c>
      <c r="J112" s="40">
        <v>15.592897000000001</v>
      </c>
      <c r="K112" s="47">
        <v>16.403352999999999</v>
      </c>
      <c r="L112" s="47">
        <v>12.1455555</v>
      </c>
      <c r="M112" s="47">
        <v>9.5808619999999998</v>
      </c>
      <c r="N112" s="47">
        <v>23.248280000000001</v>
      </c>
    </row>
    <row r="113" spans="1:14" x14ac:dyDescent="0.35">
      <c r="A113" s="2">
        <v>45282</v>
      </c>
      <c r="B113" s="40">
        <v>2.7258754000000001</v>
      </c>
      <c r="C113" s="40">
        <v>14.421438999999999</v>
      </c>
      <c r="D113" s="40">
        <v>14.983058</v>
      </c>
      <c r="E113" s="40">
        <v>23.001528</v>
      </c>
      <c r="F113" s="40">
        <v>18.172909000000001</v>
      </c>
      <c r="G113" s="40">
        <v>15.843427999999999</v>
      </c>
      <c r="H113" s="40">
        <v>12.123036000000001</v>
      </c>
      <c r="I113" s="40">
        <v>54.062890000000003</v>
      </c>
      <c r="J113" s="40">
        <v>26.313649999999999</v>
      </c>
      <c r="K113" s="47">
        <v>21.500789999999999</v>
      </c>
      <c r="L113" s="47">
        <v>20.062197000000001</v>
      </c>
      <c r="M113" s="47">
        <v>25.088846</v>
      </c>
      <c r="N113" s="47">
        <v>30.55321</v>
      </c>
    </row>
    <row r="114" spans="1:14" x14ac:dyDescent="0.35">
      <c r="A114" s="2">
        <v>45314</v>
      </c>
      <c r="B114" s="40">
        <v>-7.9467115000000002</v>
      </c>
      <c r="C114" s="40">
        <v>-0.54287313999999998</v>
      </c>
      <c r="D114" s="40">
        <v>4.8818590000000004</v>
      </c>
      <c r="E114" s="40">
        <v>6.3643336000000001</v>
      </c>
      <c r="F114" s="40">
        <v>16.995477999999999</v>
      </c>
      <c r="G114" s="40">
        <v>5.2069305999999997</v>
      </c>
      <c r="H114" s="40">
        <v>1.8700242</v>
      </c>
      <c r="I114" s="40">
        <v>47.562919999999998</v>
      </c>
      <c r="J114" s="40">
        <v>22.877192999999998</v>
      </c>
      <c r="K114" s="47">
        <v>6.0469626999999999</v>
      </c>
      <c r="L114" s="47">
        <v>6.2816380000000001</v>
      </c>
      <c r="M114" s="47">
        <v>4.744637</v>
      </c>
      <c r="N114" s="47">
        <v>15.873396</v>
      </c>
    </row>
    <row r="115" spans="1:14" x14ac:dyDescent="0.35">
      <c r="A115" s="2">
        <v>45345</v>
      </c>
      <c r="B115" s="40">
        <v>-5.0128579999999996</v>
      </c>
      <c r="C115" s="40">
        <v>6.4378380000000002</v>
      </c>
      <c r="D115" s="40">
        <v>10.645294</v>
      </c>
      <c r="E115" s="40">
        <v>11.735988000000001</v>
      </c>
      <c r="F115" s="40">
        <v>24.825990000000001</v>
      </c>
      <c r="G115" s="40">
        <v>8.9585779999999993</v>
      </c>
      <c r="H115" s="40">
        <v>5.7957409999999996</v>
      </c>
      <c r="I115" s="40">
        <v>48.167037999999998</v>
      </c>
      <c r="J115" s="40">
        <v>28.693878000000002</v>
      </c>
      <c r="K115" s="47">
        <v>11.888063000000001</v>
      </c>
      <c r="L115" s="47">
        <v>16.986215999999999</v>
      </c>
      <c r="M115" s="47">
        <v>13.251150000000001</v>
      </c>
      <c r="N115" s="47">
        <v>23.157775999999998</v>
      </c>
    </row>
    <row r="116" spans="1:14" x14ac:dyDescent="0.35">
      <c r="A116" s="2">
        <v>45373</v>
      </c>
      <c r="B116" s="40">
        <v>-3.0614674000000002</v>
      </c>
      <c r="C116" s="40">
        <v>13.946903000000001</v>
      </c>
      <c r="D116" s="40">
        <v>18.317461000000002</v>
      </c>
      <c r="E116" s="40">
        <v>17.210602000000002</v>
      </c>
      <c r="F116" s="40">
        <v>29.33606</v>
      </c>
      <c r="G116" s="40">
        <v>11.797249000000001</v>
      </c>
      <c r="H116" s="40">
        <v>12.342286</v>
      </c>
      <c r="I116" s="40">
        <v>46.789253000000002</v>
      </c>
      <c r="J116" s="40">
        <v>34.860790000000001</v>
      </c>
      <c r="K116" s="47">
        <v>15.993441000000001</v>
      </c>
      <c r="L116" s="47">
        <v>23.143481999999999</v>
      </c>
      <c r="M116" s="47">
        <v>22.927057000000001</v>
      </c>
      <c r="N116" s="47">
        <v>31.806778000000001</v>
      </c>
    </row>
    <row r="117" spans="1:14" x14ac:dyDescent="0.35">
      <c r="A117" s="2">
        <v>45405</v>
      </c>
      <c r="B117" s="40">
        <v>-7.333666</v>
      </c>
      <c r="C117" s="40">
        <v>6.7177889999999998</v>
      </c>
      <c r="D117" s="40">
        <v>9.5992329999999999</v>
      </c>
      <c r="E117" s="40">
        <v>8.6157319999999995</v>
      </c>
      <c r="F117" s="40">
        <v>16.507090000000002</v>
      </c>
      <c r="G117" s="40">
        <v>-1.2836753999999999</v>
      </c>
      <c r="H117" s="40">
        <v>5.7708979999999999</v>
      </c>
      <c r="I117" s="40">
        <v>35.150314000000002</v>
      </c>
      <c r="J117" s="40">
        <v>24.458003999999999</v>
      </c>
      <c r="K117" s="47">
        <v>5.3373455999999999</v>
      </c>
      <c r="L117" s="47">
        <v>17.096972999999998</v>
      </c>
      <c r="M117" s="47">
        <v>10.772467000000001</v>
      </c>
      <c r="N117" s="47">
        <v>23.127102000000001</v>
      </c>
    </row>
    <row r="118" spans="1:14" x14ac:dyDescent="0.35">
      <c r="A118" s="2">
        <v>45435</v>
      </c>
      <c r="B118" s="40">
        <v>-6.6948055999999996</v>
      </c>
      <c r="C118" s="40">
        <v>12.136518499999999</v>
      </c>
      <c r="D118" s="40">
        <v>12.500596</v>
      </c>
      <c r="E118" s="40">
        <v>13.799773999999999</v>
      </c>
      <c r="F118" s="40">
        <v>14.597082</v>
      </c>
      <c r="G118" s="40">
        <v>3.7080525999999998</v>
      </c>
      <c r="H118" s="40">
        <v>14.120876000000001</v>
      </c>
      <c r="I118" s="40">
        <v>36.992953999999997</v>
      </c>
      <c r="J118" s="40">
        <v>28.866147999999999</v>
      </c>
      <c r="K118" s="47">
        <v>12.175322</v>
      </c>
      <c r="L118" s="47">
        <v>22.509658999999999</v>
      </c>
      <c r="M118" s="47">
        <v>19.673168</v>
      </c>
      <c r="N118" s="47">
        <v>28.490960999999999</v>
      </c>
    </row>
    <row r="119" spans="1:14" x14ac:dyDescent="0.35">
      <c r="A119" s="2">
        <v>45464</v>
      </c>
      <c r="B119" s="40">
        <v>-3.1150997</v>
      </c>
      <c r="C119" s="40">
        <v>9.2492940000000008</v>
      </c>
      <c r="D119" s="40">
        <v>8.6969139999999996</v>
      </c>
      <c r="E119" s="40">
        <v>8.9328529999999997</v>
      </c>
      <c r="F119" s="40">
        <v>7.0997120000000002</v>
      </c>
      <c r="G119" s="40">
        <v>8.7445970000000006</v>
      </c>
      <c r="H119" s="40">
        <v>12.716806</v>
      </c>
      <c r="I119" s="40">
        <v>33.383021999999997</v>
      </c>
      <c r="J119" s="40">
        <v>26.952707</v>
      </c>
      <c r="K119" s="47">
        <v>4.5144795999999996</v>
      </c>
      <c r="L119" s="47">
        <v>22.182465000000001</v>
      </c>
      <c r="M119" s="47">
        <v>19.793678</v>
      </c>
      <c r="N119" s="47">
        <v>19.384516000000001</v>
      </c>
    </row>
    <row r="120" spans="1:14" x14ac:dyDescent="0.35">
      <c r="A120" s="2">
        <v>45496</v>
      </c>
      <c r="B120" s="40">
        <v>-2.3731529999999998</v>
      </c>
      <c r="C120" s="40">
        <v>11.917961</v>
      </c>
      <c r="D120" s="40">
        <v>9.7248920000000005</v>
      </c>
      <c r="E120" s="40">
        <v>10.571097999999999</v>
      </c>
      <c r="F120" s="40">
        <v>14.985371000000001</v>
      </c>
      <c r="G120" s="40">
        <v>6.5114974999999999</v>
      </c>
      <c r="H120" s="40">
        <v>11.200786000000001</v>
      </c>
      <c r="I120" s="40">
        <v>28.832031000000001</v>
      </c>
      <c r="J120" s="40">
        <v>24.191368000000001</v>
      </c>
      <c r="K120" s="47">
        <v>0.89994669999999999</v>
      </c>
      <c r="L120" s="47">
        <v>16.021464999999999</v>
      </c>
      <c r="M120" s="47">
        <v>16.513788000000002</v>
      </c>
      <c r="N120" s="47">
        <v>19.007373999999999</v>
      </c>
    </row>
    <row r="121" spans="1:14" x14ac:dyDescent="0.35">
      <c r="A121" s="2">
        <v>45527</v>
      </c>
      <c r="B121" s="40">
        <v>11.109363999999999</v>
      </c>
      <c r="C121" s="40">
        <v>23.90213</v>
      </c>
      <c r="D121" s="40">
        <v>21.547339999999998</v>
      </c>
      <c r="E121" s="40">
        <v>20.149743999999998</v>
      </c>
      <c r="F121" s="40">
        <v>21.569897000000001</v>
      </c>
      <c r="G121" s="40">
        <v>17.030166999999999</v>
      </c>
      <c r="H121" s="40">
        <v>23.489367999999999</v>
      </c>
      <c r="I121" s="40">
        <v>30.938624999999998</v>
      </c>
      <c r="J121" s="40">
        <v>28.667567999999999</v>
      </c>
      <c r="K121" s="47">
        <v>10.253536</v>
      </c>
      <c r="L121" s="47">
        <v>24.506198999999999</v>
      </c>
      <c r="M121" s="47">
        <v>32.159103000000002</v>
      </c>
      <c r="N121" s="47">
        <v>26.310790000000001</v>
      </c>
    </row>
    <row r="122" spans="1:14" x14ac:dyDescent="0.35">
      <c r="A122" s="2">
        <v>45558</v>
      </c>
      <c r="B122">
        <v>14.301681500000001</v>
      </c>
      <c r="C122">
        <v>27.969799999999999</v>
      </c>
      <c r="D122">
        <v>24.579965999999999</v>
      </c>
      <c r="E122">
        <v>25.836013999999999</v>
      </c>
      <c r="F122">
        <v>18.533992999999999</v>
      </c>
      <c r="G122">
        <v>17.471111000000001</v>
      </c>
      <c r="H122">
        <v>21.852779999999999</v>
      </c>
      <c r="I122">
        <v>36.042667000000002</v>
      </c>
      <c r="J122">
        <v>34.215069999999997</v>
      </c>
      <c r="K122" s="47">
        <v>13.136983000000001</v>
      </c>
      <c r="L122" s="47">
        <v>31.247520000000002</v>
      </c>
      <c r="M122" s="47">
        <v>35.943187999999999</v>
      </c>
      <c r="N122" s="47">
        <v>28.574348000000001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-33.132182999999998</v>
      </c>
      <c r="C126" s="40" cm="1">
        <f t="array" ref="C126">MIN(_xlfn._xlws.FILTER(C2:C122, ISNUMBER(C2:C122)))</f>
        <v>-37.148243000000001</v>
      </c>
      <c r="D126" s="40" cm="1">
        <f t="array" ref="D126">MIN(_xlfn._xlws.FILTER(D2:D122, ISNUMBER(D2:D122)))</f>
        <v>-34.203029999999998</v>
      </c>
      <c r="E126" s="40" cm="1">
        <f t="array" ref="E126">MIN(_xlfn._xlws.FILTER(E2:E122, ISNUMBER(E2:E122)))</f>
        <v>-39.221496999999999</v>
      </c>
      <c r="F126" s="40" cm="1">
        <f t="array" ref="F126">MIN(_xlfn._xlws.FILTER(F2:F122, ISNUMBER(F2:F122)))</f>
        <v>-29.775815999999999</v>
      </c>
      <c r="G126" s="40" cm="1">
        <f t="array" ref="G126">MIN(_xlfn._xlws.FILTER(G2:G122, ISNUMBER(G2:G122)))</f>
        <v>-21.253342</v>
      </c>
      <c r="H126" s="40" cm="1">
        <f t="array" ref="H126">MIN(_xlfn._xlws.FILTER(H2:H122, ISNUMBER(H2:H122)))</f>
        <v>-37.750100000000003</v>
      </c>
      <c r="I126" s="40" cm="1">
        <f t="array" ref="I126">MIN(_xlfn._xlws.FILTER(I2:I122, ISNUMBER(I2:I122)))</f>
        <v>-32.146500000000003</v>
      </c>
      <c r="J126" s="40" cm="1">
        <f t="array" ref="J126">MIN(_xlfn._xlws.FILTER(J2:J122, ISNUMBER(J2:J122)))</f>
        <v>-18.508112000000001</v>
      </c>
      <c r="K126" s="40" cm="1">
        <f t="array" ref="K126">MIN(_xlfn._xlws.FILTER(K2:K122, ISNUMBER(K2:K122)))</f>
        <v>-28.051727</v>
      </c>
      <c r="L126" s="40" cm="1">
        <f t="array" ref="L126">MIN(_xlfn._xlws.FILTER(L2:L122, ISNUMBER(L2:L122)))</f>
        <v>-40.682989999999997</v>
      </c>
      <c r="M126" s="40" cm="1">
        <f t="array" ref="M126">MIN(_xlfn._xlws.FILTER(M2:M122, ISNUMBER(M2:M122)))</f>
        <v>-39.550080000000001</v>
      </c>
      <c r="N126" s="40" cm="1">
        <f t="array" ref="N126">MIN(_xlfn._xlws.FILTER(N2:N122, ISNUMBER(N2:N122)))</f>
        <v>-30.053335000000001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69.068695000000005</v>
      </c>
      <c r="C127" s="42" cm="1">
        <f t="array" ref="C127">MAX(_xlfn._xlws.FILTER(C1:C122, ISNUMBER(C1:C122)))</f>
        <v>95.985749999999996</v>
      </c>
      <c r="D127" s="42" cm="1">
        <f t="array" ref="D127">MAX(_xlfn._xlws.FILTER(D1:D122, ISNUMBER(D1:D122)))</f>
        <v>96.197495000000004</v>
      </c>
      <c r="E127" s="42" cm="1">
        <f t="array" ref="E127">MAX(_xlfn._xlws.FILTER(E1:E122, ISNUMBER(E1:E122)))</f>
        <v>82.176186000000001</v>
      </c>
      <c r="F127" s="42" cm="1">
        <f t="array" ref="F127">MAX(_xlfn._xlws.FILTER(F1:F122, ISNUMBER(F1:F122)))</f>
        <v>56.805027000000003</v>
      </c>
      <c r="G127" s="42" cm="1">
        <f t="array" ref="G127">MAX(_xlfn._xlws.FILTER(G1:G122, ISNUMBER(G1:G122)))</f>
        <v>48.636172999999999</v>
      </c>
      <c r="H127" s="42" cm="1">
        <f t="array" ref="H127">MAX(_xlfn._xlws.FILTER(H1:H122, ISNUMBER(H1:H122)))</f>
        <v>61.225783999999997</v>
      </c>
      <c r="I127" s="42" cm="1">
        <f t="array" ref="I127">MAX(_xlfn._xlws.FILTER(I1:I122, ISNUMBER(I1:I122)))</f>
        <v>87.257890000000003</v>
      </c>
      <c r="J127" s="42" cm="1">
        <f t="array" ref="J127">MAX(_xlfn._xlws.FILTER(J1:J122, ISNUMBER(J1:J122)))</f>
        <v>77.521479999999997</v>
      </c>
      <c r="K127" s="42" cm="1">
        <f t="array" ref="K127">MAX(_xlfn._xlws.FILTER(K1:K122, ISNUMBER(K1:K122)))</f>
        <v>70.350160000000002</v>
      </c>
      <c r="L127" s="42" cm="1">
        <f t="array" ref="L127">MAX(_xlfn._xlws.FILTER(L1:L122, ISNUMBER(L1:L122)))</f>
        <v>94.958519999999993</v>
      </c>
      <c r="M127" s="42" cm="1">
        <f t="array" ref="M127">MAX(_xlfn._xlws.FILTER(M1:M122, ISNUMBER(M1:M122)))</f>
        <v>107.77383</v>
      </c>
      <c r="N127" s="42" cm="1">
        <f t="array" ref="N127">MAX(_xlfn._xlws.FILTER(N1:N122, ISNUMBER(N1:N122)))</f>
        <v>67.437449999999998</v>
      </c>
    </row>
    <row r="128" spans="1:14" x14ac:dyDescent="0.35">
      <c r="A128" s="2" t="s">
        <v>394</v>
      </c>
      <c r="B128" s="40" cm="1">
        <f t="array" ref="B128">MEDIAN(_xlfn._xlws.FILTER(B1:B122, ISNUMBER(B1:B122)))</f>
        <v>6.5906763000000002</v>
      </c>
      <c r="C128" s="40" cm="1">
        <f t="array" ref="C128">MEDIAN(_xlfn._xlws.FILTER(C1:C122, ISNUMBER(C1:C122)))</f>
        <v>4.0117383000000002</v>
      </c>
      <c r="D128" s="40" cm="1">
        <f t="array" ref="D128">MEDIAN(_xlfn._xlws.FILTER(D1:D122, ISNUMBER(D1:D122)))</f>
        <v>4.8818590000000004</v>
      </c>
      <c r="E128" s="40" cm="1">
        <f t="array" ref="E128">MEDIAN(_xlfn._xlws.FILTER(E1:E122, ISNUMBER(E1:E122)))</f>
        <v>4.5421123999999997</v>
      </c>
      <c r="F128" s="40" cm="1">
        <f t="array" ref="F128">MEDIAN(_xlfn._xlws.FILTER(F1:F122, ISNUMBER(F1:F122)))</f>
        <v>7.8762053999999999</v>
      </c>
      <c r="G128" s="40" cm="1">
        <f t="array" ref="G128">MEDIAN(_xlfn._xlws.FILTER(G1:G122, ISNUMBER(G1:G122)))</f>
        <v>6.9319962999999998</v>
      </c>
      <c r="H128" s="40" cm="1">
        <f t="array" ref="H128">MEDIAN(_xlfn._xlws.FILTER(H1:H122, ISNUMBER(H1:H122)))</f>
        <v>1.1194824999999999</v>
      </c>
      <c r="I128" s="40" cm="1">
        <f t="array" ref="I128">MEDIAN(_xlfn._xlws.FILTER(I1:I122, ISNUMBER(I1:I122)))</f>
        <v>22.651040999999999</v>
      </c>
      <c r="J128" s="40" cm="1">
        <f t="array" ref="J128">MEDIAN(_xlfn._xlws.FILTER(J1:J122, ISNUMBER(J1:J122)))</f>
        <v>14.585661999999999</v>
      </c>
      <c r="K128" s="40" cm="1">
        <f t="array" ref="K128">MEDIAN(_xlfn._xlws.FILTER(K1:K122, ISNUMBER(K1:K122)))</f>
        <v>4.3970585</v>
      </c>
      <c r="L128" s="40" cm="1">
        <f t="array" ref="L128">MEDIAN(_xlfn._xlws.FILTER(L1:L122, ISNUMBER(L1:L122)))</f>
        <v>9.1187000000000005</v>
      </c>
      <c r="M128" s="40" cm="1">
        <f t="array" ref="M128">MEDIAN(_xlfn._xlws.FILTER(M1:M122, ISNUMBER(M1:M122)))</f>
        <v>2.1135092000000002</v>
      </c>
      <c r="N128" s="40" cm="1">
        <f t="array" ref="N128">MEDIAN(_xlfn._xlws.FILTER(N1:N122, ISNUMBER(N1:N122)))</f>
        <v>1.1945724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20</v>
      </c>
      <c r="D130">
        <f>COUNTIF(D2:D122, "&lt;"&amp;Assumption!$F$50)</f>
        <v>22</v>
      </c>
      <c r="E130">
        <f>COUNTIF(E2:E122, "&lt;"&amp;Assumption!$F$50)</f>
        <v>30</v>
      </c>
      <c r="F130">
        <f>COUNTIF(F2:F122, "&lt;"&amp;Assumption!$F$50)</f>
        <v>17</v>
      </c>
      <c r="G130">
        <f>COUNTIF(G2:G122, "&lt;"&amp;Assumption!$F$50)</f>
        <v>12</v>
      </c>
      <c r="H130">
        <f>COUNTIF(H2:H122, "&lt;"&amp;Assumption!$F$50)</f>
        <v>20</v>
      </c>
      <c r="I130">
        <f>COUNTIF(I2:I122, "&lt;"&amp;Assumption!$F$50)</f>
        <v>9</v>
      </c>
      <c r="J130">
        <f>COUNTIF(J2:J122, "&lt;"&amp;Assumption!$F$50)</f>
        <v>5</v>
      </c>
      <c r="K130">
        <f>COUNTIF(K2:K122, "&lt;"&amp;Assumption!$F$50)</f>
        <v>15</v>
      </c>
      <c r="L130">
        <f>COUNTIF(L2:L122, "&lt;"&amp;Assumption!$F$50)</f>
        <v>13</v>
      </c>
      <c r="M130">
        <f>COUNTIF(M2:M122, "&lt;"&amp;Assumption!$F$50)</f>
        <v>23</v>
      </c>
      <c r="N130">
        <f>COUNTIF(N2:N122, "&lt;"&amp;Assumption!$F$50)</f>
        <v>34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0.16528925619834711</v>
      </c>
      <c r="D133" s="9">
        <f t="shared" si="2"/>
        <v>0.18181818181818182</v>
      </c>
      <c r="E133" s="9">
        <f t="shared" si="2"/>
        <v>0.24793388429752067</v>
      </c>
      <c r="F133" s="9">
        <f t="shared" si="2"/>
        <v>0.14049586776859505</v>
      </c>
      <c r="G133" s="9">
        <f t="shared" si="2"/>
        <v>9.9173553719008267E-2</v>
      </c>
      <c r="H133" s="9">
        <f t="shared" si="2"/>
        <v>0.16528925619834711</v>
      </c>
      <c r="I133" s="9">
        <f t="shared" si="2"/>
        <v>7.43801652892562E-2</v>
      </c>
      <c r="J133" s="9">
        <f t="shared" si="2"/>
        <v>4.1322314049586778E-2</v>
      </c>
      <c r="K133" s="9">
        <f t="shared" ref="K133:N133" si="3">K130/K131</f>
        <v>0.12396694214876033</v>
      </c>
      <c r="L133" s="9">
        <f t="shared" si="3"/>
        <v>0.10743801652892562</v>
      </c>
      <c r="M133" s="9">
        <f t="shared" si="3"/>
        <v>0.19008264462809918</v>
      </c>
      <c r="N133" s="9">
        <f t="shared" si="3"/>
        <v>0.28099173553719009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0.30299999999999999</v>
      </c>
      <c r="C136" s="40" cm="1">
        <f t="array" ref="C136">_xlfn.PERCENTRANK.EXC(_xlfn._xlws.FILTER(C2:C122, ISNUMBER(C2:C122)),C120)</f>
        <v>0.69599999999999995</v>
      </c>
      <c r="D136" s="40" cm="1">
        <f t="array" ref="D136">_xlfn.PERCENTRANK.EXC(_xlfn._xlws.FILTER(D2:D122, ISNUMBER(D2:D122)),D120)</f>
        <v>0.64700000000000002</v>
      </c>
      <c r="E136" s="40" cm="1">
        <f t="array" ref="E136">_xlfn.PERCENTRANK.EXC(_xlfn._xlws.FILTER(E2:E122, ISNUMBER(E2:E122)),E120)</f>
        <v>0.63100000000000001</v>
      </c>
      <c r="F136" s="40" cm="1">
        <f t="array" ref="F136">_xlfn.PERCENTRANK.EXC(_xlfn._xlws.FILTER(F2:F122, ISNUMBER(F2:F122)),F120)</f>
        <v>0.68</v>
      </c>
      <c r="G136" s="40" cm="1">
        <f t="array" ref="G136">_xlfn.PERCENTRANK.EXC(_xlfn._xlws.FILTER(G2:G122, ISNUMBER(G2:G122)),G120)</f>
        <v>0.48299999999999998</v>
      </c>
      <c r="H136" s="40" cm="1">
        <f t="array" ref="H136">_xlfn.PERCENTRANK.EXC(_xlfn._xlws.FILTER(H2:H122, ISNUMBER(H2:H122)),H120)</f>
        <v>0.70399999999999996</v>
      </c>
      <c r="I136" s="40" cm="1">
        <f t="array" ref="I136">_xlfn.PERCENTRANK.EXC(_xlfn._xlws.FILTER(I2:I122, ISNUMBER(I2:I122)),I120)</f>
        <v>0.66300000000000003</v>
      </c>
      <c r="J136" s="40" cm="1">
        <f t="array" ref="J136">_xlfn.PERCENTRANK.EXC(_xlfn._xlws.FILTER(J2:J122, ISNUMBER(J2:J122)),J120)</f>
        <v>0.81100000000000005</v>
      </c>
      <c r="K136" s="40" cm="1">
        <f t="array" ref="K136">_xlfn.PERCENTRANK.EXC(_xlfn._xlws.FILTER(K2:K122, ISNUMBER(K2:K122)),K120)</f>
        <v>0.434</v>
      </c>
      <c r="L136" s="40" cm="1">
        <f t="array" ref="L136">_xlfn.PERCENTRANK.EXC(_xlfn._xlws.FILTER(L2:L122, ISNUMBER(L2:L122)),L120)</f>
        <v>0.61399999999999999</v>
      </c>
      <c r="M136" s="40" cm="1">
        <f t="array" ref="M136">_xlfn.PERCENTRANK.EXC(_xlfn._xlws.FILTER(M2:M122, ISNUMBER(M2:M122)),M120)</f>
        <v>0.69599999999999995</v>
      </c>
      <c r="N136" s="40" cm="1">
        <f t="array" ref="N136">_xlfn.PERCENTRANK.EXC(_xlfn._xlws.FILTER(N2:N122, ISNUMBER(N2:N122)),N120)</f>
        <v>0.68799999999999994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0.65500000000000003</v>
      </c>
      <c r="C137" s="40" cm="1">
        <f t="array" ref="C137">_xlfn.PERCENTRANK.EXC(_xlfn._xlws.FILTER(C2:C122, ISNUMBER(C2:C122)),C121)</f>
        <v>0.89300000000000002</v>
      </c>
      <c r="D137" s="40" cm="1">
        <f t="array" ref="D137">_xlfn.PERCENTRANK.EXC(_xlfn._xlws.FILTER(D2:D122, ISNUMBER(D2:D122)),D121)</f>
        <v>0.877</v>
      </c>
      <c r="E137" s="40" cm="1">
        <f t="array" ref="E137">_xlfn.PERCENTRANK.EXC(_xlfn._xlws.FILTER(E2:E122, ISNUMBER(E2:E122)),E121)</f>
        <v>0.79500000000000004</v>
      </c>
      <c r="F137" s="40" cm="1">
        <f t="array" ref="F137">_xlfn.PERCENTRANK.EXC(_xlfn._xlws.FILTER(F2:F122, ISNUMBER(F2:F122)),F121)</f>
        <v>0.89300000000000002</v>
      </c>
      <c r="G137" s="40" cm="1">
        <f t="array" ref="G137">_xlfn.PERCENTRANK.EXC(_xlfn._xlws.FILTER(G2:G122, ISNUMBER(G2:G122)),G121)</f>
        <v>0.79500000000000004</v>
      </c>
      <c r="H137" s="40" cm="1">
        <f t="array" ref="H137">_xlfn.PERCENTRANK.EXC(_xlfn._xlws.FILTER(H2:H122, ISNUMBER(H2:H122)),H121)</f>
        <v>0.91800000000000004</v>
      </c>
      <c r="I137" s="40" cm="1">
        <f t="array" ref="I137">_xlfn.PERCENTRANK.EXC(_xlfn._xlws.FILTER(I2:I122, ISNUMBER(I2:I122)),I121)</f>
        <v>0.70399999999999996</v>
      </c>
      <c r="J137" s="40" cm="1">
        <f t="array" ref="J137">_xlfn.PERCENTRANK.EXC(_xlfn._xlws.FILTER(J2:J122, ISNUMBER(J2:J122)),J121)</f>
        <v>0.86799999999999999</v>
      </c>
      <c r="K137" s="40" cm="1">
        <f t="array" ref="K137">_xlfn.PERCENTRANK.EXC(_xlfn._xlws.FILTER(K2:K122, ISNUMBER(K2:K122)),K121)</f>
        <v>0.622</v>
      </c>
      <c r="L137" s="40" cm="1">
        <f t="array" ref="L137">_xlfn.PERCENTRANK.EXC(_xlfn._xlws.FILTER(L2:L122, ISNUMBER(L2:L122)),L121)</f>
        <v>0.80300000000000005</v>
      </c>
      <c r="M137" s="40" cm="1">
        <f t="array" ref="M137">_xlfn.PERCENTRANK.EXC(_xlfn._xlws.FILTER(M2:M122, ISNUMBER(M2:M122)),M121)</f>
        <v>0.91800000000000004</v>
      </c>
      <c r="N137" s="40" cm="1">
        <f t="array" ref="N137">_xlfn.PERCENTRANK.EXC(_xlfn._xlws.FILTER(N2:N122, ISNUMBER(N2:N122)),N121)</f>
        <v>0.76200000000000001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0.745</v>
      </c>
      <c r="C138" s="40" cm="1">
        <f t="array" ref="C138">_xlfn.PERCENTRANK.EXC(_xlfn._xlws.FILTER(C2:C122, ISNUMBER(C2:C122)),C122)</f>
        <v>0.91800000000000004</v>
      </c>
      <c r="D138" s="40" cm="1">
        <f t="array" ref="D138">_xlfn.PERCENTRANK.EXC(_xlfn._xlws.FILTER(D2:D122, ISNUMBER(D2:D122)),D122)</f>
        <v>0.88500000000000001</v>
      </c>
      <c r="E138" s="40" cm="1">
        <f t="array" ref="E138">_xlfn.PERCENTRANK.EXC(_xlfn._xlws.FILTER(E2:E122, ISNUMBER(E2:E122)),E122)</f>
        <v>0.88500000000000001</v>
      </c>
      <c r="F138" s="40" cm="1">
        <f t="array" ref="F138">_xlfn.PERCENTRANK.EXC(_xlfn._xlws.FILTER(F2:F122, ISNUMBER(F2:F122)),F122)</f>
        <v>0.80300000000000005</v>
      </c>
      <c r="G138" s="40" cm="1">
        <f t="array" ref="G138">_xlfn.PERCENTRANK.EXC(_xlfn._xlws.FILTER(G2:G122, ISNUMBER(G2:G122)),G122)</f>
        <v>0.81100000000000005</v>
      </c>
      <c r="H138" s="40" cm="1">
        <f t="array" ref="H138">_xlfn.PERCENTRANK.EXC(_xlfn._xlws.FILTER(H2:H122, ISNUMBER(H2:H122)),H122)</f>
        <v>0.90900000000000003</v>
      </c>
      <c r="I138" s="40" cm="1">
        <f t="array" ref="I138">_xlfn.PERCENTRANK.EXC(_xlfn._xlws.FILTER(I2:I122, ISNUMBER(I2:I122)),I122)</f>
        <v>0.80300000000000005</v>
      </c>
      <c r="J138" s="40" cm="1">
        <f t="array" ref="J138">_xlfn.PERCENTRANK.EXC(_xlfn._xlws.FILTER(J2:J122, ISNUMBER(J2:J122)),J122)</f>
        <v>0.92600000000000005</v>
      </c>
      <c r="K138" s="40" cm="1">
        <f t="array" ref="K138">_xlfn.PERCENTRANK.EXC(_xlfn._xlws.FILTER(K2:K122, ISNUMBER(K2:K122)),K122)</f>
        <v>0.67200000000000004</v>
      </c>
      <c r="L138" s="40" cm="1">
        <f t="array" ref="L138">_xlfn.PERCENTRANK.EXC(_xlfn._xlws.FILTER(L2:L122, ISNUMBER(L2:L122)),L122)</f>
        <v>0.85199999999999998</v>
      </c>
      <c r="M138" s="40" cm="1">
        <f t="array" ref="M138">_xlfn.PERCENTRANK.EXC(_xlfn._xlws.FILTER(M2:M122, ISNUMBER(M2:M122)),M122)</f>
        <v>0.92600000000000005</v>
      </c>
      <c r="N138" s="40" cm="1">
        <f t="array" ref="N138">_xlfn.PERCENTRANK.EXC(_xlfn._xlws.FILTER(N2:N122, ISNUMBER(N2:N122)),N122)</f>
        <v>0.79500000000000004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0.56766666666666665</v>
      </c>
      <c r="C140" s="40">
        <f t="shared" si="4"/>
        <v>0.83566666666666667</v>
      </c>
      <c r="D140" s="40">
        <f t="shared" si="4"/>
        <v>0.80299999999999994</v>
      </c>
      <c r="E140" s="40">
        <f t="shared" si="4"/>
        <v>0.77033333333333331</v>
      </c>
      <c r="F140" s="40">
        <f t="shared" si="4"/>
        <v>0.79199999999999993</v>
      </c>
      <c r="G140" s="40">
        <f t="shared" si="4"/>
        <v>0.69633333333333336</v>
      </c>
      <c r="H140" s="40">
        <f t="shared" si="4"/>
        <v>0.84366666666666656</v>
      </c>
      <c r="I140" s="40">
        <f t="shared" si="4"/>
        <v>0.72333333333333327</v>
      </c>
      <c r="J140" s="40">
        <f t="shared" si="4"/>
        <v>0.86833333333333329</v>
      </c>
      <c r="K140" s="40">
        <f t="shared" ref="K140:N140" si="5">AVERAGE(K136:K138)</f>
        <v>0.57600000000000007</v>
      </c>
      <c r="L140" s="40">
        <f t="shared" si="5"/>
        <v>0.75633333333333341</v>
      </c>
      <c r="M140" s="40">
        <f t="shared" si="5"/>
        <v>0.84666666666666668</v>
      </c>
      <c r="N140" s="40">
        <f t="shared" si="5"/>
        <v>0.74833333333333341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1.3179969844239301</v>
      </c>
      <c r="D17">
        <v>2.0739391971822698</v>
      </c>
      <c r="E17">
        <v>2.0881582961298202</v>
      </c>
      <c r="F17">
        <v>4.0763823276408404</v>
      </c>
      <c r="G17">
        <v>2.2808425238276202</v>
      </c>
      <c r="H17">
        <v>2.53509270637054</v>
      </c>
      <c r="I17">
        <v>9.5836735724996203</v>
      </c>
      <c r="J17">
        <v>17.7294354280966</v>
      </c>
      <c r="K17">
        <v>2.1970597067867201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1.26256164128892</v>
      </c>
      <c r="D18">
        <v>1.9578408739872699</v>
      </c>
      <c r="E18">
        <v>1.98003612030208</v>
      </c>
      <c r="F18">
        <v>3.6778954431728401</v>
      </c>
      <c r="G18">
        <v>2.3686407868237098</v>
      </c>
      <c r="H18">
        <v>2.0353592344840301</v>
      </c>
      <c r="I18">
        <v>10.684150503334701</v>
      </c>
      <c r="J18">
        <v>16.661770293157701</v>
      </c>
      <c r="K18">
        <v>1.8510975044873099</v>
      </c>
      <c r="L18">
        <v>2.0089294605542301</v>
      </c>
      <c r="M18">
        <v>2.2131087379995402</v>
      </c>
      <c r="N18">
        <v>1.9971174572949899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2.7145545164983602</v>
      </c>
      <c r="I19">
        <v>13.9300394020218</v>
      </c>
      <c r="J19">
        <v>22.276707341523601</v>
      </c>
      <c r="K19">
        <v>2.4608174872531499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3.1278508503090099</v>
      </c>
      <c r="I20">
        <v>12.9987631337275</v>
      </c>
      <c r="J20">
        <v>22.968710440494299</v>
      </c>
      <c r="K20">
        <v>2.80266519059803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1.47895581929429</v>
      </c>
      <c r="D21">
        <v>2.6830121629805901</v>
      </c>
      <c r="E21">
        <v>2.6563834912307702</v>
      </c>
      <c r="F21">
        <v>4.5667318566591204</v>
      </c>
      <c r="G21">
        <v>2.8647085842717601</v>
      </c>
      <c r="H21">
        <v>3.0029399050437098</v>
      </c>
      <c r="I21">
        <v>16.647002337262101</v>
      </c>
      <c r="J21">
        <v>24.344986755502902</v>
      </c>
      <c r="K21">
        <v>2.9207046794115401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4.091721115481306E-2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3.714974898957335E-3</v>
      </c>
      <c r="I25" s="48" cm="1">
        <f t="array" ref="I25">(I21/INDEX(I2:I21,MATCH(TRUE,INDEX(ISNUMBER(I2:I21),0),0)))^(1/I23)-1</f>
        <v>0.13099604038839674</v>
      </c>
      <c r="J25" s="48" cm="1">
        <f t="array" ref="J25">(J21/INDEX(J2:J21,MATCH(TRUE,INDEX(ISNUMBER(J2:J21),0),0)))^(1/J23)-1</f>
        <v>5.9884631589629977E-2</v>
      </c>
      <c r="K25" s="48" cm="1">
        <f t="array" ref="K25">(K21/INDEX(K2:K21,MATCH(TRUE,INDEX(ISNUMBER(K2:K21),0),0)))^(1/K23)-1</f>
        <v>1.8533351250322294E-2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1.5951507</v>
      </c>
      <c r="E3" cm="1">
        <f t="array" ref="E3">_xll.FDSB(B3,"FG_PRICE_CHANGE(0,-1AY)")</f>
        <v>-4.6020149999999997</v>
      </c>
      <c r="F3" cm="1">
        <f t="array" ref="F3">_xll.FDSB(B3,"FG_PRICE_CHANGE(0,-1AM)")</f>
        <v>-1.0129212999999999</v>
      </c>
      <c r="G3" cm="1">
        <f t="array" ref="G3">_xll.FDSB(B3,"FG_PRICE_CHANGE(0,-3AM)")</f>
        <v>-2.4645090000000001</v>
      </c>
      <c r="H3" cm="1">
        <f t="array" ref="H3">_xll.FDSB(B3,"FG_PRICE_CHANGE(0,-6AM)")</f>
        <v>-4.3467880000000001</v>
      </c>
      <c r="I3" cm="1">
        <f t="array" ref="I3">_xll.FDS(B3,"STD(FG_PRICE_CHANGE(0,-1AY,AM))")</f>
        <v>2.8626447386150402</v>
      </c>
      <c r="J3" cm="1">
        <f t="array" ref="J3">_xll.FDS(B3,"STD(FG_PRICE_CHANGE(0,-3AY,M))")*SQRT(12)</f>
        <v>12.457306393257632</v>
      </c>
      <c r="L3">
        <f>(1-(_xlfn.PERCENTRANK.EXC($F$3:$F$15,F3)))*100</f>
        <v>78.600000000000009</v>
      </c>
      <c r="M3">
        <f>(1-(_xlfn.PERCENTRANK.EXC($G$3:$G$15,G3)))*100</f>
        <v>35.799999999999997</v>
      </c>
      <c r="N3">
        <f>(1-(_xlfn.PERCENTRANK.EXC($H$3:$H$15,H3)))*100</f>
        <v>57.2</v>
      </c>
      <c r="O3">
        <f>SUMPRODUCT($L$1:$N$1,L3:N3)</f>
        <v>52.92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30.04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1.4597473999999999</v>
      </c>
      <c r="E4" cm="1">
        <f t="array" ref="E4">_xll.FDSB(B4,"FG_PRICE_CHANGE(0,-1AY)")</f>
        <v>-5.6930120000000004</v>
      </c>
      <c r="F4" cm="1">
        <f t="array" ref="F4">_xll.FDSB(B4,"FG_PRICE_CHANGE(0,-1AM)")</f>
        <v>-1.1532009000000001</v>
      </c>
      <c r="G4" cm="1">
        <f t="array" ref="G4">_xll.FDSB(B4,"FG_PRICE_CHANGE(0,-3AM)")</f>
        <v>-3.1165600000000002</v>
      </c>
      <c r="H4" cm="1">
        <f t="array" ref="H4">_xll.FDSB(B4,"FG_PRICE_CHANGE(0,-6AM)")</f>
        <v>-4.8244657999999996</v>
      </c>
      <c r="I4" cm="1">
        <f t="array" ref="I4">_xll.FDS(B4,"STD(FG_PRICE_CHANGE(0,-1AY,AM))")</f>
        <v>2.1238132969008499</v>
      </c>
      <c r="J4" cm="1">
        <f t="array" ref="J4">_xll.FDS(B4,"STD(FG_PRICE_CHANGE(0,-3AY,M))")*SQRT(12)</f>
        <v>10.876380138395533</v>
      </c>
      <c r="L4">
        <f t="shared" ref="L4:L15" si="1">(1-(_xlfn.PERCENTRANK.EXC($F$3:$F$15,F4)))*100</f>
        <v>85.8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64.3</v>
      </c>
      <c r="O4">
        <f t="shared" ref="O4:O11" si="4">SUMPRODUCT($L$1:$N$1,L4:N4)</f>
        <v>60.040000000000006</v>
      </c>
      <c r="P4">
        <f t="shared" ref="P4:P15" si="5">100- (_xlfn.PERCENTRANK.EXC($J$3:$J$15,J4)*100)</f>
        <v>21.5</v>
      </c>
      <c r="Q4">
        <f>VLOOKUP(A4,CAD!$A$3:$J$15, 10, FALSE)</f>
        <v>35.699999999999996</v>
      </c>
      <c r="S4">
        <f t="shared" si="0"/>
        <v>43.610000000000007</v>
      </c>
      <c r="U4" cm="1">
        <f t="array" ref="U4">_xlfn.PERCENTRANK.EXC(_xlfn._xlws.FILTER(S$3:S$15, ISNUMBER(S$3:S$15)),S4)*100</f>
        <v>28.499999999999996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1.34965</v>
      </c>
      <c r="E5" cm="1">
        <f t="array" ref="E5">_xll.FDSB(B5,"FG_PRICE_CHANGE(0,-1AY)")</f>
        <v>0.28234720000000002</v>
      </c>
      <c r="F5" cm="1">
        <f t="array" ref="F5">_xll.FDSB(B5,"FG_PRICE_CHANGE(0,-1AM)")</f>
        <v>-0.17012358</v>
      </c>
      <c r="G5" cm="1">
        <f t="array" ref="G5">_xll.FDSB(B5,"FG_PRICE_CHANGE(0,-3AM)")</f>
        <v>-1.5033722</v>
      </c>
      <c r="H5" cm="1">
        <f t="array" ref="H5">_xll.FDSB(B5,"FG_PRICE_CHANGE(0,-6AM)")</f>
        <v>-0.73182579999999997</v>
      </c>
      <c r="I5" cm="1">
        <f t="array" ref="I5">_xll.FDS(B5,"STD(FG_PRICE_CHANGE(0,-1AY,AM))")</f>
        <v>1.31059205313051</v>
      </c>
      <c r="J5" cm="1">
        <f t="array" ref="J5">_xll.FDS(B5,"STD(FG_PRICE_CHANGE(0,-3AY,M))")*SQRT(12)</f>
        <v>6.3538666609267711</v>
      </c>
      <c r="L5">
        <f t="shared" si="1"/>
        <v>64.3</v>
      </c>
      <c r="M5">
        <f t="shared" si="2"/>
        <v>28.6</v>
      </c>
      <c r="N5">
        <f t="shared" si="3"/>
        <v>28.6</v>
      </c>
      <c r="O5">
        <f t="shared" si="4"/>
        <v>35.74</v>
      </c>
      <c r="P5">
        <f t="shared" si="5"/>
        <v>71.5</v>
      </c>
      <c r="Q5">
        <f>VLOOKUP(A5,CAD!$A$3:$J$15, 10, FALSE)</f>
        <v>35.699999999999996</v>
      </c>
      <c r="S5">
        <f t="shared" si="0"/>
        <v>46.46</v>
      </c>
      <c r="U5" cm="1">
        <f t="array" ref="U5">_xlfn.PERCENTRANK.EXC(_xlfn._xlws.FILTER(S$3:S$15, ISNUMBER(S$3:S$15)),S5)*100</f>
        <v>35.699999999999996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0.89831119999999998</v>
      </c>
      <c r="E6" cm="1">
        <f t="array" ref="E6">_xll.FDSB(B6,"FG_PRICE_CHANGE(0,-1AY)")</f>
        <v>-4.2579947000000002</v>
      </c>
      <c r="F6" cm="1">
        <f t="array" ref="F6">_xll.FDSB(B6,"FG_PRICE_CHANGE(0,-1AM)")</f>
        <v>0.41772126999999998</v>
      </c>
      <c r="G6" cm="1">
        <f t="array" ref="G6">_xll.FDSB(B6,"FG_PRICE_CHANGE(0,-3AM)")</f>
        <v>-4.0423989999999996</v>
      </c>
      <c r="H6" cm="1">
        <f t="array" ref="H6">_xll.FDSB(B6,"FG_PRICE_CHANGE(0,-6AM)")</f>
        <v>-2.8386593000000002</v>
      </c>
      <c r="I6" cm="1">
        <f t="array" ref="I6">_xll.FDS(B6,"STD(FG_PRICE_CHANGE(0,-1AY,AM))")</f>
        <v>1.5482505349684099</v>
      </c>
      <c r="J6" cm="1">
        <f t="array" ref="J6">_xll.FDS(B6,"STD(FG_PRICE_CHANGE(0,-3AY,M))")*SQRT(12)</f>
        <v>7.5659731665849046</v>
      </c>
      <c r="L6">
        <f t="shared" si="1"/>
        <v>14.3</v>
      </c>
      <c r="M6">
        <f t="shared" si="2"/>
        <v>64.3</v>
      </c>
      <c r="N6">
        <f t="shared" si="3"/>
        <v>42.900000000000006</v>
      </c>
      <c r="O6">
        <f t="shared" si="4"/>
        <v>45.74</v>
      </c>
      <c r="P6">
        <f t="shared" si="5"/>
        <v>64.300000000000011</v>
      </c>
      <c r="Q6">
        <f>VLOOKUP(A6,CAD!$A$3:$J$15, 10, FALSE)</f>
        <v>78.5</v>
      </c>
      <c r="S6">
        <f t="shared" si="0"/>
        <v>57.860000000000007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143.745</v>
      </c>
      <c r="E7" cm="1">
        <f t="array" ref="E7">_xll.FDSB(B7,"FG_PRICE_CHANGE(0,-1AY)")</f>
        <v>-2.9307544000000001</v>
      </c>
      <c r="F7" cm="1">
        <f t="array" ref="F7">_xll.FDSB(B7,"FG_PRICE_CHANGE(0,-1AM)")</f>
        <v>-0.97479223999999998</v>
      </c>
      <c r="G7" cm="1">
        <f t="array" ref="G7">_xll.FDSB(B7,"FG_PRICE_CHANGE(0,-3AM)")</f>
        <v>-9.9257530000000003</v>
      </c>
      <c r="H7" cm="1">
        <f t="array" ref="H7">_xll.FDSB(B7,"FG_PRICE_CHANGE(0,-6AM)")</f>
        <v>-5.027914</v>
      </c>
      <c r="I7" cm="1">
        <f t="array" ref="I7">_xll.FDS(B7,"STD(FG_PRICE_CHANGE(0,-1AY,AM))")</f>
        <v>3.08687482116291</v>
      </c>
      <c r="J7" cm="1">
        <f t="array" ref="J7">_xll.FDS(B7,"STD(FG_PRICE_CHANGE(0,-3AY,M))")*SQRT(12)</f>
        <v>11.613084664213639</v>
      </c>
      <c r="L7">
        <f t="shared" si="1"/>
        <v>71.500000000000014</v>
      </c>
      <c r="M7">
        <f t="shared" si="2"/>
        <v>92.9</v>
      </c>
      <c r="N7">
        <f t="shared" si="3"/>
        <v>71.500000000000014</v>
      </c>
      <c r="O7">
        <f t="shared" si="4"/>
        <v>80.060000000000016</v>
      </c>
      <c r="P7">
        <f t="shared" si="5"/>
        <v>14.299999999999997</v>
      </c>
      <c r="Q7">
        <f>VLOOKUP(A7,CAD!$A$3:$J$15, 10, FALSE)</f>
        <v>64.2</v>
      </c>
      <c r="S7">
        <f t="shared" si="0"/>
        <v>57.160000000000011</v>
      </c>
      <c r="U7" cm="1">
        <f t="array" ref="U7">_xlfn.PERCENTRANK.EXC(_xlfn._xlws.FILTER(S$3:S$15, ISNUMBER(S$3:S$15)),S7)*100</f>
        <v>64.2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0.84784999999999999</v>
      </c>
      <c r="E8" cm="1">
        <f t="array" ref="E8">_xll.FDSB(B8,"FG_PRICE_CHANGE(0,-1AY)")</f>
        <v>-6.4131555999999996</v>
      </c>
      <c r="F8" cm="1">
        <f t="array" ref="F8">_xll.FDSB(B8,"FG_PRICE_CHANGE(0,-1AM)")</f>
        <v>-9.4264745999999996E-2</v>
      </c>
      <c r="G8" cm="1">
        <f t="array" ref="G8">_xll.FDSB(B8,"FG_PRICE_CHANGE(0,-3AM)")</f>
        <v>-5.1144239999999996</v>
      </c>
      <c r="H8" cm="1">
        <f t="array" ref="H8">_xll.FDSB(B8,"FG_PRICE_CHANGE(0,-6AM)")</f>
        <v>-5.6109070000000001</v>
      </c>
      <c r="I8" cm="1">
        <f t="array" ref="I8">_xll.FDS(B8,"STD(FG_PRICE_CHANGE(0,-1AY,AM))")</f>
        <v>2.2526696673825701</v>
      </c>
      <c r="J8" cm="1">
        <f t="array" ref="J8">_xll.FDS(B8,"STD(FG_PRICE_CHANGE(0,-3AY,M))")*SQRT(12)</f>
        <v>8.592097405449751</v>
      </c>
      <c r="L8">
        <f t="shared" si="1"/>
        <v>57.2</v>
      </c>
      <c r="M8">
        <f t="shared" si="2"/>
        <v>78.600000000000009</v>
      </c>
      <c r="N8">
        <f t="shared" si="3"/>
        <v>92.9</v>
      </c>
      <c r="O8">
        <f t="shared" si="4"/>
        <v>80.04000000000002</v>
      </c>
      <c r="P8">
        <f t="shared" si="5"/>
        <v>42.900000000000006</v>
      </c>
      <c r="Q8">
        <f>VLOOKUP(A8,CAD!$A$3:$J$15, 10, FALSE)</f>
        <v>85.7</v>
      </c>
      <c r="S8">
        <f t="shared" si="0"/>
        <v>70.030000000000015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0.74903560000000002</v>
      </c>
      <c r="E9" cm="1">
        <f t="array" ref="E9">_xll.FDSB(B9,"FG_PRICE_CHANGE(0,-1AY)")</f>
        <v>-8.1270399999999992</v>
      </c>
      <c r="F9" cm="1">
        <f t="array" ref="F9">_xll.FDSB(B9,"FG_PRICE_CHANGE(0,-1AM)")</f>
        <v>-1.1984587</v>
      </c>
      <c r="G9" cm="1">
        <f t="array" ref="G9">_xll.FDSB(B9,"FG_PRICE_CHANGE(0,-3AM)")</f>
        <v>-5.4155293000000002</v>
      </c>
      <c r="H9" cm="1">
        <f t="array" ref="H9">_xll.FDSB(B9,"FG_PRICE_CHANGE(0,-6AM)")</f>
        <v>-5.6027889999999996</v>
      </c>
      <c r="I9" cm="1">
        <f t="array" ref="I9">_xll.FDS(B9,"STD(FG_PRICE_CHANGE(0,-1AY,AM))")</f>
        <v>1.75893683359968</v>
      </c>
      <c r="J9" cm="1">
        <f t="array" ref="J9">_xll.FDS(B9,"STD(FG_PRICE_CHANGE(0,-3AY,M))")*SQRT(12)</f>
        <v>8.2682267127209244</v>
      </c>
      <c r="L9">
        <f t="shared" si="1"/>
        <v>92.9</v>
      </c>
      <c r="M9">
        <f t="shared" si="2"/>
        <v>85.8</v>
      </c>
      <c r="N9">
        <f t="shared" si="3"/>
        <v>78.600000000000009</v>
      </c>
      <c r="O9">
        <f>SUMPRODUCT($L$1:$N$1,L9:N9)</f>
        <v>84.34</v>
      </c>
      <c r="P9">
        <f t="shared" si="5"/>
        <v>50</v>
      </c>
      <c r="Q9">
        <f>VLOOKUP(A9,CAD!$A$3:$J$15, 10, FALSE)</f>
        <v>28.499999999999996</v>
      </c>
      <c r="S9">
        <f t="shared" si="0"/>
        <v>62.870000000000005</v>
      </c>
      <c r="U9" cm="1">
        <f t="array" ref="U9">_xlfn.PERCENTRANK.EXC(_xlfn._xlws.FILTER(S$3:S$15, ISNUMBER(S$3:S$15)),S9)*100</f>
        <v>78.5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35.799999999999997</v>
      </c>
      <c r="M10">
        <f t="shared" si="2"/>
        <v>21.499999999999996</v>
      </c>
      <c r="N10">
        <f t="shared" si="3"/>
        <v>21.499999999999996</v>
      </c>
      <c r="O10">
        <f t="shared" si="4"/>
        <v>24.36</v>
      </c>
      <c r="P10">
        <f t="shared" si="5"/>
        <v>92.9</v>
      </c>
      <c r="Q10">
        <f>VLOOKUP(A10,CAD!$A$3:$J$15, 10, FALSE)</f>
        <v>14.2</v>
      </c>
      <c r="S10">
        <f t="shared" si="0"/>
        <v>42.89</v>
      </c>
      <c r="U10" cm="1">
        <f t="array" ref="U10">_xlfn.PERCENTRANK.EXC(_xlfn._xlws.FILTER(S$3:S$15, ISNUMBER(S$3:S$15)),S10)*100</f>
        <v>14.2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35.799999999999997</v>
      </c>
      <c r="M11">
        <f t="shared" si="2"/>
        <v>21.499999999999996</v>
      </c>
      <c r="N11">
        <f t="shared" si="3"/>
        <v>21.499999999999996</v>
      </c>
      <c r="O11">
        <f t="shared" si="4"/>
        <v>24.36</v>
      </c>
      <c r="P11">
        <f t="shared" si="5"/>
        <v>92.9</v>
      </c>
      <c r="Q11">
        <f>VLOOKUP(A11,CAD!$A$3:$J$15, 10, FALSE)</f>
        <v>14.2</v>
      </c>
      <c r="S11">
        <f t="shared" si="0"/>
        <v>42.89</v>
      </c>
      <c r="U11" cm="1">
        <f t="array" ref="U11">_xlfn.PERCENTRANK.EXC(_xlfn._xlws.FILTER(S$3:S$15, ISNUMBER(S$3:S$15)),S11)*100</f>
        <v>14.2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0.84784999999999999</v>
      </c>
      <c r="E12" cm="1">
        <f t="array" ref="E12">_xll.FDSB(B12,"FG_PRICE_CHANGE(0,-1AY)")</f>
        <v>-6.4131555999999996</v>
      </c>
      <c r="F12" cm="1">
        <f t="array" ref="F12">_xll.FDSB(B12,"FG_PRICE_CHANGE(0,-1AM)")</f>
        <v>-9.4264745999999996E-2</v>
      </c>
      <c r="G12" cm="1">
        <f t="array" ref="G12">_xll.FDSB(B12,"FG_PRICE_CHANGE(0,-3AM)")</f>
        <v>-5.1144239999999996</v>
      </c>
      <c r="H12" cm="1">
        <f t="array" ref="H12">_xll.FDSB(B12,"FG_PRICE_CHANGE(0,-6AM)")</f>
        <v>-5.6109070000000001</v>
      </c>
      <c r="I12" cm="1">
        <f t="array" ref="I12">_xll.FDS(B12,"STD(FG_PRICE_CHANGE(0,-1AY,AM))")</f>
        <v>2.2526696673825701</v>
      </c>
      <c r="J12" cm="1">
        <f t="array" ref="J12">_xll.FDS(B12,"STD(FG_PRICE_CHANGE(0,-3AY,M))")*SQRT(12)</f>
        <v>8.592097405449751</v>
      </c>
      <c r="L12">
        <f t="shared" si="1"/>
        <v>57.2</v>
      </c>
      <c r="M12">
        <f t="shared" si="2"/>
        <v>78.600000000000009</v>
      </c>
      <c r="N12">
        <f t="shared" si="3"/>
        <v>92.9</v>
      </c>
      <c r="O12">
        <f t="shared" ref="O12:O15" si="6">SUMPRODUCT($L$1:$N$1,L12:N12)</f>
        <v>80.04000000000002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62.890000000000015</v>
      </c>
      <c r="U12" cm="1">
        <f t="array" ref="U12">_xlfn.PERCENTRANK.EXC(_xlfn._xlws.FILTER(S$3:S$15, ISNUMBER(S$3:S$15)),S12)*100</f>
        <v>85.7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35.799999999999997</v>
      </c>
      <c r="M13" s="183">
        <f t="shared" si="2"/>
        <v>21.499999999999996</v>
      </c>
      <c r="N13" s="183">
        <f t="shared" si="3"/>
        <v>21.499999999999996</v>
      </c>
      <c r="O13" s="183">
        <f t="shared" si="6"/>
        <v>24.36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54.32</v>
      </c>
      <c r="U13" s="183" cm="1">
        <f t="array" ref="U13">_xlfn.PERCENTRANK.EXC(_xlfn._xlws.FILTER(S$3:S$15, ISNUMBER(S$3:S$15)),S13)*100</f>
        <v>57.099999999999994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10.18595</v>
      </c>
      <c r="E14" cm="1">
        <f t="array" ref="E14">_xll.FDSB(B14,"FG_PRICE_CHANGE(0,-1AY)")</f>
        <v>-8.2978780000000008</v>
      </c>
      <c r="F14" cm="1">
        <f t="array" ref="F14">_xll.FDSB(B14,"FG_PRICE_CHANGE(0,-1AM)")</f>
        <v>-8.4352490000000002E-2</v>
      </c>
      <c r="G14" cm="1">
        <f t="array" ref="G14">_xll.FDSB(B14,"FG_PRICE_CHANGE(0,-3AM)")</f>
        <v>-3.2829462999999999</v>
      </c>
      <c r="H14" cm="1">
        <f t="array" ref="H14">_xll.FDSB(B14,"FG_PRICE_CHANGE(0,-6AM)")</f>
        <v>-3.4603179000000002</v>
      </c>
      <c r="I14" cm="1">
        <f t="array" ref="I14">_xll.FDS(B14,"STD(FG_PRICE_CHANGE(0,-1AY,AM))")</f>
        <v>3.1557454961319</v>
      </c>
      <c r="J14" cm="1">
        <f t="array" ref="J14">_xll.FDS(B14,"STD(FG_PRICE_CHANGE(0,-3AY,M))")*SQRT(12)</f>
        <v>10.701514741002116</v>
      </c>
      <c r="L14">
        <f t="shared" si="1"/>
        <v>42.900000000000006</v>
      </c>
      <c r="M14">
        <f t="shared" si="2"/>
        <v>50</v>
      </c>
      <c r="N14">
        <f t="shared" si="3"/>
        <v>50</v>
      </c>
      <c r="O14">
        <f t="shared" si="6"/>
        <v>48.58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47.150000000000006</v>
      </c>
      <c r="U14" cm="1">
        <f t="array" ref="U14">_xlfn.PERCENTRANK.EXC(_xlfn._xlws.FILTER(S$3:S$15, ISNUMBER(S$3:S$15)),S14)*100</f>
        <v>42.8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1739.373</v>
      </c>
      <c r="E15" cm="1">
        <f t="array" ref="E15">_xll.FDSB(B15,"FG_PRICE_CHANGE(0,-1AY)")</f>
        <v>-4.2579947000000002</v>
      </c>
      <c r="F15" cm="1">
        <f t="array" ref="F15">_xll.FDSB(B15,"FG_PRICE_CHANGE(0,-1AM)")</f>
        <v>0.41772126999999998</v>
      </c>
      <c r="G15" cm="1">
        <f t="array" ref="G15">_xll.FDSB(B15,"FG_PRICE_CHANGE(0,-3AM)")</f>
        <v>-4.0423989999999996</v>
      </c>
      <c r="H15" cm="1">
        <f t="array" ref="H15">_xll.FDSB(B15,"FG_PRICE_CHANGE(0,-6AM)")</f>
        <v>-2.8386593000000002</v>
      </c>
      <c r="I15" cm="1">
        <f t="array" ref="I15">_xll.FDS(B15,"STD(FG_PRICE_CHANGE(0,-1AY,AM))")</f>
        <v>1.54825046340753</v>
      </c>
      <c r="J15" cm="1">
        <f t="array" ref="J15">_xll.FDS(B15,"STD(FG_PRICE_CHANGE(0,-3AY,M))")*SQRT(12)</f>
        <v>7.5659738856039853</v>
      </c>
      <c r="L15">
        <f t="shared" si="1"/>
        <v>14.3</v>
      </c>
      <c r="M15">
        <f t="shared" si="2"/>
        <v>64.3</v>
      </c>
      <c r="N15">
        <f t="shared" si="3"/>
        <v>42.900000000000006</v>
      </c>
      <c r="O15">
        <f t="shared" si="6"/>
        <v>45.74</v>
      </c>
      <c r="P15">
        <f t="shared" si="5"/>
        <v>57.2</v>
      </c>
      <c r="Q15">
        <f>VLOOKUP(A15,CAD!$A$3:$J$15, 10, FALSE)</f>
        <v>57.099999999999994</v>
      </c>
      <c r="S15">
        <f t="shared" si="7"/>
        <v>51.45</v>
      </c>
      <c r="U15" cm="1">
        <f t="array" ref="U15">_xlfn.PERCENTRANK.EXC(_xlfn._xlws.FILTER(S$3:S$15, ISNUMBER(S$3:S$15)),S15)*100</f>
        <v>50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-7.1</v>
      </c>
      <c r="H3" cm="1">
        <f t="array" ref="H3">IFERROR(_xll.FDS($F3,"EE_ACTUAL_ANNUAL(MED,+1)"),0)</f>
        <v>-6.4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-1</v>
      </c>
      <c r="J4" cm="1">
        <f t="array" ref="J4">_xlfn.PERCENTRANK.EXC(_xlfn._xlws.FILTER(H$3:H$15, ISNUMBER(H$3:H$15)),H4)*100</f>
        <v>35.699999999999996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-1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5.8821421318584202</v>
      </c>
      <c r="H6" cm="1">
        <f t="array" ref="H6">IFERROR(_xll.FDS($F6,"EE_ACTUAL_ANNUAL(MED,+1)"),0)</f>
        <v>6.6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3.6065819629985301</v>
      </c>
      <c r="H7" cm="1">
        <f t="array" ref="H7">IFERROR(_xll.FDS($F7,"EE_ACTUAL_ANNUAL(MED,+1)"),0)</f>
        <v>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6.5138108890660602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-1.0196499952942999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9.75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6.15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0.464182828189248</v>
      </c>
      <c r="H15" cm="1">
        <f t="array" ref="H15">IFERROR(_xll.FDS($F15,"EE_ACTUAL_ANNUAL(MED,+1)"),0)</f>
        <v>1.1000000000000001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11.7272452683733</v>
      </c>
      <c r="D17">
        <v>11.9786784677485</v>
      </c>
      <c r="E17">
        <v>10.4475672102116</v>
      </c>
      <c r="F17">
        <v>8.35596279152373</v>
      </c>
      <c r="G17">
        <v>14.538819869127099</v>
      </c>
      <c r="H17">
        <v>12.870966472555001</v>
      </c>
      <c r="I17">
        <v>25.900175394181499</v>
      </c>
      <c r="J17">
        <v>18.2929292773882</v>
      </c>
      <c r="K17">
        <v>10.914009645072801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11.0508592022587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11.207712202749599</v>
      </c>
      <c r="I18">
        <v>25.447685312801099</v>
      </c>
      <c r="J18">
        <v>17.229819146785299</v>
      </c>
      <c r="K18">
        <v>8.9422344840982593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9.2207656739007895</v>
      </c>
      <c r="G19">
        <v>16.3837417700753</v>
      </c>
      <c r="H19">
        <v>13.922736684393399</v>
      </c>
      <c r="I19">
        <v>27.6470377516053</v>
      </c>
      <c r="J19">
        <v>20.686290267069701</v>
      </c>
      <c r="K19">
        <v>12.253955548111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14.658060585061</v>
      </c>
      <c r="D20">
        <v>14.002940310619</v>
      </c>
      <c r="E20">
        <v>11.818711551142201</v>
      </c>
      <c r="F20">
        <v>9.2254455713673202</v>
      </c>
      <c r="G20">
        <v>16.690651733527702</v>
      </c>
      <c r="H20">
        <v>15.858347905759301</v>
      </c>
      <c r="I20">
        <v>24.917895930822901</v>
      </c>
      <c r="J20">
        <v>20.5983105900292</v>
      </c>
      <c r="K20">
        <v>13.153419453009199</v>
      </c>
      <c r="L20">
        <v>12.015889153241799</v>
      </c>
      <c r="M20">
        <v>14.6915673510104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13.226394097123199</v>
      </c>
      <c r="D21">
        <v>13.1491479008301</v>
      </c>
      <c r="E21">
        <v>11.93889064433</v>
      </c>
      <c r="F21">
        <v>9.2997687113842105</v>
      </c>
      <c r="G21">
        <v>19.302463641340701</v>
      </c>
      <c r="H21">
        <v>14.7202942014685</v>
      </c>
      <c r="I21">
        <v>26.0524047586362</v>
      </c>
      <c r="J21">
        <v>20.3440340816855</v>
      </c>
      <c r="K21">
        <v>13.2312741384504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8.9422344840982593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14.442959457883351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13.1491479008301</v>
      </c>
      <c r="E25" s="8">
        <f t="shared" si="2"/>
        <v>11.93889064433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14.7202942014685</v>
      </c>
      <c r="I25" s="8">
        <f t="shared" si="2"/>
        <v>26.0524047586362</v>
      </c>
      <c r="J25" s="8">
        <f t="shared" si="2"/>
        <v>20.3440340816855</v>
      </c>
      <c r="K25" s="8">
        <f t="shared" si="2"/>
        <v>13.2312741384504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45527</v>
      </c>
      <c r="M1" s="116"/>
    </row>
    <row r="2" spans="1:20" ht="15" thickBot="1" x14ac:dyDescent="0.4">
      <c r="K2" s="12" t="s">
        <v>772</v>
      </c>
      <c r="L2" s="187">
        <f ca="1">EDATE(TODAY(), -4)</f>
        <v>45435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45.810715000000002</v>
      </c>
      <c r="N4" cm="1">
        <f t="array" aca="1" ref="N4" ca="1">_xll.FDSRC("-","DUMMY","ECON_EXPR_DATA('FDS_ECON["&amp;H4&amp;"]',"&amp;$N$3&amp;",,Q)")</f>
        <v>45.525333000000003</v>
      </c>
      <c r="O4" cm="1">
        <f t="array" aca="1" ref="O4" ca="1">_xll.FDSRC("-","DUMMY","ECON_EXPR_DATA('FDS_ECON["&amp;H4&amp;"]',"&amp;$O$3&amp;",,Q)")</f>
        <v>47.698093</v>
      </c>
      <c r="P4">
        <f t="shared" ref="P4:P12" ca="1" si="0">IFERROR(N4-O4,$M$20)</f>
        <v>-2.1727599999999967</v>
      </c>
      <c r="Q4" cm="1">
        <f t="array" ref="Q4">_xlfn.PERCENTRANK.EXC(_xlfn._xlws.FILTER(M$4:M$16, ISNUMBER(M$4:M$16)),M4)*100</f>
        <v>21.4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18.519999999999996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48.495564000000002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57.099999999999994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57.099999999999994</v>
      </c>
      <c r="T5" cm="1">
        <f t="array" aca="1" ref="T5" ca="1">_xlfn.PERCENTRANK.EXC(_xlfn._xlws.FILTER(S$4:S$16, ISNUMBER(S$4:S$16)),S5)*100</f>
        <v>64.2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49.450510000000001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78.5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64.22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42.40119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21.4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49.845306000000001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85.7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88.54</v>
      </c>
      <c r="T8" cm="1">
        <f t="array" aca="1" ref="T8" ca="1">_xlfn.PERCENTRANK.EXC(_xlfn._xlws.FILTER(S$4:S$16, ISNUMBER(S$4:S$16)),S8)*100</f>
        <v>92.800000000000011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49.01182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64.2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52.800000000000004</v>
      </c>
      <c r="T9" cm="1">
        <f t="array" aca="1" ref="T9" ca="1">_xlfn.PERCENTRANK.EXC(_xlfn._xlws.FILTER(S$4:S$16, ISNUMBER(S$4:S$16)),S9)*100</f>
        <v>57.099999999999994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52.516356999999999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85.7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47.898150000000001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35.699999999999996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29.979999999999997</v>
      </c>
      <c r="T11" cm="1">
        <f t="array" aca="1" ref="T11" ca="1">_xlfn.PERCENTRANK.EXC(_xlfn._xlws.FILTER(S$4:S$16, ISNUMBER(S$4:S$16)),S11)*100</f>
        <v>28.499999999999996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47.898150000000001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35.699999999999996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29.979999999999997</v>
      </c>
      <c r="T12" cm="1">
        <f t="array" aca="1" ref="T12" ca="1">_xlfn.PERCENTRANK.EXC(_xlfn._xlws.FILTER(S$4:S$16, ISNUMBER(S$4:S$16)),S12)*100</f>
        <v>28.499999999999996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43.869770000000003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28.52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47.72757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28.499999999999996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51.379999999999995</v>
      </c>
      <c r="T14" cm="1">
        <f t="array" aca="1" ref="T14" ca="1">_xlfn.PERCENTRANK.EXC(_xlfn._xlws.FILTER(S$4:S$16, ISNUMBER(S$4:S$16)),S14)*100</f>
        <v>50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48.332496999999996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0.48312599999999861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58.56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49.41836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45.679999999999993</v>
      </c>
      <c r="T16" cm="1">
        <f t="array" aca="1" ref="T16" ca="1">_xlfn.PERCENTRANK.EXC(_xlfn._xlws.FILTER(S$4:S$16, ISNUMBER(S$4:S$16)),S16)*100</f>
        <v>42.8</v>
      </c>
    </row>
    <row r="18" spans="8:13" x14ac:dyDescent="0.35">
      <c r="K18" t="str" cm="1">
        <f t="array" aca="1" ref="K18" ca="1">_xll.FDSRC("-","DUMMY","ECON_DATE("&amp;$L$1&amp;",,, 'MM/YYYY')")</f>
        <v>08/2024</v>
      </c>
      <c r="L18" t="str" cm="1">
        <f t="array" aca="1" ref="L18" ca="1">_xll.FDSRC("-","DUMMY","ECON_DATE("&amp;$L$2&amp;",,, 'MM/YYYY')")</f>
        <v>05/2024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48.332496999999996</v>
      </c>
      <c r="K19" cm="1">
        <f t="array" aca="1" ref="K19" ca="1">_xll.FDSRC("-","DUMMY","ECON_EXPR_DATA('FDS_ECON["&amp;H19&amp;"]',"&amp;$K$18&amp;",,Q)")</f>
        <v>49.418605999999997</v>
      </c>
      <c r="L19" cm="1">
        <f t="array" aca="1" ref="L19" ca="1">_xll.FDSRC("-","DUMMY","ECON_EXPR_DATA('FDS_ECON["&amp;H19&amp;"]',"&amp;$L$18&amp;",,Q)")</f>
        <v>49.135413999999997</v>
      </c>
      <c r="M19">
        <f ca="1">K19-L19</f>
        <v>0.28319199999999967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50.789436000000002</v>
      </c>
      <c r="K20" cm="1">
        <f t="array" aca="1" ref="K20" ca="1">_xll.FDSRC("-","DUMMY","ECON_EXPR_DATA('FDS_ECON["&amp;H20&amp;"]',"&amp;$K$18&amp;",,Q)")</f>
        <v>52.001809999999999</v>
      </c>
      <c r="L20" cm="1">
        <f t="array" aca="1" ref="L20" ca="1">_xll.FDSRC("-","DUMMY","ECON_EXPR_DATA('FDS_ECON["&amp;H20&amp;"]',"&amp;$L$18&amp;",,Q)")</f>
        <v>51.518684</v>
      </c>
      <c r="M20">
        <f ca="1">K20-L20</f>
        <v>0.48312599999999861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89.287199999999999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98874.03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1447.856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1808581.8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2757.0445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2944525.8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934.8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2339435.2999999998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15143.04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6691552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1313.3787500000001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2283042.2999999998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3309.4575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3384746.5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290612.96799999999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59223420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568029.06243199995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59223420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649.11199999999997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3179112.3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291.60750000000002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1095794.8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299.06099999999998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1079401.8999999999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544.81612500000006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888950.75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365408.6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106688"><![CDATA[{"FC0000ZA^FG_MCAP_IDX(0,,,USD)":365408.6,"EWI^FREF_MARKET_VALUE_COMPANY(0,,,USD,,0,,\"LEGACY\")":544.816125,"FC0000IT^FMA_MCAP(0,,,USD,\"PORTAGG\")":888950.75,"EWD^FREF_MARKET_VALUE_COMPANY(0,,,USD,,0,,\"LEGACY\")":299.061,"FC0000SE^FMA_MCAP(0,,,USD,\"PORTAGG\")":1079401.9,"EWN^FREF_MARKET_VALUE_COMPANY(0,,,USD,,0,,\"LEGACY\")":291.6075,"FC0000NL^FMA_MCAP(0,,,USD,\"PORTAGG\")":1095794.8,"EWQ^FREF_MARKET_VALUE_COMPANY(0,,,USD,,0,,\"LEGACY\")":649.112,"FC0000FR^FMA_MCAP(0,,,USD,\"PORTAGG\")":3179112.3,"SPY^FREF_MARKET_VALUE_COMPANY(0,,,USD,,0,,\"LEGACY\")":568029.062432,"FC0000US^FMA_MCAP(0,,,USD,\"PORTAGG\")":59223420.0,"QQQ^FREF_MARKET_VALUE_COMPANY(0,,,USD,,0,,\"LEGACY\")":290612.968,"EWU^FREF_MARKET_VALUE_COMPANY(0,,,USD,,0,,\"LEGACY\")":3309.4575,"FC0000GB^FMA_MCAP(0,,,USD,\"PORTAGG\")":3384746.5,"EWL^FREF_MARKET_VALUE_COMPANY(0,,,USD,,0,,\"LEGACY\")":1313.37875,"FC0000CH^FMA_MCAP(0,,,USD,\"PORTAGG\")":2283042.3,"EWJ^FREF_MARKET_VALUE_COMPANY(0,,,USD,,0,,\"LEGACY\")":15143.04,"FC0000JP^FMA_MCAP(0,,,USD,\"PORTAGG\")":6691552.0,"EWG^FREF_MARKET_VALUE_COMPANY(0,,,USD,,0,,\"LEGACY\")":934.8,"FC0000DE^FMA_MCAP(0,,,USD,\"PORTAGG\")":2339435.3,"EWC^FREF_MARKET_VALUE_COMPANY(0,,,USD,,0,,\"LEGACY\")":2757.0445,"FC0000CA^FMA_MCAP(0,,,USD,\"PORTAGG\")":2944525.8,"EWA^FREF_MARKET_VALUE_COMPANY(0,,,USD,,0,,\"LEGACY\")":1447.856,"FC0000AU^FMA_MCAP(0,,,USD,\"PORTAGG\")":1808581.8,"ENZL^FREF_MARKET_VALUE_COMPANY(0,,,USD,,0,,\"LEGACY\")":89.2872,"FC0000NZ^FMA_MCAP(0,,,USD,\"PORTAGG\")":98874.03,"NQG00809^FG_COMPANY_NAME":"Nasdaq South Africa","CC_ZA^FG_COMPANY_NAME":"South Africa","NQG00809^FMA_MCAP(0,,,USD,\"PORTAGG\")":null,"DUMMY^ECON_EXPR_DATA('FDS_ECON[NTCPMIMFGSA@IT]',,,M)":49.41836,"DUMMY^ECON_EXPR_DATA('FDS_ECON[]',,,M)":null,"DUMMY^ECON_EXPR_DATA('FDS_ECON[NTCPMIMFGSA@NL]',,,M)":47.72757,"DUMMY^ECON_EXPR_DATA('FDS_ECON[NTCPMIMFGSA@FR]',,,M)":43.86977,"DUMMY^ECON_EXPR_DATA('FDS_ECON[NTCPMIMFGMESA@US]',,,M)":47.89815,"DUMMY^ECON_EXPR_DATA('FDS_ECON[NTCPMIMFGSA@GB]',,,M)":52.516357,"DUMMY^ECON_EXPR_DATA('FDS_ECON[NTCPMIMFGSA@CH]',,,M)":49.01182,"DUMMY^ECON_EXPR_DATA('FDS_ECON[NTCPMIMFGSA@JP]',,,M)":49.845306,"DUMMY^ECON_EXPR_DATA('FDS_ECON[NTCPMIMFGSA@DE]',,,M)":42.40119,"DUMMY^ECON_EXPR_DATA('FDS_ECON[NTCPMIMFGSA@AU]',,,M)":48.495564,"DUMMY^ECON_EXPR_DATA('FDS_ECON[NTCPMIMFGSA@NZ]',,,M)":45.810715,"DUMMY^ECON_EXPR_DATA('FDS_ECON[NTCPMIMFGSA@CA]',,,M)":49.45051,"CAGDPY@FR^EE_ACTUAL_ANNUAL(MED,+1)":-0.4,"CAGDPY@AU^EE_ACTUAL_ANNUAL(MED,+1)":-1.0,"USDITL^FG_PRICE_CHANGE(0,-3AM)":-4.042399,"USDANG^FG_PRICE_CHANGE(0,-3AM)":0.0,"USDUSD^FG_PRICE_CHANGE(0,-3AM)":0.0,"USDGBP^FG_PRICE_CHANGE(0,-3AM)":-5.4155293,"USDJPY^FG_PRICE_CHANGE(0,-3AM)":-9.925753,"USDCAD^FG_PRICE_CHANGE(0,-3AM)":-1.5033722,"USDNZD^FG_PRICE_CHANGE(0,-3AM)":-2.464509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42393,1.26256164128892,1.41909398824033,1.56850336770513,1.47895581929429],"ENZL^JULIAN(P_PRICE_RETURNS_PR('52W',2,-10AY,0,AM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8],"EWD^FMA_DIV_YLD(NTMA,-10AY,0,AM,\"PORTAGG\",\"MEANR\")":[4.1860478343236,4.33062061384949,4.10698091641928,4.07873735495103,3.91785630346583,3.61247781394344,3.60708649612282,3.63725079469551,3.77877938829459,3.87743121325184,3.92904840611904,4.30288861454703,4.54906522032636,4.19800192556645,4.15720660270992,4.31616732091354,4.54641795390605,4.38598555244779,4.38072184226227,4.24008902350595,4.46612967733194,4.39008461405397,4.34161785745878,4.24784318468469,4.19219195573884,4.04733041716732,4.02607890782646,3.88540003504128,3.89928877307943,3.60028391421527,3.6508429282247,3.66934319959309,3.36326036313775,3.50699231518704,3.66471922284054,3.76820182223902,3.65962627698685,3.53442249359878,3.64187891892681,3.70269588074989,3.62919188251054,3.84766234679037,4.09635868853334,3.97132660094247,4.00096545106402,4.16073004016501,4.1524260842406,4.05638570874102,4.03304405264279,4.43422769937435,4.5771400030123,4.76207528826481,4.46111245799097,4.11790530091543,4.16006721591132,3.98289903404516,4.31590817091977,4.11357763545149,3.97443935983088,4.30229819737449,3.92911874646774,3.77389252895726,3.71317083407133,3.57514579951283,3.55881127032288,3.41213596389743,4.8728478378546,3.36726611478691,3.31339131759115,3.01920248257081,2.93060188980973,3.02624094311299,3.04449840050772,3.12150645419087,3.01049750576861,3.11435627543659,2.98258467884696,2.98889777640843,2.79793620770256,2.75156222561609,2.84990963587657,2.72222019219796,2.7040240162806,2.72207811222656,2.78519717070211,2.97941076774679,3.00253364972886,2.88022764565264,2.8377687168979,3.15854193523051,3.07240508762614,3.15767022238265,3.38560698483429,3.64604986170497,3.55739430750791,3.59545163494964,3.81915779270755,3.86782351587888,3.56988691312337,3.73853465609951,3.47114188215876,3.54763277786024,3.75492912446766,3.64642244150706,3.72201204950884,3.82779286472634,3.81370400341262,3.99248453688056,3.99808972099007,3.98762232696704,3.66881185343981,2.94062135103834,3.03777113781634,3.31904341288228,3.17089869824469,3.28198498312993,3.14758895265589,3.24704941600817,3.20097065903432,3.24412508841196,3.23566240961707],"EWQ^FMA_PE(NTMA,-10AY,0,AM,\"PORTAGG\",\"MEANR\")":[13.4793967313691,12.9153659007317,13.6123740708953,13.870769850874,15.3263485834173,16.1504175552056,16.6203288435665,16.7708872879715,16.5549508431863,16.1263943832377,15.965466835156,14.3249231520638,13.7995645750541,15.2315156584723,15.1982078794745,14.6509695277158,13.9237768219349,13.8793463792351,14.4536845739277,14.9069723583532,14.1028506684401,14.2956847977597,14.0181295099154,13.9464425414515,14.0027589468079,14.0374820914391,13.7395311692623,14.5255982089951,14.4168590965511,14.2906631671161,14.6817984221335,14.6306345947838,15.2530003765902,14.9665579870107,14.6650664360809,14.4942665213897,14.9997555483727,15.2148171746299,14.9059454282552,14.931758955554,15.3538718135294,14.6571993943397,14.0260183185813,14.7159853545921,14.7635212494986,14.1801147757194,13.9868960832543,13.8374499024254,13.9100023952768,12.4697973688669,12.3906307052081,11.8034389106372,12.4758318473142,13.3681285862403,13.442410612788,14.1249027212924,13.3310117313081,11.8917801790387,14.1471478066581,13.4505161138177,14.0959244217704,14.2643571378471,14.7199488342378,15.0232931051062,14.8871669022371,15.1653896467362,10.674849281175,15.50650723834,16.5424686592638,19.0266336831418,19.724581540198,19.2862953615819,18.07638921211,17.9309767905508,18.984759573188,18.118632523618,17.8151059229357,17.9827858604734,18.0450614720637,18.1446151926582,17.7177988529486,17.6847400320758,17.07350889189,16.3292883794755,16.1250781029647,15.6177089250023,15.7474563462288,15.7266543100502,15.3305061888697,14.1487185534283,13.4513479619836,13.1464864619855,12.180549957344,11.1826492081849,11.5831822459632,11.4311952662603,10.2523444873436,10.7630783416909,12.0096132609484,11.8622601873181,13.0694772966366,13.2976335512323,12.9981016388719,13.8223979237845,13.2674945414408,12.9095564536994,13.3740191688786,12.8272603132138,12.6317068085799,11.9632798295027,12.8492545328679,13.4590036637104,13.2339923789512,14.34470688462,14.5939723124614,14.4928978494865,14.5015732874344,13.6091678744329,13.5913464193918,13.7500923058189,13.528371068889],"QQQ^FMA_PE(LTMA,-10AY,0,AM,\"PORTAGG\",\"MEANR\")":[19.3309076779083,19.0869330342105,20.1544623531315,20.3098849197985,20.124261953247,20.7534058614736,20.6338534456741,20.505288470177,20.349911959571,20.2163825145577,20.3801910724454,19.2889004349243,19.2965970870902,20.3252847212119,20.4290927883485,20.2491949722443,18.7565151103989,18.1788537879778,18.3087380699311,18.4280266164513,18.3391402880205,18.6863139867324,19.2121303906337,19.619588761924,19.885621407605,19.9389042555318,20.029452516258,20.5712874187743,20.9811160641062,21.7640674675819,21.6383903891379,21.5929763080648,21.8424228780276,21.9483433086551,22.2415341053391,21.9743522077408,22.1990995060686,22.5891476186619,23.2348260054294,23.7486875513565,25.4125262071228,24.333268814325,23.6593914544259,23.4086902792223,23.2276313249347,23.2649653404729,23.2645564016465,23.0427609911461,23.0710697448946,21.9177158508543,19.7271044765999,18.0747651525871,19.6734850220849,20.8428911574737,21.0042484707393,21.41914860962,21.0059874903557,21.7040097765724,22.0944252387874,21.3884223589377,21.8846984490039,22.1370214870901,23.3191219136573,24.7573854133183,26.0765662973534,26.1000270175219,22.4681172673161,24.0048838392071,25.5945751934331,27.007347258201,27.9829101818681,29.4356667698279,28.8008872856584,31.1249974353571,31.3425671877628,33.5522030557466,35.0963884934838,32.993424438546,31.8817964177731,32.0130641227507,30.7503858287276,30.9984853190156,31.5431305631685,30.7242462913322,30.5323430932046,30.1508778537359,31.2981700913156,31.2467904329852,27.4191121752913,24.8492661588239,26.1266457322448,25.4565745691462,24.4786545528368,23.8058729964135,24.2943345835066,25.037662111583,22.7455994191831,22.5488747477525,23.3809683668266,22.4682666355111,24.1353178338581,24.8718205693932,24.9300837888772,25.1337003626874,25.4846464937373,26.4161263124587,27.219047600831,25.9413365684059,25.3634285023025,25.3159880899708,27.1170747037843,28.391548723077,29.2516437000242,29.5543554346693,29.5174054468388,28.8880153529346,29.0682515608311,29.5266208855111,29.8315983619296,30.2303457934066,30.2059919152821],"DDR3512M-FDS^FG_PRICE(0)":0.8831571,"PASP-FDS^FG_PRICE(0)":1075.0,"PLATI-FDS^FG_PRICE(0)":992.0,"W-FDS^FG_PRICE(0)":5.685,"COPP-FDS^FG_PRICE(0)":4.2815,"FC0000US^FG_PRICE(0)":426.70563,"FC0000GR^FG_PRICE(0)":9.837874,"EWI^FG_PRICE(0)":38.435,"SPY^FG_PRICE(0)":569.9599,"EWJ^FG_PRICE(0)":71.69,"ENZL^FG_PRICE(0)":49.604,"EWA^FG_COMPANY_NAME":"iShares MSCI Australia ETF","FXI^P_PRICE(0)/P_PRICE_LOW_PR(0,,,,,,\"PRICE\",\"INTRA\",\"52W\")-1":0.32981777,"SPY^FMA_PCT_ABOVE_MAVG(200,0,,,,\"PORTAGG\")":77.4451097804391,"URTH^PERCENT_CHANGE(FMA_EPS(+1,0,,,,\"PORTAGG\",\"MEAN\"),FMA_EPS(+1,-3AM,,,,\"PORTAGG\",\"MEAN\"))":1.38327059829456,"VGK^FG_TOTAL_RETURNC(0,-3AM)":4.6469927,"EWD^P_PRICE(0)/P_PRICE_HIGH_PR(0,,,,,,\"PRICE\",\"INTRA\",\"52W\")":0.99297744,"EWQ^FG_TOTAL_RETURNC(0,-12AM)":13.136983,"SPY^PERCENT_CHANGE(FMA_EPS(+1,0,,,,\"PORTAGG\",\"MEAN\"),FMA_EPS(+1,-1AM,,,,\"PORTAGG\",\"MEAN\"))":0.0631301681141531,"EWU^FG_TOTAL_RETURNC(0,-1AM)":-0.013369322,"EWJ^FG_TOTAL_RETURNC(0,-6AM)":0.5649924,"EWC^P_PRICE(0)/P_PRICE_LOW_PR(0,,,,,,\"PRICE\",\"INTRA\",\"52W\")-1":0.31582308,"EWA^FMA_PCT_ABOVE_MAVG(200,0,,,,\"PORTAGG\")":62.0689655172414,"EWJ^SIZE(FG_CONSTITUENTS)":200,"EWD^FMA_COS_DOWN(\"EPS\",\"1M\",+1,0,,,\"PORTAGG\",\"MEANR\")":22.0,"EWU^FMA_COS_UP(\"EPS\",\"1M\",+1,0,,,\"PORTAGG\",\"MEANR\")":33.0,"ENZL^SIZE(FG_CONSTITUENTS)":26,"EWI^FMA_RBICS_REV_CURRENT(30, LOC, \"PORTAGG\")":38.0511836286509,"EWQ^FG_ROE(0)":12.1513267023902,"TRYGB10Y-FDS^FG_YIELD_NAME":"United Kingdom Benchmark Bond - 10 Year","EWG^FG_COMPANY_NAME":"iShares MSCI Germany ETF","REFFFUND-FDS^(SUBARRAY(NOT_NA(NO_REPEAT_F(FG_YIELD(NOW,-10AY,D))),0,1)-SUBARRAY(NOT_NA(NO_REPEAT_F(FG_YIELD(NOW,-10AY,D))),1,1))*100":-50.0,"REFEUREFI-FDS^FG_YIELD(NOW,,,0)":3.65,"TRYNL10Y-FDS^PCTCHG(FG_YIELD(0,,,,\"YTM\"),FG_YIELD(-1AM,,,,\"YTM\"))":-0.7197076,"TRYCA10Y-FDS^PCTCHG(FG_YIELD(0,,,,\"YTM\"),FG_YIELD(-1AM,,,,\"YTM\"))":null,"TRYUS10Y-FDS^FG_YIELD_NAME":"US Benchmark Bond - 10 Year","TRYNZ10Y-FDS^FG_YIELD_NAME":"New Zealand Benchmark Bond - 10 Year","VWO^FG_FCF_YIELD_NTM(0)":5.46256876234888,"EWI^FMA_PE(NTMA,0,,,\"PORTAGG\",\"MEANR\")":9.98651948040199,"EWN^JULIAN(FMA_DIV_YLD(NTMA,NOW,NOW,M,\"PORTAGG\",\"MEANR\").DATES)":45534,"QQQ^FMA_EVAL_EBITDA(NTMA,0,,,\"PORTAGG\",\"MEANR\")":16.5508232393624,"EWL^FMA_DIV_YLD(NTMA,NOW,NOW,M,\"PORTAGG\",\"MEANR\")":3.08471253418279,"EWG^FMA_PE(LTM,0,,,\"PORTAGG\",\"MEANR\")":15.4101484698275,"ENZL^FMA_EVAL_EBIT(LTMA,NOW,NOW,M,\"PORTAGG\",\"MEANR\")":21.6175078655264,"EWJ^FG_COMPANY_NAME":"iShares MSCI Japan ETF","EWD^FG_COMPANY_NAME":"iShares MSCI Sweden ETF","VGK^P_PRICE(0)/P_PRICE_HIGH_PR(0,,,USD,,,\"PRICE\",\"INTRA\",\"52W\")":0.9832163,"QQQ^P_PRICE(0)/P_PRICE_HIGH_PR(0,,,USD,,,\"PRICE\",\"INTRA\",\"52W\")":0.9603196,"VWO^P_PRICE(0)/P_PRICE_HIGH_PR(0,,,USD,,,\"PRICE\",\"INTRA\",\"52W\")":0.99879915,"TRYSA10Y-FDS^FG_YIELD(-10AY,0,Y,,\"YTM\")":[null,null,3.8912454,3.7299898,4.5715504,2.8775356,2.0844028,2.5113702,4.613973,4.608568],"TRYKR10Y-FDS^FG_YIELD(-10AY,0,Y,,\"YTM\")":[2.6272,2.0852,2.0916,2.4797,1.9804,1.6728,1.7238,2.2417,3.6906,3.1928],"DUMMY^ECON_EXPR_DATA('FDS_ECON[NTCPMIMFGSA@EME]',,,M)":50.789436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4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DUMMY^ECON_EXPR_DATA('FDS_ECON[PMIDMMANHE]',,,M)":48.332497,"CAGDPY@FR^EE_ACTUAL_ANNUAL(MED,0)":-1.0196499952943,"CAGDPY@AU^EE_ACTUAL_ANNUAL(MED,0)":0.252467670960909,"USDITL^FG_PRICE_CHANGE(0,-1AM)":0.41772127,"USDANG^FG_PRICE_CHANGE(0,-1AM)":0.0,"USDUSD^FG_PRICE_CHANGE(0,-1AM)":0.0,"USDGBP^FG_PRICE_CHANGE(0,-1AM)":-1.1984587,"USDJPY^FG_PRICE_CHANGE(0,-1AM)":-0.97479224,"USDCAD^FG_PRICE_CHANGE(0,-1AM)":-0.17012358,"USDNZD^FG_PRICE_CHANGE(0,-1AM)":-1.012921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0.6997466,-6.278026,1.093638,-4.887825,-2.4337888,9.17095,0.5376339,0.53476095,4.9202085,1.4575481,-1.6705453,-5.494505,-3.55677,7.1631193,-6.4857664,0.16019344,-12.756902,-9.017062,8.928574,2.5409818,-5.8353367,6.254196,-10.024654,2.92238,-2.2182763,1.7241359,-5.129349,14.587855,2.1118045,-4.906726,8.827293,-2.1159887,14.81185,-2.2981644,5.7412744,3.0927777,5.033338,-2.8879702,0.58823824,0.38836002,10.60853,-4.5601726,-2.5585651,8.003796,-7.2934985,-5.415499,-0.2403915,-5.6110144,6.017506,-12.831098,-2.446729,-2.2865415,7.169807,4.0688634,3.5338402,2.9048681,-6.3514414,7.690847,1.5568376,-8.163988,6.948757,2.9401183,2.6798368,2.7018666,-1.0437727,1.1228323,-36.675636,5.419767,5.0403237,19.228697,5.2460313,-1.0046303,-6.049967,3.7390947,12.57509,5.7040453,-0.6107867,3.4141302,2.1129012,4.073715,2.9201746,-0.766629,-1.4778316,2.8125048,-0.4255414,1.8315077,-1.2589991,0.007545948,-0.21551847,-3.702563,-8.683109,-0.5614042,-0.49399734,-10.6731415,-5.4828167,3.6363602,-8.437765,5.018246,19.417894,-0.34249425,9.670246,1.6553998,-2.426052,7.935965,-2.4929047,1.3595581,7.8181148,-4.1868925,-1.773274,-4.12637,8.910561,5.513406,-2.0444393,8.045971,4.6752453,0.5883932,1.7548561,-3.5751343,4.9708486,1.6931176,-0.012999773],"EWN^FMA_DIV_YLD(NTMA,-10AY,0,AM,\"PORTAGG\",\"MEANR\")":[3.03064260512301,3.21444238893607,3.05939955908107,3.05082869424285,2.90178912302296,2.75459194353055,2.63459266791054,2.64563939652164,2.76650990742489,2.82642158448111,2.82981857161712,3.42600704101446,3.59272084469334,3.25510281560338,3.15447633753472,3.27785945482685,3.29594108300933,3.45111097559944,3.2770275041469,3.27059212363242,3.40510125761494,3.20335712860972,3.20074322554703,3.14299746259573,3.12545795291836,3.09048665623354,3.12191844159859,2.95868088927089,2.97674578450252,2.85434042466366,2.78029139041232,2.77553333889155,2.7278682933815,2.75392490219173,2.76895855549758,2.81551691509677,2.82969466102103,2.76429367163439,2.82080712264631,2.83203370168834,2.75657699523619,2.92978010597425,3.02328862798322,2.94555657316598,2.88927811728875,2.87977609085712,2.88303962836887,2.91484214291987,2.98420730710646,3.24868668727822,3.25517934225331,3.50698316385185,3.33924526630744,3.12722442935092,3.09853798775312,2.96287874443161,3.11548592246546,3.02670733126615,2.88826706368585,3.04810812863508,2.75482247937371,2.76080577741067,2.66946154621869,2.57627720305521,2.62242418626055,2.51684988018254,3.6850413317776,2.79280943531262,2.54620648558731,2.33979016032063,2.28018577477526,2.34839326217364,2.3636905512726,2.31675901391294,2.18258921078309,2.02919850691743,1.94953261173588,1.95369369318355,2.01296948601639,1.91141026216499,1.99333411950795,2.0115626447897,1.95053899787451,1.84972190276081,1.85153145992234,1.89998334303744,1.90621641272828,1.94498694828229,2.13331775444294,2.34365884565205,2.2632242168126,2.32800762560956,2.55769698350085,3.55644027239324,3.14390091365485,3.63816436686848,3.08182427319381,3.01010465407045,2.65564993169757,2.7791725748076,2.55163405592462,2.61094211107563,2.68274899532265,2.66049268490079,2.65888765731757,2.73778127894768,2.69725691110691,2.87302900771666,3.03070368690447,3.13425946678423,2.80695251406521,2.69179910483806,2.69161109974222,2.48317771550396,2.54153055226317,2.57163537748194,2.4751003203801,2.48057689763217,2.52753638922282,2.60310012696768,2.63415684591703],"SPY^FMA_PE(NTMA,-10AY,0,AM,\"PORTAGG\",\"MEANR\")":[15.1102454945552,14.9543373661784,15.8157826492897,16.1605830760414,16.3925604924427,16.9373546737866,16.8351753623844,16.8557551620261,16.7256915999721,16.5829065415121,16.4224304563175,15.3550638974136,15.0850640942395,16.2623949764157,16.3309023849653,16.1433606034778,15.1489961135767,15.5099438140132,15.5167363536305,16.5004635460184,16.5226770167304,16.6283021612132,17.0118613693881,16.9406168333375,16.6577706949809,16.3417711479852,16.7695129497699,17.0350040670959,16.8686409864465,17.6587418780946,17.440362017355,17.2710355638307,17.4154491817318,17.5522818984846,17.750108667157,17.3481531068115,17.6588490732781,17.9615542385469,17.9473147040421,18.267600534229,18.3882937364432,17.1177869393206,16.0338068409553,16.3596107746632,16.3683837238061,16.3724754157741,16.4938187290874,16.588405058014,16.8753622361642,15.6703132674008,15.0387464293608,13.891829899582,15.3246809588253,16.2737755849555,16.2583397537296,16.8814353940121,16.1153049085938,16.8216752811282,17.097815084718,16.1416244430324,16.8975145749832,16.9952683310006,17.5627522333421,18.1561569421288,18.6214358029808,18.709780723144,13.1232922582781,19.1620866326586,21.0752587667112,21.9972666430518,22.1694412660145,22.3438545739334,20.8114708035836,21.6950110832594,21.6222625645037,22.1648166337612,22.403997009175,21.8371669197296,21.664850798978,22.2521811295769,21.1118927293063,21.1738284130326,21.4192348683982,21.0741872715874,20.7966375067888,20.948057382516,21.2858633356091,21.232981036742,19.5573681424712,18.480205164686,19.2031202970033,18.0618665750641,16.7233266896129,15.8405995014184,16.5949260742492,17.3982108084075,15.5779245651359,15.980084225866,17.4281494992475,16.6703125608308,17.5793711998232,17.6894834933193,17.3228625337399,18.15895910033,17.9775792153538,18.6971427959406,19.4898928194312,18.6904153892341,17.9979450661774,17.4848828769873,18.7364803591476,19.4912064078188,19.8540270929457,20.5099174573389,20.9200529059124,20.0830408121868,20.499433416898,21.0262670374946,21.2143557626519,21.2839215887883,21.394503014714],"EWU^FMA_PE(LTMA,-10AY,0,AM,\"PORTAGG\",\"MEANR\")":[14.0248103797914,13.5788345415182,14.0621161887228,13.8316289028884,14.2478176526474,15.1061339635744,15.3180117096964,15.6007969244831,15.7913333867444,15.7760547331156,15.6444089309457,15.0825483082746,14.8755441934958,15.8898580663455,15.8345675471657,15.6956381751163,14.8609796449499,15.2275758978485,15.7103296108362,15.9936211326135,15.8705676416749,16.3271186329662,16.5257714794741,16.9947491415993,17.028883251156,16.8933811123995,16.4393713672833,16.9863977375723,17.0362583377692,17.4221284338095,17.1963804568373,16.8648592560914,16.8322028770855,16.4954061006383,16.5060556827643,16.0810254212958,15.8716690641046,15.7163757667209,15.2915012648883,15.3534206057366,15.7028460509124,14.5008539281828,13.8570120339281,14.0135607372886,14.0816285439416,13.9363294696152,13.7808304634317,13.6264550184932,13.6282517354131,12.7538917281484,12.5507386876623,11.9906287576816,12.3281632077543,13.0409571944735,12.9439215986678,13.0526200859991,12.8193819601618,13.0156240262751,13.1677850790363,12.7052847391674,13.0676347531173,13.236556122395,13.409334881193,14.0970807455846,14.0932829268633,13.9408069021334,11.8313712702058,13.2209488105513,14.2780079278409,15.2836072507654,15.7369505079916,16.2230228503752,16.6831783259242,16.9289645159316,18.4987056862221,19.5431386978057,19.9730042395424,19.4305958346627,18.407261667442,17.8480050785287,17.3030532140318,16.6429050675574,15.7112209337771,14.8713738284773,14.1596590252673,13.739308583223,12.9577888264269,12.4615104960179,12.5968884907473,12.6197566025418,12.4231530078594,12.125756094797,11.7788872283616,11.1848070692011,11.0084948384569,10.6441055522878,9.58142782133697,9.39822438796226,9.86899722541243,9.64044277324606,10.2362529140435,10.2375430764246,10.1873841019866,10.4194322944676,10.3601864976284,10.2628287625138,10.5762578947533,10.3554399692146,10.6803931514311,10.3524069664023,10.6800128584762,11.2210934870299,11.019470407907,11.5542526704476,11.5199141221403,11.5601944886959,11.7471569041684,11.6729737634459,11.8088737390767,12.0904847084419,12.0841971608709],"WL-FDS^MAX(FG_PRICE(0,-5AY))":763.4,"NI-FDS^MAX(FG_PRICE(0,-5AY))":48241.0,"CPALM-FDS^MAX(FG_PRICE(0,-5AY))":8163.0,"BRENT-FDS^MAX(FG_PRICE(0,-5AY))":140.85,"TIOS-FDS^MAX(FG_PRICE(0,-5AY))":219.77,"FC0000GB^FG_PRICE(0)":134.09592,"FC0000CA^FG_PRICE(0)":314.4985,"EWD^FG_PRICE_MAVG(0,,,,200)":39.754974,"QQQ^FG_PRICE_MAVG(0,,,,200)":445.9665,"EWG^FG_PRICE_MAVG(0,,,,200)":30.75805,"EWI^FG_COMPANY_NAME":"iShares MSCI Italy ETF","ENZL^FG_COMPANY_NAME":"iShares MSCI New Zealand ETF","FXI^P_PRICE(0)/P_PRICE_HIGH_PR(0,,,,,,\"PRICE\",\"INTRA\",\"52W\")":0.9393836,"EWJ^FG_TOTAL_RETURNC(0,-12AM)":18.517458,"URTH^PERCENT_CHANGE(FMA_EPS(+1,0,,,,\"PORTAGG\",\"MEAN\"),FMA_EPS(+1,-1AM,,,,\"PORTAGG\",\"MEAN\"))":-0.144430585925297,"VGK^FG_TOTAL_RETURNC(0,-1AM)":-0.8389473,"EWD^FG_TOTAL_RETURNC(0,-6AM)":5.957544,"EWQ^P_PRICE(0)/P_PRICE_LOW_PR(0,,,,,,\"PRICE\",\"INTRA\",\"52W\")-1":0.1758765,"EWU^PERCENT_CHANGE(FMA_EPS(+1,0,,,,\"PORTAGG\",\"MEAN\"),FMA_EPS(+1,-3AM,,,,\"PORTAGG\",\"MEAN\"))":1.73817167685976,"EWJ^FG_TOTAL_RETURNC(0,-3AM)":8.6047535,"EWC^P_PRICE(0)/P_PRICE_HIGH_PR(0,,,,,,\"PRICE\",\"INTRA\",\"52W\")":0.9972253,"ENZL^FG_TOTAL_RETURNC(0,-12AM)":14.3016815,"EWJ^FMA_COS_DOWN(\"EPS\",\"1M\",+1,0,,,\"PORTAGG\",\"MEANR\")":84.0,"EWD^FMA_COS_UP(\"EPS\",\"1M\",+1,0,,,\"PORTAGG\",\"MEANR\")":13.0,"EWL^SIZE(FG_CONSTITUENTS)":47,"ENZL^FMA_COS_DOWN(\"EPS\",\"1M\",+1,0,,,\"PORTAGG\",\"MEANR\")":13.0,"EWD^FMA_RBICS_REV_CURRENT(30, LOC, \"PORTAGG\")":27.3013128847697,"SPY^FG_ROE(0)":18.5998452041955,"TRYCH10Y-FDS^FG_YIELD_NAME":"Treasury - Switzerland Benchmark Bond 10Y","EWC^FG_COMPANY_NAME":"iShares MSCI Canada ETF","REFFFUND-FDS^FG_YIELD(NOW,,,0)":5.0,"REFEUREFI-FDS^PROPER_NAME(0,,,\"SECURITY\",\"NAME\")":"Eurozone Main Refinancing Operations Minimum Bid Rate","TRYFR10Y-FDS^PCTCHG(FG_YIELD(0,,,,\"YTM\"),FG_YIELD(-3AM,,,,\"YTM\"))":-5.67421,"TRYAU10Y-FDS^PCTCHG(FG_YIELD(0,,,,\"YTM\"),FG_YIELD(-3AM,,,,\"YTM\"))":-5.8167114,"TRYUS10Y-FDS^FG_YIELD(0,,,,\"YTM\")":null,"CC_IT^IMF_IFS_RCPI_Q(0)":0.80847347,"VWO^FMA_DIV_YLD(NTMA,NOW,NOW,M,\"PORTAGG\",\"MEANR\")":2.94454119618382,"EWI^FMA_PE(LTM,0,,,\"PORTAGG\",\"MEANR\")":11.4204862175488,"EWQ^FMA_EVAL_EBIT(LTMA,NOW,NOW,M,\"PORTAGG\",\"MEANR\")":13.3536230759157,"QQQ^FG_FCF_YIELD_NTM(0)":3.55534928866567,"EWL^FMA_PE(NTMA,0,,,\"PORTAGG\",\"MEANR\")":17.0578136298036,"EWG^JULIAN(FMA_DIV_YLD(NTMA,NOW,NOW,M,\"PORTAGG\",\"MEANR\").DATES)":45534,"ENZL^FMA_EVAL_EBITDA(NTMA,0,,,\"PORTAGG\",\"MEANR\")":12.7451341115485,"EWL^FG_COMPANY_NAME":"iShares MSCI Switzerland ETF","EWN^FG_COMPANY_NAME":"iShares MSCI Netherlands ETF","VGK^FG_TOTAL_RETURNC(0,-6AM)":6.542933,"QQQ^FG_TOTAL_RETURNC(0,-6AM)":8.650684,"VWO^FG_TOTAL_RETURNC(0,-6AM)":10.691273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TRYGB10Y-FDS^FG_YIELD(-10AY,0,Y,,\"YTM\")":[1.8155,2.0248,1.2817,1.2536,1.3339,0.822,0.197,0.966,3.662,3.534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9001753941815,25.4476853128011,27.6470377516053,24.9178959308229,26.0524047586362],"TRYIN10Y-FDS^FG_YIELD(-10AY,0,Y,,\"YTM\")":[7.86,7.89,6.63,7.35,7.35,6.55,5.9,6.45,7.33,7.19],"TRYEU10Y-FDS^FG_YIELD(-10AY,0,Y,,\"YTM\")":[0.5475,0.636,0.2082,0.4294,0.239,-0.189,-0.575,-0.181,2.533,2.004],"VWO^FMA_COS_UP(\"EPS\",\"1M\",+1,0,,,\"PORTAGG\",\"MEANR\")":969.0,"SPY^FMA_COS_UP(\"EPS\",\"1M\",+1,0,,,\"PORTAGG\",\"MEANR\")":155.0,"EWC^FMA_COS_UP(\"EPS\",\"1M\",+1,0,,,\"PORTAGG\",\"MEANR\")":15.0,"QQQ^FG_ROE(0)":22.3272871868532,"TRYCA10Y-FDS^FG_YIELD_NAME":"Canada Benchmark Bond - 10 Year","REFGBBANK-FDS^PROPER_NAME(0,,,\"SECURITY\",\"NAME\")":"UK Bank Rate","REFNZOCR-FDS^PROPER_NAME(0,,,\"SECURITY\",\"NAME\")":"New Zealand Official Cash Rate","TRYJP10Y-FDS^PCTCHG(FG_YIELD(0,,,,\"YTM\"),FG_YIELD(-1AM,,,,\"YTM\"))":-4.224721,"TRYFR10Y-FDS^FG_YIELD_NAME":"France Benchmark Bond - 10 Year","CC_SE^IMF_IFS_RCPI_Q(0)":3.39215,"VWO^JULIAN(FMA_DIV_YLD(NTMA,NOW,NOW,M,\"PORTAGG\",\"MEANR\").DATES)":45504,"EWD^FMA_DIV_YLD(NTMA,NOW,NOW,M,\"PORTAGG\",\"MEANR\")":3.20494310472097,"SPY^FMA_EVAL_EBIT(LTMA,NOW,NOW,M,\"PORTAGG\",\"MEANR\")":21.0499976232196,"EWG^FMA_EVAL_EBIT(LTMA,NOW,NOW,M,\"PORTAGG\",\"MEANR\")":13.8664754850983,"EWU^FG_COMPANY_NAME":"iShares MSCI United Kingdom ETF","TLT^P_PRICE(0)/P_PRICE_HIGH_PR(0,,,USD,,,\"PRICE\",\"INTRA\",\"52W\")":0.9674833,"CAGDPY@IT^EE_ACTUAL_ANNUAL(MED,0)":0.464182828189248,"CAGDPY@DE^EE_ACTUAL_ANNUAL(MED,0)":5.88214213185842,"USDITL^FG_PRICE_CHANGE(0,-6AM)":-2.8386593,"USDANG^FG_PRICE(0)":1.79,"USDUSD^STD(FG_PRICE_CHANGE(0,-3AY,M))":0.0,"USDCHF^FG_PRICE_CHANGE(0,-6AM)":-5.610907,"USDEUR^FG_PRICE_CHANGE(0,-1AM)":0.41772127,"USDAUD^FG_PRICE(0)":1.4597474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4,4.61613854439477,4.46089540048153,4.56673185665912],"ENZL^P_PRICE_RETURNS_PR('52W',2,-10AY,0,AM)":[7.6727986,1.2900233,9.408558,11.22967,4.738641,7.323408,3.4213424,-0.7041633,-2.7980924,-10.4527235,-11.787653,-11.553669,-15.339745,-1.8865228,-8.87534,-1.7426372,-7.084054,-4.824257,-1.0492086,6.0343623,9.930313,26.650227,31.718563,44.90261,49.094357,25.208055,21.528578,11.9933605,28.712845,23.792208,10.167492,5.8463693,11.408436,10.702192,12.84436,3.666675,6.922257,13.359833,15.1124,24.176682,18.131626,18.393208,24.508703,16.423214,13.693153,12.94862,4.4927,6.5906763,8.677506,0.595665,6.4464808,-1.0457754,2.6121855,4.9894333,5.7065845,13.082576,12.432301,7.8069925,20.900738,9.5357895,9.114706,21.345388,18.314148,32.189323,26.008093,20.54428,-23.77066,-4.1531982,0.28111935,9.297716,7.6244473,15.795172,10.989845,20.845043,23.151339,18.814505,19.308388,14.70058,69.068695,36.75053,27.46811,13.268828,8.321655,6.970513,16.799473,5.1693916,-5.2430925,-9.978414,-17.388105,-13.696331,-7.3813677,-17.501146,-21.064865,-24.724955,-22.723877,-20.237875,-31.289375,-33.132183,-19.599915,-16.04163,-3.718096,-7.1801004,-11.532479,-5.113709,5.054784,9.133255,6.922877,-2.7981997,1.2525797,2.7511716,-3.6893666,2.7258754,-7.9467115,-5.012858,-3.0614674,-7.333666,-6.6948056,-3.1150997,-2.373153,11.109364,14.3016815],"SPY^FMA_DIV_YLD(NTMA,-10AY,0,AM,\"PORTAGG\",\"MEANR\")":[2.12113400608635,2.16984487001189,2.07028914100136,2.07371396816664,2.12227922749282,2.09674685811471,2.15308094302026,2.14332183553889,2.13970438174093,2.14874772979324,2.18245901351229,2.34854412270244,2.4008815641309,2.25175177815447,2.27245030874921,2.28960811730876,2.49307720186843,2.45182025901469,2.47519773454617,2.29179874134034,2.29270141173246,2.26432497678764,2.20901730113117,2.20272134149624,2.22257127193486,2.25475278169333,2.20714478252866,2.16277802258585,2.17557966692274,2.10637837461634,2.12559273740343,2.13752272910581,2.1080210975241,2.08611357163004,2.08192046325301,2.11803768804064,2.07310741873066,2.03254583158474,2.00703995810953,1.95252863229292,1.86335016145739,1.95779445698658,2.09611740368357,2.05104870218734,2.02388126629958,2.0230766313855,2.00611617077107,1.98610336770601,1.94396359995819,2.09338377845803,2.18036533017401,2.4022200614989,2.21016862767007,2.09606090985895,2.10766829922598,2.0306337736227,2.12049477872474,2.03816170586198,2.01408605726185,2.13547847715171,2.03928019709788,2.0437266970293,1.99241138899378,1.93463075534558,1.88875501962009,1.89566172460069,2.82641440802225,2.19440289985958,2.04589683968309,1.91993570304135,1.83538338513794,1.75486934666695,1.84084414752909,1.72760994831326,1.67559745536018,1.60430686730752,1.54956129496503,1.54969584163763,1.54401672302017,1.45768286660184,1.47219782291228,1.45720520349361,1.41965706444844,1.41162098704407,1.42382939412263,1.40672069482644,1.370403649731,1.36454188803909,1.47844574969004,1.56034975150215,1.4793639095188,1.5455769344878,1.66916715400717,1.76553576186137,1.69882739979679,1.65070553937422,1.8522065661703,1.83487587261114,1.72079980612643,1.80578905866682,1.73187101893852,1.75060163103374,1.7824664689003,1.71143743633013,1.70573084975043,1.63294801654069,1.57273292703387,1.61889773745287,1.672156385479,1.72137788820699,1.60069839048567,1.54662116097726,1.51918730813237,1.47573170877779,1.4348609110388,1.489889800304,1.45295219857527,1.41012109813616,1.391371826011,1.37628914939376,1.36188680650387],"EWJ^FMA_PE(NTMA,-10AY,0,AM,\"PORTAGG\",\"MEANR\")":[14.1441643240736,12.9878642845721,14.533363196839,14.3458531362832,14.0985248800733,14.9160607889679,15.7305458997995,15.9891463693586,16.2241517249773,15.9361555672787,15.6019415947915,14.5700227074708,13.4595011307723,14.2890808117916,14.78815076011,13.9380351865156,12.5035806729158,12.1158279295344,12.9699005130274,13.5317459378074,13.188001086675,13.1247336854013,13.6015718357268,13.1869778435693,13.6528918733936,13.6011668441542,14.2727423280809,14.9474454123011,14.4462680238472,14.3597285877623,13.9305201315032,13.4776269570852,14.2036918054379,14.3757293290361,14.3018694223789,13.6614748480555,13.9928308108011,14.4936166193982,14.4865086876441,14.7825205923177,15.4400336273397,13.278439601835,12.4269988915395,13.0328889464489,13.3106706575878,12.8964708798787,12.8335587956994,12.480474398128,13.2522009189224,12.0290217464458,11.9513857828251,11.068554444202,11.7123116643905,12.4105710989753,12.6665198550001,12.7480577639256,12.2927865286044,12.6498398114521,12.8785769960904,12.4519191823014,13.4228036104188,13.6207140585062,14.098348845477,14.617098144499,14.5807946005771,14.241086308389,11.1003886464644,13.5301427506134,14.8713789699763,17.8415260441404,17.9327948074515,17.9618458865574,18.3986205107174,17.747832427224,18.2315937673376,18.0929391308949,18.6623173616102,18.522323860541,17.7241324827377,16.9060026151594,16.2485776993849,16.336814931515,15.6537731667898,15.1672029317277,15.6413979342329,15.1752813737146,15.2472969840946,14.544734060278,13.9080976619312,13.2244332401484,13.5143534620209,12.9361170955786,12.7673008780606,12.2537558118763,12.8811856021914,12.9522136641809,12.4579049753461,12.177376439825,12.9717111429841,12.2727771262593,12.6590439260495,12.9324336365344,12.8364985887223,13.3667083455152,14.2183766066541,14.74149148469,14.533663715261,14.2739428207986,14.7300895710823,13.7672759754823,14.4030953422245,13.8998983544252,15.0552524087258,15.4864762323769,16.1799283526244,15.0980187404724,15.5184911300987,15.1169665903498,15.5321552436505,14.5171480481702,13.6745594567491],"ENZL^FMA_PE(LTMA,-10AY,0,AM,\"PORTAGG\",\"MEANR\")":[17.9728586273838,18.1269755758172,18.7784100435702,19.1175336025468,19.6148479074336,20.0869518607978,20.2086812804339,20.0511427930497,19.9938467197182,19.7156043662357,19.8517049744192,19.4082032376429,18.9308680542045,19.5064217804011,19.5512943067728,19.7071892506357,19.1245719582198,19.3079288217318,19.2573002889686,19.4877148194963,19.6287946064422,19.5752294347078,20.3246849664894,20.9137068988025,20.8325956296427,20.1075417451936,20.000840246748,19.9857967367727,20.457169273916,20.3094473820351,19.7156258765102,19.7761968054248,19.9525444876371,20.1081973479062,20.3497145820659,20.7204080464739,20.5208291321795,21.0074243997498,21.320205756094,22.3452282290213,22.022494987291,22.4193912390945,22.5537747919281,22.2356040251571,22.3142898345522,22.8558728627725,22.7298560796183,23.3594212211808,23.735286351707,22.3451310879883,22.4360294410039,22.6722839931872,23.5431373284339,24.1558951925164,24.0493860396254,24.2120653078727,24.4761024551047,24.4243909922375,25.2755442158576,27.7230639240117,28.5122364364232,28.685990967465,29.8860164020117,32.4355456357052,33.3261641535305,33.7103273173697,29.7161015530742,31.3633860978479,32.466623556616,32.2050261577857,33.7553186335393,34.2154906196155,33.2481534072063,35.4559099786682,35.4028332254916,37.7472450128424,37.7638765304951,34.4905403262646,34.4016008151973,34.5008656654129,34.8851875421853,35.7319004568158,36.6733920637856,37.7908572003734,39.0190369727229,38.9336579195575,38.3528443632038,38.9108217155928,37.1133216831069,35.9229028812502,35.0944624232517,34.5497679034006,33.9572924034965,32.9305870652992,33.0652870466471,34.1088821304443,32.6057369764695,30.7643675200782,30.2401603924065,29.2819577999868,29.8360840718609,29.6817092240591,28.9186444536844,28.5473427436474,28.0831619112752,26.1438727844251,25.5269573344851,24.3650121785193,23.8539088213779,22.6759832061109,22.1741486435909,23.8483940457585,23.284160015743,23.186177503248,23.9746109337421,24.2361182262651,24.5645747079123,24.3936099698723,25.3090394571872,26.4901271659117,24.2533821132262],"PASP-FDS^MAX(FG_PRICE(0,-5AY))":3158.12,"PLATI-FDS^FG_PRICE_CHANGE(0,-1AY)":4.86257928118394,"W-FDS^FG_PRICE_CHANGE(0,-3AM)":1.246660730187,"COPP-FDS^FG_PRICE_MAVG(0,,,,30)":4.1422668,"FC0000CH^FG_PRICE(0)":346.16034,"FC0000AU^FG_PRICE(0)":388.46286,"EWQ^FG_PRICE_MAVG(0,,,,200)":39.581875,"EWL^FG_PRICE_MAVG(0,,,,30)":51.4305,"ENZL^FG_PRICE_MAVG(0,,,,200)":46.374233,"FXI^FG_TOTAL_RETURNC(0,-3AM)":4.9962163,"VWO^FG_TOTAL_RETURNC(0,-3AM)":4.393065,"EWI^FG_TOTAL_RETURNC(0,-3AM)":6.734252,"EWN^FG_TOTAL_RETURNC(0,-3AM)":-2.3992896,"SPY^FG_TOTAL_RETURNC(0,-3AM)":4.9788833,"EWU^FG_TOTAL_RETURNC(0,-3AM)":6.508112,"EWJ^PERCENT_CHANGE(FMA_EPS(+1,0,,,,\"PORTAGG\",\"MEAN\"),FMA_EPS(+1,-3AM,,,,\"PORTAGG\",\"MEAN\"))":13.7504831067604,"EWC^PERCENT_CHANGE(FMA_EPS(+1,0,,,,\"PORTAGG\",\"MEAN\"),FMA_EPS(+1,-3AM,,,,\"PORTAGG\",\"MEAN\"))":1.1803011792509,"ENZL^PERCENT_CHANGE(FMA_EPS(+1,0,,,,\"PORTAGG\",\"MEAN\"),FMA_EPS(+1,-3AM,,,,\"PORTAGG\",\"MEAN\"))":14.3973268287527,"CAGDPY@NL^EE_ACTUAL_ANNUAL(MED,0)":9.85408501996988,"CC_US^FG_COMPANY_NAME":"United States","USDSEK^FG_PRICE_CHANGE(0,-6AM)":-3.4603179,"USDCHF^FG_PRICE_CHANGE(0,-1AY)":-6.4131556,"USDGBP^STD(FG_PRICE_CHANGE(0,-3AY,M))":2.38683145915514,"USDJPY^FG_PRICE_CHANGE(0,-1AY)":-2.9307544,"USDAUD^STD(FG_PRICE_CHANGE(0,-3AY,M))":3.13974050035568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78672,1.85109750448731,2.46081748725315,2.80266519059803,2.92070467941154],"EWJ^P_PRICE_RETURNS_PR('52W',2,-10AY,0,AM)":[0.11128187,-4.3673697,-3.030312,-2.2915542,-2.1388173,7.8762054,19.800926,20.658756,19.233822,10.5752945,7.0868373,0.3383875,-2.0793736,12.719309,9.133255,8.014607,-0.6124675,-10.5719385,-10.16959,-6.850499,-11.799497,-8.550954,-6.5129223,5.4452777,12.471951,4.2645335,0.86040497,3.388548,14.079094,21.537518,15.079821,8.24399,16.981184,16.306437,16.874718,11.982417,10.065115,16.770245,21.51221,22.410452,29.335571,21.001387,14.545977,19.333803,15.841699,10.443211,9.148085,6.9542646,10.015631,-2.0783424,-7.876551,-15.558201,-16.48345,-8.613396,-7.392269,-7.0650997,-11.436158,-5.4775896,-4.0303946,-6.492859,-3.6446393,6.1492324,11.60109,22.893547,15.064537,5.9802055,-16.027534,-7.0254564,0.8426547,5.9319496,3.2925248,9.896242,5.6025863,4.1234374,10.919655,11.846315,17.387522,26.893509,56.805027,38.46917,30.689991,20.725119,22.805655,18.559896,25.183308,16.740835,8.700132,4.1419864,-4.4038353,-10.204095,-8.405691,-15.18631,-13.390237,-20.199615,-17.071379,-16.390455,-29.775816,-25.680721,-18.326962,-17.76151,-9.915358,-8.533597,-7.1289244,3.3749938,5.9608817,16.742002,15.514922,10.549116,22.135508,18.744553,14.778948,18.172909,16.995478,24.82599,29.33606,16.50709,14.597082,7.099712,14.985371,21.569897,18.533993],"ENZL^JULIAN(FG_TOTAL_RETURNC(-10AY,0,AM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8],"EWU^FMA_PE(NTMA,-10AY,0,AM,\"PORTAGG\",\"MEANR\")":[13.1948633540615,12.8567751616128,13.5858648355194,13.8138137539948,15.0420448303364,15.652811885979,15.9008078495102,16.2573632277451,16.24039201124,15.71258997114,15.2867590692015,14.2732629716726,14.1445291895228,15.429531249127,15.287008428497,15.2626431887391,15.0295284764758,15.2855026309607,16.1417271316779,16.4566989312412,15.6533849881501,16.153473089906,16.0553133181738,16.2132861777189,15.7936653698498,15.1940977676595,14.3275988241622,14.2976207077027,14.2240998982384,14.5121916893195,14.4669000298814,14.1152398837832,14.7695993865017,14.4750276486595,14.7893898476638,14.4666569831913,14.5246915845155,14.5449355687945,14.2941653327795,14.555522954109,14.7510097619867,13.6999837703761,13.0472310489504,13.7136548320551,13.8639805520021,13.4607199916216,13.1073436223421,12.8079774116158,12.7639970234146,11.673330114204,11.6483503369946,11.3830887458534,11.9126963283886,12.4681323075007,12.5142742261753,12.8380033600876,12.1335663940187,12.5548520706342,12.7018366605821,11.8636309925335,12.3523725436458,12.5524579551895,12.8232086365857,13.4829996280486,13.3570138654079,13.3243705475584,9.68030326211717,14.0852472810006,15.519676409072,16.3250202086094,15.8931515839429,15.2884485074742,14.5298809894234,13.971355347033,14.6486781814631,14.5398711507423,14.3315347915694,14.1941813286431,13.6331122909712,13.406444822551,13.2455303157618,12.9626130371104,12.3553564111276,12.1492362893032,11.9790577943003,12.1487680329219,12.0059702344452,12.1550426487731,12.3236762496997,12.0751186421246,11.585902682795,10.9291475092378,10.4470839185817,9.5845921358932,9.73777099705659,9.69154510989992,8.56457252186364,8.70926187599424,9.722709108153,9.84991850400314,10.601974842299,10.5164478162205,10.0841290587763,10.8187951914867,10.4842711394179,10.1882587983964,10.6659586659809,10.1859089038861,10.5504656763916,10.0575280792324,10.3832453402456,10.9000101973846,10.7333306534345,11.2593842152514,11.5180262625245,11.4781740624446,11.7906324550821,11.4734122800874,11.5143789732903,11.7240791391758,11.6388360869661],"EWA^FMA_PE(LTMA,-10AY,0,AM,\"PORTAGG\",\"MEANR\")":[14.9368584793799,15.0148448358718,14.7187949275655,14.5049303496613,14.995008005436,16.115527259532,16.2960083375504,16.327376640164,16.1597134242243,16.185035015303,15.9897513757759,15.5039754593051,15.0073493312765,15.8398946492438,15.7549536500811,15.5056633808564,14.8479077271261,15.3403849772955,15.184414592492,15.4020052666275,15.6424318002719,15.8145252919588,16.2957340032564,16.7563962532514,16.6970766299267,16.8360321572039,17.3342748491485,17.5424860665429,17.5025819186456,17.8657192906183,17.3328136043977,17.2706529574721,16.9934264291224,16.759866775305,16.8294394827482,16.7328755815787,16.4368287153034,16.6672249155086,16.6949898575444,16.7731043961764,16.7264109322974,16.5376070971854,16.3529175505601,16.2521918813457,16.2661968440457,16.329033837213,16.258493388544,16.2234004767629,16.0816063939496,15.2643441166785,15.0282777504154,14.2454800785266,15.1625254186786,15.9108723124367,15.8864824651815,15.8820480939311,16.0256995310871,16.2652813593759,16.4096242731457,16.2976128328634,16.8556197694948,17.1192812703216,17.4026486894662,17.9154770062323,18.744908752835,18.9112660857583,15.9258225461232,16.8549237969857,17.5655530646869,18.5314775146922,19.2077153874448,19.6665510914239,19.3382650606702,20.1006116060811,21.9564536639658,22.9288047427864,23.3163820308569,22.5355852443281,21.4210839379575,21.1506429997003,20.6802089935286,20.2601756197215,19.3450010901008,18.987475191676,18.6838915536245,18.760943252633,18.0732861088154,17.8141057744119,16.9738165590657,16.0549133734292,15.8121272708297,15.5455596090202,15.1222848606024,14.1323474245502,14.3735137085195,14.3920193694812,13.4964297979024,13.2126382099248,14.313682105013,14.1001263108437,14.8277010544235,14.353736066264,14.1532488321072,14.3444408904695,14.3425757137841,14.4551747040297,14.9224636605663,14.8442872412133,14.8721681310838,14.4168779284169,15.1441577293349,16.3228987011036,16.2244479038617,16.6031042238772,16.6191829711817,16.6087869661315,16.7710716459837,16.8492687649898,17.1323609214262,17.4673290169963,18.0165874847236],"PASP-FDS^FG_PRICE(0)/MAX(FG_PRICE(0,-1AY))":0.825019186492709,"PLATI-FDS^FG_PRICE_CHANGE(0,-3AM)":-0.998003992015972,"BRENT-FDS^FG_PRICE(0)/MAX(FG_PRICE(0,-1AY))":0.870614479821537,"TIOS-FDS^FG_PRICE_CHANGE(0,-3AM)":-14.0519820493642,"FC0000JP^FG_PRICE(0)":180.93648,"EWI^FG_PRICE_MAVG(0,,,,60)":37.359585,"QQQ^FG_PRICE_MAVG(0,,,,30)":470.84732,"EWC^FG_PRICE_MAVG(0,,,,60)":38.938667,"SPY^FG_COMPANY_NAME":"SPDR S&P 500 ETF Trust","VWO^P_PRICE(0)/P_PRICE_LOW_PR(0,,,,,,\"PRICE\",\"INTRA\",\"52W\")-1":0.2214657,"EWI^P_PRICE(0)/P_PRICE_HIGH_PR(0,,,,,,\"PRICE\",\"INTRA\",\"52W\")":0.976251,"EWN^FG_TOTAL_RETURNC(0,-6AM)":1.8805027,"SPY^FG_TOTAL_RETURNC(0,-1AM)":1.6883135,"EWU^FMA_PCT_ABOVE_MAVG(200,0,,,,\"PORTAGG\")":64.1025641025641,"EWG^FG_TOTAL_RETURNC(0,-12AM)":25.836014,"EWA^P_PRICE(0)/P_PRICE_LOW_PR(0,,,,,,\"PRICE\",\"INTRA\",\"52W\")-1":0.30083096,"FXI^FMA_COS_UP(\"EPS\",\"1M\",+1,0,,,\"PORTAGG\",\"MEANR\")":25.0,"REFAUCASH-FDS^FG_YIELD(NOW,,,0)":4.35,"TRYNL10Y-FDS^FG_YIELD(0,,,,\"YTM\")":2.483,"VWO^FG_PE_NTM(0,,,90,0)":12.8727492418253,"EWQ^JULIAN(FMA_DIV_YLD(NTMA,NOW,NOW,M,\"PORTAGG\",\"MEANR\").DATES)":45534,"EWU^FMA_DIV_YLD(NTMA,NOW,NOW,M,\"PORTAGG\",\"MEANR\")":3.8107962887261,"TLT^FG_TOTAL_RETURNC(0,-1AM)":0.26390553,"GLD^FG_TOTAL_RETURNC(0,-6AM)":21.332657,"TRYCH10Y-FDS^PCTCHG(FG_YIELD(0,,,,\"YTM\"),FG_YIELD(-3AM,,,,\"YTM\"))":null,"TRYAU10Y-FDS^FG_YIELD_NAME":"Australia Benchmark Bond - 10 Year","EWD^FG_FCF_YIELD_NTM(0)":5.12143995808244,"EWU^FMA_PE(NTMA,0,,,\"PORTAGG\",\"MEANR\")":11.6388360869661,"EWA^FMA_PE(LTM,0,,,\"PORTAGG\",\"MEANR\")":19.6237008171394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80966,16.6617702931577,22.2767073415236,22.9687104404943,24.3449867555029],"EWL^FMA_PE(NTMA,-10AY,0,AM,\"PORTAGG\",\"MEANR\")":[16.0357822708227,15.4736600361511,16.259563260335,15.8511036078783,15.8472828793535,17.5244763950772,18.1269902479608,18.1878596165352,17.8907131780678,17.4250833221519,17.7026389816047,16.5872289185066,15.8637087275457,16.9581487691951,16.9158700295328,16.7861786407914,15.9214716836289,16.1618673423308,16.5488278669019,16.9130168395024,16.8311993858571,16.8635787833574,17.1159569246395,17.426896677684,17.3734602745831,16.7441776012431,16.0934144582564,16.7707930878255,16.935432708511,17.5864494485496,17.6451828492269,17.208094590521,18.1463944362355,17.9907678575641,17.8064361866579,17.5465711081741,17.7464640719279,17.9048672296774,17.7633623986844,17.6528554205736,17.9550174458827,16.7481193958846,15.8095193767345,16.1044499844373,16.0212465890998,15.6124138590994,16.1140853672006,16.0646502103891,16.0396008562494,15.1719321352081,15.3901043134934,14.510648588218,15.4911989968079,16.1418101516679,16.3141240469746,16.9083753167364,16.6238586703144,17.1654805627326,17.195096010179,16.7686683228994,17.0553383868366,17.001415668896,17.410182619373,17.9384886767483,18.1170927627091,18.4692071763161,13.7101554285641,17.980141183468,18.7106611768017,19.6377712216018,19.90809866219,19.4960839106404,19.1274142608948,18.5028690936024,18.7722695610748,18.4239899684092,18.9855499600723,18.5067295868648,18.8545684864577,18.70746103013,19.0907303971457,19.811968424508,19.7397049827434,20.0047245883392,18.9576715217364,18.9513435521817,18.9101287621235,19.6027276504281,18.5812184914033,17.9924802781137,18.18012880076,18.1604305502053,16.7969235027112,15.3012472768648,16.4167727287611,16.3189659252769,14.8203163775664,15.174749771819,16.8996385275862,16.2989917004945,17.4015323627385,17.3227896460586,16.6448539669617,17.6796056108389,17.3538509119101,16.3848970563672,16.7017801922729,16.3919589363461,16.3467409705256,15.4476539723575,16.2519751686692,16.7911273238041,16.7601542891134,17.5906194855506,17.6306834514543,17.0354123037871,17.2674145704876,17.216947637098,17.3743070344872,17.6085590418023,17.0578136298036],"PASP-FDS^FG_PRICE_CHANGE(0,-1AY)":-16.5372670807453,"BRENT-FDS^FG_PRICE_CHANGE(0,-1AY)":-9.64958434178681,"EWI^FG_PRICE_MAVG(0,,,,30)":37.911167,"EWC^FG_PRICE_MAVG(0,,,,30)":39.926,"VWO^P_PRICE(0)/P_PRICE_HIGH_PR(0,,,,,,\"PRICE\",\"INTRA\",\"52W\")":0.99890834,"EWN^FG_TOTAL_RETURNC(0,-1AM)":-2.2061765,"EWL^FG_TOTAL_RETURNC(0,-12AM)":17.471111,"CAGDPY@US^EE_ACTUAL_ANNUAL(MED,0)":-3.31108668288718,"CC_GB^FG_COMPANY_NAME":"United Kingdom","USDCHF^FG_COMPANY_NAME":"Swiss Franc per U.S. Dollar","USDGBP^FG_PRICE_CHANGE(0,-6AM)":-5.602789,"USDJPY^FG_COMPANY_NAME":"Japanese Yen per U.S. Dollar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58367357249962,10.6841505033347,13.9300394020218,12.9987631337275,16.6470023372621],"EWQ^FMA_DIV_YLD(NTMA,-10AY,0,AM,\"PORTAGG\",\"MEANR\")":[3.59223100073792,3.76359918442014,3.60223451557205,3.61115373394347,3.35044560975798,3.16877361404806,3.17186929959149,3.11936602551561,3.21161531632873,3.26844004236122,3.26697031146391,3.6143775886129,3.79221335061749,3.41136642525016,3.43876750098588,3.57948636890244,3.85656538138304,3.9056460899289,3.74500856859139,3.63643597089524,3.81900862728794,3.72176957371452,3.78144196109144,3.73369960434534,3.68421630049106,3.69334230497807,3.71468985557711,3.48655641338116,3.47793261392642,3.48412178977433,3.40559637915702,3.39792668134091,3.23031113192069,3.29042097051476,3.38066010877144,3.4123551331556,3.311004763055,3.28396886690885,3.32502204743411,3.29039407209335,3.19729844686758,3.37282249626396,3.50839356918339,3.33618801251879,3.29404594417019,3.42333513205695,3.42916463440748,3.44352085283515,3.41690221216904,3.80044806884077,3.83422208095101,4.03616894065281,3.90444717086495,3.66175372995746,3.64850720879981,3.46967030935448,3.67970674661526,4.7383675371514,3.49885148438396,3.69732049474825,3.51341425038028,3.50504784947587,3.38548154306679,3.32834948602365,3.35086106873745,3.29986656415255,4.99904895016167,3.75612142645453,3.55399514759486,3.1119538783242,3.07721543047059,3.17805109624056,3.29571692206874,3.21876684479077,2.92531745182814,2.94009720034279,2.93845581308054,2.83933590352153,2.79096270604875,2.69870805906547,2.70293958894974,2.68555985844389,2.70326200272148,2.75659140656369,2.78222114514148,2.82295704359592,2.76480741185091,2.75627438780792,2.79761566786485,3.02260122226884,3.13469116127916,3.12594612055683,3.26538564984725,3.55889144690369,3.37334723156204,3.38168041275872,3.75142350884794,3.61986179659817,3.28003776988574,3.36785109640652,3.12639570956446,3.13409982683158,3.23322937091668,3.08590419424623,3.21696023344294,3.323135951041,3.23115620969357,3.36146716472982,3.39635620827913,3.56582976932125,3.35750402413052,3.21601054073427,3.2935737822851,3.10240367090981,3.0657261289369,3.10920399389146,3.11015325722376,3.33575468842877,3.34847673909457,3.35781029220688,3.42239880625256],"EWG^FMA_PE(NTMA,-10AY,0,AM,\"PORTAGG\",\"MEANR\")":[12.6542091649557,11.9259712896871,12.7882914875153,13.0114223178756,13.9694063809206,14.4930589793,15.3940061884251,15.0527628202038,14.6368460659296,14.077913898469,13.9265846524072,12.3005861796804,11.6622119862861,13.2375271361406,13.804816570122,13.3335762072756,12.2126608809624,11.9690820900541,12.770619396053,13.2131578635888,12.2939272980321,12.58226503133,12.5254624166376,12.9665767120746,13.02480391726,13.0537447694821,12.7939928130629,13.6284764546732,13.6474622180666,13.8680402551966,13.8320796994919,13.6397854774381,13.828429913375,13.7356264388411,13.185003885294,13.0378999326742,13.4388972644063,13.7983029239752,13.808759616191,13.9177970516154,14.2736182708297,13.1723869719976,12.5406450010266,13.2001148334348,13.3207946328328,13.0380285456548,12.9779543313667,12.8481411217203,12.8405984967396,11.6605531291178,11.4545155703358,11.0267567517539,11.652814357656,12.0291542233111,12.0503926259947,12.8996347250746,12.2622974621933,12.6426575438608,12.9916310467197,12.2876378306829,12.9613500090232,13.4476535642915,14.0037440323827,14.1919373352496,14.2253408363285,14.3758015490941,9.91070493476809,14.2255302003466,15.842858886419,17.9544408493103,18.6286178926457,17.7348800075104,16.7701150957513,16.1212133405652,16.1043503120425,16.0178449524797,15.9730234840053,15.3851090484051,15.9516518666437,15.5628126435165,14.7847860815145,14.7247775982052,14.542371514394,14.2432892334079,13.9019061177273,13.6941631044532,13.5316065036366,13.3087133336742,13.0786834530811,11.9928753142555,11.5870356765757,11.3563793764465,10.7865735056564,9.80094492596696,10.1552169942745,9.81600638523285,9.1309871481165,9.46068071869833,10.7205783347505,10.4587758716492,11.4449196928474,11.6170315329714,11.1881269644623,11.4576440994146,11.0698901740842,10.6678657593842,10.8329910250051,10.535529829823,10.4771316784916,9.88370560982022,10.7816197586674,11.1672309993294,11.0955271340755,11.8631833013029,12.2084607046162,12.090250469953,12.0233556645618,11.6235436863165,11.9272743314936,11.9331618494449,12.2068099097259],"PASP-FDS^FG_PRICE_CHANGE(0,-6AM)":5.3921568627451,"BRENT-FDS^FG_PRICE_CHANGE(0,-6AM)":0.0,"EWD^FG_PRICE_MAVG(0,,,,60)":40.5055,"EWC^FG_PRICE(0)":41.33,"EWJ^P_PRICE(0)/P_PRICE_HIGH_PR(0,,,,,,\"PRICE\",\"INTRA\",\"52W\")":0.99122024,"EWI^FG_TOTAL_RETURNC(0,-1AM)":-0.012999773,"EWN^PERCENT_CHANGE(FMA_EPS(+1,0,,,,\"PORTAGG\",\"MEAN\"),FMA_EPS(+1,-3AM,,,,\"PORTAGG\",\"MEAN\"))":3.00099837390546,"QQQ^FG_TOTAL_RETURNC(0,-12AM)":36.042667,"EWG^P_PRICE(0)/P_PRICE_HIGH_PR(0,,,,,,\"PRICE\",\"INTRA\",\"52W\")":0.98735696,"EWA^FG_TOTAL_RETURNC(0,-6AM)":11.845088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US10Y-FDS^FG_YIELD(-10AY,0,Y,,\"YTM\")":[2.1881,2.2961,2.4752,2.4325,2.6836,1.9185,0.9174,1.5119,3.8776,3.8791],"TRYTR7Y-FDS^FG_YIELD(-10AY,0,Y,,\"YTM\")":[7.979133,10.679033,11.110786,11.586128,15.896213,12.034795,12.534946,23.870693,7.323803,21.984322],"EWD^SIZE(FG_CONSTITUENTS)":47,"EWC^FMA_RBICS_REV_CURRENT(30, LOC, \"PORTAGG\")":40.9197765683473,"EWG^FMA_EVAL_EBITDA(NTMA,0,,,\"PORTAGG\",\"MEANR\")":8.59814446005878,"CAGDPY@US^EE_ACTUAL_ANNUAL(MED,+1)":-3.3,"USDSEK^FG_PRICE_CHANGE(0,-3AM)":-3.2829463,"USDCHF^FG_PRICE(0)":0.84785,"USDGBP^STD(FG_PRICE_CHANGE(0,-1AY,AM))":1.75893683359968,"USDJPY^FG_PRICE(0)":143.745,"USDAUD^STD(FG_PRICE_CHANGE(0,-1AY,AM))":2.12381329690085,"EWG^P_PRICE_RETURNS_PR('52W',2,-10AY,0,AM)":[4.5421124,-7.9034686,-3.9726138,-8.086025,-10.209256,-4.9604535,1.0804415,-3.6720037,-2.1956086,-4.7073603,-4.3078957,-8.6908455,-12.365776,4.226172,-2.8285503,-2.730447,-11.5121,-18.044514,-14.36171,-9.214878,-15.119326,-9.245282,-11.529636,4.6352983,10.046661,0.52375793,-4.891938,0.629282,15.898347,20.191204,14.311325,8.881235,26.067139,19.606245,26.130867,18.525421,23.693192,28.385902,33.40242,28.77729,33.221268,21.80022,12.796366,18.433523,7.3183656,3.0092478,3.1417727,-0.15320778,-2.2801518,-13.644875,-16.910612,-22.965305,-24.216187,-15.832692,-13.6100235,-10.839546,-13.42153,-5.9959707,-7.466638,-12.107593,-9.219933,6.646061,10.470188,20.776962,15.398323,11.0896,-28.5733,-20.114511,-10.645819,0.13289452,6.9072843,14.0456915,6.726992,4.6007037,5.452764,10.827661,11.795282,13.656998,82.176186,61.735474,50.69879,29.520966,21.366001,21.85024,23.836279,19.419086,13.78088,5.3040504,0.78982115,-4.9631176,-12.761366,-20.216347,-23.029709,-29.765743,-30.535925,-33.97749,-39.221497,-34.304703,-21.691864,-21.802784,-10.490799,-4.438472,0.48897266,9.171009,11.395348,22.835123,29.870165,28.35945,31.352388,22.618628,15.416336,23.001528,6.3643336,11.735988,17.210602,8.615732,13.799774,8.932853,10.571098,20.149744,25.836014],"EWI^FMA_DIV_YLD(NTMA,-10AY,0,AM,\"PORTAGG\",\"MEANR\")":[3.65284903044768,3.93933944108674,3.85010389528602,3.99839154100899,3.81629675964404,3.46693791630581,3.11680037724309,3.15605517259463,3.12909749985921,3.23352053855374,3.18646829345721,3.39851660392416,3.5656296268021,3.49763919995114,3.60964861618906,3.80850686903831,4.34855988216155,4.6473255246591,4.2846996611736,4.29429495090454,4.67652158448576,4.57479202523624,4.7465585994739,4.75208193889482,4.94816311757233,4.78672542112014,4.84222460810718,4.26939921045352,4.351957216252,4.33838962071971,3.9647620896871,4.07307281644726,3.79858071992269,3.8194108471734,3.80310760004875,3.79037719707726,3.68476308732057,3.83537531148866,3.88406023801923,3.91263972212497,3.71700004288391,3.95198749149545,4.1280854449308,3.87910499248391,4.16087097349717,4.42448634021461,4.49205456115569,4.66599843515949,4.51950342756652,5.15850814964598,5.21734128570538,5.39738084223837,5.16814545894312,4.90212627655978,4.72151203729755,4.61217215381162,5.02611906350268,4.78640494717272,4.69518217564865,5.07430684303714,4.77235334357715,4.69858921982651,4.59007552315308,4.41650377597292,4.52335718276416,4.47502496779332,6.83041412409727,5.65858533322956,4.98196728784672,4.25559207538938,4.21039337168933,4.00362524036283,4.21289007441711,4.18603633653711,3.94965676218022,3.94378977438249,4.06468950827017,4.09069025450562,4.07557981135524,4.14396536293711,4.15366320886539,4.14419769596958,4.23842530451907,4.36902743793897,4.47090828778667,4.39536471599871,4.43773740127256,4.63429873501195,4.70647427123215,4.9793132839912,5.22276556217608,5.17446238005593,5.18560260636232,5.86856554422439,6.01246851902318,5.68281413413286,5.94355252174508,6.00453404510024,5.46263339532368,5.8802974859583,5.4968568901818,5.54608239241193,5.55146555395202,5.31556047976343,5.58259610214361,5.47191788760625,5.21068288834228,5.58248396487025,5.4539415018297,5.70127175459464,5.56541279443337,5.47095302501127,5.49674750940831,5.27753454048039,5.12571666578269,5.19550801737334,5.25089423714367,5.44918847355691,5.25890453606014,5.38934745684382,5.32968494987301],"ENZL^JULIAN(FMA_DIV_YLD(LTMA,-10AY,0,AM,\"PORTAGG\",\"MEANR\"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4],"PLATI-FDS^FG_PRICE_CHANGE(0,-1AM)":4.09233997901364,"TIOS-FDS^FG_PRICE_CHANGE(0,-1AM)":-6.24171341152472,"QQQ^FG_PRICE(0)":483.6,"QQQ^FG_COMPANY_NAME":"Invesco QQQ Trust Series I","EWJ^P_PRICE(0)/P_PRICE_LOW_PR(0,,,,,,\"PRICE\",\"INTRA\",\"52W\")-1":0.25332165,"EWI^FG_TOTAL_RETURNC(0,-6AM)":5.340612,"SPY^PERCENT_CHANGE(FMA_EPS(+1,0,,,,\"PORTAGG\",\"MEAN\"),FMA_EPS(+1,-3AM,,,,\"PORTAGG\",\"MEAN\"))":-0.674109670906601,"EWG^P_PRICE(0)/P_PRICE_LOW_PR(0,,,,,,\"PRICE\",\"INTRA\",\"52W\")-1":0.3276664,"EWA^P_PRICE(0)/P_PRICE_HIGH_PR(0,,,,,,\"PRICE\",\"INTRA\",\"52W\")":0.9894052,"SPY^SIZE(FG_CONSTITUENTS)":503,"REFAUCASH-FDS^PROPER_NAME(0,,,\"SECURITY\",\"NAME\")":"Australia Target Cash Rate","TRYNL10Y-FDS^FG_YIELD_NAME":"Netherlands Benchmark Bond - 10 Year","VWO^FG_PE(0)":15.1276869728042,"USO^P_PRICE(0)/P_PRICE_HIGH_PR(0,,,USD,,,\"PRICE\",\"INTRA\",\"52W\")":0.8665627,"GLD^FG_TOTAL_RETURNC(0,-3AM)":13.180923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9,9.22544557136732,9.29976871138421],"TRYCN10Y-FDS^FG_YIELD(-10AY,0,Y,,\"YTM\")":[3.653331,2.901145,3.070911,3.93859,3.259862,3.197311,3.1948,2.7893,2.855,2.574],"EWN^SIZE(FG_CONSTITUENTS)":55,"EWA^FMA_RBICS_REV_CURRENT(30, LOC, \"PORTAGG\")":43.4940120023799,"REFFFUND-FDS^PROPER_NAME(0,,,\"SECURITY\",\"NAME\")":"US Federal Funds Target Rate","TRYCH10Y-FDS^PCTCHG(FG_YIELD(0,,,,\"YTM\"),FG_YIELD(-1AM,,,,\"YTM\"))":null,"TRYNZ10Y-FDS^FG_YIELD(0,,,,\"YTM\")":4.219,"SPY^FMA_EVAL_EBITDA(NTMA,0,,,\"PORTAGG\",\"MEANR\")":14.7035276313793,"EWU^FMA_PE(LTM,0,,,\"PORTAGG\",\"MEANR\")":13.9179801166469,"EWG^FG_FCF_YIELD_NTM(0)":5.87675630956271,"EWA^JULIAN(FMA_DIV_YLD(NTMA,NOW,NOW,M,\"PORTAGG\",\"MEANR\").DATES)":45534,"USDSEK^FG_PRICE_CHANGE(0,-1AM)":-0.08435249,"USDAUD^FG_PRICE_CHANGE(0,-6AM)":-4.8244658,"EWC^P_PRICE_RETURNS_PR('52W',2,-10AY,0,AM)":[13.205957,3.6972046,7.638335,1.8845439,-2.6522815,-2.3765266,-3.133428,-0.1154542,-5.406606,-11.444479,-21.58475,-26.09803,-25.148767,-15.796131,-24.04567,-22.017605,-24.998528,-21.930998,-14.113384,-11.55532,-13.497931,-7.4008884,1.5563726,12.722635,12.711775,9.263002,14.828241,21.074713,36.447205,32.65879,16.588724,8.49812,11.381995999999999,7.1575165,12.606764,8.270275,13.844943,15.026749,15.198112,13.648415,15.480221,5.297911,4.498887,7.381344,12.873257,10.831654,5.683553,6.7486286,2.863872,-5.3350153,-9.134399,-17.62798,-11.777282,1.7521977,2.369666,5.1225185,-2.9639184,3.86976,2.77642,-2.4534643,2.9513717,9.572721,13.81743,29.314232,19.644093,12.868047,-34.20303,-17.546183,-10.991669,-6.8459806,-4.0356755,4.038799,-5.5807233,0.07634163,3.7117004,6.723249,6.337321,10.384237,96.197495,55.021297,56.362213,46.900116,39.187386,33.419384,40.442444,43.831764,33.65724,25.09005,19.529402,14.927376,20.579779,11.752594,0.6879926,-10.081137,-6.2345624,-2.8309166,-13.834673,-17.430353,-8.231152,-11.522764,-3.9574206,-6.148994,-16.897375,-8.746332,-4.4731736,4.810083,8.0378895,-2.1128595,7.454264,3.928101,0.64299107,14.983058,4.881859,10.645294,18.317461,9.599233,12.500596,8.696914,9.724892,21.54734,24.579966],"DDR3512M-FDS^MAX(FG_PRICE(0,-5AY))":3.3053632,"PLATI-FDS^FG_PRICE_MAVG(0,,,,30)":959.2,"TIOS-FDS^FG_PRICE_MAVG(0,,,,30)":95.613335,"EWU^FG_PRICE_MAVG(0,,,,200)":34.563026,"EWL^P_PRICE(0)/P_PRICE_LOW_PR(0,,,,,,\"PRICE\",\"INTRA\",\"52W\")-1":0.22755718,"SPY^FMA_COS_DOWN(\"EPS\",\"1M\",+1,0,,,\"PORTAGG\",\"MEANR\")":171.0,"REFNZOCR-FDS^(SUBARRAY(NOT_NA(NO_REPEAT_F(FG_YIELD(NOW,-10AY,D))),0,1)-SUBARRAY(NOT_NA(NO_REPEAT_F(FG_YIELD(NOW,-10AY,D))),1,1))*100":-25.0,"EWQ^FG_COMPANY_NAME":"iShares MSCI France ETF","TRYJP10Y-FDS^FG_YIELD(-10AY,0,Y,,\"YTM\")":[0.3138,0.2604,0.0315,0.0465,-0.0051,-0.0208,0.0201,0.0672,0.4224,0.6127],"TRYZA10Y-FDS^JULIAN(FG_YIELD(-10AY,0,CY,,\"YTM\").DATES)":[42004,42369,42734,43098,43465,43830,44196,44561,44925,45289],"USDUSD^FG_PRICE_CHANGE(0,-6AM)":0.0,"USDCAD^STD(FG_PRICE_CHANGE(0,-3AY,M))":1.83420331354053,"EWL^P_PRICE_RETURNS_PR('52W',2,-10AY,0,AM)":[7.723546,-1.1515081,4.816556,1.8238306,-0.41010976,1.2937307,5.0159097,2.9465437,3.1977892,1.6899228,2.5691986,-2.0193636,-6.1853943,4.564786,-4.057604,-0.28260946,-8.50265,-12.963706,-12.319326,-9.294498,-13.275075,-8.8971195,-9.464031,-1.2506366,4.7697544,-3.7461162,-6.534481,-4.185563,7.5603485,12.96612,11.586094,7.506478,19.096888,15.16596,19.745731,13.587082,14.4712925,19.920492,26.50459,22.964048,24.820446,16.94498,7.278514,8.902836,-0.40658116,-1.8148124,-0.024878979,3.0168653,4.071951,-3.2200515,-4.5840797,-10.513371,-8.275354,-0.35425425,5.387056,6.9319963,8.88989,19.175316,13.357687,9.295881,9.030378,17.123497,20.772362,34.545135,28.208673,24.647976,-10.448742,3.281808,5.2081227,6.8536043,11.085272,13.763344,10.447847,11.945332,11.880672,9.939014,11.248088,6.3593507,48.636173,32.07054,29.960941,25.867546,22.588707,24.764215,21.460867,22.529566,18.948496,21.194696,11.0463505,11.039734,10.476136,4.003954,-5.5785894,-15.800548,-12.05576,-16.641462,-21.253342,-20.911533,-11.991024,-17.835157,-7.4185076,-5.1080823,-8.568716,2.3167968,8.9163065,16.05221,14.296436,12.268472,17.972898,12.930036,8.203995,15.843428,5.2069306,8.958578,11.797249,-1.2836754,3.7080526,8.744597,6.5114975,17.030167,17.471111],"EWU^FMA_DIV_YLD(NTMA,-10AY,0,AM,\"PORTAGG\",\"MEANR\")":[3.9926821952015,4.17143164303427,4.00984894256654,4.12089956176177,4.01505478417657,3.92343282978906,3.88877794752069,3.86834831531076,3.85898806397293,3.98154921751889,4.151728662526,4.39993241371633,4.51237391563217,4.20257766533593,4.24628138223328,4.29841276837049,4.53598417785118,4.59295362692366,4.36986893916994,4.23698646371883,4.3746656988789,4.18021189239613,4.13637929296537,4.06067500581971,4.14748176498155,4.2857418100981,4.40498556251439,4.32711188519498,4.2972804168697,4.27155776226084,4.30890464569174,4.44291525122781,4.23021319185969,4.31802546953172,4.26347757590242,4.37047978302611,4.32465943429831,4.28162751375276,4.36340468538769,4.25981685587515,4.15713847866316,4.43070854950536,4.63250525824449,4.38736199137794,4.26467490467603,4.35603119650813,4.42423056710157,4.52205578508452,4.51679779086999,4.91111656351398,4.98883429269452,5.21478301593075,5.16895026898089,4.94387011792545,4.92335832389143,4.79332132010237,4.96595471604259,4.79126481704408,4.78828782171822,5.130776734579,4.93407685581654,4.86595359660308,4.81380382445645,4.57323683029039,4.61574535826809,4.71151694866351,7.32979851280709,5.40487550083245,4.33784873829292,4.03837237555492,4.02131486278644,4.05237425711178,4.20980704938522,4.33165458787541,4.02776307632092,3.92757075200959,3.91508598843085,3.96986588008372,4.04498151675395,3.9735178305317,3.91546492981067,3.9468024372976,4.11380693548945,4.20572517573264,4.1739387044942,4.04938099896268,4.04586137061718,3.93648074182208,3.86083454864174,3.86642775418412,3.95282206434141,4.02093062761178,4.0746544743155,4.40124353739766,4.26654839061648,4.24515089470219,4.7516223644736,4.63128024678854,4.25646643542522,4.2609216207101,4.08143013708149,4.10772774010304,4.31849701087646,4.06424036510248,4.28891271635926,4.43050863512998,4.28780929700542,4.56503337074937,4.4046159336431,4.59473319453829,4.47380803303744,4.29169016019098,4.43554784716012,4.18398043084856,4.04392724061405,3.99387907508332,3.8499254504951,3.94486663741078,3.9186512502109,3.82611790453374,3.8966617363481],"WL-FDS^FG_PRICE(0)/MAX(FG_PRICE(0,-1AY))":0.766177626408174,"W-FDS^FG_PRICE_CHANGE(0,-1AM)":13.1906421105027,"TIOS-FDS^FG_PRICE(0)":91.93,"EWG^FG_PRICE_MAVG(0,,,,30)":32.013,"EWJ^FMA_PCT_ABOVE_MAVG(200,0,,,,\"PORTAGG\")":45.2261306532663,"EWD^FMA_PCT_ABOVE_MAVG(200,0,,,,\"PORTAGG\")":62.2222222222222,"EWG^PERCENT_CHANGE(FMA_EPS(+1,0,,,,\"PORTAGG\",\"MEAN\"),FMA_EPS(+1,-3AM,,,,\"PORTAGG\",\"MEAN\"))":0.0225748761344886,"EWU^FMA_COS_DOWN(\"EPS\",\"1M\",+1,0,,,\"PORTAGG\",\"MEANR\")":28.0,"CC_US^IMF_IFS_RCPI_Q(0)":3.19889,"EWN^FMA_PE(NTMA,0,,,\"PORTAGG\",\"MEANR\")":15.1001802426334,"QQQ^FMA_PE(LTM,0,,,\"PORTAGG\",\"MEANR\")":35.7821142975722,"EWJ^FMA_PE(NTMA,0,,,\"PORTAGG\",\"MEANR\")":13.6745594567491,"EWA^FMA_DIV_YLD(NTMA,NOW,NOW,M,\"PORTAGG\",\"MEANR\")":3.70434485279372,"EWJ^P_PRICE(0)/P_PRICE_HIGH_PR(0,,,USD,,,\"PRICE\",\"INTRA\",\"52W\")":0.99122024,"EWA^JULIAN(FMA_ROE(NTMA,-20AY,NOW,FY,\"PORTAGG\",\"MEANR\").DATES)":[38352,38716,39080,39447,39813,40178,40543,40907,41274,41639,42004,42369,42734,43098,43465,43830,44196,44561,44925,45289],"CAGDPY@NZ^EE_ACTUAL_ANNUAL(MED,+1)":-6.4,"USDSEK^FG_PRICE_CHANGE(0,-1AY)":-8.297878,"USDCHF^FG_PRICE_CHANGE(0,-3AM)":-5.114424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9,2.96400297596909,3.54736708862932,3.81180271683843],"EWI^FMA_PE(LTMA,-10AY,0,AM,\"PORTAGG\",\"MEANR\")":[17.5614177941541,16.9133138385617,18.3345088872365,18.56319803912,21.9515741975931,44.8468939376691,43.1525199899158,40.2920594430256,37.7533243239703,34.635888168481,31.9441923601127,28.6580883066836,25.2704646261446,23.8817041005748,21.8469842797063,18.7047992379415,16.3055593642544,14.9162001658522,15.3871560408559,15.3593763265401,15.2769134429091,15.0628566602479,14.6898500792443,15.0251101112746,14.7379414372578,15.22514073566,14.2917032273344,27.5300332724139,27.5750073551418,86.0241988098412,80.6866736070062,73.7187661896302,66.5241627859873,59.0937435551121,52.7484438526133,44.960115006453,38.223042182489,31.0719755419773,24.1589024818896,17.350528589575,16.1277782465856,14.2433880988696,14.0856071310279,14.2149252808235,13.7910583571899,13.4045498385653,13.1342100878687,12.6524987092365,12.7122063521543,11.3790808043861,11.0851895741432,10.5664441881321,10.9521759824183,11.1584027463661,11.3059615425333,11.3605766032591,10.9917122054059,11.1748117289151,11.3185207763136,10.8386659992883,11.2766576100393,11.5396192510993,11.8444837406868,12.3015726394982,12.0770491432951,12.6890162128706,10.8043604483386,11.9724105275262,13.7712344166652,16.2880762509362,17.7387281597109,17.5137873992996,18.0306664352587,19.0811935339854,21.9602141974402,23.0217149014849,20.7492813826241,20.0042059547963,19.9140481011051,19.3160064922687,18.677306611085,18.140306517252,17.4397558260394,15.9281581669551,15.0144798915863,14.3619282206619,13.2914851093037,12.1501654383022,11.9810773374981,10.856264152432,10.5159918666587,10.4147997269059,10.0813789169256,9.43490006115423,9.02922605067543,8.55701588961869,8.09429106453842,7.98616548410463,8.26563798174204,7.48020154473232,7.9771725553655,8.19860343769003,8.24478720310811,8.41102421394401,8.26038200836939,8.44071930164964,8.71019321655576,8.20459307363109,8.33919475823602,8.0325458461502,8.22071872670923,8.84838072730554,8.92231669363717,9.32869159246799,9.45735959688065,9.48606390436577,9.55734291978769,9.44905077898283,9.74151671930812,9.78760468559962,10.0345432198646],"NI-FDS^FG_PRICE(0)":16175.0,"EWQ^FG_PRICE(0)":39.58,"FXI^FG_TOTAL_RETURNC(0,-1AM)":4.7583103,"SPY^FG_TOTAL_RETURNC(0,-6AM)":10.02611,"EWL^FG_TOTAL_RETURNC(0,-6AM)":9.862757,"ENZL^FG_TOTAL_RETURNC(0,-6AM)":10.364532,"VGK^FMA_COS_DOWN(\"EPS\",\"1M\",+1,0,,,\"PORTAGG\",\"MEANR\")":600.0,"EWN^FG_ROE(0)":11.0104126981375,"REFCATARG-FDS^FG_YIELD(NOW,,,0)":4.25,"TRYGB10Y-FDS^PCTCHG(FG_YIELD(0,,,,\"YTM\"),FG_YIELD(-1AM,,,,\"YTM\"))":0.4340046,"VGK^FG_PE(0)":14.4366061640765,"EWA^FMA_PE(NTMA,0,,,\"PORTAGG\",\"MEANR\")":18.3750634628975,"QQQ^FG_TOTAL_RETURNC(0,-3AM)":1.0027409,"TRYAU10Y-FDS^FG_YIELD(-10AY,0,Y,,\"YTM\")":[2.81,2.88,2.76,2.63,2.315,1.375,0.972,1.671,4.051,3.955],"CAGDPY@IT^EE_ACTUAL_ANNUAL(MED,+1)":1.1,"USDUSD^FG_PRICE_CHANGE(0,-1AY)":0.0,"USDCAD^STD(FG_PRICE_CHANGE(0,-1AY,AM))":1.31059205313051,"EWL^FMA_DIV_YLD(NTMA,-10AY,0,AM,\"PORTAGG\",\"MEANR\")":[3.31943085489042,3.42809877505798,3.22526286562279,3.27636596358089,3.42350281583826,3.17730374723743,3.05769728359976,3.03033821513684,3.06826540678127,3.16912348464758,3.11882447869108,3.30792559169902,3.47913379731256,3.27270440395131,3.25390255531264,3.29711384922453,3.52131105903155,3.56518192710416,3.51068490463839,3.46094652630229,3.52138126201538,3.5029232307154,3.49176882075961,3.44034208312028,3.44620334238413,3.56742675198337,3.71570740641548,3.5618394533184,3.53184550798718,3.36724573740573,3.34619116640082,3.45218101166211,3.27656298261614,3.24611374418224,3.28432749165607,3.31233843919441,3.2705985742415,3.25229956448253,3.23329203922791,3.22506496292888,3.15213473616458,3.3646794263665,3.55115945134111,3.479881697562,3.48644100661367,3.56256463707075,3.43185950934022,3.41229334526287,3.40084739441311,3.60442479085584,3.57910934239054,3.71524614199325,3.47726697706074,3.34237465574265,3.37134437736982,3.27769960942285,3.30803333101489,3.21114839362282,3.20329303411653,3.2815174557491,3.21352828103294,3.22026735006385,3.13400554517132,3.02790309696064,2.98420391982804,2.93328552085048,4.02148847100861,3.33761091027287,3.22176443952634,3.03972515988075,2.91633242124383,2.9479147534443,2.94932121212443,2.99660091800946,2.90382079871815,2.8964665312558,2.80361209339616,2.88144650444128,2.79427146080495,2.72936582078992,2.74965272081132,2.63272261911871,2.59995407142352,2.54750467696636,2.66888490149549,2.66963537122671,2.63638178184472,2.55192618966122,2.67405248973328,2.81101786006918,2.8039263065229,2.81059066159738,3.00388594763791,3.27816194594521,3.09245544387824,3.16648735293737,3.46151792578704,3.39462724394836,3.10920782166101,3.22260496392914,3.03675475349592,3.08976504620899,3.25335762218457,3.05691450411157,3.10749936619703,3.19163934912992,3.16521022143009,3.26605851817582,3.32005798751346,3.53790699586923,3.39216839214017,3.28747281889194,3.35444119510023,3.26892208875412,3.27560562313734,3.34068180626872,3.21748050033641,3.21684088248969,3.17704724619996,3.10473394164974,3.19145366107395],"WL-FDS^FG_PRICE_CHANGE(0,-1AY)":-19.9644225506294,"W-FDS^FG_PRICE_MAVG(0,,,,30)":5.43575,"EWG^FG_PRICE(0)":32.8,"URTH^FG_TOTAL_RETURNC(0,-12AM)":30.54471,"EWN^FG_TOTAL_RETURNC(0,-12AM)":31.24752,"EWG^PERCENT_CHANGE(FMA_EPS(+1,0,,,,\"PORTAGG\",\"MEAN\"),FMA_EPS(+1,-1AM,,,,\"PORTAGG\",\"MEAN\"))":-2.63839741092258,"EWL^FMA_COS_DOWN(\"EPS\",\"1M\",+1,0,,,\"PORTAGG\",\"MEANR\")":25.0,"EWN^FMA_PE(LTM,0,,,\"PORTAGG\",\"MEANR\")":21.6524234249579,"QQQ^JULIAN(FMA_DIV_YLD(NTMA,NOW,NOW,M,\"PORTAGG\",\"MEANR\").DATES)":45534,"EWJ^FMA_PE(LTM,0,,,\"PORTAGG\",\"MEANR\")":17.0247695277397,"TRY10Y-FDS^FG_YIELD(-10AY,0,Y,,\"YTM\")":[null,null,null,null,null,null,null,null,null,null],"CAGDPY@NZ^EE_ACTUAL_ANNUAL(MED,0)":-7.1,"USDSEK^FG_PRICE(0)":10.18595,"USDCHF^FG_PRICE_CHANGE(0,-1AM)":-0.094264746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A^P_PRICE_RETURNS_PR('52W',2,-10AY,0,AM)":[0.23146868,-4.3720007,-1.9034266,-4.4626894,-1.5502274,-1.6910195,1.6002655,-7.769108,-9.59391,-11.38885,-19.769276,-26.423471,-23.723667,-15.098417,-16.14008,-10.899162,-18.454891,-20.251863,-15.816736,-8.177031,-10.511178,-5.5075703,1.7953396,16.104198,20.095146,12.910318,11.7313385,11.527753,28.45279,31.084991,18.989872,14.3736,17.76569,12.066757,15.507102,13.241839,15.847958,16.269875,17.880833,19.074608,17.09553,8.69404,4.001832,4.0117383,8.836662,11.755884,5.5395126,3.0808806,3.3082247,-6.812525,-6.2808156,-14.629591,-10.07756,-2.1521091,1.4468312,4.935968,2.2072554,5.5072904,6.824386,0.093221664,6.4563036,16.998123,15.7512665,27.802277,21.017027,12.439192,-37.148243,-23.808289,-18.186872,-9.4566345,-8.474171,-0.4047811,-9.519995,-4.4510784,4.890883,8.22289,8.49477,15.3054,95.98575,66.90477,54.959023,37.16134,31.317543,26.973927,33.745193,30.913044,14.895916,8.832991,-1.7044127,-1.6789913,11.2959385,2.5348067,-2.702713,-13.848805,-9.486747,-6.224358,-16.653324,-17.26098,-3.2764137,-5.295616,10.132515,2.477014,-10.862607,-6.970811,-1.8859982,9.31232,10.420359,0.68591833,8.343554,5.161166,1.0180235,14.421439,-0.54287314,6.437838,13.946903,6.717789,12.1365185,9.249294,11.917961,23.90213,27.9698],"EWD^FMA_PE(LTMA,-10AY,0,AM,\"PORTAGG\",\"MEANR\")":[16.0490449827217,15.8043018439276,17.0656471777609,17.7095340866809,18.3941062652464,20.1704504491646,20.1037749617604,19.6118020158699,19.1508079681224,18.9322833011462,18.6294266427732,17.5910735265738,16.6191115686343,17.3280514789062,16.8860785532806,16.1280622634839,14.952343157576,15.2454233714767,15.5681890563063,15.7739570157585,15.4412712864154,15.5856495692724,15.7270414109909,16.0138015209543,16.4325035033532,17.5740847085732,17.3532290672027,18.2220308462426,17.9893477403466,17.6497686993368,17.4869850259826,17.5565902599816,18.1182227808256,17.6945860838716,17.4393044093537,16.827474955698,17.4023322904538,18.446306921687,18.1062090756629,18.2036149592424,18.6541268913516,16.9440330077518,16.7919084153819,16.865013670855,16.784026687093,16.4384314813809,16.4641627926288,16.7316053379496,16.9310801892151,15.1805628762069,14.6201695321841,13.8185949019786,15.0100007901711,18.3831883941636,17.9553811994804,17.8699108888167,17.2899663252328,17.2613379404405,17.0627754398634,15.6970194280811,16.1082974543826,16.8455312770059,15.9108529183096,16.4537188239423,13.6646950553799,14.334215700756,12.3424778760289,14.2458253653965,15.2134290870127,17.1202644754251,17.2650232343975,16.9028366053456,17.7587606623158,15.7357577725366,16.6646517554848,17.0673801531012,18.3812541526015,17.604051099752,17.997925192331,18.0439375806496,17.561998141167,17.8185425673362,17.881998874173,17.4992976548912,17.3962550545084,17.426124134499,16.4182619374326,16.6227288555667,12.3193515421075,11.6098654970093,12.0169951770508,12.3076107733453,13.5179854081173,13.1736738118473,14.2878957146541,14.6440515379949,14.0933490639262,15.042473480717,14.3044275640115,15.427287545359,23.0774963681482,25.8704914795709,24.6604074678974,23.6480062359028,22.3764930069517,21.0035517559448,19.8423590239749,18.0460357140613,17.0174341466193,16.0784304105889,15.7776844469828,18.0317252905859,14.8036854457295,15.6816941806581,15.9608782723042,15.925231969488,16.1432400335979,16.0285695803673,16.4861354564818,16.6489086638527,17.0252137972726],"PLATI-FDS^MAX(FG_PRICE(0,-5AY))":1272.59,"SPY^FG_PRICE_MAVG(0,,,,200)":519.24036,"FXI^PERCENT_CHANGE(FMA_EPS(+1,0,,,,\"PORTAGG\",\"MEAN\"),FMA_EPS(+1,-3AM,,,,\"PORTAGG\",\"MEAN\"))":7.46550326285584,"VGK^PERCENT_CHANGE(FMA_EPS(+1,0,,,,\"PORTAGG\",\"MEAN\"),FMA_EPS(+1,-3AM,,,,\"PORTAGG\",\"MEAN\"))":-2.96965084160821,"EWL^FG_TOTAL_RETURNC(0,-3AM)":4.970157,"ENZL^FG_TOTAL_RETURNC(0,-3AM)":8.73301,"VGK^FMA_COS_UP(\"EPS\",\"1M\",+1,0,,,\"PORTAGG\",\"MEANR\")":427.0,"EWU^FG_ROE(0)":13.8500495801777,"REFEUREFI-FDS^(SUBARRAY(NOT_NA(NO_REPEAT_F(FG_YIELD(NOW,-10AY,D))),0,1)-SUBARRAY(NOT_NA(NO_REPEAT_F(FG_YIELD(NOW,-10AY,D))),1,1))*100":-60.0,"REFCATARG-FDS^PROPER_NAME(0,,,\"SECURITY\",\"NAME\")":"Canada Target Rate","TRYJP10Y-FDS^PCTCHG(FG_YIELD(0,,,,\"YTM\"),FG_YIELD(-3AM,,,,\"YTM\"))":-11.867885,"VGK^JULIAN(FMA_DIV_YLD(NTMA,NOW,NOW,M,\"PORTAGG\",\"MEANR\").DATES)":45504,"QQQ^FG_TOTAL_RETURNC(0,-1AM)":0.8785367,"TRYPE10Y-FDS^FG_YIELD(-10AY,0,Y,,\"YTM\")":[5.681629,7.426917,6.415413,5.167133,5.645114,4.243226,3.535983,5.889906,7.923381,6.6087],"CAGDPY@SE^EE_ACTUAL_ANNUAL(MED,+1)":6.15,"USDUSD^FG_PRICE(0)":1.0,"USDUSD^STD(FG_PRICE_CHANGE(0,-1AY,AM))":0.0,"EWA^JULIAN(FMA_EPS(NTMA,-20AY,0,CY,,\"PORTAGG\",\"MEANR\").DATES)":[38352,38716,39080,39447,39813,40178,40543,40907,41274,41639,42004,42369,42734,43098,43465,43830,44196,44561,44925,45289],"DDR3512M-FDS^FG_PRICE_CHANGE(0,-1AM)":-1.32450135782607,"EWJ^FG_PRICE_MAVG(0,,,,200)":68.03815,"URTH^FG_TOTAL_RETURNC(0,-6AM)":8.637691,"EWU^FG_TOTAL_RETURNC(0,-12AM)":21.85278,"EWN^FMA_RBICS_REV_CURRENT(30, LOC, \"PORTAGG\")":25.7118752752457,"CC_JP^IMF_IFS_RCPI_Q(0)":2.7266946,"EWL^FMA_PE(LTM,0,,,\"PORTAGG\",\"MEANR\")":21.6333502640265,"EWC^JULIAN(FMA_DIV_YLD(NTMA,NOW,NOW,M,\"PORTAGG\",\"MEANR\").DATES)":45534,"GLD^P_PRICE(0)/P_PRICE_HIGH_PR(0,,,USD,,,\"PRICE\",\"INTRA\",\"52W\")":0.9984802,"SPY^FMA_DIV_YLD(NTMA,NOW,NOW,M,\"PORTAGG\",\"MEANR\")":1.37400168510707,"QQQ^FMA_RBICS_REV_CURRENT(30, LOC, \"PORTAGG\")":0.923896032260943,"TRYDE10Y-FDS^PCTCHG(FG_YIELD(0,,,,\"YTM\"),FG_YIELD(-3AM,,,,\"YTM\"))":-9.041667,"EWD^FMA_PE(NTMA,0,,,\"PORTAGG\",\"MEANR\")":15.9514913986572,"EWJ^FMA_EVAL_EBITDA(NTMA,0,,,\"PORTAGG\",\"MEANR\")":9.66278446204497,"TLT^FG_TOTAL_RETURNC(0,-6AM)":6.7396283,"USDAUD^FG_COMPANY_NAME":"Australian Dollar per U.S. Dollar","ENZL^JULIAN(FMA_DIV_YLD(NTMA,-10AY,0,AM,\"PORTAGG\",\"MEANR\").DATES)":[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,45464,45496,45527,45554],"EWN^FG_PRICE(0)":49.425,"SPY^P_PRICE(0)/P_PRICE_LOW_PR(0,,,,,,\"PRICE\",\"INTRA\",\"52W\")-1":0.3928299,"EWQ^PERCENT_CHANGE(FMA_EPS(+1,0,,,,\"PORTAGG\",\"MEAN\"),FMA_EPS(+1,-1AM,,,,\"PORTAGG\",\"MEAN\"))":-0.89823418080461,"ENZL^PERCENT_CHANGE(FMA_EPS(+1,0,,,,\"PORTAGG\",\"MEAN\"),FMA_EPS(+1,-1AM,,,,\"PORTAGG\",\"MEAN\"))":16.6769937430146,"EWC^FMA_COS_DOWN(\"EPS\",\"1M\",+1,0,,,\"PORTAGG\",\"MEANR\")":37.0,"EWJ^FG_FCF_YIELD_NTM(0)":4.26273116430504,"QQQ^FMA_EVAL_EBIT(LTMA,NOW,NOW,M,\"PORTAGG\",\"MEANR\")":24.7790357957295,"QQQ^FMA_DIV_YLD(NTMA,-10AY,0,AM,\"PORTAGG\",\"MEANR\")":[1.23940759695717,1.26408873340336,1.21062848824627,1.21489372339736,1.19848806086025,1.21005047428154,1.24168117060113,1.24097685510814,1.23148256787756,1.2317195809511,1.23554076679884,1.38585063306433,1.36771775592847,1.27695309032554,1.27727931885115,1.28738785365186,1.36240067368802,1.425441047372,1.35595576696635,1.34661557217651,1.39230833136218,1.34686153834582,1.30699291338042,1.27406928008847,1.26241115140254,1.26438502357683,1.28308332718408,1.28091086044344,1.25485025150218,1.22197417942546,1.22174800988413,1.21399718521173,1.17322924909297,1.16417135680229,1.16400040363875,1.18703149893712,1.17107527413456,1.14553288432851,1.09889663909758,1.08796092737411,1.01746114947841,1.05702814471135,1.13264336829064,1.12015049723755,1.08476799818296,1.04945030023212,1.07875784066345,1.08018051704684,1.07475794369408,1.14792955182738,1.26431400119854,1.39748880191207,1.26193159797959,1.17767236754566,1.14547062817947,1.08448997124381,1.16645324909931,1.10433306809019,1.08019063932059,1.15089641283393,1.12498020962716,1.12763478056804,1.10727072013221,1.07141720426024,1.01718353499363,0.998642401548778,1.35350815539984,1.08976936472297,0.984234588338472,0.907267730936994,0.878131771161437,0.809545168619004,0.861997589657909,0.810897196174418,0.795931252295098,0.79315196348243,0.757755164522341,0.773459099350442,0.787485205006175,0.739264397685642,0.770482710047831,0.731970351875911,0.708964444525916,0.705732806369841,0.709709010542376,0.713171437676535,0.682229001803949,0.686977117167344,0.781284399271616,0.853434292912858,0.801239329098592,0.872077879401461,0.972125401978932,1.00643350927207,0.959027384359578,0.927133992467116,1.06527435716752,1.073361755684,1.03047030578744,1.06175993279683,0.989589094677383,0.976596383675945,0.939658888086286,0.921964097780112,0.863592033996625,0.799210313312053,0.776568156888908,0.920882740196183,0.962988954652042,0.987863700460511,0.913103361003738,0.946772052031637,0.914441692225138,0.914786747744002,0.903621381794945,0.954343176235495,0.91702118294474,0.869642750861688,0.831576358356738,0.826289861670953,0.826475163137351],"EWC^FG_TOTAL_RETURNC(0,-12AM)":24.56491,"TRYDE10Y-FDS^FG_YIELD_NAME":"Germany Benchmark Bond - 10 Year","USO^FG_TOTAL_RETURNC(0,-6AM)":-5.7381334,"EWL^P_PRICE(0)/P_PRICE_HIGH_PR(0,,,,,,\"PRICE\",\"INTRA\",\"52W\")":0.9618141,"EWA^FMA_COS_DOWN(\"EPS\",\"1M\",+1,0,,,\"PORTAGG\",\"MEANR\")":19.0,"TRYPH10Y-FDS^FG_YIELD(-10AY,0,Y,,\"YTM\")":[3.8633,4.1,4.6281,5.6986,7.1730304,4.847582,3.4208684,4.796723,6.9293385,6.0028777],"WL-FDS^FG_PRICE(0)":584.9,"EWD^FG_TOTAL_RETURNC(0,-3AM)":5.3128123,"EWQ^FMA_COS_DOWN(\"EPS\",\"1M\",+1,0,,,\"PORTAGG\",\"MEANR\")":23.0,"REFNZOCR-FDS^FG_YIELD(NOW,,,0)":5.25,"EWN^FMA_EVAL_EBIT(LTMA,NOW,NOW,M,\"PORTAGG\",\"MEANR\")":21.3452483802701,"EWJ^JULIAN(FMA_DIV_YLD(NTMA,NOW,NOW,M,\"PORTAGG\",\"MEANR\").DATES)":45534,"USO^FG_TOTAL_RETURNC(0,-3AM)":-8.0991745,"USDANG^FG_PRICE_CHANGE(0,-6AM)":0.0,"FXI^FMA_COS_DOWN(\"EPS\",\"1M\",+1,0,,,\"PORTAGG\",\"MEANR\")":19.0,"TRYDE10Y-FDS^FG_YIELD(0,,,,\"YTM\")":2.183,"EWU^P_PRICE_RETURNS_PR('52W',2,-10AY,0,AM)":[6.049764,-2.8243184,-0.4356444,-4.1040063,-7.4962435,-3.9969504,-0.012552738,-2.5197983,-3.2727063,-5.4005327,-9.227467,-12.428183,-14.120543,-1.244986,-7.752788,-6.8487167,-15.507233,-19.64131,-14.932001,-11.253566,-16.177385,-9.541571,-12.8112135,-2.725625,0.93619823,-8.797873,-7.507843,-3.4477532,9.78601,13.647938,9.504771,3.470993,13.458479,3.4709573,13.602865,8.261585,13.283372,18.890762,19.87593,21.228622,24.711811,14.705491,8.559561,16.661776,10.264051,11.089933,6.5266013,4.9689174,2.6301146,-4.656249,-6.4800024,-14.369422,-14.361602,-3.5541832,1.2677073,-2.2808135,-8.816141,-2.3589551,-2.5417447,-7.1037173,-3.293866,6.484604,7.886195,21.671152,14.215755,5.458498,-37.7501,-25.041836,-19.565695,-15.116489,-15.461195,-8.875155,-17.719513,-17.843687,-9.285808,-10.247606,-7.1736217,-1.5287042,61.225784,37.04599,37.884308,28.510082,26.530493,27.724611,34.653725,36.03766,19.380533,17.047714,13.883662,13.618565,13.255751,6.8211555,1.1194825,-6.677234,-3.559947,-3.5613656,-16.409481,-15.624392,-2.288264,-3.2063007,0.47667027,-1.3687551,-3.467095,3.5435677,4.2444825,12.429953,15.900755,7.730758,19.394648,17.31943,8.507692,12.123036,1.8700242,5.795741,12.342286,5.770898,14.120876,12.716806,11.200786,23.489368,21.85278],"EWG^FMA_DIV_YLD(NTMA,-10AY,0,AM,\"PORTAGG\",\"MEANR\")":[3.14640337288628,3.36229890261424,3.19844048766093,3.15032254496174,2.94341215261388,2.83331642530999,2.69147859269853,2.76572154508831,2.82898315427654,2.92897248633833,2.96255711371598,3.36551240069974,3.50877289130666,3.11243056028536,2.92906064960166,3.04009766148995,3.35249567644693,3.49409758213559,3.2732594003527,3.17785525156956,3.3978199631533,3.30105634928929,3.32339518737217,3.1783257225157,3.16835697616139,3.12450638729058,3.18281282471216,2.9775400117846,2.96449182624086,2.91945932959571,2.96412925046937,2.96816310433191,2.92027259935925,2.93618971609135,3.05916421411205,3.11905065048037,3.04076402848787,2.95859605575382,2.95026141477307,2.91609283028431,2.84419696899396,3.11070563934691,3.2866878651389,3.15923677958238,3.1158724560587,3.19455285111632,3.2147599022371,3.25539518425738,3.26177569699965,3.61757504090714,3.69753513004705,3.93256124433979,3.7443115836549,3.63341990005276,3.6404810190384,3.41170100306964,3.60817247689816,3.50370111573569,3.42542756553582,3.615404987904,3.42129946715336,3.29368490754192,3.12559396560792,3.08176883892478,3.06689775418573,3.02421537096313,4.54675041858608,3.4893817035157,3.26811865576862,2.87041173953816,2.76190672647439,2.84015226071304,2.9165946268515,2.89638639964351,2.84498975683597,2.73936212356689,2.71548886824709,2.81681681235032,2.75273318222764,2.72808797730961,2.83719666605161,2.82475399162317,2.81002176265227,2.84435079804641,2.90260030354737,2.96511489617368,2.99582999858234,3.05342821279997,3.1329072371453,3.40544385641836,3.55192330381109,3.62385513728979,3.81537105624064,4.1788015966128,4.06792784556491,4.11004156722868,4.42264781664765,4.26517176167652,3.76010898676819,3.85450879259953,3.52314008483491,3.47406816454692,3.61668416437538,3.49929240766813,3.57022181112005,3.68306577476742,3.64830813296986,3.74729424431461,3.79053643673213,4.03459417554795,3.70712320258166,3.56062028429475,3.6090863432766,3.41473336818524,3.29362977123278,3.33547076870742,3.33735448348515,3.45113976389122,3.37826512181874,3.38764620684482,3.32235390015967],"CPALM-FDS^FG_PRICE_CHANGE(0,-1AM)":1.28269617706238,"EWD^FG_TOTAL_RETURNC(0,-1AM)":1.1203766,"EWQ^FMA_COS_UP(\"EPS\",\"1M\",+1,0,,,\"PORTAGG\",\"MEANR\")":21.0,"EWN^FMA_EVAL_EBITDA(NTMA,0,,,\"PORTAGG\",\"MEANR\")":11.9766225211053,"ENZL^FMA_PE(LTM,0,,,\"PORTAGG\",\"MEANR\")":49.9402680213677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0728,8.94223448409826,12.253955548111,13.1534194530092,13.2312741384504],"SPY^FG_PRICE_MAVG(0,,,,30)":556.22064,"SPY^P_PRICE(0)/P_PRICE_HIGH_PR(0,,,,,,\"PRICE\",\"INTRA\",\"52W\")":0.9949028,"ENZL^FMA_RBICS_REV_CURRENT(30, LOC, \"PORTAGG\")":14.6363346162214,"TRYAE10Y-FDS^FG_YIELD(-10AY,0,Y,,\"YTM\")":[null,null,null,3.371059,3.6940188,2.542721,1.7060698,2.0444937,4.2739367,null],"CAGDPY@CH^EE_ACTUAL_ANNUAL(MED,0)":6.51381088906606,"USDITL^FG_COMPANY_NAME":"Italian Lira per U.S. Dollar","USDAUD^FG_PRICE_CHANGE(0,-3AM)":-3.11656,"EWG^FG_TOTAL_RETURNC(-10AY,0,AM)":[-0.7986069,-7.0703564,5.3672314,0.16086102,-0.9279072,5.979824,2.6852489,-1.9198954,1.8562317,-0.92777014,-2.483672,-9.246338,-5.3825436,10.524178,-1.7647088,0.26198626,-9.742445,-1.9851089,7.299578,4.3256044,-5.0885797,5.9283733,-4.838711,7.2235584,-0.4892707,-2.2692919,-3.9860725,6.08238,3.9528728,1.6453385,2.050364,-0.10575056,9.3154545,0.49957037,0.39292574,0.71754456,4.2422295,1.0562301,0.89148283,1.1076927,7.703936,-7.0687237,-5.493516,4.8866153,-0.94397664,-3.567332,0.5550146,-2.4999976,1.8314958,-10.529757,-2.9239833,-6.0617447,5.7314515,2.4639964,-1.0728836,6.918478,-3.8125217,3.712082,-0.072050095,-7.390046,5.1771164,5.1073194,1.6549349,1.5933514,1.0228395,-1.6537309,-36.20453,19.580412,8.996857,14.720976,6.6884756,0.4088521,-3.155744,3.0133128,2.4829865,6.7715287,2.4551392,-0.552994,2.2551775,6.163144,1.2236834,-1.0742426,-0.028896332,0.80947876,-1.577282,-1.5734315,-1.4505565,-1.1830807,-1.5452921,-6.6023054,-6.1353803,-3.7655413,-1.4765561,-9.731704,-1.9255459,-3.403145,-9.394759,5.633104,18.310524,-1.3230562,12.697136,-0.28704405,-1.2954295,6.671524,-1.4695823,-0.46158433,4.18905,-4.9828234,-3.3996403,-5.3537965,10.561705,5.622709,-2.2696495,4.748702,3.5407066,-1.1505306,3.233111,-3.1493306,4.042411,3.2484055,1.1721134],"EWC^FMA_PE(NTMA,-10AY,0,AM,\"PORTAGG\",\"MEANR\")":[14.7384880432478,14.0770788786538,14.9097226459368,15.4145161409413,16.198011432055,17.3553387261796,17.1604536041529,17.4885863378113,16.8629949323082,16.3180044253922,15.4138149611383,14.5116568782717,14.5181454074966,15.1741318664483,14.5560967694354,14.5994564524527,13.781079198278,14.6398327799699,15.9653606361658,16.5418056654156,16.4377149800991,16.5092418185697,16.5673955072589,16.5043496570276,16.1204736548394,16.1693333867502,16.0800022826998,15.9075514760737,16.0943292383586,16.2453480196153,15.7447612966719,15.80233094217,15.847657228574,15.3044740185266,15.563501222778,15.4538740242757,15.5964376115876,15.7896879393327,15.8833741874835,15.900746152555,15.6754766944202,14.6588809610878,14.044741174313,14.1659262132662,14.2579665878161,14.4652626258837,14.2075865760465,13.9351628191198,13.7207618508399,12.7426601774289,12.5308820458717,11.777730421635,13.2175166225524,14.0843250953956,14.0886551733518,14.0347121030382,13.4210841547231,13.776076846073,13.7741267887502,13.3483678185895,14.0783390280819,13.7968446659873,14.3034005410953,14.5013781665422,14.745763953248,15.0150760367,10.6945424326529,15.4990227447815,18.2105016177085,17.8231141585043,17.3995099089857,17.3550290785434,16.0301446812514,16.0064922020159,16.0986270913604,16.0103986458701,15.9238664627306,15.7853848663873,15.3147840757233,15.4384198321527,15.3447925811567,15.6414716288187,15.204274636939,14.9379198839923,14.6589510714864,15.1005343221129,14.7847500082537,14.4383437840623,13.8455440890379,13.6802730409986,13.8087740773179,12.9286148172029,12.1946397847009,11.0955441842647,11.1675090680483,11.7635047247073,10.7852846910174,11.1460467915048,12.1018277823195,11.9828535896314,12.9713778095164,12.6673713841661,12.2698598155588,13.161545020883,12.8780260842854,12.5557080992037,13.4866112497064,12.9027281603378,12.7505201672855,12.2110242417732,12.7917702136335,13.6147429808904,13.8019281997821,14.190069681965,14.5799683507741,14.3297914891131,14.3099106924294,13.7537245325511,14.3900131500244,14.5668703197216,15.0616032268471],"PLATI-FDS^FG_PRICE(0)/MAX(FG_PRICE(0,-1AY))":0.927970065481759,"BRENT-FDS^FG_PRICE_MAVG(0,,,,30)":85.86,"EWN^FG_PRICE_MAVG(0,,,,200)":48.356335,"FXI^PERCENT_CHANGE(FMA_EPS(+1,0,,,,\"PORTAGG\",\"MEAN\"),FMA_EPS(+1,-1AM,,,,\"PORTAGG\",\"MEAN\"))":1.53169903192664,"EWQ^FG_TOTAL_RETURNC(0,-3AM)":3.1266332,"ENZL^P_PRICE(0)/P_PRICE_LOW_PR(0,,,,,,\"PRICE\",\"INTRA\",\"52W\")-1":0.20896602,"EWI^SIZE(FG_CONSTITUENTS)":26,"EWG^FMA_COS_DOWN(\"EPS\",\"1M\",+1,0,,,\"PORTAGG\",\"MEANR\")":27.0,"TRYIT10Y-FDS^FG_YIELD_NAME":"Italy Benchmark Bond - 10 Year","REFJPTON-FDS^FG_YIELD(NOW,,,0)":0.25,"TRYUS10Y-FDS^PCTCHG(FG_YIELD(0,,,,\"YTM\"),FG_YIELD(-1AM,,,,\"YTM\"))":null,"TRYGB10Y-FDS^FG_YIELD(0,,,,\"YTM\")":3.934,"EWI^JULIAN(FMA_DIV_YLD(NTMA,NOW,NOW,M,\"PORTAGG\",\"MEANR\").DATES)":45534,"CC_AU^IMF_IFS_RCPI_Q(0)":3.81451,"EWA^FG_FCF_YIELD_NTM(0)":4.61949828668378,"TRYQA10Y-FDS^FG_YIELD(-10AY,0,Y,,\"YTM\")":[null,null,null,null,null,null,null,null,null,null],"CAGDPY@DE^EE_ACTUAL_ANNUAL(MED,+1)":6.6,"USDSEK^FG_COMPANY_NAME":"Swedish Krona per U.S. Dollar","USDJPY^FG_PRICE_CHANGE(0,-6AM)":-5.027914,"ENZL^FG_TOTAL_RETURNC(-10AY,0,AM)":[-2.6108325,-1.3151228,4.792416,-1.1923075,-0.5089104,1.8414378,4.118526,-2.9184759,-2.9813707,-7.042253,-1.4539242,-2.3802638,-6.7567587,14.366734,-2.6721716,6.5417886,-5.3201556,3.6602736,8.2482815,5.708456,-1.0125339,7.096207,2.3721814,7.5140595,-4.059434,-6.019628,-3.45788,-1.8175483,8.814585,-0.30260086,-3.6656618,2.8599143,2.8746486,6.41731,3.5079956,-0.42364,0.7232547,-2.1119297,-1.9417405,5.9686065,3.4387946,-0.08183718,1.3103962,-3.819722,0.4622817,5.766797,-4.28313,1.575625,2.109623,-8.871782,3.7614942,-2.000767,7.821548,2.672577,1.6683459,2.7876616,-0.11540651,0.9058714,7.884538,-7.9727054,1.7170787,1.3427973,1.6846418,8.937323,2.779758,-2.3809314,-35.31117,29.239857,3.579998,10.961533,6.2329173,0.77199936,-4.2049704,10.341394,3.6252737,5.101049,2.9917717,-5.954975,-4.6486435,4.5351505,-2.928418,-1.9296825,1.5930414,-0.48496723,4.5971394,-0.8075774,-6.4819155,-0.15120506,-6.741577,-0.4289925,2.3283482,-7.7667294,-6.235427,-6.477028,3.6530733,3.3513546,-9.895396,-3.5888076,12.584686,4.2678237,6.9470286,-4.0092525,-2.4698794,0.8853197,1.7959237,-2.846253,2.3551464,-6.7807016,-2.4901688,-5.8243694,5.2568913,10.005272,-2.862537,-0.94991326,-1.2859643,-2.759993,2.4977207,1.8377781,2.1701097,6.0931087,0.31142235],"COPP-FDS^FG_PRICE(0)/MAX(FG_PRICE(0,-1AY))":0.83639382691932,"REFSEREPO-FDS^PROPER_NAME(0,,,\"SECURITY\",\"NAME\")":"Sweden Repo Rate","EWQ^P_PRICE_RETURNS_PR('52W',2,-10AY,0,AM)":[1.789844,-8.176345,-3.5247743,-6.221348,-8.643478,-5.2282333,-4.2821465,-6.009799,-4.677993,-5.676955,-3.173095,-5.4529905,-8.61721,6.7935467,-1.0505497,-0.14725327,-7.3798537,-12.887728,-7.8566017,-5.705142,-11.344504,-6.3415823,-10.333085,-1.3899028,4.416704,-3.5389483,-4.3055477,1.9278288,14.073933,14.193296,12.69623,9.014833,26.426125,19.330751,29.390192,25.66787,29.397917,32.257877,34.836113,30.593754,34.971954,30.96521,19.575954,26.185762,12.901378,9.731364,8.392096,6.717801,5.759418,-5.759573,-8.761901,-14.660543,-16.563612,-6.834936,-3.4295857,-3.407848,-7.7509284,2.9508471,1.4286041,-4.114723,-2.1659374,10.781324,16.97284,28.481018,22.639502,13.915407,-28.051727,-22.308905,-16.484451,-8.633113,-5.5496397,-0.9900093,-8.247441,-4.5535207,2.8723478,3.5488248,4.2979717,8.968854,70.35016,61.312233,61.212967,40.38688,33.696114,35.407684,43.69937,38.172935,23.430931,20.410622,17.296743,9.324944,4.3970585,-3.5121918,-9.558571,-16.871334,-13.685465,-15.692967,-26.49163,-21.130705,-10.44786,-11.2630005,-0.4815936,5.3947806,8.845366,18.40911,17.97073,26.988352,32.21214,25.670241999999998,31.466425,22.185385,16.403353,21.50079,6.0469627,11.888063,15.993441,5.3373456,12.175322,4.5144796,0.8999467,10.253536,13.136983],"CPALM-FDS^FG_PRICE_CHANGE(0,-1AY)":10.4195228955306,"EWC^FG_PRICE_MAVG(0,,,,200)":37.6147,"VWO^FG_TOTAL_RETURNC(0,-12AM)":18.785048,"EWU^PERCENT_CHANGE(FMA_EPS(+1,0,,,,\"PORTAGG\",\"MEAN\"),FMA_EPS(+1,-1AM,,,,\"PORTAGG\",\"MEAN\"))":-0.250751318887491,"EWG^FMA_PCT_ABOVE_MAVG(200,0,,,,\"PORTAGG\")":59.6491228070175,"EWN^FMA_COS_UP(\"EPS\",\"1M\",+1,0,,,\"PORTAGG\",\"MEANR\")":16.0,"EWU^FMA_RBICS_REV_CURRENT(30, LOC, \"PORTAGG\")":19.2590072352383,"TRYJP10Y-FDS^FG_YIELD_NAME":"Japan Benchmark Bond - 10 Year","TRYDE10Y-FDS^PCTCHG(FG_YIELD(0,,,,\"YTM\"),FG_YIELD(-1AM,,,,\"YTM\"))":-1.9757481,"CC_NZ^IMF_IFS_RCPI_Q(0)":3.330626,"EWD^FMA_PE(LTM,0,,,\"PORTAGG\",\"MEANR\")":14.6854875100226,"ENZL^FG_FCF_YIELD_NTM(0)":1.77036641598697,"EWN^FMA_PE(LTMA,-10AY,0,AM,\"PORTAGG\",\"MEANR\")":[16.7180312913737,16.0396985035343,17.4715111028698,17.7159810770875,18.7983510358836,19.8428585512652,20.0479891044218,19.8534517377826,19.6328178002545,19.2929075578897,19.1753141879084,17.5481571611308,16.6608260507027,17.6691638541351,18.0426935539794,17.2221291176761,16.0217744843524,16.1702143848043,16.4263118691358,16.3555687707288,16.1065567877608,16.1208441697208,16.1101877080358,16.1423005522003,16.1965169690987,16.0136134366619,15.6228567067845,16.3215544818008,16.2265468951658,16.5241080049077,16.4820094673146,16.5682531792339,16.7248664985718,16.6473793083222,16.6358583319115,16.6106148375724,16.800788396124,17.2490727671261,17.2244866428997,17.3250440149597,17.5503130743538,16.6896262537923,16.5372507736678,16.5536932272922,16.6622953809004,16.6653187208655,16.7939157825949,16.580567068613,16.4566534785286,15.3372613742436,15.3071705413021,14.215783463118,14.9072803755937,16.1486179784136,16.1269385289183,16.3211574706312,16.0381209739636,16.358442128978,16.7509911404803,16.2296712619922,17.0584178135333,17.2262934985813,17.8471789375877,18.7385015271258,18.5328331346624,19.6334351978064,16.5056048486814,17.5937400023354,18.2736441166474,19.6733259362321,20.5767839043371,20.8908628593531,21.4679326132325,22.2701337592203,24.6680982588031,26.8635158515265,28.0768819388731,29.7095950161988,28.5666221867272,28.1965636178033,27.2351595278043,26.6181251334543,26.4518424796999,26.0096184614339,25.4948202902526,24.8360831953333,23.5872103341057,22.7155727823048,20.9823815272595,18.2636584605972,18.4269861780401,18.4595948238725,18.3519724050157,17.6759803647015,19.26761082898,19.1102001604479,17.4126241431946,17.4719362051396,18.6908688608732,17.8940024396959,19.5552563958692,20.9364865265424,20.3615899243482,20.0067767917302,19.5839953209623,19.0702451643367,19.030101436978,17.8893987592338,16.9184653635246,15.8165413933521,16.4706036724311,16.6541916987872,16.6668384979887,17.790158197552,18.4616551676821,18.1939458608173,18.3433378255192,18.4039167918351,18.1878463532798,17.6875043003024,17.6777536963946],"COPP-FDS^FG_PRICE_CHANGE(0,-1AY)":16.8053471559132,"EWQ^FMA_PCT_ABOVE_MAVG(200,0,,,,\"PORTAGG\")":54.0983606557377,"ENZL^FMA_PCT_ABOVE_MAVG(200,0,,,,\"PORTAGG\")":50.0,"REFAUCASH-FDS^(SUBARRAY(NOT_NA(NO_REPEAT_F(FG_YIELD(NOW,-10AY,D))),0,1)-SUBARRAY(NOT_NA(NO_REPEAT_F(FG_YIELD(NOW,-10AY,D))),1,1))*100":25.0,"CPALM-FDS^FG_PRICE_CHANGE(0,-6AM)":-6.50104481077316,"EWD^P_PRICE(0)/P_PRICE_LOW_PR(0,,,,,,\"PRICE\",\"INTRA\",\"52W\")-1":0.38243437,"EWQ^SIZE(FG_CONSTITUENTS)":61,"EWL^FMA_RBICS_REV_CURRENT(30, LOC, \"PORTAGG\")":17.5284373745121,"TRYCA10Y-FDS^PCTCHG(FG_YIELD(0,,,,\"YTM\"),FG_YIELD(-3AM,,,,\"YTM\"))":null,"VWO^FMA_EVAL_EBIT(LTMA,NOW,NOW,M,\"PORTAGG\",\"MEANR\")":14.4138647873049,"USDANG^STD(FG_PRICE_CHANGE(0,-1AY,AM))":0.0,"USDNZD^STD(FG_PRICE_CHANGE(0,-1AY,AM))":2.86264473861504,"COPP-FDS^FG_PRICE_CHANGE(0,-6AM)":7.14464464464466,"EWA^FG_PRICE_MAVG(0,,,,200)":24.384275,"SPY^FG_TOTAL_RETURNC(0,-12AM)":34.21507,"FXI^SIZE(FG_CONSTITUENTS)":52,"USDEUR^STD(FG_PRICE_CHANGE(0,-1AY,AM))":1.54825053496841,"QQQ^P_PRICE_RETURNS_PR('52W',2,-10AY,0,AM)":[27.154505,21.124792,26.168215,21.04429,19.637882,22.518385,23.05913,27.098703,25.178194,20.679462,16.637957,4.6496034,6.607592,16.540586,11.085808,9.165287,0.7697463,-5.4382744,0.07293224,1.3972163,-2.6982963,-0.7154465,2.0533085,16.100157,14.868212,11.1306305,4.9152136,7.932508,20.19658,29.417587,22.820938,21.033455,32.202755,31.193865,28.643942,22.630596,22.399961,26.29739,32.254017,32.20582,38.675606,30.53162,22.651041,23.187447,22.95121,25.614082,25.60774,27.733791,27.918743,18.182278,3.0473113,-5.809766,-3.524077,5.8059216,10.636198,18.579351,6.0159326,8.022345,8.872307,1.5864134,4.8172355,11.935449,26.985764,45.137,39.647175,35.27831,-3.720951,11.564291,27.953518,33.317493,34.21054,50.632786,39.70388,49.240364,44.954716,46.545887,46.398224,40.606056,87.25789,62.23557,43.77197,40.536953,43.516994,33.16307,41.95019,32.34627,37.61035,29.40756,8.28104,2.963984,11.44526,-2.455479,-9.820711,-17.630785,-16.56388,-15.375775,-25.674646,-26.54382,-26.886576,-32.1465,-17.233128,-9.234243,-11.286574,-4.52404,14.457917,28.18364,23.077179,18.35339,28.66311,30.01653,37.337173,54.06289,47.56292,48.167038,46.789253,35.150314,36.992954,33.383022,28.832031,30.938625,36.042667],"EWJ^FMA_DIV_YLD(NTMA,-10AY,0,AM,\"PORTAGG\",\"MEANR\")":[2.00776166763945,2.19368275829234,1.94976065748657,1.96802157074983,2.00771248221451,1.90318810664184,1.81554511007332,1.80721524352469,1.84435843928273,1.85818706185179,1.89718659432196,2.02094644491183,2.18624044110408,2.06285878862186,2.00106854984423,2.10782520318156,2.36879979437636,2.50645660979274,2.3704082934341,2.27952908265617,2.38879356556345,2.42726494512101,2.36869272279196,2.42307299555185,2.35984600700542,2.34279797821504,2.22290808574794,2.08698233178538,2.14860805614424,2.12810910956098,2.18991276590186,2.27189414492703,2.1971251071921,2.16624471528429,2.15624643917012,2.21905425665889,2.15795933060494,2.07804850591592,2.08281887768792,2.04195598077454,1.96412164421131,2.1894076071601,2.33308642914188,2.23357919978666,2.20955825889431,2.28163305710934,2.29237746925346,2.35984605892023,2.23243756132627,2.44640853341638,2.51662295380119,2.7298021243985,2.66517319116349,2.56274569609128,2.55339356065113,2.5558577904411,2.68401614852896,2.69250649322584,2.66013124363921,2.77571870990978,2.57632854342987,2.55237773941883,2.48020963027095,2.42849376462719,2.43604275156064,2.50116738057611,3.25786229114857,2.87891357175765,2.75102749961058,2.46597746068386,2.48196879150319,2.41522807099991,2.34980751055003,2.39057851127558,2.24593865998339,2.18645611068569,2.08684400170346,2.03483367248344,2.05375449442152,2.12986523064858,2.18971912520075,2.17882382847015,2.26021371428444,2.28444176830848,2.18602373941515,2.23796741409954,2.22980398922764,2.310698747306,2.41700529299493,2.53757176921373,2.47147133877065,2.58163851511198,2.61748244241108,2.72145283929189,2.58893901946181,2.57844334427558,2.68651919428491,2.74311717032981,2.58267830847699,2.74261322255005,2.66612473580084,2.64049582577763,2.6772107429855,2.58186221309626,2.45672742657646,2.3532612316172,2.37765722169099,2.40594968247553,2.32655897651758,2.48618217860472,2.37290677754395,2.45098040489043,2.26016729112154,2.20040034385893,2.10630751808849,2.26191499609509,2.21623403130271,2.3035515895115,2.23852919597286,2.39330439345684,2.5387188651753],"CPALM-FDS^FG_PRICE_CHANGE(0,-3AM)":2.46819338422393,"EWC^FG_TOTAL_RETURNC(0,-6AM)":10.344685,"EWJ^FMA_RBICS_REV_CURRENT(30, LOC, \"PORTAGG\")":18.4737986742213,"QQQ^FMA_DIV_YLD(NTMA,NOW,NOW,M,\"PORTAGG\",\"MEANR\")":0.835811934474652,"USDNZD^FG_PRICE_CHANGE(0,-6AM)":-4.346788,"SPY^FG_PRICE_MAVG(0,,,,60)":551.2163,"VWO^PERCENT_CHANGE(FMA_EPS(+1,0,,,,\"PORTAGG\",\"MEAN\"),FMA_EPS(+1,-3AM,,,,\"PORTAGG\",\"MEAN\"))":-1.45195615350656,"EWL^FG_TOTAL_RETURNC(0,-1AM)":-2.8661132,"EWA^FMA_COS_UP(\"EPS\",\"1M\",+1,0,,,\"PORTAGG\",\"MEANR\")":25.0,"USDEUR^FG_PRICE_CHANGE(0,-6AM)":-2.8386593,"EWC^FG_TOTAL_RETURNC(0,-3AM)":13.263905,"QQQ^FMA_PE(NTMA,0,,,\"PORTAGG\",\"MEANR\")":26.2381129367776,"USO^FG_TOTAL_RETURNC(0,-1AM)":-4.328263,"CC_JP^FG_COMPANY_NAME":"Japan","USDANG^FG_PRICE_CHANGE(0,-1AY)":0.0,"EWL^FMA_PE(LTMA,-10AY,0,AM,\"PORTAGG\",\"MEANR\")":[17.3283258438694,16.9142972820595,17.7146325569223,17.3680417147262,16.4668403451274,17.9281923320445,18.1177356517756,18.2105490894282,18.1619419566448,18.0125780207173,18.2046632431152,17.4562018374396,16.9028484686408,17.7672682015824,17.5149727096906,17.317219220056,16.4783893433203,16.4569870429387,16.6565877949849,16.8554743561801,16.9639365050542,17.1317909965447,17.4339392869737,17.9029430106282,18.1506020704389,17.8424162090338,17.2832345401015,18.1541870789835,18.3394611126929,19.7256651391709,19.5811143870377,19.3266187132155,19.576355447249,19.477418535365,19.3587444553294,19.1908674119386,19.3845666971113,20.1892459024221,20.4124459411111,20.6159838787104,22.2901633320433,21.4814352051632,20.7485630246859,20.3755867332667,19.9541318511115,19.3846619986334,19.2964887138845,18.8919122184091,18.6228279071752,17.5989077895404,17.5154244808814,16.3196747627285,17.4390293186324,18.2390617666882,18.241294402523,18.2967406662414,18.1286147496918,18.3609518973544,18.3922551634318,18.1522009510701,18.3714050552259,18.3775883409803,18.8931824523657,19.7030684876299,20.0552003348434,20.2612675676509,17.2879230917593,18.4166921103674,18.930381478785,19.6563655063347,20.2097746657721,20.4634910160168,20.6943550657799,20.5592662553326,21.1829805356173,21.3845874520517,21.9368350677789,20.7410514320629,20.4917858305564,20.309290141115,20.4961917243677,20.8776030348605,20.9154672442503,21.2401094906368,20.5756469797592,20.6629654382465,20.6138647950136,21.4214549815714,20.4695887153855,18.3152669421244,18.5346942806227,18.5936450258361,18.1200927507986,17.391706679513,17.914026182959,18.014062457159,16.9019772573981,17.2248937172319,19.8654112152973,20.1016253030926,21.3380323405885,21.23662646556,20.3838164666914,20.4216356332082,20.0286785638913,19.3094289456169,19.2051840996599,18.7184934759796,18.5793732971695,17.6302097192639,18.0046809880797,18.3893159286402,18.1583572038401,19.3820185463403,19.1654618706496,18.9111101210353,18.8911328741007,18.8328346076301,18.8939423622494,18.9787643056199,18.5857140538566],"PASP-FDS^FG_PRICE_CHANGE(0,-3AM)":6.96517412935322,"ENZL^FMA_COS_UP(\"EPS\",\"1M\",+1,0,,,\"PORTAGG\",\"MEANR\")":8.0,"TRYIT10Y-FDS^PCTCHG(FG_YIELD(0,,,,\"YTM\"),FG_YIELD(-3AM,,,,\"YTM\"))":-10.584958,"TRYTW10Y-FDS^FG_YIELD(-10AY,0,Y,,\"YTM\")":[1.6015,1.015,1.2037,0.9478,0.8648,0.672,0.315,0.7413,1.2812,1.211],"EWI^P_PRICE_RETURNS_PR('52W',2,-10AY,0,AM)":[10.7109785,-3.9180338,-0.62915087,-6.280339,-13.612824,-8.418965,-9.615517,-14.112621,-3.1716228,-8.5733529999999991,-5.3614674,-5.003375,-7.4431124,5.8309436,-2.1036446,3.092146,-10.12355,-23.173672,-16.76169,-14.532357,-23.8038,-20.201445,-27.028322,-20.477926,-19.374275,-23.263227,-22.356247,-11.171997,3.9668202,8.663738,8.562696,3.4668326,26.35535,16.185057,36.418987,36.76964,45.06966,40.25172,48.147095,31.971205,41.11754,41.63183,26.813866,39.924576,12.984133,9.498572,3.1917334,-5.5204153,-4.3923974,-14.399367,-16.982126,-18.98328,-21.706373,-13.2368145,-9.347135,-13.572269,-12.694019,0.6480336,1.1945724,-1.5424788,-0.6776273,17.292463,22.958935,29.758953,19.81411,16.861689,-28.792637,-27.052385,-19.51313,-9.412551,-6.121832,-0.7678807,-11.102873,-10.412902,-1.7793834,1.0918021,1.7071605,3.8347602,67.43745,65.2995,63.216187,34.800957,26.188923,31.054592,38.90034,38.00423,19.590927,13.146055,11.726928,5.7786345,-5.4049373,-8.480674,-12.616146,-21.33972,-23.823154,-23.932611,-30.053335,-27.777815,-12.758833,-13.064199,-4.4513645,0.8649349,7.7762246,14.7589445,14.636028,30.077993,47.998833,37.18214,40.31769,34.352337,23.24828,30.55321,15.873396,23.157776,31.806778,23.127102,28.490961,19.384516,19.007374,26.31079,28.574348],"DDR3512M-FDS^FG_PRICE_MAVG(0,,,,30)":0.8877712,"EWJ^FG_PRICE_MAVG(0,,,,60)":69.38617,"URTH^FG_TOTAL_RETURNC(0,-3AM)":5.688381,"EWI^PERCENT_CHANGE(FMA_EPS(+1,0,,,,\"PORTAGG\",\"MEAN\"),FMA_EPS(+1,-3AM,,,,\"PORTAGG\",\"MEAN\"))":-0.0782712639659131,"EWU^P_PRICE(0)/P_PRICE_LOW_PR(0,,,,,,\"PRICE\",\"INTRA\",\"52W\")-1":0.24071002,"EWG^FG_TOTAL_RETURNC(0,-6AM)":7.411444,"EWQ^FMA_RBICS_REV_CURRENT(30, LOC, \"PORTAGG\")":11.5988441524133,"CC_DE^IMF_IFS_RCPI_Q(0)":2.2863681,"EWL^JULIAN(FMA_DIV_YLD(NTMA,NOW,NOW,M,\"PORTAGG\",\"MEANR\").DATES)":45534,"EWA^FMA_EVAL_EBIT(LTMA,NOW,NOW,M,\"PORTAGG\",\"MEANR\")":12.8696001492493,"GLD^FG_TOTAL_RETURNC(0,-1AM)":4.771137,"TRYMY10Y-FDS^FG_YIELD(-10AY,0,Y,,\"YTM\")":[4.131911,4.345605,4.195897,3.902544,4.235642,3.300551,2.804181,3.573893,4.131847,3.727505],"CAGDPY@JP^EE_ACTUAL_ANNUAL(MED,+1)":4.0,"USDSEK^STD(FG_PRICE_CHANGE(0,-3AY,M))":3.08926120822716,"USDUSD^FG_COMPANY_NAME":"U.S. Dollar per U.S. Dollar","USDJPY^STD(FG_PRICE_CHANGE(0,-3AY,M))":3.35240877850283,"USDAUD^FG_PRICE_CHANGE(0,-1AM)":-1.1532009,"EWC^FG_TOTAL_RETURNC(-10AY,0,AM)":[-3.02096,-5.7851257,4.68961,-6.1989727,-5.050498,1.6507626,-0.4330516,6.270385,-2.864939,-2.2120774,-9.07197,-6.446475,-1.9566178,5.9869885,-5.566931,-3.6943793,-8.713502,5.8470726,9.537304,8.01723,-3.7509918,4.680431,0.23952723,3.305459,-1.9660771,1.0617375,0.8949399,1.5444756,2.8768659,2.9082775,-3.7318885,0.0,-0.6774545,0.71014166,5.4628134,-0.7913649,4.4597507,0.76363087,1.2400866,0.5225897,3.9766908,-6.1655164,-4.462397,2.7583718,4.402292,-1.4866054,0.94703436,0.2084732,0.7281542,-7.332182,-2.82318,-8.936149,11.4383335,6.855607,-1.6845882,4.484141,-3.6287487,4.452455,0.839448,-4.89074,6.309259,-1.3722122,2.3304343,2.0581722,3.104961,0.26186705,-42.376755,30.934847,5.538726,7.7569127,3.8816333,5.1424265,-5.3835335,4.53701,6.047666,5.021727,2.3285866,4.4879913,2.4198413,3.4554005,6.4516187,1.236105,-1.5724957,0.78526735,-0.40301085,6.717026,-1.1375129,-1.7099798,-0.9222746,-0.8510649,7.4570894,-4.6929655,-3.5096884,-9.591633,2.0266175,5.069673,-11.681711,2.1086216,10.0438,-5.235511,7.5494766,-3.1135082,-4.8495474,8.136332,-2.243048,-0.80580115,5.8858275,-5.446929,0.29542446,-4.536086,6.20178,7.2817206,-0.6588042,2.2105694,2.216816,-0.29093027,0.3448248,-2.6288629,5.206895,4.7408223,2.7978063],"EWA^FMA_PE(NTMA,-10AY,0,AM,\"PORTAGG\",\"MEANR\")":[14.1626293353104,14.2362326222044,13.9994835425048,14.3040981944457,14.9853749461294,16.1919531002234,16.4867071768248,16.3260568868928,15.7496141920746,15.7209329088763,15.348603944119,14.5894904070623,14.0483514964491,15.2978789509563,15.2983842897003,15.2083028791079,14.7935572035383,15.4481640445096,15.9761538017174,16.2002591481092,16.2850837834885,16.2001000519167,16.6430383244201,16.8766099365399,16.3533507131047,16.0934565203967,16.0870453935148,15.7168049140357,15.6082579904206,16.0104086104948,15.4524620753708,15.7787387112847,15.43690906618,15.3242946701167,15.6694384113566,15.7576968685099,15.4993262661426,15.8446620368635,15.9462527591099,15.9715876300558,15.7644192690399,15.5316928494443,14.9194763258254,14.9962198750777,15.3006924175959,15.5485338196957,15.4938949510851,15.4912075153321,15.3045452767697,14.26265109943,14.214151402688,13.5409468919636,14.6029569561587,15.3067712799279,15.3461953723653,15.4124317416366,15.802418014312,16.2282143411021,16.2991821473461,16.0301238262163,16.7156604260466,16.8056696240902,17.0441715912589,17.3755854011318,18.1367371737575,18.3467351579122,12.087260282592,16.0471328546996,17.5851452996353,19.1041364989933,19.5536589552781,19.6689511888856,18.3943611956534,18.5751747666353,19.5036483142256,19.1919179904295,19.2609074847039,18.5135092202992,17.6449615971048,18.1016990466837,17.7460265104356,17.7562862885218,16.8480891642408,16.9497501054907,17.1283214972482,17.5464736418226,17.2831175797586,17.4037187717023,16.6328277171471,15.8298711995886,16.2360898095989,15.308674226832,14.3677125623375,12.5936715057608,13.4841922119836,13.8676269407412,12.8234377476783,12.8840816548399,14.4429606522779,14.2224203348997,14.8877011988751,14.5785948621312,13.9114740783757,14.6409581142968,14.5329686258693,14.6665093295755,15.4266016489569,15.0838105112194,15.0168876258897,14.3454734298979,15.1716803446113,16.2620364508875,16.1320963515242,16.5292585540432,16.6007169324987,16.4579324598602,16.8271147964684,16.8593890131395,17.268569501356,17.6774621973255,18.3750634628975],"PLATI-FDS^FG_PRICE_CHANGE(0,-6AM)":9.010989010989,"BRENT-FDS^FG_PRICE(0)":85.86,"EWN^FG_PRICE_MAVG(0,,,,60)":49.580082,"FXI^FMA_PCT_ABOVE_MAVG(200,0,,,,\"PORTAGG\")":49.0196078431373,"EWQ^FG_TOTAL_RETURNC(0,-1AM)":-1.2228549,"ENZL^P_PRICE(0)/P_PRICE_HIGH_PR(0,,,,,,\"PRICE\",\"INTRA\",\"52W\")":0.9840111,"EWI^FMA_COS_DOWN(\"EPS\",\"1M\",+1,0,,,\"PORTAGG\",\"MEANR\")":9.0,"EWG^FMA_COS_UP(\"EPS\",\"1M\",+1,0,,,\"PORTAGG\",\"MEANR\")":22.0,"TRYSE10Y-FDS^FG_YIELD_NAME":"Sweden Benchmark Bond - 10 Year","REFSEREPO-FDS^(SUBARRAY(NOT_NA(NO_REPEAT_F(FG_YIELD(NOW,-10AY,D))),0,1)-SUBARRAY(NOT_NA(NO_REPEAT_F(FG_YIELD(NOW,-10AY,D))),1,1))*100":-25.0,"REFJPTON-FDS^PROPER_NAME(0,,,\"SECURITY\",\"NAME\")":"Japan Policy Rate","TRYGB10Y-FDS^PCTCHG(FG_YIELD(0,,,,\"YTM\"),FG_YIELD(-3AM,,,,\"YTM\"))":-3.5784292,"EWD^FMA_EVAL_EBIT(LTMA,NOW,NOW,M,\"PORTAGG\",\"MEANR\")":16.3772212878241,"SPY^FMA_PE(NTMA,0,,,\"PORTAGG\",\"MEANR\")":21.394503014714,"TRYPL10Y-FDS^FG_YIELD(-10AY,0,Y,,\"YTM\")":[2.5048,2.9303,3.6245,3.292,2.8144,2.1086,1.235,3.6216,6.8411,5.1912],"EWD^P_PRICE_RETURNS_PR('52W',2,-10AY,0,AM)":[-0.57570934,-5.551547,2.028811,-4.124421,-9.582895,-0.3734827,-1.1660397,-1.1319339,-3.7867188,-2.0143926,-3.8737655,-8.551968,-10.463166,-1.0473788,-6.19961,-4.1435122,-11.135369,-15.996557,-12.58542,-7.818079,-13.628107,-9.904337,-10.965061,-0.39029717,4.7005296,-1.0098636,-4.186207,-0.123399496,13.041449,15.979898,12.926065,6.1112165,23.068678,17.790068,26.376045,20.709753,25.11276,30.060911,27.906895,24.02674,27.06524,15.85598,7.7659607,12.232601,2.1135092,-1.7251849,-2.8701782,-2.4049222,-1.4743268,-13.522827,-13.542676,-16.03073,-16.273827,-8.583999,-3.702575,0.26009083,-7.7661276,3.3981323,0.04851818,-9.382618,-7.436365,9.7390175,14.6605015,27.246643,18.098557,17.627144,-25.86326,-16.03179,-3.2004535,3.7590623,15.492237,25.65111,16.964663,18.484318,24.841415,21.088945,28.279709,29.137146,107.77383,83.67765,72.496056,52.15583,43.07786,40.65864,42.232548,38.644386,23.184072,21.19168,5.8457613,-5.7659626,-6.5183935,-14.718431,-21.499031,-29.67559,-27.850538,-30.635803,-39.55008,-37.448647,-23.492682,-26.43826,-12.022537,-3.7545204,-10.42775,-1.7357349,2.3831606,12.560153,10.412931,6.774652,17.665636,11.900234,9.580862,25.088846,4.744637,13.25115,22.927057,10.772467,19.673168,19.793678,16.513788,32.159103,35.943188],"WL-FDS^FG_PRICE_CHANGE(0,-6AM)":-8.45202692127094,"EWJ^FG_PRICE_MAVG(0,,,,30)":70.07567,"URTH^FG_TOTAL_RETURNC(0,-1AM)":1.1735916,"EWI^PERCENT_CHANGE(FMA_EPS(+1,0,,,,\"PORTAGG\",\"MEAN\"),FMA_EPS(+1,-1AM,,,,\"PORTAGG\",\"MEAN\"))":-1.79899026570502,"EWU^P_PRICE(0)/P_PRICE_HIGH_PR(0,,,,,,\"PRICE\",\"INTRA\",\"52W\")":0.9924363,"EWG^FG_TOTAL_RETURNC(0,-3AM)":8.681238,"SPY^FMA_RBICS_REV_CURRENT(30, LOC, \"PORTAGG\")":12.8044634335908,"CC_CA^IMF_IFS_RCPI_Q(0)":2.7411842,"EWJ^FMA_EVAL_EBIT(LTMA,NOW,NOW,M,\"PORTAGG\",\"MEANR\")":17.0940352465206,"EWA^FMA_EVAL_EBITDA(NTMA,0,,,\"PORTAGG\",\"MEANR\")":8.99924277694515,"SPY^P_PRICE(0)/P_PRICE_HIGH_PR(0,,,USD,,,\"PRICE\",\"INTRA\",\"52W\")":0.99474585,"TRYMX10Y-FDS^FG_YIELD(-10AY,0,Y,,\"YTM\")":[5.8237,6.2537,7.5651,7.6401,8.7069,6.8373,5.552,7.558,9.0223,8.95],"CAGDPY@JP^EE_ACTUAL_ANNUAL(MED,0)":3.60658196299853,"USDSEK^STD(FG_PRICE_CHANGE(0,-1AY,AM))":3.1557454961319,"USDJPY^STD(FG_PRICE_CHANGE(0,-1AY,AM))":3.08687482116291,"USDAUD^FG_PRICE_CHANGE(0,-1AY)":-5.693012,"EWA^FG_TOTAL_RETURNC(-10AY,0,AM)":[-8.240539,-0.28316975,-1.6227186,-5.8194757,-0.54249763,6.6363573,2.728057,-2.90457,-2.8632462,-0.5719304,-6.8219066,-8.4630375,-5.2603602,10.992718,-2.8297186,0.06644726,-8.066243,3.2539248,8.441198,5.137515,-4.639685,4.9874187,1.6000032,3.1496048,-2.0038068,0.9250164,-0.5788684,-0.11588335,5.885291,5.3697705,-1.5645981,1.407814,-2.14957,-0.09315014,4.8220873,1.0272503,0.39787292,1.1448741,-0.13059974,2.596283,3.352201,-2.1903992,-5.8139443,1.41747,2.3895383,1.8661499,-0.30850172,-1.326263,-0.08960962,-8.1165905,0.43923855,-6.990838,9.386862,5.605161,-0.28182864,3.5327315,-0.2729714,3.6721587,2.3798823,-7.5438557,6.2618613,0.9821534,-0.48629642,2.5429845,3.5793304,-2.9863536,-43.623573,25.50702,7.768798,14.006842,3.490758,2.1825433,-4.951459,6.639421,9.243298,5.800402,3.928125,3.015685,-4.1764317,6.8839073,0.22865534,0.73839426,-0.91848373,-1.1973739,0.1172781,3.6313891,-3.428793,0.21743774,-5.4172754,2.2610903,8.468925,-2.730763,-3.716886,-10.801899,3.374517,3.0804634,-11.016947,2.2556305,13.578439,-1.8747032,9.991037,-4.847246,-5.6506815,5.490017,-2.2795737,-0.62120557,4.4223785,-6.006914,-0.5057514,-4.482436,7.643926,11.188423,-3.1353116,1.8313527,1.4638186,-1.6488016,2.6823163,1.4076471,2.1337628,4.0578604,2.760613],"ENZL^FMA_PE(NTMA,-10AY,0,AM,\"PORTAGG\",\"MEANR\")":[17.2215667992032,17.3558943589787,18.0855320076884,18.1888318838711,18.7406298994844,19.0040389434544,18.1240234129203,18.0708974979723,18.2077280484513,17.8754716836032,18.3080474333662,17.8051467743184,17.3039914878066,18.0899186695333,18.1012462282804,18.141576771405,17.5213662871065,17.4872464190849,17.9973332875368,18.9641728752031,19.164490741841,18.8137068764411,19.9811057491191,20.6415716103557,20.1635071054617,19.1220858178548,18.7045334574963,18.541877820876,18.9330988491226,18.776569374161,18.6642362368739,19.0068523513775,19.4180456982316,19.5858796825282,19.7137817939963,20.1227567171351,19.7226419370774,20.0996729959305,20.1493998155909,20.9530535861254,20.579951543714,20.568589851558,20.5343851599302,19.8084682641098,20.2638159088805,21.3214520844847,20.8159651325713,21.6622089970632,21.734816553579,19.8666731916633,19.7436591402546,19.8541641247753,20.6359267975762,21.4765046801037,21.6537497781988,22.687559553242,23.415530217791,23.2083366496416,24.6366393641373,25.6585354689815,25.5717848664324,24.8832668293333,25.1079564888717,26.0461588637489,26.6756329623937,27.4450754740487,21.1911917616111,28.4697519363489,31.023060230784,30.2016731711355,32.2903827835496,32.5514963066558,31.3731279244263,33.1887624298003,32.1393399631852,34.3341563620744,34.0306238869411,31.388664117469,32.0490555322225,32.2302880639057,32.5951864597289,33.5171319634386,34.2755721746504,34.6794948304236,34.963488364947,33.7262449130849,32.4555197070119,32.1893442352948,30.2241382397446,29.3588166423693,29.4732412276309,28.527885107988,27.3877416856404,25.6053587758448,26.0016635893255,27.3086350004454,25.0518697407108,23.0898226672598,23.5220408569802,23.1998378509902,23.8910705765925,24.0185954055259,22.5720306065986,23.2967538989609,23.494549613041,20.7166167156714,20.9055429901282,20.0598702825205,20.3149390929353,19.2735630275934,20.1819065798651,22.6421708900348,22.3364893708978,22.3468708516345,25.2207317725135,25.0182435772868,25.2295838444533,24.2951091813326,25.5469310609226,26.8893995401767,24.0531553004444],"COPP-FDS^MAX(FG_PRICE(0,-5AY))":5.119,"EWN^FG_PRICE_MAVG(0,,,,30)":49.448166,"EWQ^PERCENT_CHANGE(FMA_EPS(+1,0,,,,\"PORTAGG\",\"MEAN\"),FMA_EPS(+1,-3AM,,,,\"PORTAGG\",\"MEAN\"))":0.482719348242559,"ENZL^FG_TOTAL_RETURNC(0,-1AM)":0.31142235,"EWI^FMA_COS_UP(\"EPS\",\"1M\",+1,0,,,\"PORTAGG\",\"MEANR\")":7.0,"EWC^SIZE(FG_CONSTITUENTS)":86,"REFSEREPO-FDS^FG_YIELD(NOW,,,0)":3.5,"TRYCH10Y-FDS^FG_YIELD(0,,,,\"YTM\")":null,"EWD^FMA_EVAL_EBITDA(NTMA,0,,,\"PORTAGG\",\"MEANR\")":10.8068361658501,"SPY^FMA_PE(LTM,0,,,\"PORTAGG\",\"MEANR\")":26.6466814025123,"TRYZA10Y-FDS^FG_YIELD(-10AY,0,Y,,\"YTM\")":[7.9537,9.7513,8.9047,8.58389,9.37766,9.011772,9.174469,9.791837,10.764477,11.358896],"EWN^P_PRICE_RETURNS_PR('52W',2,-10AY,0,AM)":[3.453827,-6.2069893,-0.44095516,-1.5759826,-6.3326,1.7068267,6.3046575,5.3094506,7.4510694,6.01722,9.219933,1.1093259,-4.003626,11.262679,2.4006963,1.0679483,-3.158456,-9.915245,-4.8771563,-3.5331428,-8.629238,-6.171674,-8.929467,4.12122,10.104668,0.73405504,-2.1328628,2.4340272,11.252129,16.252827,13.003075,11.846268,25.19046,20.381618,31.713057,26.153135,27.855587,31.938278,35.37109,34.407627,39.243065,29.35524,19.202316,21.473957,10.610366,10.109472,7.1885467,2.8360486,0.92476606,-9.17226,-8.893955,-16.659344,-17.076237,-5.9987903,-4.502577,-1.2681007,-4.3602047,2.6864529,2.3070931,-0.7571876,5.0916195,16.746532,18.903519,34.15736,25.94421,18.452084,-19.621342,-10.00306,-0.20388961,9.1187,11.55945,16.39788,9.134781,14.663542,19.796276,23.678375,32.136154,33.799232,94.95852,81.45871,66.76495,46.913147,43.16993,49.43129,57.54651,47.550846,33.2109,21.975018,6.6034555,-2.9388964,-4.893035,-15.550852,-20.765066,-27.713663,-23.589653,-29.936737,-40.68299,-37.135117,-22.968567,-23.059654,-7.903588,-2.2845864,-0.48767328,5.179155,13.344896,23.999273,20.9306,18.343925,21.926367,16.586601,12.1455555,20.062197,6.281638,16.986216,23.143482,17.096973,22.509659,22.182465,16.021465,24.506199,31.24752],"WL-FDS^FG_PRICE_CHANGE(0,-3AM)":4.7832318165532,"CPALM-FDS^FG_PRICE(0)/MAX(FG_PRICE(0,-1AY))":0.879449661498144,"EWG^FG_PRICE_MAVG(0,,,,60)":31.44,"URTH^FMA_PCT_ABOVE_MAVG(200,0,,,,\"PORTAGG\")":64.818763326226,"EWI^FMA_PCT_ABOVE_MAVG(200,0,,,,\"PORTAGG\")":72.0,"EWU^FG_TOTAL_RETURNC(0,-6AM)":12.469971,"EWG^FG_TOTAL_RETURNC(0,-1AM)":1.1721134,"EWN^FMA_COS_DOWN(\"EPS\",\"1M\",+1,0,,,\"PORTAGG\",\"MEANR\")":21.0,"REFCATARG-FDS^(SUBARRAY(NOT_NA(NO_REPEAT_F(FG_YIELD(NOW,-10AY,D))),0,1)-SUBARRAY(NOT_NA(NO_REPEAT_F(FG_YIELD(NOW,-10AY,D))),1,1))*100":-25.0,"SPY^JULIAN(FMA_DIV_YLD(NTMA,NOW,NOW,M,\"PORTAGG\",\"MEANR\").DATES)":45534,"WL-FDS^FG_PRICE_CHANGE(0,-1AM)":11.2611755754232,"EWD^FG_TOTAL_RETURNC(0,-12AM)":35.943188,"TLT^FG_TOTAL_RETURNC(0,-3AM)":5.6790113,"CAGDPY@CA^EE_ACTUAL_ANNUAL(MED,+1)":-1.0,"USDANG^STD(FG_PRICE_CHANGE(0,-3AY,M))":0.0594600681310969,"USDNZD^STD(FG_PRICE_CHANGE(0,-3AY,M))":3.59611459976247,"EWQ^FG_PRICE_MAVG(0,,,,60)":38.765335,"EWA^SIZE(FG_CONSTITUENTS)":58,"TRYJP10Y-FDS^FG_YIELD(0,,,,\"YTM\")":0.8592,"USDEUR^STD(FG_PRICE_CHANGE(0,-3AY,M))":2.18410832220464,"SPY^P_PRICE_RETURNS_PR('52W',2,-10AY,0,AM)":[18.78822,13.832259,17.11147,16.039192,14.32358,17.098736,14.983475,14.847636,14.535368,10.374605,7.8862786,1.0070086,-0.24779439,8.608699,3.2042265,1.2313843,-5.635345,-7.047987,-1.1495948,1.3486743,-1.5776515,1.5951395,5.025792,13.222111,13.981509,8.305502,7.849157,11.9133835,21.254147,25.584816,17.55278,14.585662,19.400978,17.679989,16.480946,13.960945,17.179321,22.111916,20.146406,20.995378,27.69643,18.439781,12.362469,15.795267,16.043865,15.245974,15.612912,19.038033,19.214594,8.779216,3.1897545,-8.325476,-5.2395287,5.206275,7.97534,12.013542,5.225706,9.337902,9.207069,1.6537428,4.1731,11.793577,19.68156,35.97728,28.315533,22.481882,-18.508112,-2.7389228,5.576086,8.289289,9.822834,18.43258,10.318971,17.572712,17.213356,16.607285,17.754364,18.410456,77.52148,51.73557,42.98512,37.459816,38.265907,33.72613,39.309193,33.353127,32.834995,29.753077,15.520096,10.35577,15.450454,4.7091246,-3.0755103,-9.264517,-7.977581,-6.4913454,-15.715801,-16.231209,-12.7440815,-17.30991,-7.0396185,-3.5008073,-9.896153,-4.297203,6.106484,16.47594,15.2565365,9.2108135,16.84699,14.121771,15.592897,26.31365,22.877193,28.693878,34.86079,24.458004,28.866148,26.952707,24.191368,28.667568,34.21507],"WL-FDS^FG_PRICE_MAVG(0,,,,30)":534.53,"EWD^JULIAN(FMA_DIV_YLD(NTMA,NOW,NOW,M,\"PORTAGG\",\"MEANR\").DATES)":45534,"EWJ^FMA_DIV_YLD(NTMA,NOW,NOW,M,\"PORTAGG\",\"MEANR\")":2.37520994994013,"ENZL^FMA_DIV_YLD(NTMA,NOW,NOW,M,\"PORTAGG\",\"MEANR\")":2.51392724535129,"CAGDPY@CA^EE_ACTUAL_ANNUAL(MED,0)":-0.725414399026327,"EWQ^FMA_PE(LTMA,-10AY,0,AM,\"PORTAGG\",\"MEANR\")":[15.2872203774836,14.7669832403424,15.2886691033137,15.1955717392066,16.2579426270356,17.2517627733555,17.579077959195,17.6253265924543,17.5732086936137,17.4192307601672,17.3519958153382,16.1766589408084,15.5153285047365,16.4895952231028,16.2732823288469,15.5395555471804,14.4227489500986,14.7829560862568,15.1686415085508,15.3116158091976,15.0478356849484,15.1782463986209,15.0154388935205,14.9149296332996,14.985675333262,15.0726012245269,14.8340902854348,15.6855725147825,15.7099947361415,15.7315777741611,15.6276427006167,15.5827654365435,15.8067046207954,15.71910726249,15.5900005055858,15.4846383465004,15.8479945251538,16.1179670917536,15.95821282073,16.0968014338417,16.6631341284383,15.6508114592205,15.4427028491414,15.5763385320595,15.5783066081373,15.2569471997246,15.202039434081,15.0660055027772,15.1459028549283,13.9314884204307,13.6779318101848,12.9039449751081,13.3453699870919,14.4565142043661,14.5186595332092,14.6819711272356,14.3974932881722,13.6782161478527,14.9042826633658,14.5182940323191,15.0921282782535,15.3763649443968,16.0152041671349,16.5524697071124,16.4841271835202,16.5709115068037,13.9519336846463,15.431603984658,16.2781555166835,18.406466736987,20.3394593049604,21.9643015377837,22.7340496253697,24.2342078693388,27.5212172883396,28.4188788301396,28.4986019061957,27.24652547259,26.4662569057418,25.7081323847298,24.8032633590426,23.9877953590231,22.7837533756483,21.2972931304647,20.2752459349638,19.0267750500504,18.0883330800899,17.3396724386419,16.7187100656139,15.7538885189698,15.2740797759586,15.0180528827504,14.3916531605656,13.6320816011508,13.4570222750396,12.8589263754555,11.658970743717,11.5847442436986,12.1918329035408,11.6409717987705,12.7330875208387,12.9683823411821,12.9038878002782,13.2336646789455,13.1497826587672,13.0905301688566,13.4437606707936,13.1912403665005,13.0803119844365,12.5468541354874,13.2821141651393,14.0692734898953,13.9669089248886,15.5701510735123,15.5081600354237,15.448654867236,15.4347931170181,14.9995387012439,14.9431515483897,15.0234750309394,14.8160993104804],"EWQ^FG_PRICE_MAVG(0,,,,30)":39.203,"VWO^FG_TOTAL_RETURNC(0,-1AM)":1.7988801,"TRYAU10Y-FDS^PCTCHG(FG_YIELD(0,,,,\"YTM\"),FG_YIELD(-1AM,,,,\"YTM\"))":1.2248048,"VWO^FMA_EVAL_EBITDA(NTMA,0,,,\"PORTAGG\",\"MEANR\")":8.95050924824355,"ENZL^FMA_PE(NTMA,0,,,\"PORTAGG\",\"MEANR\")":24.0531553004444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CC_CH^FG_COMPANY_NAME":"Switzerland","SPY^FMA_PE(LTMA,-10AY,0,AM,\"PORTAGG\",\"MEANR\")":[16.4345268522967,16.2847213810128,17.0730053542918,17.4620475768743,17.2512198041125,17.6339769142956,17.5772668027922,17.6032849514474,17.5806708583959,17.5706818403479,17.5203853291244,16.8354731646229,16.5690850552948,17.456419977711,17.4701879814495,17.2961596835281,16.0079553312653,16.2966838906097,16.18819342752,16.4452153070474,16.565182572191,16.920365789873,17.345129976865,17.5937947992977,17.6870690628645,17.6343437190018,18.2617173626348,18.9474406770002,18.8727748178001,19.5148510330435,19.3580294665989,19.1994278616709,19.15090477685,19.1613029243237,19.2438984719265,18.9660050178945,19.2299887389055,19.6470074902989,19.6875200140582,20.3039062527346,21.2614735516799,20.077322290439,19.4269140707588,19.2362307108823,19.0001524972793,18.7890038283372,18.6699426509405,18.5776437966178,18.6887395038247,17.5797706657456,16.6212009883524,15.0645704519365,16.3106340869732,17.1761735558756,17.098035434664,17.2903392103759,17.0508477284256,17.4251200978181,17.7167844156288,17.2109503493416,17.9079614301401,18.1508558592587,18.881242219408,19.7808197359951,20.3686883448347,20.2408416046359,17.0581206767111,18.8142656437869,20.0378168131973,21.2103212351201,22.1211717386328,22.9769859851466,22.739517824898,24.3015720039701,24.9201606908225,26.7600515394652,27.4314935590734,26.8586993874878,26.0413485546254,25.8661149441561,25.1401300946362,24.8026053283942,24.556986141854,23.9839165335997,23.5133645561709,23.2868998027918,23.2834430658335,23.1321496076122,21.2655124132693,20.0675259476567,20.6655336996333,20.2313542746184,19.5419006740472,18.8383894842373,18.9357616306915,19.2186835077477,17.6802669191381,17.6753575316227,18.5024025112131,17.4992976250065,18.25033202929,18.2138420546777,18.024303519632,18.3054048840464,18.350417577822,18.8550885559301,19.5696222384585,19.3310648741124,19.1249877221755,18.9588776284411,20.345904144713,21.5800468537847,22.1883639275672,22.7647135575659,22.7752257102134,22.440897108272,22.5138948863331,22.7699002008301,22.9715166721175,23.2093965069636,23.4688106291884],"COPP-FDS^FG_PRICE_CHANGE(0,-3AM)":-4.7285269247886,"EWA^FG_PRICE_MAVG(0,,,,60)":25.143084,"EWG^FMA_RBICS_REV_CURRENT(30, LOC, \"PORTAGG\")":23.4666496440462,"TRYNZ10Y-FDS^PCTCHG(FG_YIELD(0,,,,\"YTM\"),FG_YIELD(-3AM,,,,\"YTM\"))":-8.653954,"USDNZD^FG_PRICE_CHANGE(0,-1AY)":-4.602015,"COPP-FDS^FG_PRICE_CHANGE(0,-1AM)":2.07414471331506,"EWA^FG_PRICE_MAVG(0,,,,30)":25.623833,"VWO^PERCENT_CHANGE(FMA_EPS(+1,0,,,,\"PORTAGG\",\"MEAN\"),FMA_EPS(+1,-1AM,,,,\"PORTAGG\",\"MEAN\"))":0.0,"EWL^PERCENT_CHANGE(FMA_EPS(+1,0,,,,\"PORTAGG\",\"MEAN\"),FMA_EPS(+1,-3AM,,,,\"PORTAGG\",\"MEAN\"))":4.60413028140174,"VGK^FMA_EVAL_EBIT(LTMA,NOW,NOW,M,\"PORTAGG\",\"MEANR\")":13.3468213202118,"EWG^FMA_DIV_YLD(NTMA,NOW,NOW,M,\"PORTAGG\",\"MEANR\")":3.33287521874897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73882,17.2298191467853,20.6862902670697,20.5983105900292,20.3440340816855],"CAGDPY@SE^EE_ACTUAL_ANNUAL(MED,0)":6.54758763985883,"EWQ^FG_TOTAL_RETURNC(-10AY,0,AM)":[-0.8506,-6.1171174,2.860546,-1.7225623,-1.070571,6.172335,0.22649765,1.9585729,1.8101215,0.18142462,-1.6966641,-5.8074236,-5.0119343,9.715247,-4.6946645,-0.82539916,-7.7581644,-0.65904856,6.0150266,3.8381338,-3.8167894,5.8347583,-5.991906,3.7037015,0.5813956,-1.197356,-3.0087829,5.6346655,3.2337308,-0.55511,4.625201,0.6478667,11.321473,-0.10496378,1.8011689,0.8506298,4.251015,0.32362938,0.032258034,0.88618994,6.957364,-3.5072029,-4.473436,6.211376,-0.39804578,-3.2460928,0.9082079,-0.70717335,2.9135704,-10.254801,-3.1545818,-5.5757103,4.505193,7.0744276,0.4473567,5.3785563,-4.876465,6.7174435,0.59074163,-6.133765,5.0052047,1.6219854,3.2573342,2.7103782,-0.24623275,-0.98735094,-36.27298,13.789725,3.6527753,15.175486,3.9855123,0.27874708,-4.5170307,5.7132483,11.290884,3.385806,0.6614566,3.2556772,-0.37605166,7.752621,3.503096,0.37992,-0.9703696,1.5625,1.3298631,0.28307438,0.7698178,0.85600615,-1.2973547,-4.3901205,-4.8666477,-1.2427747,-2.1656334,-7.7364326,1.7356515,0.2624631,-11.649216,6.740737,15.336573,-0.062024593,10.694861,1.2554526,-1.752013,8.943748,-3.8781166,-0.68383217,6.3376427,-5.072278,-3.7403166,-4.7460437,8.886946,5.3916335,-3.501159,6.8326354,1.9087791,-1.1189461,2.3616195,-5.6198,0.6513834,3.7276745,-1.2228549],"EWC^FMA_PE(LTMA,-10AY,0,AM,\"PORTAGG\",\"MEANR\")":[16.1139117535847,15.5755549267066,16.0367495674716,15.621079341458,15.8017948474787,16.9391007228992,17.0663526247245,17.3284758299343,17.3021134971796,17.2305661704249,16.8413202344581,16.3393590263388,16.3594277599951,17.0178006664001,16.6635341652305,16.5397114549521,14.9701933290753,15.3695276346784,15.9863277433295,16.3086845032749,16.5190799063533,16.8236928825994,17.2136514717,17.6106996816983,17.7671631576756,18.2740709595542,18.8143476428457,19.3457952086138,19.8155468943228,19.8021368822988,19.1544142513037,18.906962939607,18.6561478064121,18.14994518664,18.0632138973847,17.6563172466816,17.5514295170124,17.5195608232928,17.3771974987235,17.2191191893996,17.2648839183845,16.1138430434758,15.6828287317787,15.6205244656394,15.5660889860616,15.6307962871846,15.4809505155847,15.3391933143901,15.1683550205227,14.3231128618798,13.9463655781686,12.8216128933924,14.019239228028,14.8131700909783,14.7081899597915,14.676800959198,14.420942045872,14.5472140130506,14.5535005295002,14.2215061605306,14.7680982362843,14.6207538904495,15.05791976559,15.335332710305,15.7265654019236,15.7139396786178,13.6495069553649,15.1262145586173,16.8469288742427,17.3142448147847,17.6973319610031,18.2570283452667,17.9777608139946,18.6390567672745,19.6273396582177,20.443576652679,20.8358582234059,20.4403685102569,19.6774491376472,19.3085858800874,18.8841874240172,18.5814899288655,18.0093450343447,17.3656290538273,16.7077249614719,16.899375358967,16.2123362144951,15.509443829075,14.9995068318366,14.9629781620906,15.1318509650506,14.7540942734499,14.2505364581593,13.4615402073431,13.1796770182443,13.1820735362324,12.2489041296162,12.2845264544013,12.7338055252279,12.1842575604266,12.8301834712668,12.5385323919857,12.5142988536775,12.8221593888823,12.8259894896059,12.7815275022091,13.458308630239,13.2981856909872,13.3955284274134,13.071197339722,13.726065316865,14.4943512126376,14.6455943725341,14.9067725745986,14.9444700530012,14.9047231770125,14.9400068086656,14.7174873027294,15.164543481627,15.3701963187924,15.7870581533199],"VGK^P_PRICE(0)/P_PRICE_LOW_PR(0,,,,,,\"PRICE\",\"INTRA\",\"52W\")-1":0.27152193,"EWL^FG_ROE(0)":18.7002293381939,"VGK^FMA_DIV_YLD(NTMA,NOW,NOW,M,\"PORTAGG\",\"MEANR\")":3.4757708374086,"USDCHF^STD(FG_PRICE_CHANGE(0,-1AY,AM))":2.25266966738257,"USDEUR^FG_COMPANY_NAME":"Euro per U.S. Dollar","W-FDS^FG_PRICE(0)/MAX(FG_PRICE(0,-1AY))":0.811852909675116,"EWU^FG_PRICE_MAVG(0,,,,30)":36.872166,"EWA^FG_TOTAL_RETURNC(0,-12AM)":27.9698,"QQQ^FMA_COS_DOWN(\"EPS\",\"1M\",+1,0,,,\"PORTAGG\",\"MEANR\")":30.0,"REFGBBANK-FDS^FG_YIELD(NOW,,,0)":5.0,"TRYIT10Y-FDS^FG_YIELD(0,,,,\"YTM\")":3.531,"EWA^FG_TOTAL_RETURNC(0,-3AM)":9.212136,"EWG^FG_ROE(0)":10.8286568198593,"EWL^FMA_EVAL_EBIT(LTMA,NOW,NOW,M,\"PORTAGG\",\"MEANR\")":17.1015615453685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4677485,11.1922086822881,14.1061782856045,14.002940310619,13.1491479008301],"USDCAD^FG_PRICE_CHANGE(0,-1AY)":0.2823472,"QQQ^PERCENT_CHANGE(FMA_EPS(+1,0,,,,\"PORTAGG\",\"MEAN\"),FMA_EPS(+1,-3AM,,,,\"PORTAGG\",\"MEAN\"))":-4.55263810768845,"EWU^SIZE(FG_CONSTITUENTS)":79,"TRYSE10Y-FDS^FG_YIELD(0,,,,\"YTM\")":1.995,"EWA^FG_TOTAL_RETURNC(0,-1AM)":2.760613,"REFCHMPR-FDS^FG_YIELD(NOW,,,0)":1.25,"EWL^FMA_EVAL_EBITDA(NTMA,0,,,\"PORTAGG\",\"MEANR\")":13.0255323047518,"USDCAD^FG_PRICE(0)":1.34965,"DDR3512M-FDS^FG_PRICE_CHANGE(0,-6AM)":-7.9121698852746,"QQQ^PERCENT_CHANGE(FMA_EPS(+1,0,,,,\"PORTAGG\",\"MEAN\"),FMA_EPS(+1,-1AM,,,,\"PORTAGG\",\"MEAN\"))":0.580763510291539,"EWL^FMA_COS_UP(\"EPS\",\"1M\",+1,0,,,\"PORTAGG\",\"MEANR\")":14.0,"CAGDPY@GB^EE_ACTUAL_ANNUAL(MED,+1)":-2.8,"EWJ^FG_TOTAL_RETURNC(0,-1AM)":-0.33365488,"FXI^FG_TOTAL_RETURNC(0,-6AM)":17.52056,"EWA^PERCENT_CHANGE(FMA_EPS(+1,0,,,,\"PORTAGG\",\"MEAN\"),FMA_EPS(+1,-1AM,,,,\"PORTAGG\",\"MEAN\"))":0.0498894892102682,"REFJPTON-FDS^(SUBARRAY(NOT_NA(NO_REPEAT_F(FG_YIELD(NOW,-10AY,D))),0,1)-SUBARRAY(NOT_NA(NO_REPEAT_F(FG_YIELD(NOW,-10AY,D))),1,1))*100":15.0,"EWC^FMA_DIV_YLD(NTMA,-10AY,0,AM,\"PORTAGG\",\"MEANR\")":[2.83470622859198,2.99815150803238,2.87888648043595,2.94548740529246,2.92676597579369,2.8571725843269,2.91040245832543,2.80595596786042,2.85949167077585,2.92845922493089,3.12315893056533,3.25355455455391,3.29313620529452,3.16343161511952,3.30511295664211,3.31354764956336,3.53446970290352,3.35855329793579,3.17085417577184,3.06136518774529,3.07183206014502,3.04394974529828,2.98449590056486,2.93654362927475,2.94243877591388,2.90080158040592,2.86445159746571,2.82799420578628,2.81867182562684,2.80112355491554,2.93354740851577,2.92231146116829,2.91075968041317,3.02199447334746,3.03561985105312,3.07486910590902,3.02036071469185,2.94053240063561,2.91724301881269,2.91013392956918,2.89620262006747,3.07984381752145,3.21957852861201,3.16317934496207,3.06334540744767,3.03530645462276,3.06025024439565,3.0971630207772,3.13926180769074,3.36479730840784,3.43281040766997,3.70157031016241,3.3918261039084,3.26735827554894,3.28515928257725,3.18263965938277,3.35745808443524,3.28923260310385,3.3033562259646,3.4704689349784,3.294175157109,3.38249201659442,3.26541815058705,3.24522756011203,3.20722904672329,3.22713271734105,5.15967825035857,4.03662260227834,3.71920690593597,3.53656181820858,3.44724453327562,3.35904694669915,3.50969965460372,3.42311368286776,3.22449081673176,3.10586669471171,3.05526076391973,2.9370422847139,2.86247314120506,2.77624364082801,2.70872274218075,2.70680825331469,2.71524806816992,2.71691617971009,2.77932313351764,2.67703111637726,2.7277998426072,2.78165168579156,2.88375281317636,2.91023875777212,2.78482114953315,2.92722400858863,3.17641198478518,3.45986805223046,3.42381313785053,3.33669512150047,3.62673821589693,3.54971471143137,3.30042832014302,3.44793244790208,3.30217953176336,3.38922556080241,3.47012722040191,3.23040521249393,3.3036753029832,3.38176442538451,3.16347236303227,3.57381032599456,3.58973365911802,3.74162566139128,3.50395905581287,3.37337703617896,3.34060791698266,3.24824523734914,3.12612635662844,3.10531344700118,3.1252327748154,3.39520742883788,3.21758040699696,3.15590545488443,3.07169953180766],"TRYVN10Y-FDS^FG_YIELD(-10AY,0,Y,,\"YTM\")":[7.3,6.277413,7.1117578,5.6717234,4.738006,3.5404546,2.4877946,2.059403,4.687226,2.9473283],"PASP-FDS^FG_PRICE_CHANGE(0,-1AM)":12.4476987447699,"FC0000NZ^FG_PRICE(0)":412.1522,"DBA^FG_TOTAL_RETURNC(0,-6AM)":7.4335575,"CC_DE^FG_COMPANY_NAME":"Germany","PASP-FDS^FG_PRICE_MAVG(0,,,,30)":993.6,"EWL^FMA_PCT_ABOVE_MAVG(200,0,,,,\"PORTAGG\")":54.3478260869565,"ENZL^FMA_DIV_YLD(NTMA,-10AY,0,AM,\"PORTAGG\",\"MEANR\")":[4.55310914764678,4.53941392128884,4.44678153961263,4.45319677258762,4.35069005692439,4.32261070399168,4.35037926999391,4.51494617179514,4.44951151059003,4.53022992665066,4.56389893060928,4.88614810134764,5.17336291159296,4.9358113400973,4.85457134948065,4.82035884963878,4.88996322313781,4.87841148462068,4.61436677764144,4.53770290656097,4.48835413066341,4.482484385266,4.1965966837469,4.08377725457402,4.34287503404534,4.57150787058349,4.63070219658431,4.62341636284621,4.51798394877274,4.58967145415126,4.66955139676064,4.59351897461212,4.48012161311845,4.38187586367956,4.39712922437836,4.26438096257423,4.43630586462657,4.34774525349791,4.39474844901381,4.20671757290784,4.26600354755147,4.26897295964268,4.21037240264105,4.36636372288538,4.25957678281602,4.02196838338187,4.11929988786854,3.94862937902233,3.93915933776198,4.32999087288605,4.29405256626249,4.22402255929649,4.04156084361693,3.95743341140937,3.87831956153367,3.69038710707774,3.64950364886139,3.62922340924557,3.40543405698779,3.42356984249718,3.34888158145171,3.36675387198037,3.32041233010434,3.14913066074401,3.05153635484045,2.99518999959424,3.92377680435314,2.74706391238112,2.56262582141884,2.56075972833681,2.41749559798386,2.30985092232506,2.45105016694568,2.33560723011693,2.41159590617131,2.39972715486185,2.42414465617475,2.5998038363421,2.59539801848663,2.57836896477619,2.67005259582784,2.674570423744,2.61605153162882,2.59424156966909,2.58226070356561,2.66006149124112,2.75720960858715,2.7802623716913,2.94722031699415,3.02310931642164,3.03580673449303,3.13456860861809,3.20257325066506,3.38492196879274,3.30388098284691,3.16211682523047,3.31003203307896,3.51429446454801,3.37779860809272,3.45168570044556,3.3335983922564,3.36029693046343,3.48596701977224,3.4103487493752,3.49081056097445,3.47346157070721,3.42818701115214,3.49721138903161,3.42029030577495,3.54111960480192,3.41253743431127,3.01057758271554,2.98968571120549,2.90079547483994,2.74947533837301,2.79094827452255,2.72669131239584,2.73582815909204,2.60721750505993,2.50125026182097,3.0414931807269],"EWN^P_PRICE(0)/P_PRICE_LOW_PR(0,,,,,,\"PRICE\",\"INTRA\",\"52W\")-1":0.3619454,"EWQ^FMA_EVAL_EBITDA(NTMA,0,,,\"PORTAGG\",\"MEANR\")":9.02281170635223,"DBA^FG_TOTAL_RETURNC(0,-3AM)":5.205369,"TIOS-FDS^FG_PRICE_CHANGE(0,-6AM)":-16.910701373825,"TRYSE10Y-FDS^PCTCHG(FG_YIELD(0,,,,\"YTM\"),FG_YIELD(-1AM,,,,\"YTM\"))":2.0982604,"TRYAU10Y-FDS^FG_YIELD(0,,,,\"YTM\")":3.967,"EWN^P_PRICE(0)/P_PRICE_HIGH_PR(0,,,,,,\"PRICE\",\"INTRA\",\"52W\")":0.9320196,"URTH^FMA_COS_DOWN(\"EPS\",\"1M\",+1,0,,,\"PORTAGG\",\"MEANR\")":539.0,"EWI^FG_TOTAL_RETURNC(0,-12AM)":28.574348,"DDR3512M-FDS^FG_PRICE_CHANGE(0,-3AM)":-6.74634089373698,"EWL^FG_PRICE(0)":51.005,"TRYBR10Y-FDS^FG_YIELD(-10AY,0,Y,,\"YTM\")":[12.319731,15.989595,11.062725,9.887577,8.936093,6.883678,6.961219,10.970291,12.900059,10.455909],"BRENT-FDS^FG_PRICE_CHANGE(0,-1AM)":0.0,"ENZL^FG_ROE(0)":3.42432152530723,"TRYCA10Y-FDS^FG_YIELD(0,,,,\"YTM\")":null,"EWG^FMA_PE(NTMA,0,,,\"PORTAGG\",\"MEANR\")":12.2068099097259,"EWA^FMA_DIV_YLD(NTMA,-10AY,0,AM,\"PORTAGG\",\"MEANR\")":[4.93741011637359,4.95823048531505,5.06095179277994,5.00499147810912,4.91698460318775,4.59496300573467,4.52649130307744,4.64935529518938,4.80271669291238,4.77343950009089,4.90372315349137,5.26320564885613,5.53821824655681,5.1067354812866,5.1821534017673,5.27812404389993,5.28486698917495,4.93279330434042,4.76267805143278,4.66983967294954,4.61836146719479,4.62152527766996,4.46841962001427,4.42723194286138,4.53724108088527,4.5518764372082,4.5246409803732,4.55210158524389,4.56610816316659,4.50240868440697,4.63568040055572,4.53088184771634,4.625163556882,4.66365217431204,4.58680000059446,4.56501213368958,4.60244044279166,4.49491699124204,4.47210205194187,4.45787927160904,4.52642812267644,4.6050564209894,4.79358661932082,4.78281344713063,4.67183331735688,4.60477147466496,4.61557909858718,4.68256661606043,4.73591209126864,5.06999963821143,5.26163230391747,5.52005221606656,5.13133630276737,4.92375827548062,4.93355348689947,4.8696961858066,4.73090507436399,4.60024006920032,4.56139096615264,4.65477575725827,4.42102548584196,4.41088818066441,4.37223750476391,4.26149295904872,4.1201299071237,4.05158117649965,6.13435693513178,4.35941042497908,3.77670587122565,3.43359726728528,3.39609565586083,3.37951815231246,3.62084199495952,3.60314486742679,3.4676321928645,3.55418022905615,3.51258644397208,3.8148380832504,3.98162678249807,3.90933650103253,3.94210799171863,3.95993383662135,4.15815264361054,4.09743875979271,4.0508780157491,3.95998743575739,3.99391179806892,3.89749431763283,4.05003811767545,4.28553705202138,4.19986366498637,4.38763514568344,4.65288688953778,5.25708711022399,4.98026507284145,4.77022327422882,5.14555942155813,5.14764238586198,4.5631132910827,4.53297379092249,4.26783046131306,4.43646120114501,4.65543150972344,4.40478897806773,4.42327920266051,4.39505503749517,4.15809327835931,4.24801689847992,4.27571972630622,4.48523231022642,4.32135901247277,4.02198866728062,4.05837337688644,3.98777833281678,3.96234893403785,3.99942263137122,3.93928488653233,3.9232640907163,3.84145764141151,3.7626268270975,3.61347121900852],"EWN^FMA_DIV_YLD(NTMA,NOW,NOW,M,\"PORTAGG\",\"MEANR\")":2.56456471418356,"TRYID10Y-FDS^FG_YIELD(-10AY,0,Y,,\"YTM\")":[7.922017,8.942368,7.89735,6.462641,8.148183,7.263584,5.902206,6.458283,6.936579,6.498571],"TIOS-FDS^FG_PRICE_CHANGE(0,-1AY)":-24.231434929531,"ENZL^FG_PRICE_MAVG(0,,,,60)":47.43485,"EWC^FMA_EVAL_EBIT(LTMA,NOW,NOW,M,\"PORTAGG\",\"MEANR\")":16.1215282340166,"CC_CA^FG_COMPANY_NAME":"Canada"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NI-FDS^FG_PRICE(0)/MAX(FG_PRICE(0,-1AY))":0.760282021151586,"ENZL^FG_PRICE_MAVG(0,,,,30)":48.911034,"URTH^SIZE(FG_CONSTITUENTS)":1411,"USDGBP^FG_PRICE(0)":0.7490356,"EWQ^FG_FCF_YIELD_NTM(0)":5.98957707147234,"EWC^FMA_EVAL_EBITDA(NTMA,0,,,\"PORTAGG\",\"MEANR\")":9.89884898885105,"DBA^FG_TOTAL_RETURNC(0,-1AM)":4.8217177,"TRYNL10Y-FDS^PCTCHG(FG_YIELD(0,,,,\"YTM\"),FG_YIELD(-3AM,,,,\"YTM\"))":-9.970988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66472555,11.2077122027496,13.9227366843934,15.8583479057593,14.7202942014685],"CAGDPY@NL^EE_ACTUAL_ANNUAL(MED,+1)":9.75,"SPY^FG_TOTAL_RETURNC(-10AY,0,AM)":[-0.12722611,-1.5554786,6.027806,1.070106,-1.3381481,3.0438542,-0.13257265,0.5523801,0.8666396,0.04041195,-0.8771956,-5.9710684,-1.5212,7.184911,0.75178146,-0.8619666,-7.5235424,0.9447813,6.204653,2.834916,-1.7992973,3.265357,3.0501485,0.7963538,-0.8606911,-0.93060136,3.1404853,2.873981,0.19493103,4.5500755,-0.58787465,0.2392888,2.327466,1.7769217,1.5423894,-0.9397328,2.5007486,2.6739836,1.4251828,3.5056949,5.898845,-3.0287027,-5.688846,3.301692,2.5471687,0.9565592,1.9873381,1.9950032,2.6322126,-6.2947392,-3.786409,-8.020735,9.434986,5.971682,0.47792196,4.880929,-3.6670268,4.711008,2.0510197,-5.0594926,5.175805,0.5600095,3.6948085,3.8051248,3.2687902,0.5305767,-32.733715,25.176048,5.8621287,6.0896754,3.4962416,5.115187,-4.5755863,7.172072,3.3778667,3.268373,4.1651964,1.2066483,0.8458972,6.99358,-0.4319191,2.183783,4.103172,1.6638637,-0.5916357,2.242887,3.325832,0.87242126,-6.931573,-3.6599815,5.5015445,-4.0017962,-6.835037,-4.3410597,4.5045733,4.368627,-10.39809,1.723063,7.5155616,-4.4059157,4.6277165,0.0074863434,-1.4904141,4.8401475,0.4585147,5.007386,4.3789387,-2.02353,-2.4993896,-2.3140252,8.219564,4.5170903,2.3667216,4.7415853,2.951765,-2.9853642,4.016614,3.86132,1.7024517,1.5078187,1.704359],"VGK^P_PRICE(0)/P_PRICE_HIGH_PR(0,,,,,,\"PRICE\",\"INTRA\",\"52W\")":0.98328656,"EWJ^FG_ROE(0)":8.70219331020642,"VGK^FG_PE_NTM(0,,,90,0)":13.3760019851574,"EWU^JULIAN(FMA_DIV_YLD(NTMA,NOW,NOW,M,\"PORTAGG\",\"MEANR\").DATES)":45534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USDCAD^FG_PRICE_CHANGE(0,-6AM)":-0.7318258,"DDR3512M-FDS^FG_PRICE(0)/MAX(FG_PRICE(0,-1AY))":0.849189519230769,"W-FDS^FG_PRICE_CHANGE(0,-1AY)":-1.89818809318378,"EWU^FG_PRICE(0)":37.395,"QQQ^FMA_COS_UP(\"EPS\",\"1M\",+1,0,,,\"PORTAGG\",\"MEANR\")":35.0,"QQQ^FG_TOTAL_RETURNC(-10AY,0,AM)":[-0.0353992,-0.97185373,6.1848283,0.6993294,0.04798174,4.085934,0.043845177,0.6831646,1.2928724,0.5216241,1.2726784,-8.734399,1.9893885,8.254946,1.2147546,-1.041621,-7.8501043,-2.1104336,5.874574,1.6320109,-2.431643,2.5700927,4.486537,3.44038,0.9071708,-0.15211701,0.22852421,1.8043637,2.6206374,5.399263,0.47795773,1.687634,4.9637914,1.7873287,2.0319939,-0.9853542,1.3642788,2.3697376,5.3810716,1.2889504,7.7143073,-0.79051256,-5.588192,2.1323562,4.7624946,3.5942435,2.4184346,0.6905794,1.6095161,-5.5137396,-8.114499,-7.3111,10.20211,6.6234946,3.4671903,6.5804243,-6.3370285,5.7896256,2.995181,-6.047779,4.8410773,0.90289116,4.9994826,5.1715016,6.0337067,2.5290608,-25.81635,23.50111,9.09177,8.537781,3.6851048,9.247696,-6.1470213,7.7907324,1.9842744,6.325972,5.58728,-1.2107432,-1.2028873,6.9983006,-3.6562383,6.4617753,5.8837175,1.3661027,0.046122074,0.3002882,6.249666,-0.011980534,-11.395246,-6.3322783,6.9351673,-7.512146,-9.809458,-2.7584672,6.017196,4.0100694,-12.129617,-0.032663345,4.8652887,-7.2053194,8.078993,2.7201056,4.5172334,2.214682,5.290425,8.902681,3.6106348,-1.7357528,-2.8942108,-0.62585473,9.669065,4.904592,3.7519217,3.1406403,2.3318648,-4.7739563,6.725955,5.845785,0.2524495,-0.12899637,0.8910179],"VGK^PERCENT_CHANGE(FMA_EPS(+1,0,,,,\"PORTAGG\",\"MEAN\"),FMA_EPS(+1,-1AM,,,,\"PORTAGG\",\"MEAN\"))":0.0,"REFCHMPR-FDS^(SUBARRAY(NOT_NA(NO_REPEAT_F(FG_YIELD(NOW,-10AY,D))),0,1)-SUBARRAY(NOT_NA(NO_REPEAT_F(FG_YIELD(NOW,-10AY,D))),1,1))*100":-25.0,"EWI^FMA_EVAL_EBIT(LTMA,NOW,NOW,M,\"PORTAGG\",\"MEANR\")":11.4842402050919,"DDR3512M-FDS^FG_PRICE_CHANGE(0,-1AY)":-11.5607934920323,"W-FDS^FG_PRICE_CHANGE(0,-6AM)":2.47859396124379,"EWL^FG_PRICE_MAVG(0,,,,200)":48.319725,"EWU^FG_TOTAL_RETURNC(-10AY,0,AM)":[-2.7531922,-5.915064,3.062868,-3.0239165,-0.21929145,4.670322,-1.0498643,1.6976118,2.7647376,-1.1675179,-4.400831,-6.017506,-4.772991,8.190716,-3.728813,-2.0735085,-9.046459,-0.9408653,4.748976,5.3756475,-2.2741318,6.6565394,-6.6465197,3.4951448,-1.1882424,-3.7341774,-0.8547008,2.2251487,3.4199357,2.5437236,0.93022585,-0.552994,7.290709,-2.7322292,2.6937008,-1.5620351,4.311371,0.14351606,0.0,3.1744719,6.5666556,-5.683941,-4.4776144,6.8691134,1.4068961,-2.3002923,-1.2257695,-3.0014455,1.606667,-6.617868,-1.9128203,-5.8502855,6.9396257,5.3212166,1.5403628,2.7305841,-5.3750753,2.9183984,0.21772385,-7.5419006,5.773747,2.8245091,0.6172776,4.8719764,0.38690567,-3.0536592,-39.877678,23.702955,2.8371692,7.23902,-0.18924475,0.5308986,-5.318749,2.6693225,11.09817,3.7600636,4.256046,2.416718,-1.5625,5.150628,4.128158,-0.68709254,-1.7267466,1.4796495,-0.18225312,2.6780367,-1.5115678,1.7324924,2.4316072,1.1869311,-1.876831,-1.4345467,-0.8186817,-8.344525,0.679338,2.361679,-13.4805565,3.5809517,14.122844,0.7766843,6.3291073,-0.6715417,-3.9643526,8.127999,-2.367562,-1.1475623,4.0325046,-5.0781193,1.3295293,-3.6863446,4.0544987,4.980874,-2.7946472,3.1562448,2.6961684,1.0914445,5.3399444,-0.8377373,1.053822,5.4115057,-0.013369322],"VGK^FMA_PCT_ABOVE_MAVG(200,0,,,,\"PORTAGG\")":63.370253164557,"EWC^FG_ROE(0)":10.7750518451632,"EWI^FMA_EVAL_EBITDA(NTMA,0,,,\"PORTAGG\",\"MEANR\")":7.4838652727912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683733,11.0508592022587,12.8471719199911,14.658060585061,13.2263940971232],"EWL^FG_PRICE_MAVG(0,,,,60)":50.376083,"EWL^FG_TOTAL_RETURNC(-10AY,0,AM)":[-1.1101186,-4.368925,4.3147206,-2.0681262,0.49688816,2.8430104,3.3353329,1.5702248,1.8036127,-1.2654662,-0.73195696,-5.963582,-5.654478,6.589401,-4.2870464,1.7851353,-7.8443885,-2.1107197,4.1003823,3.870964,-1.5364468,3.7187338,-2.1031857,3.3568263,0.09742975,-3.9909124,-5.204463,4.343128,3.4529924,2.808988,2.8286695,0.5314112,8.582079,0.29540062,1.5164733,-1.6949177,1.6949058,-0.22987723,0.7488489,0.600338,5.0866723,-3.6776662,-5.670971,2.0535827,-0.69991946,-1.5264511,3.7908912,1.2960196,2.5298,-7.0334673,-0.6711304,-5.6511106,7.7148438,4.1704416,0.8703232,2.8760433,1.1182547,5.86406,0.50638914,-2.3335934,2.280736,-0.13272762,2.7379155,4.786539,2.6419759,0.8660078,-27.235872,18.649626,3.232038,7.2825074,4.486692,1.1887431,-1.846081,1.2212992,2.6785731,2.9680014,4.3388844,-4.005247,1.687181,5.4260135,2.1267533,3.3503056,1.764822,2.984476,-4.4448795,1.4958978,0.28265715,4.912424,-4.3561697,-4.052973,1.1710644,-1.4468789,-6.6275177,-7.838291,5.1977158,-1.3711512,-9.731549,1.3807774,12.2053385,-2.0541549,7.7693105,-1.6585588,-2.5185585,10.957325,-1.2058198,-1.800102,3.9000869,-3.3951879,-3.2307327,-4.872555,6.355226,5.797112,-1.9388855,1.8482685,0.021111965,-2.025324,3.7898421,2.9238224,1.8110752,6.1451316,-2.8661132],"BRENT-FDS^FG_PRICE_CHANGE(0,-3AM)":0.0,"FXI^FG_TOTAL_RETURNC(0,-12AM)":5.256927,"EWA^PERCENT_CHANGE(FMA_EPS(+1,0,,,,\"PORTAGG\",\"MEAN\"),FMA_EPS(+1,-3AM,,,,\"PORTAGG\",\"MEAN\"))":1.44883908544914,"EWJ^FMA_COS_UP(\"EPS\",\"1M\",+1,0,,,\"PORTAGG\",\"MEANR\")":97.0,"EWA^FG_ROE(0)":13.1047099392615,"REFCHMPR-FDS^PROPER_NAME(0,,,\"SECURITY\",\"NAME\")":"Swiss Policy Rate - Sight Deposit Rate","EWI^FG_FCF_YIELD_NTM(0)":5.37748761223622,"EWL^FG_FCF_YIELD_NTM(0)":4.81781935486304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USDCAD^FG_COMPANY_NAME":"Canadian Dollar per U.S. Dollar","QQQ^FMA_PCT_ABOVE_MAVG(200,0,,,,\"PORTAGG\")":58.8235294117647,"TRYFR10Y-FDS^FG_YIELD(0,,,,\"YTM\")":2.959,"EWJ^FG_TOTAL_RETURNC(-10AY,0,AM)":[-1.1744976,-4.753816,3.6987543,-0.5786419,-0.3478229,6.9808006,4.9755216,3.0303001,0.1508236,-0.60240626,-2.0080864,-7.381505,-4.2785225,9.64067,0.3996849,-1.5977323,-7.986963,-4.074401,5.447829,6.917691,-5.2416086,3.058529,0.25359392,4.384494,2.1001577,-0.55380464,-0.73587894,0.8687973,1.5273333,2.1971464,-0.1549542,-0.17458797,3.16751,2.4640918,0.57353973,0.18395185,1.7811298,4.023087,3.2951832,1.4306426,7.465422,-4.388273,-5.481678,3.9979458,0.14848709,-2.238679,-0.6793499,-1.8296838,4.581082,-7.3117914,-2.821201,-7.460886,6.786144,3.111446,-0.73153377,2.1739125,-4.5618415,3.8248062,1.3404369,-4.348612,7.7666163,2.1093369,2.5477648,1.5272975,-0.016736984,-5.237615,-21.172523,13.127243,4.29703,8.246565,-1.1845887,3.0774713,2.2391915,0.6791115,9.241152,2.3755193,4.8138022,2.556336,-2.5911927,-0.101196766,-1.6931951,0.12601614,0.5183697,-0.4862249,7.9508424,-6.158286,1.7684817,-1.9174039,-3.8427353,-3.6105514,-0.64030886,-8.313197,1.2827277,-7.746041,3.8739085,0.8957863,-9.331399,-1.4988005,12.761211,-1.2383521,5.331385,-2.132082,0.885582,3.599012,2.2708058,1.640451,2.4626493,-3.140521,2.233243,-6.1650457,7.7599525,2.772665,4.358113,4.41823,4.0718675,-6.265664,0.59417486,-1.7966211,6.408119,2.4060369,-0.31976104],"EWI^P_PRICE(0)/P_PRICE_LOW_PR(0,,,,,,\"PRICE\",\"INTRA\",\"52W\")-1":0.3246597,"EWG^SIZE(FG_CONSTITUENTS)":57,"EWI^FMA_DIV_YLD(NTMA,NOW,NOW,M,\"PORTAGG\",\"MEANR\")":5.27575321771592,"CAGDPY@GB^EE_ACTUAL_ANNUAL(MED,0)":-3.3,"EWD^PERCENT_CHANGE(FMA_EPS(+1,0,,,,\"PORTAGG\",\"MEAN\"),FMA_EPS(+1,-3AM,,,,\"PORTAGG\",\"MEAN\"))":-3.39826972119967,"EWN^FG_FCF_YIELD_NTM(0)":4.08321594709888,"DBA^P_PRICE(0)/P_PRICE_HIGH_PR(0,,,USD,,,\"PRICE\",\"INTRA\",\"52W\")":0.97237366,"USDNZD^FG_PRICE(0)":1.5951507,"TIOS-FDS^FG_PRICE(0)/MAX(FG_PRICE(0,-1AY))":0.63769422863485,"EWA^FG_PRICE(0)":26.615,"EWL^PERCENT_CHANGE(FMA_EPS(+1,0,,,,\"PORTAGG\",\"MEAN\"),FMA_EPS(+1,-1AM,,,,\"PORTAGG\",\"MEAN\"))":-0.0474947739407371,"TRYIT10Y-FDS^PCTCHG(FG_YIELD(0,,,,\"YTM\"),FG_YIELD(-1AM,,,,\"YTM\"))":-0.9259257,"CAGDPY@CH^EE_ACTUAL_ANNUAL(MED,+1)":8.0,"EWD^PERCENT_CHANGE(FMA_EPS(+1,0,,,,\"PORTAGG\",\"MEAN\"),FMA_EPS(+1,-1AM,,,,\"PORTAGG\",\"MEAN\"))":-3.04489120827831,"USDNZD^FG_COMPANY_NAME":"New Zealand Dollar per U.S. Dollar","TRYSE10Y-FDS^PCTCHG(FG_YIELD(0,,,,\"YTM\"),FG_YIELD(-3AM,,,,\"YTM\"))":-11.333333,"USDGBP^FG_PRICE_CHANGE(0,-1AY)":-8.12704,"CC_AU^FG_COMPANY_NAME":"Australia","NI-FDS^FG_PRICE_CHANGE(0,-1AY)":-15.0918635170604,"EWI^FMA_PE(NTMA,-10AY,0,AM,\"PORTAGG\",\"MEANR\")":[13.4295143540263,12.6008147888188,13.135151822678,12.5985634598685,13.8492224956339,15.3416889564034,15.7045163018071,15.7691749766139,15.9677088238256,15.4994276559386,15.4455081069587,14.2559178390983,13.7736743229292,14.9065193279701,14.8867333901986,14.1530625370902,13.0649140349041,12.4009658157232,13.4230503889554,13.5825704539609,13.1639127019959,13.0482139056488,12.4015298691202,12.5443296214593,11.8910328072904,12.1996159174956,11.5881099101336,13.8971240301333,13.2448336301211,12.7190167661342,13.5467606863297,12.9396446114148,13.6835849038317,13.2338106205056,13.3981315270577,13.2233415411436,13.5660670147728,13.4771121537645,13.2570785513606,13.2181495034828,13.6291181679541,12.5788225535025,12.3658711895249,13.134487310215,12.1129191966849,11.5307449927591,11.3072405886277,10.8003001696448,11.0507822568771,9.65897994277176,9.47154306830712,9.22792530018578,9.76751855500102,10.3889256832176,10.694402773938,10.9458265861419,10.0552698954309,10.5834804241097,10.7768938250055,10.0887423323897,10.7400072151677,10.9149799156219,11.1805585618137,11.5898971401032,11.3902275424143,11.8284484991221,8.3045966013895,11.9755029828442,14.9205884071765,17.7048280613441,17.7702224241813,15.9451028948637,14.8570534162031,14.4330277589015,14.9580011465689,14.8611576963726,13.6270614078899,13.7527231807833,13.8876054430485,13.7286686638873,13.4035616926896,13.4398846845091,13.0679845945138,12.0763870190867,11.7913855274441,11.7314535829018,11.4583001027718,10.9682717985864,10.9981908732871,10.0458884312378,9.46172166254702,9.40709732346503,8.9191322527063,7.82711340852146,7.55894201815092,7.59551349726877,7.25922383131753,7.49291811311296,8.19124491126013,7.67032305708453,8.27996159669867,8.23480274642371,8.27846893016628,8.75966805782665,8.26476139920291,8.53044565831856,8.89242912265706,8.22843931967877,8.38668879953486,7.97118081979179,8.24188858561255,8.90156510408708,8.8782066438866,9.30065649455564,9.73154513114124,9.67855429561623,9.70835025552192,9.36445344583606,9.76253150974165,9.68543349959424,9.98651948040199],"EWQ^FMA_DIV_YLD(NTMA,NOW,NOW,M,\"PORTAGG\",\"MEANR\")":3.34581744387374,"CC_NZ^FG_COMPANY_NAME":"New Zealand","URTH^FMA_COS_UP(\"EPS\",\"1M\",+1,0,,,\"PORTAGG\",\"MEANR\")":495.0,"USDCHF^STD(FG_PRICE_CHANGE(0,-3AY,M))":2.48032487496995,"EWQ^FMA_PE(NTMA,0,,,\"PORTAGG\",\"MEANR\")":13.528371068889,"USDITL^STD(FG_PRICE_CHANGE(0,-3AY,M))":2.18410852976757,"EWN^FMA_PCT_ABOVE_MAVG(200,0,,,,\"PORTAGG\")":55.5555555555556,"UUP^FG_TOTAL_RETURNC(0,-6AM)":-0.60028434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URTH^P_PRICE(0)/P_PRICE_LOW_PR(0,,,,,,\"PRICE\",\"INTRA\",\"52W\")-1":0.35662603,"EWC^FMA_PE(NTMA,0,,,\"PORTAGG\",\"MEANR\")":15.0616032268471,"UUP^FG_TOTAL_RETURNC(0,-3AM)":-3.264606,"NI-FDS^FG_PRICE_CHANGE(0,-1AM)":-1.4320536258379,"VWO^FMA_COS_DOWN(\"EPS\",\"1M\",+1,0,,,\"PORTAGG\",\"MEANR\")":1194.0,"CC_CH^IMF_IFS_RCPI_Q(0)":1.3619826,"USDITL^FG_PRICE_CHANGE(0,-1AY)":-4.2579947,"NI-FDS^FG_PRICE_MAVG(0,,,,30)":16149.167,"USDEUR^FG_PRICE_CHANGE(0,-3AM)":-4.042399,"QQQ^P_PRICE(0)/P_PRICE_LOW_PR(0,,,,,,\"PRICE\",\"INTRA\",\"52W\")-1":0.41258943,"EWC^FG_TOTAL_RETURNC(0,-1AM)":2.7853847,"EWU^FMA_EVAL_EBIT(LTMA,NOW,NOW,M,\"PORTAGG\",\"MEANR\")":10.9325126319324,"ENZL^JULIAN(FMA_DIV_YLD(NTMA,NOW,NOW,M,\"PORTAGG\",\"MEANR\").DATES)":45534,"USDITL^FG_PRICE(0)":1739.373,"QQQ^FG_PRICE_MAVG(0,,,,60)":472.18433,"USDANG^FG_COMPANY_NAME":"Netherlands Antilles Guilder per U.S. Dollar","CPALM-FDS^FG_PRICE(0)":4027.0,"EWN^FG_TOTAL_RETURNC(-10AY,0,AM)":[0.6226301,-5.7718754,5.5555463,0.38335323,-2.3838878,7.1999907,2.395916,0.8822441,2.433467,0.66815615,-0.7247448,-8.380312,-5.168164,9.213233,-2.8518617,-0.9231508,-5.402607,-1.400435,8.122503,1.7241359,-2.4213076,3.3757925,-3.8960993,5.025339,0.28146505,-1.7241418,-4.0391684,3.7001848,2.74086,3.031528,5.1000476,1.0078311,8.869183,-0.5951166,4.8392653,0.8902073,1.9607902,1.0897398,-0.41217804,1.2863278,6.9701314,-4.2848706,-3.149116,2.9327393,-0.8671522,-1.4215231,2.4476647,-3.2065332,0.12991428,-9.082061,-0.10703206,-7.449281,6.5529227,7.496369,0.13540983,5.544281,-3.971815,4.7849536,3.0984998,-6.1056614,6.0309887,1.0009527,2.029264,4.1263103,0.029730797,0.8620739,-31.889183,18.173944,7.76273,13.2140875,5.4045916,-0.08593202,-2.5229394,6.117654,6.596446,7.500601,7.473922,1.5579104,-0.7558942,9.991037,-0.89612603,-0.33071637,2.7189732,4.2836905,2.7707815,-1.0558069,-3.3346057,-1.5667081,-5.688447,-7.907075,-2.753991,-4.164684,-5.2396355,-9.0713259999999991,7.2408795,-3.1854033,-12.9921255,3.9431095,19.496273,-1.6830981,12.889481,-2.288276,-0.96571445,2.852261,0.5688548,-0.5240679,5.72592,-6.2769117,-7.229209,-3.961432,13.568521,6.532502,-0.06779432,7.5531483,3.1539083,-1.1618435,5.217564,0.37491322,-0.7701397,0.577116,-2.2061765],"EWG^FMA_PE(LTMA,-10AY,0,AM,\"PORTAGG\",\"MEANR\")":[14.1767228610949,13.4718738644125,14.2076848643679,14.4772497830304,15.5215169369101,16.0907854829835,16.5284264642926,16.3856022435345,16.1667334654811,15.8072340297402,15.5795695214129,14.3859908298261,13.633659653732,14.5462654149188,14.7725401862668,14.0918070943532,12.7180712173608,12.4979490271841,12.7834015143236,12.9896998755229,12.7524141884022,12.957216194816,12.9924494206696,13.3814632984837,13.6643079377111,13.8257029014134,13.6924891480825,14.7164538673077,14.8606412247595,15.1954439640288,14.9318340104774,14.8135449589263,14.8142706645962,14.7329810796739,14.3961237519146,14.1872037624275,14.430108446613,14.7913433253782,15.1840292036711,15.4389176365497,15.8186841648945,14.3408972975433,14.0694899620201,14.1702488782337,14.1649715842306,14.0487835640798,14.0394188939068,14.014672598511,14.0446504385728,13.0430248882066,12.8341987219327,12.1663180402705,12.7119238857216,13.1620442077484,13.1568774809393,13.3703171051487,13.1566369208225,13.3554398586535,13.6300734842058,13.3156986913792,13.9889877509476,14.5954973923633,15.0748126789443,15.5015182102142,15.5475463817741,16.0014112377083,13.343996706706,14.6165895407185,15.6923108394446,17.5523814648321,19.0694886208058,19.5647673403198,19.9906354693903,20.257372521618,21.4499675568313,21.6865729948244,21.9062324434314,20.7358094778173,20.1033092533321,19.6049578414044,18.9344367836903,18.4437325028036,17.8612877110851,17.0636079355485,16.287465058265,15.7819433695401,14.9104424066614,14.1969419195821,13.7881441045521,12.8220481072748,12.4485951580167,12.3409731064797,12.0578942347347,11.4775880111237,11.4938987392223,10.9161113203614,10.284285642362,10.2604519942217,11.1011676075104,10.4909403059387,11.3546644801954,11.510264325542,11.3126781499995,11.443967456122,11.3510423925075,11.2041492952023,11.3184826482042,11.1544353821076,11.1528400077699,10.6888557609434,11.4079343666516,11.9028712209938,11.8249860701726,12.3943341690673,12.5580380314018,12.5553210428511,12.5595592097409,12.4043591327107,12.6336995500914,12.7041160858889,13.0132712602109],"EWC^FMA_PCT_ABOVE_MAVG(200,0,,,,\"PORTAGG\")":73.2558139534884,"QQQ^SIZE(FG_CONSTITUENTS)":102,"REFGBBANK-FDS^(SUBARRAY(NOT_NA(NO_REPEAT_F(FG_YIELD(NOW,-10AY,D))),0,1)-SUBARRAY(NOT_NA(NO_REPEAT_F(FG_YIELD(NOW,-10AY,D))),1,1))*100":-25.0,"EWU^FG_FCF_YIELD_NTM(0)":6.257043692215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509270637054,2.03535923448403,2.71455451649836,3.12785085030901,3.00293990504371],"EWC^FG_FCF_YIELD_NTM(0)":4.81731720468208,"TRYFR10Y-FDS^PCTCHG(FG_YIELD(0,,,,\"YTM\"),FG_YIELD(-1AM,,,,\"YTM\"))":0.9897626,"TRYGR10Y-FDS^FG_YIELD(-10AY,0,Y,,\"YTM\")":[9.61,8.24,7.15,4.14,4.37,1.45,0.618,1.315,4.585,3.099],"EWD^FMA_PE(NTMA,-10AY,0,AM,\"PORTAGG\",\"MEANR\")":[14.7220328938642,14.1373745639276,15.576260967062,15.7102469680031,16.3407165109329,17.0958095409978,17.317783781735,16.6088209809256,16.1249406112861,16.1434698703325,16.0684719931365,14.8881549686422,14.1403686273792,15.5465694717211,15.4925295562709,14.9846738718861,14.3239363413149,15.0811263766192,15.0824513625404,15.6603781112774,14.6918349665033,14.9654353752314,15.1245953425801,15.4417330633611,15.642614810523,16.4986556706849,16.1872655639383,16.503854002506,15.98273701712,16.59089058002,16.7498833174068,16.8548921791858,18.1169234907057,16.9043997845356,16.3559641032027,15.7323459769311,16.4139709339562,17.2088813574966,16.6965841971818,16.4399833459461,16.8419450856304,16.3473502016498,15.5809271929069,16.0603044882101,15.9128208289678,15.2475421681438,15.3399701981511,15.7556858724265,15.8985700305688,14.1275116592461,13.8163052696987,13.2863595605209,14.2023249975617,14.926425711837,14.8823185990606,15.5795048056657,14.5865946611833,15.1334765274085,15.2291870968101,13.5159217959834,14.4690065316977,15.6960909476228,15.5643803388788,16.3087862805389,16.1757888680058,16.9073776218127,11.841270844814,16.7065576957644,17.6854497015644,19.5371650216162,19.0673660769306,17.9986847836832,17.9936479047193,17.1029991403682,17.2823827675156,17.0639221803785,18.9005218734507,18.8220593349206,19.9700588178617,19.3778769442641,18.0186618415999,18.4202560565988,18.8071566637227,18.4834451972257,18.4241475445738,18.5910976082783,18.4830592760734,18.3021437850269,16.9614649084084,15.1541540691925,15.4267986909121,15.0361649929856,15.9335974637399,14.1193799085933,15.0497325673443,14.4383269277617,12.9769383881944,13.2780291834921,13.1038871632192,12.727957193615,14.1920290331276,14.0983970256539,13.3803487501865,13.8147258913801,13.6134854386592,13.2336058363004,13.2284712840634,12.5947861436617,12.9012064014127,12.5496121767207,13.4447433315843,15.6456497576658,15.3667261606169,16.1804130266164,16.7517642761838,16.1347124185272,16.474033336327,15.9464626588675,16.2743014792487,16.1132278030538,15.9514913986572],"NI-FDS^FG_PRICE_CHANGE(0,-3AM)":-4.48774726896959,"VWO^SIZE(FG_CONSTITUENTS)":4826,"TRYUS10Y-FDS^PCTCHG(FG_YIELD(0,,,,\"YTM\"),FG_YIELD(-3AM,,,,\"YTM\"))":null,"EWQ^P_PRICE(0)/P_PRICE_HIGH_PR(0,,,,,,\"PRICE\",\"INTRA\",\"52W\")":0.9291081,"QQQ^FMA_PE(NTMA,-10AY,0,AM,\"PORTAGG\",\"MEANR\")":[17.5069834806566,17.0451074736633,18.0093373925932,17.842659148808,17.5260964522869,18.1489891756596,18.0583477599881,18.1815932299772,18.1360279658322,18.068269868436,18.5226650110162,16.9805030200074,17.1591081721412,18.4573029415196,18.7115271861395,18.48896811172,17.1294679288148,16.7250092555808,17.5959797408861,17.8463639926057,17.3925556351032,17.8625074926804,18.5285531953114,18.7373171778796,18.6613129250351,18.3932915116151,18.2515880990858,18.3761861437113,18.6575018045958,20.0849424357025,19.9779412123059,20.0020333707438,20.6600685598966,20.6952751345981,20.9557804001479,20.3127690218276,20.3493977963008,20.4695876863228,21.0277953882649,21.0746173443803,22.1382379225157,20.9578777762682,19.5853986796395,19.8277811637102,20.0740994346445,20.5806515132238,20.7840266736633,20.5309912038973,20.6416214398386,19.3640592555057,17.698523072668,16.4997173843911,18.2626675786156,19.6575925086366,20.2417250279906,21.3620207956094,19.8838057756948,21.1125834009808,21.3434540551444,19.890596169613,20.21081630769,20.1951861134575,21.1987510359038,22.153073054078,23.2495485367922,23.3147167460619,17.7242556068442,23.3810355304378,26.4082665921891,27.9893542673588,28.1866628186187,29.4580102199924,27.1920734759654,28.811308372238,28.2008551745474,28.9631092173785,29.9886585566438,28.1200533181706,27.3420518370309,28.7475661506217,26.0572746481049,27.3392634657768,28.5806802104935,27.5714335140859,27.4175547697523,27.4172578128074,28.7969828645205,28.6126431432778,25.131457052395,23.0569534700872,24.5026150128364,22.4760742094827,20.4251907541959,19.7180753798862,21.1575507388503,22.4584457950157,19.6400262064935,19.8800921646043,21.5640979476049,20.5902334972971,22.2575505917639,22.9848126341942,23.7730753611106,24.1624399043383,24.6121553434235,25.8807729896521,26.4577872797405,23.971527457215,22.7302534552119,22.3417710935885,23.9839649573026,24.6231051067045,25.2105697197642,25.6861317519468,25.9140948367781,24.5206089538196,25.5330190086882,26.5431574601669,26.793901712425,26.6457383777154,26.2381129367776],"URTH^P_PRICE(0)/P_PRICE_HIGH_PR(0,,,,,,\"PRICE\",\"INTRA\",\"52W\")":0.9964459,"EWC^FMA_PE(LTM,0,,,\"PORTAGG\",\"MEANR\")":18.9660237717007,"EWD^FG_PRICE(0)":42.42,"EWQ^FG_TOTAL_RETURNC(0,-6AM)":-1.4850855,"VGK^SIZE(FG_CONSTITUENTS)":1287,"SPY^FG_FCF_YIELD_NTM(0)":3.97740488093628,"CPALM-FDS^FG_PRICE_MAVG(0,,,,30)":3955.4666,"TRYNZ10Y-FDS^PCTCHG(FG_YIELD(0,,,,\"YTM\"),FG_YIELD(-1AM,,,,\"YTM\"))":0.3448606,"EWD^FG_TOTAL_RETURNC(-10AY,0,AM)":[-1.926446,-4.43452,3.2077193,-2.5181174,-2.4010003,9.233225,0.2924919,0.1458168,0.64065456,0.6655097,-4.217929,-6.119913,-4.533416,5.6152463,-2.1660626,-0.38131475,-7.987869,1.5384674,4.3650866,5.530596,-5.633807,5.0055146,-5.0515532,4.7050357,0.34565926,-2.3079574,-3.2087445,3.8428307,4.140353,4.177892,1.617074,-0.31827092,8.876109,0.50166845,2.2381425,-0.35026073,4.686594,0.89535713,-3.9101481,-0.7771075,7.256162,-5.0123215,-5.478668,3.8133025,-0.9403467,-3.9403021,1.7453074,0.12706518,5.3299546,-11.144579,-3.9322019,-4.0005503,7.3556423,3.3230543,0.43103695,7.560253,-8.870477,6.5384865,-0.48939586,-9.311474,7.5921893,5.342746,1.0845304,5.790603,-0.36242604,1.8187284,-36.02263,21.82411,7.1428537,11.973059,10.763335,0.66320896,-1.8332839,6.7114115,6.5080643,2.610755,6.2263727,1.8509746,2.9356956,7.695794,1.0508657,-1.6512156,4.1549444,-1.0388553,-0.73483586,3.1091452,-4.533333,0.9511113,-6.960368,-9.579992,2.1137834,-2.9900372,-5.795574,-11.8951025,5.7478786,-3.860414,-13.491803,5.161524,18.46751,-2.9355705,11.272383,-1.0824323,-4.9663305,7.8535557,-3.1480908,-3.137368,4.4353724,-7.6557755,-1.6943932,-3.016317,13.48778,12.98573,-6.593961,6.9508433,3.2749414,-2.9252648,4.6340823,-0.9461582,-0.5710006,4.7440767,1.1203766],"EWJ^FMA_PE(LTMA,-10AY,0,AM,\"PORTAGG\",\"MEANR\")":[15.4478392457388,14.5228248065127,15.9308748861918,15.8930697729653,15.7763440600683,16.7118130041089,16.9727673428611,17.0034102708551,17.1078399187158,17.0250320318537,16.8743556190082,16.2042302466852,15.2453935141757,15.8165656488718,16.3214410687354,15.5722426658015,14.0559330955846,13.7023473867076,13.8802641638376,14.0138541862723,13.928755831974,13.9296943351686,14.2350986704684,14.025216324875,14.4014066809322,14.5404993358544,15.3549333174745,16.6002770747317,16.310080353507,16.2373606233489,15.7986964754892,15.5172844717712,15.6284689723719,15.6239653067223,15.4918062304213,14.9566509218349,15.0422757787392,15.3807107259291,15.447054018919,16.3690806823679,17.1325259857204,14.5062127566047,14.2249049813488,14.2467249587017,14.2628865566944,13.991116651518,13.8643754119245,13.5261712958717,13.9316038717785,12.8883751299274,12.5821729827207,11.524981961317,11.937602448058,12.6717568149952,12.7312063287301,12.7782192014609,12.6438591174788,12.8187776157673,12.9864398782711,12.7680534567317,13.564753332694,13.8622337222478,14.4928730405086,15.3148233716152,15.4045445345173,15.3133524478949,13.49621602121,14.1183922781072,14.8335389482418,16.884033024453,17.7107299929714,18.4391374036498,20.040420656091,20.6093391814092,22.0620218455502,22.8355516065555,23.7951554934541,22.9177556857444,21.4354913257763,20.8776564504509,20.2625641253355,19.9039336417534,19.1600670740215,18.38434956786,18.3366532996212,17.6338214940899,17.3481323151962,16.2521395717029,15.4209166256494,14.7023959793363,14.7041276596663,14.4295348329894,14.2309926101273,13.8492066786813,14.0417278151093,13.9624999450171,13.430173428179,13.045333557118,13.6239339462912,12.8617394999366,13.1784754614107,13.4378521025894,13.5802696549111,13.7173161332574,14.0896610139129,14.4698439868766,14.529625371237,14.559520521691,15.0380566029625,14.4384250216114,15.2610977384651,15.0719540288809,16.4983402664093,16.9628187779356,17.1124670206446,16.7302438783399,16.7837094568707,16.5549805821817,16.7268058256558,16.0537415361464,15.3164628880549],"VGK^FMA_EVAL_EBITDA(NTMA,0,,,\"PORTAGG\",\"MEANR\")":8.86300696502115,"USDEUR^FG_PRICE_CHANGE(0,-1AY)":-4.2579947,"EWC^PERCENT_CHANGE(FMA_EPS(+1,0,,,,\"PORTAGG\",\"MEAN\"),FMA_EPS(+1,-1AM,,,,\"PORTAGG\",\"MEAN\"))":-0.92071678887935,"EWU^FMA_EVAL_EBITDA(NTMA,0,,,\"PORTAGG\",\"MEANR\")":7.61350282909013,"EWD^FG_ROE(0)":16.9945151086493,"W-FDS^MAX(FG_PRICE(0,-5AY))":14.2525,"USDGBP^FG_COMPANY_NAME":"British Pounds per U.S. Dollar","CC_NL^IMF_IFS_RCPI_Q(0)":2.888117,"NI-FDS^FG_PRICE_CHANGE(0,-6AM)":-5.74009324009324,"EWN^PERCENT_CHANGE(FMA_EPS(+1,0,,,,\"PORTAGG\",\"MEAN\"),FMA_EPS(+1,-1AM,,,,\"PORTAGG\",\"MEAN\"))":-1.54895673409215,"UUP^P_PRICE(0)/P_PRICE_HIGH_PR(0,,,USD,,,\"PRICE\",\"INTRA\",\"52W\")":0.9332007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I^FG_PRICE_MAVG(0,,,,200)":36.339325,"EWJ^PERCENT_CHANGE(FMA_EPS(+1,0,,,,\"PORTAGG\",\"MEAN\"),FMA_EPS(+1,-1AM,,,,\"PORTAGG\",\"MEAN\"))":2.03131859051736,"CC_FR^IMF_IFS_RCPI_Q(0)":2.2093682,"EWC^FMA_DIV_YLD(NTMA,NOW,NOW,M,\"PORTAGG\",\"MEANR\")":3.14359117199483,"TRYCH10Y-FDS^FG_YIELD(-10AY,0,Y,,\"YTM\")":[0.314,null,-0.12,-0.09,-0.176,-0.434,-0.49,-0.111,1.617,0.703],"EWN^FMA_PE(NTMA,-10AY,0,AM,\"PORTAGG\",\"MEANR\")":[14.5619904522269,13.9089585149649,15.0124934295933,14.9479470119622,15.7720042895729,16.6449453392471,17.4713849105293,17.4379562142839,17.2536516264609,16.9331418391869,16.9931787690049,14.8617788460951,14.2693309851858,15.8612404578522,16.2751780295366,15.6353623325417,14.7709369667208,14.46996335492,15.4031932652907,15.2800481858094,14.7098322463718,14.773916935769,14.763321215143,14.8855478546855,14.9526562072333,14.8866798049604,14.6292064453067,15.1047759561393,14.9958017525061,15.5974364692082,15.9528943834074,16.1227343733152,16.3627805123875,16.0136810877466,15.8870327337855,15.758318187498,15.8106336578902,16.2091988831038,16.0220566899928,16.0409591377689,16.4987142943339,15.616619919946,15.2255371674142,15.5232390332752,15.8973060534172,15.8463909492356,15.964070224081,15.4861952079461,15.1455135496148,13.8480111771899,13.9985388607008,13.011900818352,13.7585383601928,14.8617270707832,15.0147809823973,15.7365657026697,14.9022432534587,15.4679899082813,15.9955887952065,15.009083545263,16.220749255404,16.0869484883486,16.5894798351955,17.1657555594173,17.2131072097949,17.8739987689428,12.4203419560817,16.6393388603852,17.9552625643444,19.9279811032966,20.4631340424401,19.6286328647415,19.0885230061892,19.3987561973544,20.3886943590363,20.5479615228717,21.6364103650454,21.8413146858778,21.7957388189252,22.3986528801349,21.2006119582004,21.1339758228347,21.5699274164139,21.7884097931065,21.7208817644806,21.3001726531081,20.8429558953168,20.3895057491555,19.1148842839657,17.4061816013428,17.925857726827,17.6870163849224,16.9024314721622,15.3641014662871,17.5095336107477,16.9260008594749,14.5805501956382,14.7508582057021,16.546834224948,15.5622993402517,17.0813993284883,16.6652737849782,16.2302857059541,16.1048878000208,15.8268638230094,15.3983815017918,15.8674138172409,14.7463457784538,13.7155010876547,13.1189019289058,14.6634314508857,15.0558357218425,15.1003863963095,16.3229492043627,16.2957668176532,15.7696773476509,16.3407449362812,16.443064549659,15.9768347622198,15.254824687785,15.1001802426334],"CC_GB^IMF_IFS_RCPI_Q(0)":2.8697004,"EWQ^FMA_PE(LTM,0,,,\"PORTAGG\",\"MEANR\")":16.6159482541527,"USDITL^STD(FG_PRICE_CHANGE(0,-1AY,AM))":1.54825046340753,"EWD^FG_PRICE_MAVG(0,,,,30)":41.07567,"TIPSCL10Y-FDS^FG_YIELD(-10AY,0,Y,,\"YTM\")":[null,null,null,null,null,null,null,null,null,null]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19718227,1.95784087398727,2.66448337817763,2.74920456102042,2.68301216298059],"UUP^FG_TOTAL_RETURNC(0,-1AM)":0.67954063,"TRYFR10Y-FDS^FG_YIELD(-10AY,0,Y,,\"YTM\")":[0.837,0.9989,0.682,0.785,0.71,0.118,-0.344,0.201,3.07,2.534],"VWO^FMA_PCT_ABOVE_MAVG(200,0,,,,\"PORTAGG\")":40.8519701810437,"EWI^FG_ROE(0)":13.3681866426372,"QQQ^P_PRICE(0)/P_PRICE_HIGH_PR(0,,,,,,\"PRICE\",\"INTRA\",\"52W\")":0.96043855,"VGK^FG_TOTAL_RETURNC(0,-12AM)":23.01855,"VGK^FG_FCF_YIELD_NTM(0)":5.28322030698658,"USDEUR^FG_PRICE(0)":0.8983112,"EWU^FG_PRICE_MAVG(0,,,,60)":36.15925,"DUMMY^ECON_DATE(45435,,, 'MM/YYYY')":"05/2024","DUMMY^ECON_DATE(45527,,, 'MM/YYYY')":"08/2024"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,"DUMMY^ECON_EXPR_DATA('FDS_ECON[NTCPMIMFGSA@NZ]',08/2024,,Q)":45.525333,"DUMMY^ECON_EXPR_DATA('FDS_ECON[NTCPMIMFGSA@NZ]',05/2024,,Q)":47.698093,"DUMMY^ECON_EXPR_DATA('FDS_ECON[NTCPMIMFGSA@AU]',08/2024,,Q)":48.811333,"DUMMY^ECON_EXPR_DATA('FDS_ECON[NTCPMIMFGSA@AU]',05/2024,,Q)":48.39547,"DUMMY^ECON_EXPR_DATA('FDS_ECON[NTCPMIMFGSA@CA]',08/2024,,Q)":49.331886,"DUMMY^ECON_EXPR_DATA('FDS_ECON[NTCPMIMFGSA@CA]',05/2024,,Q)":49.30091,"DUMMY^ECON_EXPR_DATA('FDS_ECON[NTCPMIMFGSA@DE]',08/2024,,Q)":43.782,"DUMMY^ECON_EXPR_DATA('FDS_ECON[NTCPMIMFGSA@DE]',05/2024,,Q)":43.319096,"DUMMY^ECON_EXPR_DATA('FDS_ECON[NTCPMIMFGSA@JP]',08/2024,,Q)":49.991356,"DUMMY^ECON_EXPR_DATA('FDS_ECON[NTCPMIMFGSA@JP]',05/2024,,Q)":47.808857,"DUMMY^ECON_EXPR_DATA('FDS_ECON[NTCPMIMFGSA@CH]',08/2024,,Q)":43.896877,"DUMMY^ECON_EXPR_DATA('FDS_ECON[NTCPMIMFGSA@CH]',05/2024,,Q)":44.08605,"DUMMY^ECON_EXPR_DATA('FDS_ECON[NTCPMIMFGSA@GB]',08/2024,,Q)":50.395269999999996,"DUMMY^ECON_EXPR_DATA('FDS_ECON[NTCPMIMFGSA@GB]',05/2024,,Q)":48.24796,"DUMMY^ECON_EXPR_DATA('FDS_ECON[NTCPMIMFGMESA@US]',08/2024,,Q)":50.939392,"DUMMY^ECON_EXPR_DATA('FDS_ECON[NTCPMIMFGMESA@US]',05/2024,,Q)":51.582687,"DUMMY^ECON_EXPR_DATA('FDS_ECON[NTCPMIMFGSA@FR]',08/2024,,Q)":45.684513,"DUMMY^ECON_EXPR_DATA('FDS_ECON[NTCPMIMFGSA@FR]',05/2024,,Q)":45.498753,"DUMMY^ECON_EXPR_DATA('FDS_ECON[NTCPMIMFGSA@NL]',08/2024,,Q)":51.49388,"DUMMY^ECON_EXPR_DATA('FDS_ECON[NTCPMIMFGSA@NL]',05/2024,,Q)":49.325874,"DUMMY^ECON_EXPR_DATA('FDS_ECON[]',08/2024,,Q)":null,"DUMMY^ECON_EXPR_DATA('FDS_ECON[]',05/2024,,Q)":null,"DUMMY^ECON_EXPR_DATA('FDS_ECON[NTCPMIMFGSA@IT]',08/2024,,Q)":46.215786,"DUMMY^ECON_EXPR_DATA('FDS_ECON[NTCPMIMFGSA@IT]',05/2024,,Q)":49.208153}]]></FdsFormulaCache>
</file>

<file path=customXml/itemProps1.xml><?xml version="1.0" encoding="utf-8"?>
<ds:datastoreItem xmlns:ds="http://schemas.openxmlformats.org/officeDocument/2006/customXml" ds:itemID="{1F313A21-2DE2-471F-B21A-8428730381D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2024-09-23T15:51:29Z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