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9D8F46AA-1E2A-461F-B893-A1FA5298CDFC}" xr6:coauthVersionLast="47" xr6:coauthVersionMax="47" xr10:uidLastSave="{00000000-0000-0000-0000-000000000000}"/>
  <bookViews>
    <workbookView xWindow="-110" yWindow="-110" windowWidth="25820" windowHeight="15500" firstSheet="1" activeTab="4" xr2:uid="{00000000-000D-0000-FFFF-FFFF00000000}"/>
  </bookViews>
  <sheets>
    <sheet name="__FDSCACHE__" sheetId="2" state="veryHidden" r:id="rId1"/>
    <sheet name="Assumption" sheetId="8" r:id="rId2"/>
    <sheet name="Aset class Rankings" sheetId="59" r:id="rId3"/>
    <sheet name="Asset class" sheetId="60" r:id="rId4"/>
    <sheet name="OUTPUT_COUNTRY" sheetId="40" r:id="rId5"/>
    <sheet name="PORTFOLIO" sheetId="55" r:id="rId6"/>
    <sheet name="OUTPUT_PPT" sheetId="49" r:id="rId7"/>
    <sheet name="mnemonics" sheetId="20" r:id="rId8"/>
    <sheet name="Value -2 " sheetId="1" r:id="rId9"/>
    <sheet name="LIQIDITY 2" sheetId="28" r:id="rId10"/>
    <sheet name="Quality - 2" sheetId="39" r:id="rId11"/>
    <sheet name="Momnetum ranking" sheetId="12" r:id="rId12"/>
    <sheet name="Safety" sheetId="13" r:id="rId13"/>
    <sheet name="Timing" sheetId="56" r:id="rId14"/>
    <sheet name="Leading Indicator" sheetId="52" r:id="rId15"/>
    <sheet name="t -PE" sheetId="46" r:id="rId16"/>
    <sheet name="Forwa Pe" sheetId="47" r:id="rId17"/>
    <sheet name="DY " sheetId="7" r:id="rId18"/>
    <sheet name="Monthly Returns" sheetId="5" r:id="rId19"/>
    <sheet name="Yearly returns" sheetId="15" r:id="rId20"/>
    <sheet name="Index earnings" sheetId="18" r:id="rId21"/>
    <sheet name="GDP_GROWTH" sheetId="45" r:id="rId22"/>
    <sheet name="Currency- 2" sheetId="42" r:id="rId23"/>
    <sheet name="Chart1" sheetId="36" state="hidden" r:id="rId24"/>
    <sheet name="CAD" sheetId="43" r:id="rId25"/>
    <sheet name="Country Int rates " sheetId="9" r:id="rId26"/>
    <sheet name="Index ROE" sheetId="38" r:id="rId27"/>
    <sheet name="Economic Momentum" sheetId="48" r:id="rId28"/>
    <sheet name="Market Capitalisation" sheetId="57" r:id="rId29"/>
  </sheets>
  <definedNames>
    <definedName name="_xlnm._FilterDatabase" localSheetId="11" hidden="1">'Momnetum ranking'!$A$2:$AK$18</definedName>
    <definedName name="_xlnm._FilterDatabase" localSheetId="4" hidden="1">OUTPUT_COUNTRY!$B$4:$N$14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4" i="57" l="1" a="1"/>
  <c r="D13" i="57" a="1"/>
  <c r="D12" i="57" a="1"/>
  <c r="G12" i="57" a="1"/>
  <c r="D11" i="57" a="1"/>
  <c r="G11" i="57" a="1"/>
  <c r="D10" i="57" a="1"/>
  <c r="G10" i="57" a="1"/>
  <c r="D9" i="57" a="1"/>
  <c r="G9" i="57" a="1"/>
  <c r="D8" i="57" a="1"/>
  <c r="G8" i="57" a="1"/>
  <c r="D7" i="57" a="1"/>
  <c r="G7" i="57" a="1"/>
  <c r="D6" i="57" a="1"/>
  <c r="G6" i="57" a="1"/>
  <c r="D5" i="57" a="1"/>
  <c r="G5" i="57" a="1"/>
  <c r="D4" i="57" a="1"/>
  <c r="G4" i="57" a="1"/>
  <c r="D3" i="57" a="1"/>
  <c r="G3" i="57" a="1"/>
  <c r="D2" i="57" a="1"/>
  <c r="G2" i="57" a="1"/>
  <c r="B17" i="57" a="1"/>
  <c r="E17" i="57" a="1"/>
  <c r="D17" i="57" a="1"/>
  <c r="G17" i="57" a="1"/>
  <c r="D14" i="57" a="1"/>
  <c r="G13" i="57" a="1"/>
  <c r="G13" i="57" l="1"/>
  <c r="D14" i="57"/>
  <c r="G17" i="57"/>
  <c r="D17" i="57"/>
  <c r="E17" i="57"/>
  <c r="B17" i="57"/>
  <c r="G2" i="57"/>
  <c r="D2" i="57"/>
  <c r="G3" i="57"/>
  <c r="D3" i="57"/>
  <c r="G4" i="57"/>
  <c r="D4" i="57"/>
  <c r="G5" i="57"/>
  <c r="D5" i="57"/>
  <c r="G6" i="57"/>
  <c r="D6" i="57"/>
  <c r="G7" i="57"/>
  <c r="D7" i="57"/>
  <c r="G8" i="57"/>
  <c r="D8" i="57"/>
  <c r="G9" i="57"/>
  <c r="D9" i="57"/>
  <c r="G10" i="57"/>
  <c r="D10" i="57"/>
  <c r="G11" i="57"/>
  <c r="D11" i="57"/>
  <c r="G12" i="57"/>
  <c r="D12" i="57"/>
  <c r="D13" i="57"/>
  <c r="G14" i="57"/>
  <c r="M16" i="48" a="1"/>
  <c r="M14" i="48" a="1"/>
  <c r="M12" i="48" a="1"/>
  <c r="M7" i="48" a="1"/>
  <c r="M13" i="48" a="1"/>
  <c r="M6" i="48" a="1"/>
  <c r="M8" i="48" a="1"/>
  <c r="M10" i="48" a="1"/>
  <c r="M5" i="48" a="1"/>
  <c r="M9" i="48" a="1"/>
  <c r="M11" i="48" a="1"/>
  <c r="M4" i="48" a="1"/>
  <c r="M4" i="48" l="1"/>
  <c r="M11" i="48"/>
  <c r="M9" i="48"/>
  <c r="M5" i="48"/>
  <c r="M10" i="48"/>
  <c r="M8" i="48"/>
  <c r="M6" i="48"/>
  <c r="M13" i="48"/>
  <c r="M7" i="48"/>
  <c r="M12" i="48"/>
  <c r="M14" i="48"/>
  <c r="M16" i="48"/>
  <c r="Y2" i="12" l="1"/>
  <c r="F24" i="8"/>
  <c r="E24" i="8"/>
  <c r="H12" i="43" a="1"/>
  <c r="H4" i="43" a="1"/>
  <c r="G15" i="42" a="1"/>
  <c r="G13" i="42" a="1"/>
  <c r="G11" i="42" a="1"/>
  <c r="G9" i="42" a="1"/>
  <c r="G7" i="42" a="1"/>
  <c r="G5" i="42" a="1"/>
  <c r="G3" i="42" a="1"/>
  <c r="C2" i="18" a="1"/>
  <c r="A2" i="15" a="1"/>
  <c r="M2" i="7" a="1"/>
  <c r="K2" i="47" a="1"/>
  <c r="I2" i="46" a="1"/>
  <c r="C12" i="52" a="1"/>
  <c r="C10" i="52" a="1"/>
  <c r="C8" i="52" a="1"/>
  <c r="C6" i="52" a="1"/>
  <c r="C4" i="52" a="1"/>
  <c r="S16" i="56" a="1"/>
  <c r="S12" i="56" a="1"/>
  <c r="S8" i="56" a="1"/>
  <c r="G17" i="56" a="1"/>
  <c r="G13" i="56" a="1"/>
  <c r="G9" i="56" a="1"/>
  <c r="G5" i="56" a="1"/>
  <c r="B6" i="56" a="1"/>
  <c r="R23" i="12" a="1"/>
  <c r="K22" i="12" a="1"/>
  <c r="M20" i="12" a="1"/>
  <c r="O18" i="12" a="1"/>
  <c r="Q14" i="12" a="1"/>
  <c r="S12" i="12" a="1"/>
  <c r="L11" i="12" a="1"/>
  <c r="N9" i="12" a="1"/>
  <c r="P7" i="12" a="1"/>
  <c r="R5" i="12" a="1"/>
  <c r="K4" i="12" a="1"/>
  <c r="G21" i="12" a="1"/>
  <c r="J20" i="48" a="1"/>
  <c r="M2" i="38" a="1"/>
  <c r="AK4" i="9" a="1"/>
  <c r="U4" i="9" a="1"/>
  <c r="E4" i="9" a="1"/>
  <c r="N18" i="12" a="1"/>
  <c r="P14" i="12" a="1"/>
  <c r="R12" i="12" a="1"/>
  <c r="K11" i="12" a="1"/>
  <c r="M9" i="12" a="1"/>
  <c r="O7" i="12" a="1"/>
  <c r="Q5" i="12" a="1"/>
  <c r="S3" i="12" a="1"/>
  <c r="F21" i="12" a="1"/>
  <c r="E14" i="12" a="1"/>
  <c r="G8" i="12" a="1"/>
  <c r="H10" i="39" a="1"/>
  <c r="C4" i="39" a="1"/>
  <c r="K6" i="28" a="1"/>
  <c r="E10" i="28" a="1"/>
  <c r="G12" i="43" a="1"/>
  <c r="G4" i="43" a="1"/>
  <c r="F15" i="42" a="1"/>
  <c r="F13" i="42" a="1"/>
  <c r="F11" i="42" a="1"/>
  <c r="F9" i="42" a="1"/>
  <c r="F7" i="42" a="1"/>
  <c r="F5" i="42" a="1"/>
  <c r="F3" i="42" a="1"/>
  <c r="B2" i="18" a="1"/>
  <c r="N2" i="5" a="1"/>
  <c r="L2" i="7" a="1"/>
  <c r="J2" i="47" a="1"/>
  <c r="H2" i="46" a="1"/>
  <c r="J11" i="52" a="1"/>
  <c r="J9" i="52" a="1"/>
  <c r="J7" i="52" a="1"/>
  <c r="J5" i="52" a="1"/>
  <c r="J3" i="52" a="1"/>
  <c r="V15" i="56" a="1"/>
  <c r="V11" i="56" a="1"/>
  <c r="V7" i="56" a="1"/>
  <c r="J16" i="56" a="1"/>
  <c r="J12" i="56" a="1"/>
  <c r="J8" i="56" a="1"/>
  <c r="C26" i="56" a="1"/>
  <c r="B5" i="56" a="1"/>
  <c r="Q23" i="12" a="1"/>
  <c r="S21" i="12" a="1"/>
  <c r="L20" i="12" a="1"/>
  <c r="F3" i="12" a="1"/>
  <c r="J13" i="39" a="1"/>
  <c r="F7" i="39" a="1"/>
  <c r="L11" i="28" a="1"/>
  <c r="H12" i="28" a="1"/>
  <c r="H4" i="28" a="1"/>
  <c r="J19" i="48" a="1"/>
  <c r="L2" i="38" a="1"/>
  <c r="AJ4" i="9" a="1"/>
  <c r="T4" i="9" a="1"/>
  <c r="D4" i="9" a="1"/>
  <c r="P23" i="12" a="1"/>
  <c r="R21" i="12" a="1"/>
  <c r="O14" i="12" a="1"/>
  <c r="S10" i="12" a="1"/>
  <c r="L9" i="12" a="1"/>
  <c r="N7" i="12" a="1"/>
  <c r="P5" i="12" a="1"/>
  <c r="E3" i="12" a="1"/>
  <c r="H9" i="39" a="1"/>
  <c r="M5" i="28" a="1"/>
  <c r="G12" i="28" a="1"/>
  <c r="G4" i="28" a="1"/>
  <c r="D10" i="28" a="1"/>
  <c r="O14" i="1" a="1"/>
  <c r="H20" i="1" a="1"/>
  <c r="F15" i="1" a="1"/>
  <c r="K12" i="1" a="1"/>
  <c r="I10" i="1" a="1"/>
  <c r="G8" i="1" a="1"/>
  <c r="J3" i="1" a="1"/>
  <c r="C5" i="1" a="1"/>
  <c r="C21" i="55" a="1"/>
  <c r="F11" i="60" a="1"/>
  <c r="F7" i="60" a="1"/>
  <c r="O23" i="12" a="1"/>
  <c r="H11" i="43" a="1"/>
  <c r="H3" i="43" a="1"/>
  <c r="E15" i="42" a="1"/>
  <c r="E13" i="42" a="1"/>
  <c r="E11" i="42" a="1"/>
  <c r="E9" i="42" a="1"/>
  <c r="E7" i="42" a="1"/>
  <c r="E5" i="42" a="1"/>
  <c r="E3" i="42" a="1"/>
  <c r="A2" i="18" a="1"/>
  <c r="M2" i="5" a="1"/>
  <c r="K2" i="7" a="1"/>
  <c r="I2" i="47" a="1"/>
  <c r="G2" i="46" a="1"/>
  <c r="I11" i="52" a="1"/>
  <c r="I9" i="52" a="1"/>
  <c r="I7" i="52" a="1"/>
  <c r="I5" i="52" a="1"/>
  <c r="I3" i="52" a="1"/>
  <c r="U15" i="56" a="1"/>
  <c r="U11" i="56" a="1"/>
  <c r="U7" i="56" a="1"/>
  <c r="I16" i="56" a="1"/>
  <c r="I12" i="56" a="1"/>
  <c r="I8" i="56" a="1"/>
  <c r="C25" i="56" a="1"/>
  <c r="C16" i="13" a="1"/>
  <c r="K20" i="12" a="1"/>
  <c r="M18" i="12" a="1"/>
  <c r="Q12" i="12" a="1"/>
  <c r="R3" i="12" a="1"/>
  <c r="E21" i="12" a="1"/>
  <c r="G13" i="12" a="1"/>
  <c r="F8" i="12" a="1"/>
  <c r="J12" i="39" a="1"/>
  <c r="F6" i="39" a="1"/>
  <c r="C3" i="39" a="1"/>
  <c r="K11" i="28" a="1"/>
  <c r="L5" i="1" a="1"/>
  <c r="C15" i="40" a="1"/>
  <c r="F3" i="60" a="1"/>
  <c r="H16" i="56" a="1"/>
  <c r="H12" i="56" a="1"/>
  <c r="H8" i="56" a="1"/>
  <c r="C15" i="13" a="1"/>
  <c r="Q21" i="12" a="1"/>
  <c r="J16" i="48" a="1"/>
  <c r="K2" i="38" a="1"/>
  <c r="AI4" i="9" a="1"/>
  <c r="S4" i="9" a="1"/>
  <c r="C4" i="9" a="1"/>
  <c r="G3" i="43" a="1"/>
  <c r="D9" i="42" a="1"/>
  <c r="L2" i="5" a="1"/>
  <c r="J2" i="7" a="1"/>
  <c r="H2" i="47" a="1"/>
  <c r="F2" i="46" a="1"/>
  <c r="H11" i="52" a="1"/>
  <c r="C24" i="56" a="1"/>
  <c r="S19" i="12" a="1"/>
  <c r="G11" i="43" a="1"/>
  <c r="D15" i="42" a="1"/>
  <c r="D13" i="42" a="1"/>
  <c r="D11" i="42" a="1"/>
  <c r="D7" i="42" a="1"/>
  <c r="D5" i="42" a="1"/>
  <c r="D3" i="42" a="1"/>
  <c r="N2" i="15" a="1"/>
  <c r="H9" i="52" a="1"/>
  <c r="H7" i="52" a="1"/>
  <c r="H5" i="52" a="1"/>
  <c r="H3" i="52" a="1"/>
  <c r="T15" i="56" a="1"/>
  <c r="T11" i="56" a="1"/>
  <c r="T7" i="56" a="1"/>
  <c r="J15" i="48" a="1"/>
  <c r="J2" i="38" a="1"/>
  <c r="AH4" i="9" a="1"/>
  <c r="R4" i="9" a="1"/>
  <c r="B4" i="9" a="1"/>
  <c r="E2" i="46" a="1"/>
  <c r="H10" i="43" a="1"/>
  <c r="C11" i="43" a="1"/>
  <c r="C15" i="42" a="1"/>
  <c r="C13" i="42" a="1"/>
  <c r="C11" i="42" a="1"/>
  <c r="C9" i="42" a="1"/>
  <c r="C7" i="42" a="1"/>
  <c r="C5" i="42" a="1"/>
  <c r="C3" i="42" a="1"/>
  <c r="M2" i="15" a="1"/>
  <c r="K2" i="5" a="1"/>
  <c r="I2" i="7" a="1"/>
  <c r="G2" i="47" a="1"/>
  <c r="J14" i="48" a="1"/>
  <c r="I2" i="38" a="1"/>
  <c r="AG4" i="9" a="1"/>
  <c r="Q4" i="9" a="1"/>
  <c r="J8" i="42" a="1"/>
  <c r="J6" i="42" a="1"/>
  <c r="J4" i="42" a="1"/>
  <c r="N2" i="18" a="1"/>
  <c r="L2" i="15" a="1"/>
  <c r="J2" i="5" a="1"/>
  <c r="G10" i="43" a="1"/>
  <c r="C10" i="43" a="1"/>
  <c r="J14" i="42" a="1"/>
  <c r="J12" i="42" a="1"/>
  <c r="J10" i="42" a="1"/>
  <c r="H2" i="7" a="1"/>
  <c r="F2" i="47" a="1"/>
  <c r="D2" i="46" a="1"/>
  <c r="F11" i="52" a="1"/>
  <c r="F9" i="52" a="1"/>
  <c r="F7" i="52" a="1"/>
  <c r="F5" i="52" a="1"/>
  <c r="J13" i="48" a="1"/>
  <c r="H2" i="38" a="1"/>
  <c r="AF4" i="9" a="1"/>
  <c r="P4" i="9" a="1"/>
  <c r="H9" i="43" a="1"/>
  <c r="C9" i="43" a="1"/>
  <c r="I14" i="42" a="1"/>
  <c r="I12" i="42" a="1"/>
  <c r="I10" i="42" a="1"/>
  <c r="I8" i="42" a="1"/>
  <c r="I6" i="42" a="1"/>
  <c r="I4" i="42" a="1"/>
  <c r="M2" i="18" a="1"/>
  <c r="K2" i="15" a="1"/>
  <c r="I2" i="5" a="1"/>
  <c r="G2" i="7" a="1"/>
  <c r="E2" i="47" a="1"/>
  <c r="C2" i="46" a="1"/>
  <c r="E11" i="52" a="1"/>
  <c r="J12" i="48" a="1"/>
  <c r="G2" i="38" a="1"/>
  <c r="AE4" i="9" a="1"/>
  <c r="O4" i="9" a="1"/>
  <c r="G9" i="43" a="1"/>
  <c r="C8" i="43" a="1"/>
  <c r="H14" i="42" a="1"/>
  <c r="H12" i="42" a="1"/>
  <c r="H10" i="42" a="1"/>
  <c r="H8" i="42" a="1"/>
  <c r="H6" i="42" a="1"/>
  <c r="H4" i="42" a="1"/>
  <c r="L2" i="18" a="1"/>
  <c r="J2" i="15" a="1"/>
  <c r="H2" i="5" a="1"/>
  <c r="F2" i="7" a="1"/>
  <c r="D2" i="47" a="1"/>
  <c r="B2" i="46" a="1"/>
  <c r="D11" i="52" a="1"/>
  <c r="D9" i="52" a="1"/>
  <c r="D7" i="52" a="1"/>
  <c r="D5" i="52" a="1"/>
  <c r="D3" i="52" a="1"/>
  <c r="T14" i="56" a="1"/>
  <c r="T10" i="56" a="1"/>
  <c r="T6" i="56" a="1"/>
  <c r="H15" i="56" a="1"/>
  <c r="H11" i="56" a="1"/>
  <c r="H7" i="56" a="1"/>
  <c r="B15" i="56" a="1"/>
  <c r="J11" i="48" a="1"/>
  <c r="F2" i="38" a="1"/>
  <c r="AD4" i="9" a="1"/>
  <c r="N4" i="9" a="1"/>
  <c r="H8" i="43" a="1"/>
  <c r="C7" i="43" a="1"/>
  <c r="G14" i="42" a="1"/>
  <c r="G12" i="42" a="1"/>
  <c r="G10" i="42" a="1"/>
  <c r="G8" i="42" a="1"/>
  <c r="G6" i="42" a="1"/>
  <c r="G4" i="42" a="1"/>
  <c r="K2" i="18" a="1"/>
  <c r="I2" i="15" a="1"/>
  <c r="G2" i="5" a="1"/>
  <c r="E2" i="7" a="1"/>
  <c r="C2" i="47" a="1"/>
  <c r="A2" i="46" a="1"/>
  <c r="C11" i="52" a="1"/>
  <c r="C9" i="52" a="1"/>
  <c r="C7" i="52" a="1"/>
  <c r="C5" i="52" a="1"/>
  <c r="C3" i="52" a="1"/>
  <c r="S14" i="56" a="1"/>
  <c r="J10" i="48" a="1"/>
  <c r="E2" i="38" a="1"/>
  <c r="AC4" i="9" a="1"/>
  <c r="M4" i="9" a="1"/>
  <c r="B2" i="47" a="1"/>
  <c r="J10" i="52" a="1"/>
  <c r="J8" i="52" a="1"/>
  <c r="J6" i="52" a="1"/>
  <c r="J4" i="52" a="1"/>
  <c r="V13" i="56" a="1"/>
  <c r="A4" i="9" a="1"/>
  <c r="G8" i="43" a="1"/>
  <c r="C6" i="43" a="1"/>
  <c r="F14" i="42" a="1"/>
  <c r="F12" i="42" a="1"/>
  <c r="F10" i="42" a="1"/>
  <c r="F8" i="42" a="1"/>
  <c r="F6" i="42" a="1"/>
  <c r="F4" i="42" a="1"/>
  <c r="J2" i="18" a="1"/>
  <c r="H2" i="15" a="1"/>
  <c r="F2" i="5" a="1"/>
  <c r="D2" i="7" a="1"/>
  <c r="J12" i="52" a="1"/>
  <c r="V17" i="56" a="1"/>
  <c r="V9" i="56" a="1"/>
  <c r="V5" i="56" a="1"/>
  <c r="J14" i="56" a="1"/>
  <c r="J9" i="48" a="1"/>
  <c r="D2" i="38" a="1"/>
  <c r="AB4" i="9" a="1"/>
  <c r="L4" i="9" a="1"/>
  <c r="B8" i="12" a="1"/>
  <c r="H15" i="43" a="1"/>
  <c r="H7" i="43" a="1"/>
  <c r="C5" i="43" a="1"/>
  <c r="E14" i="42" a="1"/>
  <c r="E12" i="42" a="1"/>
  <c r="E10" i="42" a="1"/>
  <c r="E8" i="42" a="1"/>
  <c r="E6" i="42" a="1"/>
  <c r="E4" i="42" a="1"/>
  <c r="I2" i="18" a="1"/>
  <c r="G2" i="15" a="1"/>
  <c r="E2" i="5" a="1"/>
  <c r="C2" i="7" a="1"/>
  <c r="A2" i="47" a="1"/>
  <c r="I12" i="52" a="1"/>
  <c r="I10" i="52" a="1"/>
  <c r="I8" i="52" a="1"/>
  <c r="I6" i="52" a="1"/>
  <c r="I4" i="52" a="1"/>
  <c r="U17" i="56" a="1"/>
  <c r="U13" i="56" a="1"/>
  <c r="U9" i="56" a="1"/>
  <c r="U5" i="56" a="1"/>
  <c r="I14" i="56" a="1"/>
  <c r="I10" i="56" a="1"/>
  <c r="I6" i="56" a="1"/>
  <c r="B12" i="56" a="1"/>
  <c r="C8" i="13" a="1"/>
  <c r="Q22" i="12" a="1"/>
  <c r="S20" i="12" a="1"/>
  <c r="L19" i="12" a="1"/>
  <c r="N15" i="12" a="1"/>
  <c r="P13" i="12" a="1"/>
  <c r="R11" i="12" a="1"/>
  <c r="K10" i="12" a="1"/>
  <c r="M8" i="12" a="1"/>
  <c r="O6" i="12" a="1"/>
  <c r="Q4" i="12" a="1"/>
  <c r="G23" i="12" a="1"/>
  <c r="F18" i="12" a="1"/>
  <c r="E11" i="12" a="1"/>
  <c r="G5" i="12" a="1"/>
  <c r="J4" i="39" a="1"/>
  <c r="F14" i="39" a="1"/>
  <c r="J8" i="48" a="1"/>
  <c r="C2" i="38" a="1"/>
  <c r="AA4" i="9" a="1"/>
  <c r="K4" i="9" a="1"/>
  <c r="G15" i="43" a="1"/>
  <c r="G7" i="43" a="1"/>
  <c r="C4" i="43" a="1"/>
  <c r="D14" i="42" a="1"/>
  <c r="D12" i="42" a="1"/>
  <c r="D10" i="42" a="1"/>
  <c r="D8" i="42" a="1"/>
  <c r="D6" i="42" a="1"/>
  <c r="D4" i="42" a="1"/>
  <c r="H2" i="18" a="1"/>
  <c r="F2" i="15" a="1"/>
  <c r="D2" i="5" a="1"/>
  <c r="B2" i="7" a="1"/>
  <c r="N2" i="46" a="1"/>
  <c r="H12" i="52" a="1"/>
  <c r="H10" i="52" a="1"/>
  <c r="H8" i="52" a="1"/>
  <c r="H6" i="52" a="1"/>
  <c r="H4" i="52" a="1"/>
  <c r="T17" i="56" a="1"/>
  <c r="J7" i="48" a="1"/>
  <c r="B2" i="38" a="1"/>
  <c r="Z4" i="9" a="1"/>
  <c r="J4" i="9" a="1"/>
  <c r="A2" i="7" a="1"/>
  <c r="M2" i="46" a="1"/>
  <c r="G10" i="52" a="1"/>
  <c r="H14" i="43" a="1"/>
  <c r="H6" i="43" a="1"/>
  <c r="C3" i="43" a="1"/>
  <c r="C14" i="42" a="1"/>
  <c r="C12" i="42" a="1"/>
  <c r="C10" i="42" a="1"/>
  <c r="C8" i="42" a="1"/>
  <c r="C6" i="42" a="1"/>
  <c r="C4" i="42" a="1"/>
  <c r="G2" i="18" a="1"/>
  <c r="E2" i="15" a="1"/>
  <c r="C2" i="5" a="1"/>
  <c r="G12" i="52" a="1"/>
  <c r="J6" i="48" a="1"/>
  <c r="A2" i="38" a="1"/>
  <c r="Y4" i="9" a="1"/>
  <c r="I4" i="9" a="1"/>
  <c r="G14" i="43" a="1"/>
  <c r="G6" i="43" a="1"/>
  <c r="J15" i="42" a="1"/>
  <c r="J13" i="42" a="1"/>
  <c r="J11" i="42" a="1"/>
  <c r="J9" i="42" a="1"/>
  <c r="J7" i="42" a="1"/>
  <c r="J5" i="42" a="1"/>
  <c r="J3" i="42" a="1"/>
  <c r="F2" i="18" a="1"/>
  <c r="D2" i="15" a="1"/>
  <c r="B2" i="5" a="1"/>
  <c r="N2" i="47" a="1"/>
  <c r="L2" i="46" a="1"/>
  <c r="F12" i="52" a="1"/>
  <c r="F10" i="52" a="1"/>
  <c r="F8" i="52" a="1"/>
  <c r="F6" i="52" a="1"/>
  <c r="F4" i="52" a="1"/>
  <c r="J5" i="48" a="1"/>
  <c r="AN4" i="9" a="1"/>
  <c r="X4" i="9" a="1"/>
  <c r="H4" i="9" a="1"/>
  <c r="E10" i="52" a="1"/>
  <c r="E8" i="52" a="1"/>
  <c r="E6" i="52" a="1"/>
  <c r="E4" i="52" a="1"/>
  <c r="U16" i="56" a="1"/>
  <c r="U12" i="56" a="1"/>
  <c r="U8" i="56" a="1"/>
  <c r="I17" i="56" a="1"/>
  <c r="I13" i="56" a="1"/>
  <c r="I9" i="56" a="1"/>
  <c r="I5" i="56" a="1"/>
  <c r="B8" i="56" a="1"/>
  <c r="C4" i="13" a="1"/>
  <c r="H13" i="43" a="1"/>
  <c r="H5" i="43" a="1"/>
  <c r="I15" i="42" a="1"/>
  <c r="I13" i="42" a="1"/>
  <c r="I11" i="42" a="1"/>
  <c r="I9" i="42" a="1"/>
  <c r="I7" i="42" a="1"/>
  <c r="I5" i="42" a="1"/>
  <c r="I3" i="42" a="1"/>
  <c r="E2" i="18" a="1"/>
  <c r="C2" i="15" a="1"/>
  <c r="A2" i="5" a="1"/>
  <c r="M2" i="47" a="1"/>
  <c r="K2" i="46" a="1"/>
  <c r="E12" i="52" a="1"/>
  <c r="J4" i="48" a="1"/>
  <c r="AM4" i="9" a="1"/>
  <c r="W4" i="9" a="1"/>
  <c r="G4" i="9" a="1"/>
  <c r="N2" i="7" a="1"/>
  <c r="J2" i="46" a="1"/>
  <c r="D10" i="52" a="1"/>
  <c r="D8" i="52" a="1"/>
  <c r="D6" i="52" a="1"/>
  <c r="D4" i="52" a="1"/>
  <c r="T16" i="56" a="1"/>
  <c r="T12" i="56" a="1"/>
  <c r="T8" i="56" a="1"/>
  <c r="H17" i="56" a="1"/>
  <c r="H13" i="56" a="1"/>
  <c r="H9" i="56" a="1"/>
  <c r="H5" i="56" a="1"/>
  <c r="B7" i="56" a="1"/>
  <c r="S23" i="12" a="1"/>
  <c r="L22" i="12" a="1"/>
  <c r="N20" i="12" a="1"/>
  <c r="P18" i="12" a="1"/>
  <c r="K13" i="12" a="1"/>
  <c r="M11" i="12" a="1"/>
  <c r="O9" i="12" a="1"/>
  <c r="Q7" i="12" a="1"/>
  <c r="S5" i="12" a="1"/>
  <c r="L4" i="12" a="1"/>
  <c r="G14" i="12" a="1"/>
  <c r="F9" i="12" a="1"/>
  <c r="G13" i="43" a="1"/>
  <c r="G5" i="43" a="1"/>
  <c r="H15" i="42" a="1"/>
  <c r="H13" i="42" a="1"/>
  <c r="H11" i="42" a="1"/>
  <c r="H9" i="42" a="1"/>
  <c r="H7" i="42" a="1"/>
  <c r="H5" i="42" a="1"/>
  <c r="H3" i="42" a="1"/>
  <c r="D2" i="18" a="1"/>
  <c r="B2" i="15" a="1"/>
  <c r="L2" i="47" a="1"/>
  <c r="D12" i="52" a="1"/>
  <c r="R14" i="12" a="1"/>
  <c r="E22" i="12" a="1"/>
  <c r="N2" i="38" a="1"/>
  <c r="AL4" i="9" a="1"/>
  <c r="V4" i="9" a="1"/>
  <c r="F4" i="9" a="1"/>
  <c r="F14" i="12" a="1"/>
  <c r="E9" i="12" a="1"/>
  <c r="G3" i="12" a="1"/>
  <c r="J14" i="39" a="1"/>
  <c r="H11" i="39" a="1"/>
  <c r="F8" i="39" a="1"/>
  <c r="C5" i="39" a="1"/>
  <c r="M11" i="28" a="1"/>
  <c r="L6" i="28" a="1"/>
  <c r="G13" i="28" a="1"/>
  <c r="G5" i="28" a="1"/>
  <c r="D11" i="28" a="1"/>
  <c r="D3" i="28" a="1"/>
  <c r="J20" i="1" a="1"/>
  <c r="G11" i="52" a="1"/>
  <c r="T5" i="56" a="1"/>
  <c r="B10" i="56" a="1"/>
  <c r="Q19" i="12" a="1"/>
  <c r="O12" i="12" a="1"/>
  <c r="M7" i="12" a="1"/>
  <c r="F22" i="12" a="1"/>
  <c r="G4" i="12" a="1"/>
  <c r="H3" i="39" a="1"/>
  <c r="K12" i="28" a="1"/>
  <c r="G11" i="28" a="1"/>
  <c r="G13" i="1" a="1"/>
  <c r="H9" i="1" a="1"/>
  <c r="H5" i="1" a="1"/>
  <c r="C7" i="1" a="1"/>
  <c r="G4" i="60" a="1"/>
  <c r="F10" i="60" a="1"/>
  <c r="F4" i="60" a="1"/>
  <c r="G10" i="28" a="1"/>
  <c r="J12" i="1" a="1"/>
  <c r="C3" i="1" a="1"/>
  <c r="Q6" i="12" a="1"/>
  <c r="E3" i="60" a="1"/>
  <c r="M8" i="28" a="1"/>
  <c r="F12" i="1" a="1"/>
  <c r="F8" i="1" a="1"/>
  <c r="E9" i="60" a="1"/>
  <c r="H5" i="28" a="1"/>
  <c r="P15" i="12" a="1"/>
  <c r="K7" i="28" a="1"/>
  <c r="H3" i="28" a="1"/>
  <c r="I7" i="1" a="1"/>
  <c r="C10" i="40" a="1"/>
  <c r="E18" i="28" a="1"/>
  <c r="P22" i="12" a="1"/>
  <c r="J9" i="39" a="1"/>
  <c r="L10" i="1" a="1"/>
  <c r="F7" i="1" a="1"/>
  <c r="C7" i="40" a="1"/>
  <c r="O8" i="1" a="1"/>
  <c r="O7" i="1" a="1"/>
  <c r="C20" i="55" a="1"/>
  <c r="O8" i="12" a="1"/>
  <c r="G9" i="52" a="1"/>
  <c r="S5" i="56" a="1"/>
  <c r="B9" i="56" a="1"/>
  <c r="P19" i="12" a="1"/>
  <c r="N12" i="12" a="1"/>
  <c r="L7" i="12" a="1"/>
  <c r="G20" i="12" a="1"/>
  <c r="F4" i="12" a="1"/>
  <c r="H2" i="39" a="1"/>
  <c r="M10" i="28" a="1"/>
  <c r="H10" i="28" a="1"/>
  <c r="D8" i="28" a="1"/>
  <c r="K19" i="1" a="1"/>
  <c r="F13" i="1" a="1"/>
  <c r="C6" i="1" a="1"/>
  <c r="C12" i="55" a="1"/>
  <c r="J19" i="1" a="1"/>
  <c r="E10" i="60" a="1"/>
  <c r="K8" i="1" a="1"/>
  <c r="L4" i="1" a="1"/>
  <c r="C17" i="40" a="1"/>
  <c r="M15" i="28" a="1"/>
  <c r="J10" i="1" a="1"/>
  <c r="L6" i="1" a="1"/>
  <c r="E12" i="28" a="1"/>
  <c r="E9" i="52" a="1"/>
  <c r="J17" i="56" a="1"/>
  <c r="C14" i="13" a="1"/>
  <c r="O19" i="12" a="1"/>
  <c r="M12" i="12" a="1"/>
  <c r="K7" i="12" a="1"/>
  <c r="F20" i="12" a="1"/>
  <c r="E4" i="12" a="1"/>
  <c r="F13" i="39" a="1"/>
  <c r="L10" i="28" a="1"/>
  <c r="E7" i="28" a="1"/>
  <c r="L12" i="1" a="1"/>
  <c r="G9" i="1" a="1"/>
  <c r="G5" i="1" a="1"/>
  <c r="C4" i="1" a="1"/>
  <c r="C11" i="55" a="1"/>
  <c r="E4" i="60" a="1"/>
  <c r="N19" i="12" a="1"/>
  <c r="L12" i="12" a="1"/>
  <c r="E20" i="12" a="1"/>
  <c r="B15" i="12" a="1"/>
  <c r="F12" i="39" a="1"/>
  <c r="F10" i="39" a="1"/>
  <c r="E6" i="28" a="1"/>
  <c r="I19" i="1" a="1"/>
  <c r="F9" i="60" a="1"/>
  <c r="F3" i="39" a="1"/>
  <c r="C13" i="39" a="1"/>
  <c r="G6" i="28" a="1"/>
  <c r="E13" i="12" a="1"/>
  <c r="O12" i="1" a="1"/>
  <c r="E12" i="12" a="1"/>
  <c r="G3" i="1" a="1"/>
  <c r="G8" i="52" a="1"/>
  <c r="G16" i="56" a="1"/>
  <c r="C13" i="13" a="1"/>
  <c r="S6" i="12" a="1"/>
  <c r="K10" i="28" a="1"/>
  <c r="F9" i="1" a="1"/>
  <c r="H3" i="60" a="1"/>
  <c r="F19" i="12" a="1"/>
  <c r="H9" i="60" a="1"/>
  <c r="B9" i="12" a="1"/>
  <c r="D13" i="49" a="1"/>
  <c r="L11" i="1" a="1"/>
  <c r="M7" i="28" a="1"/>
  <c r="K11" i="1" a="1"/>
  <c r="J7" i="1" a="1"/>
  <c r="C11" i="40" a="1"/>
  <c r="J10" i="39" a="1"/>
  <c r="L15" i="12" a="1"/>
  <c r="E15" i="28" a="1"/>
  <c r="D5" i="49" a="1"/>
  <c r="G7" i="52" a="1"/>
  <c r="J15" i="56" a="1"/>
  <c r="C12" i="13" a="1"/>
  <c r="M19" i="12" a="1"/>
  <c r="K12" i="12" a="1"/>
  <c r="R6" i="12" a="1"/>
  <c r="G19" i="12" a="1"/>
  <c r="B14" i="12" a="1"/>
  <c r="F11" i="39" a="1"/>
  <c r="H9" i="28" a="1"/>
  <c r="D7" i="28" a="1"/>
  <c r="I12" i="1" a="1"/>
  <c r="L8" i="1" a="1"/>
  <c r="F5" i="1" a="1"/>
  <c r="D16" i="49" a="1"/>
  <c r="C10" i="55" a="1"/>
  <c r="G3" i="60" a="1"/>
  <c r="E7" i="52" a="1"/>
  <c r="I15" i="56" a="1"/>
  <c r="K19" i="12" a="1"/>
  <c r="S11" i="12" a="1"/>
  <c r="B13" i="12" a="1"/>
  <c r="M9" i="28" a="1"/>
  <c r="O15" i="1" a="1"/>
  <c r="F4" i="1" a="1"/>
  <c r="C11" i="13" a="1"/>
  <c r="H12" i="1" a="1"/>
  <c r="C9" i="55" a="1"/>
  <c r="G12" i="1" a="1"/>
  <c r="I8" i="1" a="1"/>
  <c r="C14" i="40" a="1"/>
  <c r="H8" i="60" a="1"/>
  <c r="B5" i="12" a="1"/>
  <c r="B4" i="12" a="1"/>
  <c r="C12" i="39" a="1"/>
  <c r="O13" i="1" a="1"/>
  <c r="I15" i="1" a="1"/>
  <c r="L5" i="12" a="1"/>
  <c r="D8" i="49" a="1"/>
  <c r="G11" i="12" a="1"/>
  <c r="J5" i="39" a="1"/>
  <c r="H12" i="39" a="1"/>
  <c r="H15" i="28" a="1"/>
  <c r="G6" i="52" a="1"/>
  <c r="G15" i="56" a="1"/>
  <c r="C10" i="13" a="1"/>
  <c r="S18" i="12" a="1"/>
  <c r="Q11" i="12" a="1"/>
  <c r="P6" i="12" a="1"/>
  <c r="E19" i="12" a="1"/>
  <c r="B12" i="12" a="1"/>
  <c r="F9" i="39" a="1"/>
  <c r="L9" i="28" a="1"/>
  <c r="G9" i="28" a="1"/>
  <c r="D6" i="28" a="1"/>
  <c r="H19" i="1" a="1"/>
  <c r="J8" i="1" a="1"/>
  <c r="K4" i="1" a="1"/>
  <c r="D15" i="49" a="1"/>
  <c r="C18" i="40" a="1"/>
  <c r="G9" i="60" a="1"/>
  <c r="G5" i="52" a="1"/>
  <c r="H14" i="56" a="1"/>
  <c r="R18" i="12" a="1"/>
  <c r="N6" i="12" a="1"/>
  <c r="G18" i="12" a="1"/>
  <c r="B11" i="12" a="1"/>
  <c r="F5" i="39" a="1"/>
  <c r="H8" i="28" a="1"/>
  <c r="E5" i="28" a="1"/>
  <c r="G19" i="1" a="1"/>
  <c r="L6" i="12" a="1"/>
  <c r="I4" i="1" a="1"/>
  <c r="C12" i="40" a="1"/>
  <c r="B3" i="12" a="1"/>
  <c r="L5" i="28" a="1"/>
  <c r="H7" i="1" a="1"/>
  <c r="F3" i="1" a="1"/>
  <c r="G6" i="60" a="1"/>
  <c r="M4" i="12" a="1"/>
  <c r="D23" i="1" a="1"/>
  <c r="C14" i="1" a="1"/>
  <c r="E7" i="12" a="1"/>
  <c r="C9" i="13" a="1"/>
  <c r="P11" i="12" a="1"/>
  <c r="F19" i="1" a="1"/>
  <c r="G4" i="1" a="1"/>
  <c r="F8" i="60" a="1"/>
  <c r="G12" i="12" a="1"/>
  <c r="H15" i="1" a="1"/>
  <c r="D9" i="49" a="1"/>
  <c r="S4" i="12" a="1"/>
  <c r="H11" i="1" a="1"/>
  <c r="K5" i="28" a="1"/>
  <c r="O10" i="1" a="1"/>
  <c r="K14" i="1" a="1"/>
  <c r="D7" i="49" a="1"/>
  <c r="E7" i="60" a="1"/>
  <c r="D15" i="28" a="1"/>
  <c r="C6" i="40" a="1"/>
  <c r="L13" i="1" a="1"/>
  <c r="E5" i="52" a="1"/>
  <c r="G14" i="56" a="1"/>
  <c r="C7" i="13" a="1"/>
  <c r="Q18" i="12" a="1"/>
  <c r="O11" i="12" a="1"/>
  <c r="M6" i="12" a="1"/>
  <c r="E18" i="12" a="1"/>
  <c r="B10" i="12" a="1"/>
  <c r="F4" i="39" a="1"/>
  <c r="K9" i="28" a="1"/>
  <c r="G8" i="28" a="1"/>
  <c r="D5" i="28" a="1"/>
  <c r="H8" i="1" a="1"/>
  <c r="J4" i="1" a="1"/>
  <c r="D14" i="49" a="1"/>
  <c r="C16" i="40" a="1"/>
  <c r="L18" i="12" a="1"/>
  <c r="G15" i="12" a="1"/>
  <c r="H7" i="28" a="1"/>
  <c r="H4" i="1" a="1"/>
  <c r="C13" i="40" a="1"/>
  <c r="K7" i="1" a="1"/>
  <c r="J15" i="1" a="1"/>
  <c r="G8" i="60" a="1"/>
  <c r="L7" i="28" a="1"/>
  <c r="E8" i="60" a="1"/>
  <c r="C9" i="39" a="1"/>
  <c r="K10" i="1" a="1"/>
  <c r="G4" i="52" a="1"/>
  <c r="J13" i="56" a="1"/>
  <c r="C6" i="13" a="1"/>
  <c r="N11" i="12" a="1"/>
  <c r="E4" i="28" a="1"/>
  <c r="D12" i="49" a="1"/>
  <c r="D11" i="49" a="1"/>
  <c r="L3" i="1" a="1"/>
  <c r="N10" i="12" a="1"/>
  <c r="D10" i="49" a="1"/>
  <c r="R4" i="12" a="1"/>
  <c r="C8" i="39" a="1"/>
  <c r="G3" i="52" a="1"/>
  <c r="G12" i="56" a="1"/>
  <c r="C5" i="13" a="1"/>
  <c r="K18" i="12" a="1"/>
  <c r="R10" i="12" a="1"/>
  <c r="K6" i="12" a="1"/>
  <c r="F15" i="12" a="1"/>
  <c r="B7" i="12" a="1"/>
  <c r="F2" i="39" a="1"/>
  <c r="L8" i="28" a="1"/>
  <c r="G7" i="28" a="1"/>
  <c r="D4" i="28" a="1"/>
  <c r="L15" i="1" a="1"/>
  <c r="L7" i="1" a="1"/>
  <c r="F3" i="52" a="1"/>
  <c r="J11" i="56" a="1"/>
  <c r="N23" i="12" a="1"/>
  <c r="S15" i="12" a="1"/>
  <c r="Q10" i="12" a="1"/>
  <c r="O5" i="12" a="1"/>
  <c r="E15" i="12" a="1"/>
  <c r="B6" i="12" a="1"/>
  <c r="C14" i="39" a="1"/>
  <c r="K8" i="28" a="1"/>
  <c r="H6" i="28" a="1"/>
  <c r="E3" i="28" a="1"/>
  <c r="K15" i="1" a="1"/>
  <c r="E3" i="52" a="1"/>
  <c r="I11" i="56" a="1"/>
  <c r="M23" i="12" a="1"/>
  <c r="R15" i="12" a="1"/>
  <c r="P10" i="12" a="1"/>
  <c r="N5" i="12" a="1"/>
  <c r="F13" i="12" a="1"/>
  <c r="J11" i="1" a="1"/>
  <c r="C11" i="39" a="1"/>
  <c r="L10" i="12" a="1"/>
  <c r="L14" i="1" a="1"/>
  <c r="H3" i="1" a="1"/>
  <c r="S9" i="12" a="1"/>
  <c r="G11" i="1" a="1"/>
  <c r="F6" i="60" a="1"/>
  <c r="F10" i="1" a="1"/>
  <c r="L20" i="1" a="1"/>
  <c r="E12" i="60" a="1"/>
  <c r="S17" i="56" a="1"/>
  <c r="G11" i="56" a="1"/>
  <c r="L23" i="12" a="1"/>
  <c r="Q15" i="12" a="1"/>
  <c r="O10" i="12" a="1"/>
  <c r="M5" i="12" a="1"/>
  <c r="K3" i="1" a="1"/>
  <c r="I3" i="1" a="1"/>
  <c r="H7" i="60" a="1"/>
  <c r="V16" i="56" a="1"/>
  <c r="J10" i="56" a="1"/>
  <c r="K23" i="12" a="1"/>
  <c r="S15" i="56" a="1"/>
  <c r="H10" i="56" a="1"/>
  <c r="S22" i="12" a="1"/>
  <c r="O15" i="12" a="1"/>
  <c r="M10" i="12" a="1"/>
  <c r="K5" i="12" a="1"/>
  <c r="F12" i="12" a="1"/>
  <c r="J11" i="39" a="1"/>
  <c r="C10" i="39" a="1"/>
  <c r="M6" i="28" a="1"/>
  <c r="G3" i="28" a="1"/>
  <c r="O11" i="1" a="1"/>
  <c r="G15" i="1" a="1"/>
  <c r="I11" i="1" a="1"/>
  <c r="G6" i="1" a="1"/>
  <c r="V14" i="56" a="1"/>
  <c r="G10" i="56" a="1"/>
  <c r="R22" i="12" a="1"/>
  <c r="M15" i="12" a="1"/>
  <c r="U14" i="56" a="1"/>
  <c r="J9" i="56" a="1"/>
  <c r="C2" i="39" a="1"/>
  <c r="I14" i="1" a="1"/>
  <c r="K4" i="28" a="1"/>
  <c r="M3" i="12" a="1"/>
  <c r="T13" i="56" a="1"/>
  <c r="G8" i="56" a="1"/>
  <c r="O22" i="12" a="1"/>
  <c r="K15" i="12" a="1"/>
  <c r="R9" i="12" a="1"/>
  <c r="P4" i="12" a="1"/>
  <c r="F11" i="12" a="1"/>
  <c r="J8" i="39" a="1"/>
  <c r="C7" i="39" a="1"/>
  <c r="M4" i="28" a="1"/>
  <c r="D18" i="28" a="1"/>
  <c r="O9" i="1" a="1"/>
  <c r="J14" i="1" a="1"/>
  <c r="F11" i="1" a="1"/>
  <c r="G7" i="1" a="1"/>
  <c r="D6" i="49" a="1"/>
  <c r="C8" i="40" a="1"/>
  <c r="H6" i="60" a="1"/>
  <c r="G10" i="12" a="1"/>
  <c r="C6" i="39" a="1"/>
  <c r="S13" i="56" a="1"/>
  <c r="J7" i="56" a="1"/>
  <c r="N22" i="12" a="1"/>
  <c r="S14" i="12" a="1"/>
  <c r="Q9" i="12" a="1"/>
  <c r="O4" i="12" a="1"/>
  <c r="J7" i="39" a="1"/>
  <c r="V12" i="56" a="1"/>
  <c r="I7" i="56" a="1"/>
  <c r="M22" i="12" a="1"/>
  <c r="N14" i="12" a="1"/>
  <c r="P9" i="12" a="1"/>
  <c r="N4" i="12" a="1"/>
  <c r="F10" i="12" a="1"/>
  <c r="S11" i="56" a="1"/>
  <c r="G7" i="56" a="1"/>
  <c r="P21" i="12" a="1"/>
  <c r="M14" i="12" a="1"/>
  <c r="K9" i="12" a="1"/>
  <c r="V10" i="56" a="1"/>
  <c r="J6" i="56" a="1"/>
  <c r="O21" i="12" a="1"/>
  <c r="L14" i="12" a="1"/>
  <c r="S8" i="12" a="1"/>
  <c r="Q3" i="12" a="1"/>
  <c r="G9" i="12" a="1"/>
  <c r="J3" i="39" a="1"/>
  <c r="L15" i="28" a="1"/>
  <c r="E14" i="28" a="1"/>
  <c r="O6" i="1" a="1"/>
  <c r="H14" i="1" a="1"/>
  <c r="H10" i="1" a="1"/>
  <c r="K6" i="1" a="1"/>
  <c r="C19" i="55" a="1"/>
  <c r="H12" i="60" a="1"/>
  <c r="J6" i="1" a="1"/>
  <c r="C18" i="55" a="1"/>
  <c r="E6" i="60" a="1"/>
  <c r="M21" i="12" a="1"/>
  <c r="S13" i="12" a="1"/>
  <c r="Q8" i="12" a="1"/>
  <c r="O3" i="12" a="1"/>
  <c r="G7" i="12" a="1"/>
  <c r="H14" i="39" a="1"/>
  <c r="L3" i="28" a="1"/>
  <c r="O4" i="1" a="1"/>
  <c r="G14" i="1" a="1"/>
  <c r="I6" i="1" a="1"/>
  <c r="U10" i="56" a="1"/>
  <c r="H6" i="56" a="1"/>
  <c r="N21" i="12" a="1"/>
  <c r="K14" i="12" a="1"/>
  <c r="R8" i="12" a="1"/>
  <c r="P3" i="12" a="1"/>
  <c r="E8" i="12" a="1"/>
  <c r="J2" i="39" a="1"/>
  <c r="K15" i="28" a="1"/>
  <c r="M3" i="28" a="1"/>
  <c r="D14" i="28" a="1"/>
  <c r="O5" i="1" a="1"/>
  <c r="G10" i="1" a="1"/>
  <c r="C15" i="1" a="1"/>
  <c r="M14" i="28" a="1"/>
  <c r="S10" i="56" a="1"/>
  <c r="G6" i="56" a="1"/>
  <c r="E13" i="28" a="1"/>
  <c r="G5" i="60" a="1"/>
  <c r="T9" i="56" a="1"/>
  <c r="J5" i="56" a="1"/>
  <c r="L21" i="12" a="1"/>
  <c r="R13" i="12" a="1"/>
  <c r="P8" i="12" a="1"/>
  <c r="N3" i="12" a="1"/>
  <c r="F7" i="12" a="1"/>
  <c r="H13" i="39" a="1"/>
  <c r="L14" i="28" a="1"/>
  <c r="K3" i="28" a="1"/>
  <c r="D13" i="28" a="1"/>
  <c r="O3" i="1" a="1"/>
  <c r="F14" i="1" a="1"/>
  <c r="H6" i="1" a="1"/>
  <c r="C13" i="1" a="1"/>
  <c r="C17" i="55" a="1"/>
  <c r="F12" i="60" a="1"/>
  <c r="H5" i="60" a="1"/>
  <c r="K14" i="28" a="1"/>
  <c r="S9" i="56" a="1"/>
  <c r="C23" i="56" a="1"/>
  <c r="K21" i="12" a="1"/>
  <c r="Q13" i="12" a="1"/>
  <c r="V8" i="56" a="1"/>
  <c r="B17" i="56" a="1"/>
  <c r="R20" i="12" a="1"/>
  <c r="O13" i="12" a="1"/>
  <c r="N8" i="12" a="1"/>
  <c r="L3" i="12" a="1"/>
  <c r="G6" i="12" a="1"/>
  <c r="H8" i="39" a="1"/>
  <c r="M13" i="28" a="1"/>
  <c r="G15" i="28" a="1"/>
  <c r="D12" i="28" a="1"/>
  <c r="K20" i="1" a="1"/>
  <c r="F6" i="1" a="1"/>
  <c r="C12" i="1" a="1"/>
  <c r="C16" i="55" a="1"/>
  <c r="H11" i="60" a="1"/>
  <c r="F5" i="60" a="1"/>
  <c r="G11" i="60" a="1"/>
  <c r="C10" i="1" a="1"/>
  <c r="C15" i="55" a="1"/>
  <c r="S7" i="56" a="1"/>
  <c r="B16" i="56" a="1"/>
  <c r="Q20" i="12" a="1"/>
  <c r="N13" i="12" a="1"/>
  <c r="L8" i="12" a="1"/>
  <c r="K3" i="12" a="1"/>
  <c r="F6" i="12" a="1"/>
  <c r="H7" i="39" a="1"/>
  <c r="L13" i="28" a="1"/>
  <c r="H14" i="28" a="1"/>
  <c r="E11" i="28" a="1"/>
  <c r="I20" i="1" a="1"/>
  <c r="K13" i="1" a="1"/>
  <c r="K9" i="1" a="1"/>
  <c r="K5" i="1" a="1"/>
  <c r="C11" i="1" a="1"/>
  <c r="E11" i="60" a="1"/>
  <c r="E5" i="60" a="1"/>
  <c r="H4" i="60" a="1"/>
  <c r="D4" i="49" a="1"/>
  <c r="G12" i="60" a="1"/>
  <c r="V6" i="56" a="1"/>
  <c r="B14" i="56" a="1"/>
  <c r="P20" i="12" a="1"/>
  <c r="M13" i="12" a="1"/>
  <c r="K8" i="12" a="1"/>
  <c r="F23" i="12" a="1"/>
  <c r="E6" i="12" a="1"/>
  <c r="H6" i="39" a="1"/>
  <c r="K13" i="28" a="1"/>
  <c r="G14" i="28" a="1"/>
  <c r="E9" i="28" a="1"/>
  <c r="G20" i="1" a="1"/>
  <c r="J13" i="1" a="1"/>
  <c r="J5" i="1" a="1"/>
  <c r="U6" i="56" a="1"/>
  <c r="B13" i="56" a="1"/>
  <c r="O20" i="12" a="1"/>
  <c r="L13" i="12" a="1"/>
  <c r="S7" i="12" a="1"/>
  <c r="E23" i="12" a="1"/>
  <c r="F5" i="12" a="1"/>
  <c r="H5" i="39" a="1"/>
  <c r="M12" i="28" a="1"/>
  <c r="H13" i="28" a="1"/>
  <c r="D9" i="28" a="1"/>
  <c r="F20" i="1" a="1"/>
  <c r="I13" i="1" a="1"/>
  <c r="J9" i="1" a="1"/>
  <c r="I5" i="1" a="1"/>
  <c r="C9" i="1" a="1"/>
  <c r="C14" i="55" a="1"/>
  <c r="H10" i="60" a="1"/>
  <c r="L4" i="28" a="1"/>
  <c r="E10" i="12" a="1"/>
  <c r="L9" i="1" a="1"/>
  <c r="S6" i="56" a="1"/>
  <c r="B11" i="56" a="1"/>
  <c r="R19" i="12" a="1"/>
  <c r="P12" i="12" a="1"/>
  <c r="R7" i="12" a="1"/>
  <c r="G22" i="12" a="1"/>
  <c r="E5" i="12" a="1"/>
  <c r="H4" i="39" a="1"/>
  <c r="L12" i="28" a="1"/>
  <c r="H11" i="28" a="1"/>
  <c r="E8" i="28" a="1"/>
  <c r="L19" i="1" a="1"/>
  <c r="H13" i="1" a="1"/>
  <c r="I9" i="1" a="1"/>
  <c r="C8" i="1" a="1"/>
  <c r="C13" i="55" a="1"/>
  <c r="G10" i="60" a="1"/>
  <c r="G7" i="60" a="1"/>
  <c r="C9" i="40" a="1"/>
  <c r="J6" i="39" a="1"/>
  <c r="J6" i="39" l="1"/>
  <c r="C9" i="40"/>
  <c r="G7" i="60"/>
  <c r="G10" i="60"/>
  <c r="C13" i="55"/>
  <c r="C8" i="1"/>
  <c r="I9" i="1"/>
  <c r="H13" i="1"/>
  <c r="L19" i="1"/>
  <c r="E8" i="28"/>
  <c r="H11" i="28"/>
  <c r="L12" i="28"/>
  <c r="H4" i="39"/>
  <c r="E5" i="12"/>
  <c r="G22" i="12"/>
  <c r="R7" i="12"/>
  <c r="P12" i="12"/>
  <c r="R19" i="12"/>
  <c r="B11" i="56"/>
  <c r="S6" i="56"/>
  <c r="L9" i="1"/>
  <c r="E10" i="12"/>
  <c r="L4" i="28"/>
  <c r="H10" i="60"/>
  <c r="C14" i="55"/>
  <c r="C9" i="1"/>
  <c r="I5" i="1"/>
  <c r="J9" i="1"/>
  <c r="I13" i="1"/>
  <c r="F20" i="1"/>
  <c r="D9" i="28"/>
  <c r="H13" i="28"/>
  <c r="M12" i="28"/>
  <c r="H5" i="39"/>
  <c r="F5" i="12"/>
  <c r="E23" i="12"/>
  <c r="S7" i="12"/>
  <c r="L13" i="12"/>
  <c r="O20" i="12"/>
  <c r="B13" i="56"/>
  <c r="U6" i="56"/>
  <c r="J5" i="1"/>
  <c r="J13" i="1"/>
  <c r="G20" i="1"/>
  <c r="E9" i="28"/>
  <c r="G14" i="28"/>
  <c r="K13" i="28"/>
  <c r="H6" i="39"/>
  <c r="E6" i="12"/>
  <c r="F23" i="12"/>
  <c r="K8" i="12"/>
  <c r="M13" i="12"/>
  <c r="P20" i="12"/>
  <c r="B14" i="56"/>
  <c r="V6" i="56"/>
  <c r="G12" i="60"/>
  <c r="D4" i="49"/>
  <c r="H4" i="60"/>
  <c r="E5" i="60"/>
  <c r="E11" i="60"/>
  <c r="C11" i="1"/>
  <c r="K5" i="1"/>
  <c r="K9" i="1"/>
  <c r="K13" i="1"/>
  <c r="I20" i="1"/>
  <c r="E11" i="28"/>
  <c r="H14" i="28"/>
  <c r="L13" i="28"/>
  <c r="H7" i="39"/>
  <c r="F6" i="12"/>
  <c r="K3" i="12"/>
  <c r="L8" i="12"/>
  <c r="N13" i="12"/>
  <c r="Q20" i="12"/>
  <c r="B16" i="56"/>
  <c r="S7" i="56"/>
  <c r="C15" i="55"/>
  <c r="C10" i="1"/>
  <c r="G11" i="60"/>
  <c r="F5" i="60"/>
  <c r="H11" i="60"/>
  <c r="C16" i="55"/>
  <c r="C12" i="1"/>
  <c r="F6" i="1"/>
  <c r="K20" i="1"/>
  <c r="D12" i="28"/>
  <c r="G15" i="28"/>
  <c r="M13" i="28"/>
  <c r="H8" i="39"/>
  <c r="G6" i="12"/>
  <c r="L3" i="12"/>
  <c r="N8" i="12"/>
  <c r="O13" i="12"/>
  <c r="R20" i="12"/>
  <c r="B17" i="56"/>
  <c r="V8" i="56"/>
  <c r="Q13" i="12"/>
  <c r="K21" i="12"/>
  <c r="C23" i="56"/>
  <c r="S9" i="56"/>
  <c r="K14" i="28"/>
  <c r="H5" i="60"/>
  <c r="F12" i="60"/>
  <c r="C17" i="55"/>
  <c r="C13" i="1"/>
  <c r="H6" i="1"/>
  <c r="F14" i="1"/>
  <c r="O3" i="1"/>
  <c r="D13" i="28"/>
  <c r="K3" i="28"/>
  <c r="L14" i="28"/>
  <c r="H13" i="39"/>
  <c r="F7" i="12"/>
  <c r="N3" i="12"/>
  <c r="P8" i="12"/>
  <c r="R13" i="12"/>
  <c r="L21" i="12"/>
  <c r="J5" i="56"/>
  <c r="T9" i="56"/>
  <c r="G5" i="60"/>
  <c r="E13" i="28"/>
  <c r="G6" i="56"/>
  <c r="S10" i="56"/>
  <c r="M14" i="28"/>
  <c r="C15" i="1"/>
  <c r="G10" i="1"/>
  <c r="O5" i="1"/>
  <c r="D14" i="28"/>
  <c r="M3" i="28"/>
  <c r="K15" i="28"/>
  <c r="J2" i="39"/>
  <c r="E8" i="12"/>
  <c r="P3" i="12"/>
  <c r="R8" i="12"/>
  <c r="K14" i="12"/>
  <c r="N21" i="12"/>
  <c r="H6" i="56"/>
  <c r="U10" i="56"/>
  <c r="I6" i="1"/>
  <c r="G14" i="1"/>
  <c r="O4" i="1"/>
  <c r="L3" i="28"/>
  <c r="H14" i="39"/>
  <c r="G7" i="12"/>
  <c r="O3" i="12"/>
  <c r="Q8" i="12"/>
  <c r="S13" i="12"/>
  <c r="M21" i="12"/>
  <c r="E6" i="60"/>
  <c r="C18" i="55"/>
  <c r="J6" i="1"/>
  <c r="H12" i="60"/>
  <c r="C19" i="55"/>
  <c r="K6" i="1"/>
  <c r="H10" i="1"/>
  <c r="H14" i="1"/>
  <c r="O6" i="1"/>
  <c r="E14" i="28"/>
  <c r="L15" i="28"/>
  <c r="J3" i="39"/>
  <c r="G9" i="12"/>
  <c r="Q3" i="12"/>
  <c r="S8" i="12"/>
  <c r="L14" i="12"/>
  <c r="O21" i="12"/>
  <c r="J6" i="56"/>
  <c r="V10" i="56"/>
  <c r="K9" i="12"/>
  <c r="M14" i="12"/>
  <c r="P21" i="12"/>
  <c r="G7" i="56"/>
  <c r="S11" i="56"/>
  <c r="F10" i="12"/>
  <c r="N4" i="12"/>
  <c r="P9" i="12"/>
  <c r="N14" i="12"/>
  <c r="M22" i="12"/>
  <c r="I7" i="56"/>
  <c r="V12" i="56"/>
  <c r="J7" i="39"/>
  <c r="O4" i="12"/>
  <c r="Q9" i="12"/>
  <c r="S14" i="12"/>
  <c r="N22" i="12"/>
  <c r="J7" i="56"/>
  <c r="S13" i="56"/>
  <c r="C6" i="39"/>
  <c r="G10" i="12"/>
  <c r="H6" i="60"/>
  <c r="C8" i="40"/>
  <c r="D6" i="49"/>
  <c r="G7" i="1"/>
  <c r="F11" i="1"/>
  <c r="J14" i="1"/>
  <c r="O9" i="1"/>
  <c r="D18" i="28"/>
  <c r="M4" i="28"/>
  <c r="C7" i="39"/>
  <c r="J8" i="39"/>
  <c r="F11" i="12"/>
  <c r="P4" i="12"/>
  <c r="R9" i="12"/>
  <c r="K15" i="12"/>
  <c r="O22" i="12"/>
  <c r="G8" i="56"/>
  <c r="T13" i="56"/>
  <c r="M3" i="12"/>
  <c r="K4" i="28"/>
  <c r="I14" i="1"/>
  <c r="C2" i="39"/>
  <c r="J9" i="56"/>
  <c r="U14" i="56"/>
  <c r="M15" i="12"/>
  <c r="R22" i="12"/>
  <c r="G10" i="56"/>
  <c r="V14" i="56"/>
  <c r="G6" i="1"/>
  <c r="I11" i="1"/>
  <c r="G15" i="1"/>
  <c r="O11" i="1"/>
  <c r="G3" i="28"/>
  <c r="M6" i="28"/>
  <c r="C10" i="39"/>
  <c r="J11" i="39"/>
  <c r="F12" i="12"/>
  <c r="K5" i="12"/>
  <c r="M10" i="12"/>
  <c r="O15" i="12"/>
  <c r="S22" i="12"/>
  <c r="H10" i="56"/>
  <c r="S15" i="56"/>
  <c r="K23" i="12"/>
  <c r="J10" i="56"/>
  <c r="V16" i="56"/>
  <c r="H7" i="60"/>
  <c r="I3" i="1"/>
  <c r="K3" i="1"/>
  <c r="M5" i="12"/>
  <c r="O10" i="12"/>
  <c r="Q15" i="12"/>
  <c r="L23" i="12"/>
  <c r="G11" i="56"/>
  <c r="S17" i="56"/>
  <c r="E12" i="60"/>
  <c r="L20" i="1"/>
  <c r="F10" i="1"/>
  <c r="F6" i="60"/>
  <c r="G11" i="1"/>
  <c r="S9" i="12"/>
  <c r="H3" i="1"/>
  <c r="L14" i="1"/>
  <c r="L10" i="12"/>
  <c r="C11" i="39"/>
  <c r="J11" i="1"/>
  <c r="F13" i="12"/>
  <c r="N5" i="12"/>
  <c r="P10" i="12"/>
  <c r="R15" i="12"/>
  <c r="M23" i="12"/>
  <c r="I11" i="56"/>
  <c r="E3" i="52"/>
  <c r="K15" i="1"/>
  <c r="E3" i="28"/>
  <c r="H6" i="28"/>
  <c r="K8" i="28"/>
  <c r="C14" i="39"/>
  <c r="B6" i="12"/>
  <c r="E15" i="12"/>
  <c r="O5" i="12"/>
  <c r="Q10" i="12"/>
  <c r="S15" i="12"/>
  <c r="N23" i="12"/>
  <c r="J11" i="56"/>
  <c r="F3" i="52"/>
  <c r="L7" i="1"/>
  <c r="L15" i="1"/>
  <c r="D4" i="28"/>
  <c r="G7" i="28"/>
  <c r="L8" i="28"/>
  <c r="F2" i="39"/>
  <c r="B7" i="12"/>
  <c r="F15" i="12"/>
  <c r="K6" i="12"/>
  <c r="R10" i="12"/>
  <c r="K18" i="12"/>
  <c r="C5" i="13"/>
  <c r="G12" i="56"/>
  <c r="G3" i="52"/>
  <c r="C8" i="39"/>
  <c r="R4" i="12"/>
  <c r="D10" i="49"/>
  <c r="N10" i="12"/>
  <c r="L3" i="1"/>
  <c r="D11" i="49"/>
  <c r="D12" i="49"/>
  <c r="E4" i="28"/>
  <c r="N11" i="12"/>
  <c r="C6" i="13"/>
  <c r="J13" i="56"/>
  <c r="G4" i="52"/>
  <c r="K10" i="1"/>
  <c r="C9" i="39"/>
  <c r="E8" i="60"/>
  <c r="L7" i="28"/>
  <c r="G8" i="60"/>
  <c r="J15" i="1"/>
  <c r="K7" i="1"/>
  <c r="C13" i="40"/>
  <c r="H4" i="1"/>
  <c r="H7" i="28"/>
  <c r="G15" i="12"/>
  <c r="L18" i="12"/>
  <c r="C16" i="40"/>
  <c r="D14" i="49"/>
  <c r="J4" i="1"/>
  <c r="H8" i="1"/>
  <c r="D5" i="28"/>
  <c r="G8" i="28"/>
  <c r="K9" i="28"/>
  <c r="F4" i="39"/>
  <c r="B10" i="12"/>
  <c r="E18" i="12"/>
  <c r="M6" i="12"/>
  <c r="O11" i="12"/>
  <c r="Q18" i="12"/>
  <c r="C7" i="13"/>
  <c r="G14" i="56"/>
  <c r="E5" i="52"/>
  <c r="L13" i="1"/>
  <c r="C6" i="40"/>
  <c r="D15" i="28"/>
  <c r="E7" i="60"/>
  <c r="D7" i="49"/>
  <c r="K14" i="1"/>
  <c r="O10" i="1"/>
  <c r="K5" i="28"/>
  <c r="H11" i="1"/>
  <c r="S4" i="12"/>
  <c r="Y13" i="12" s="1" a="1"/>
  <c r="Y13" i="12" s="1"/>
  <c r="D9" i="49"/>
  <c r="H15" i="1"/>
  <c r="G12" i="12"/>
  <c r="F8" i="60"/>
  <c r="G4" i="1"/>
  <c r="F19" i="1"/>
  <c r="P11" i="12"/>
  <c r="C9" i="13"/>
  <c r="E7" i="12"/>
  <c r="C14" i="1"/>
  <c r="D23" i="1"/>
  <c r="M4" i="12"/>
  <c r="G6" i="60"/>
  <c r="F3" i="1"/>
  <c r="H7" i="1"/>
  <c r="L5" i="28"/>
  <c r="B3" i="12"/>
  <c r="C12" i="40"/>
  <c r="I4" i="1"/>
  <c r="L6" i="12"/>
  <c r="G19" i="1"/>
  <c r="E5" i="28"/>
  <c r="H8" i="28"/>
  <c r="F5" i="39"/>
  <c r="B11" i="12"/>
  <c r="G18" i="12"/>
  <c r="N6" i="12"/>
  <c r="R18" i="12"/>
  <c r="H14" i="56"/>
  <c r="G5" i="52"/>
  <c r="G9" i="60"/>
  <c r="C18" i="40"/>
  <c r="D15" i="49"/>
  <c r="K4" i="1"/>
  <c r="J8" i="1"/>
  <c r="H19" i="1"/>
  <c r="D6" i="28"/>
  <c r="G9" i="28"/>
  <c r="L9" i="28"/>
  <c r="F9" i="39"/>
  <c r="B12" i="12"/>
  <c r="E19" i="12"/>
  <c r="P6" i="12"/>
  <c r="Q11" i="12"/>
  <c r="S18" i="12"/>
  <c r="C10" i="13"/>
  <c r="G15" i="56"/>
  <c r="G6" i="52"/>
  <c r="H15" i="28"/>
  <c r="H12" i="39"/>
  <c r="J5" i="39"/>
  <c r="G11" i="12"/>
  <c r="D8" i="49"/>
  <c r="L5" i="12"/>
  <c r="I15" i="1"/>
  <c r="O13" i="1"/>
  <c r="C12" i="39"/>
  <c r="B4" i="12"/>
  <c r="B5" i="12"/>
  <c r="H8" i="60"/>
  <c r="C14" i="40"/>
  <c r="I8" i="1"/>
  <c r="G12" i="1"/>
  <c r="C9" i="55"/>
  <c r="H12" i="1"/>
  <c r="C11" i="13"/>
  <c r="F4" i="1"/>
  <c r="O15" i="1"/>
  <c r="M9" i="28"/>
  <c r="B13" i="12"/>
  <c r="S11" i="12"/>
  <c r="K19" i="12"/>
  <c r="I15" i="56"/>
  <c r="E7" i="52"/>
  <c r="G3" i="60"/>
  <c r="C10" i="55"/>
  <c r="D16" i="49"/>
  <c r="F5" i="1"/>
  <c r="L8" i="1"/>
  <c r="I12" i="1"/>
  <c r="D7" i="28"/>
  <c r="H9" i="28"/>
  <c r="F11" i="39"/>
  <c r="B14" i="12"/>
  <c r="G19" i="12"/>
  <c r="R6" i="12"/>
  <c r="K12" i="12"/>
  <c r="M19" i="12"/>
  <c r="C12" i="13"/>
  <c r="J15" i="56"/>
  <c r="G7" i="52"/>
  <c r="D5" i="49"/>
  <c r="E15" i="28"/>
  <c r="L15" i="12"/>
  <c r="J10" i="39"/>
  <c r="C11" i="40"/>
  <c r="J7" i="1"/>
  <c r="K11" i="1"/>
  <c r="M7" i="28"/>
  <c r="L11" i="1"/>
  <c r="D13" i="49"/>
  <c r="B9" i="12"/>
  <c r="H9" i="60"/>
  <c r="F19" i="12"/>
  <c r="H3" i="60"/>
  <c r="F9" i="1"/>
  <c r="K10" i="28"/>
  <c r="S6" i="12"/>
  <c r="C13" i="13"/>
  <c r="G16" i="56"/>
  <c r="G8" i="52"/>
  <c r="G3" i="1"/>
  <c r="E12" i="12"/>
  <c r="O12" i="1"/>
  <c r="E13" i="12"/>
  <c r="G6" i="28"/>
  <c r="C13" i="39"/>
  <c r="F3" i="39"/>
  <c r="F9" i="60"/>
  <c r="I19" i="1"/>
  <c r="E6" i="28"/>
  <c r="F10" i="39"/>
  <c r="F12" i="39"/>
  <c r="B15" i="12"/>
  <c r="E20" i="12"/>
  <c r="L12" i="12"/>
  <c r="N19" i="12"/>
  <c r="E4" i="60"/>
  <c r="C11" i="55"/>
  <c r="C4" i="1"/>
  <c r="G5" i="1"/>
  <c r="G9" i="1"/>
  <c r="L12" i="1"/>
  <c r="E7" i="28"/>
  <c r="L10" i="28"/>
  <c r="F13" i="39"/>
  <c r="E4" i="12"/>
  <c r="F20" i="12"/>
  <c r="K7" i="12"/>
  <c r="M12" i="12"/>
  <c r="O19" i="12"/>
  <c r="C14" i="13"/>
  <c r="J17" i="56"/>
  <c r="E9" i="52"/>
  <c r="E12" i="28"/>
  <c r="L6" i="1"/>
  <c r="J10" i="1"/>
  <c r="M15" i="28"/>
  <c r="C17" i="40"/>
  <c r="L4" i="1"/>
  <c r="K8" i="1"/>
  <c r="E10" i="60"/>
  <c r="J19" i="1"/>
  <c r="C12" i="55"/>
  <c r="C6" i="1"/>
  <c r="F13" i="1"/>
  <c r="K19" i="1"/>
  <c r="D8" i="28"/>
  <c r="H10" i="28"/>
  <c r="M10" i="28"/>
  <c r="H2" i="39"/>
  <c r="F4" i="12"/>
  <c r="G20" i="12"/>
  <c r="L7" i="12"/>
  <c r="N12" i="12"/>
  <c r="P19" i="12"/>
  <c r="B9" i="56"/>
  <c r="S5" i="56"/>
  <c r="G9" i="52"/>
  <c r="O8" i="12"/>
  <c r="C20" i="55"/>
  <c r="O7" i="1"/>
  <c r="O8" i="1"/>
  <c r="C7" i="40"/>
  <c r="F7" i="1"/>
  <c r="L10" i="1"/>
  <c r="J9" i="39"/>
  <c r="P22" i="12"/>
  <c r="E18" i="28"/>
  <c r="C10" i="40"/>
  <c r="I7" i="1"/>
  <c r="H3" i="28"/>
  <c r="K7" i="28"/>
  <c r="P15" i="12"/>
  <c r="H5" i="28"/>
  <c r="E9" i="60"/>
  <c r="F8" i="1"/>
  <c r="F12" i="1"/>
  <c r="M8" i="28"/>
  <c r="E3" i="60"/>
  <c r="Q6" i="12"/>
  <c r="C3" i="1"/>
  <c r="J12" i="1"/>
  <c r="G10" i="28"/>
  <c r="F4" i="60"/>
  <c r="F10" i="60"/>
  <c r="G4" i="60"/>
  <c r="C7" i="1"/>
  <c r="H5" i="1"/>
  <c r="H9" i="1"/>
  <c r="G13" i="1"/>
  <c r="G11" i="28"/>
  <c r="K12" i="28"/>
  <c r="H3" i="39"/>
  <c r="G4" i="12"/>
  <c r="F22" i="12"/>
  <c r="M7" i="12"/>
  <c r="O12" i="12"/>
  <c r="Q19" i="12"/>
  <c r="B10" i="56"/>
  <c r="T5" i="56"/>
  <c r="G11" i="52"/>
  <c r="J20" i="1"/>
  <c r="D3" i="28"/>
  <c r="D11" i="28"/>
  <c r="G5" i="28"/>
  <c r="G13" i="28"/>
  <c r="L6" i="28"/>
  <c r="M11" i="28"/>
  <c r="C5" i="39"/>
  <c r="F8" i="39"/>
  <c r="H11" i="39"/>
  <c r="J14" i="39"/>
  <c r="G3" i="12"/>
  <c r="E9" i="12"/>
  <c r="F14" i="12"/>
  <c r="F4" i="9"/>
  <c r="V4" i="9"/>
  <c r="AL4" i="9"/>
  <c r="N2" i="38"/>
  <c r="E22" i="12"/>
  <c r="R14" i="12"/>
  <c r="D12" i="52"/>
  <c r="L2" i="47"/>
  <c r="B2" i="15"/>
  <c r="D2" i="18"/>
  <c r="H3" i="42"/>
  <c r="H5" i="42"/>
  <c r="H7" i="42"/>
  <c r="H9" i="42"/>
  <c r="H11" i="42"/>
  <c r="H13" i="42"/>
  <c r="H15" i="42"/>
  <c r="G5" i="43"/>
  <c r="G13" i="43"/>
  <c r="F9" i="12"/>
  <c r="G14" i="12"/>
  <c r="L4" i="12"/>
  <c r="S5" i="12"/>
  <c r="Q7" i="12"/>
  <c r="O9" i="12"/>
  <c r="M11" i="12"/>
  <c r="K13" i="12"/>
  <c r="P18" i="12"/>
  <c r="N20" i="12"/>
  <c r="L22" i="12"/>
  <c r="S23" i="12"/>
  <c r="B7" i="56"/>
  <c r="H5" i="56"/>
  <c r="H9" i="56"/>
  <c r="H13" i="56"/>
  <c r="H17" i="56"/>
  <c r="T8" i="56"/>
  <c r="T12" i="56"/>
  <c r="T16" i="56"/>
  <c r="D4" i="52"/>
  <c r="D6" i="52"/>
  <c r="D8" i="52"/>
  <c r="D10" i="52"/>
  <c r="J2" i="46"/>
  <c r="N2" i="7"/>
  <c r="G4" i="9"/>
  <c r="W4" i="9"/>
  <c r="AM4" i="9"/>
  <c r="J4" i="48"/>
  <c r="E12" i="52"/>
  <c r="K2" i="46"/>
  <c r="M2" i="47"/>
  <c r="A2" i="5"/>
  <c r="C2" i="15"/>
  <c r="E2" i="18"/>
  <c r="I3" i="42"/>
  <c r="I5" i="42"/>
  <c r="I7" i="42"/>
  <c r="I9" i="42"/>
  <c r="I11" i="42"/>
  <c r="I13" i="42"/>
  <c r="I15" i="42"/>
  <c r="H5" i="43"/>
  <c r="H13" i="43"/>
  <c r="C4" i="13"/>
  <c r="B8" i="56"/>
  <c r="I5" i="56"/>
  <c r="I9" i="56"/>
  <c r="I13" i="56"/>
  <c r="I17" i="56"/>
  <c r="U8" i="56"/>
  <c r="U12" i="56"/>
  <c r="U16" i="56"/>
  <c r="E4" i="52"/>
  <c r="E6" i="52"/>
  <c r="E8" i="52"/>
  <c r="E10" i="52"/>
  <c r="H4" i="9"/>
  <c r="X4" i="9"/>
  <c r="AN4" i="9"/>
  <c r="J5" i="48"/>
  <c r="F4" i="52"/>
  <c r="F6" i="52"/>
  <c r="F8" i="52"/>
  <c r="F10" i="52"/>
  <c r="F12" i="52"/>
  <c r="L2" i="46"/>
  <c r="N2" i="47"/>
  <c r="B2" i="5"/>
  <c r="D2" i="15"/>
  <c r="F2" i="18"/>
  <c r="J3" i="42"/>
  <c r="J5" i="42"/>
  <c r="J7" i="42"/>
  <c r="J9" i="42"/>
  <c r="J11" i="42"/>
  <c r="J13" i="42"/>
  <c r="J15" i="42"/>
  <c r="G6" i="43"/>
  <c r="G14" i="43"/>
  <c r="I4" i="9"/>
  <c r="Y4" i="9"/>
  <c r="A2" i="38"/>
  <c r="J6" i="48"/>
  <c r="G12" i="52"/>
  <c r="C2" i="5"/>
  <c r="E2" i="15"/>
  <c r="G2" i="18"/>
  <c r="C4" i="42"/>
  <c r="C6" i="42"/>
  <c r="C8" i="42"/>
  <c r="C10" i="42"/>
  <c r="C12" i="42"/>
  <c r="C14" i="42"/>
  <c r="C3" i="43"/>
  <c r="H6" i="43"/>
  <c r="H14" i="43"/>
  <c r="G10" i="52"/>
  <c r="M2" i="46"/>
  <c r="A2" i="7"/>
  <c r="J4" i="9"/>
  <c r="Z4" i="9"/>
  <c r="B2" i="38"/>
  <c r="J7" i="48"/>
  <c r="T17" i="56"/>
  <c r="H4" i="52"/>
  <c r="H6" i="52"/>
  <c r="H8" i="52"/>
  <c r="H10" i="52"/>
  <c r="H12" i="52"/>
  <c r="N2" i="46"/>
  <c r="B2" i="7"/>
  <c r="D2" i="5"/>
  <c r="F2" i="15"/>
  <c r="H2" i="18"/>
  <c r="D4" i="42"/>
  <c r="D6" i="42"/>
  <c r="D8" i="42"/>
  <c r="D10" i="42"/>
  <c r="D12" i="42"/>
  <c r="D14" i="42"/>
  <c r="C4" i="43"/>
  <c r="G7" i="43"/>
  <c r="G15" i="43"/>
  <c r="K4" i="9"/>
  <c r="AA4" i="9"/>
  <c r="C2" i="38"/>
  <c r="J8" i="48"/>
  <c r="F14" i="39"/>
  <c r="J4" i="39"/>
  <c r="G5" i="12"/>
  <c r="E11" i="12"/>
  <c r="F18" i="12"/>
  <c r="G23" i="12"/>
  <c r="Q4" i="12"/>
  <c r="O6" i="12"/>
  <c r="M8" i="12"/>
  <c r="K10" i="12"/>
  <c r="R11" i="12"/>
  <c r="P13" i="12"/>
  <c r="N15" i="12"/>
  <c r="L19" i="12"/>
  <c r="S20" i="12"/>
  <c r="Q22" i="12"/>
  <c r="C8" i="13"/>
  <c r="B12" i="56"/>
  <c r="I6" i="56"/>
  <c r="I10" i="56"/>
  <c r="I14" i="56"/>
  <c r="U5" i="56"/>
  <c r="U9" i="56"/>
  <c r="U13" i="56"/>
  <c r="U17" i="56"/>
  <c r="I4" i="52"/>
  <c r="I6" i="52"/>
  <c r="I8" i="52"/>
  <c r="I10" i="52"/>
  <c r="I12" i="52"/>
  <c r="A2" i="47"/>
  <c r="C2" i="7"/>
  <c r="E2" i="5"/>
  <c r="G2" i="15"/>
  <c r="I2" i="18"/>
  <c r="E4" i="42"/>
  <c r="E6" i="42"/>
  <c r="E8" i="42"/>
  <c r="E10" i="42"/>
  <c r="E12" i="42"/>
  <c r="E14" i="42"/>
  <c r="C5" i="43"/>
  <c r="H7" i="43"/>
  <c r="H15" i="43"/>
  <c r="B8" i="12"/>
  <c r="L4" i="9"/>
  <c r="AB4" i="9"/>
  <c r="D2" i="38"/>
  <c r="J9" i="48"/>
  <c r="J14" i="56"/>
  <c r="V5" i="56"/>
  <c r="V9" i="56"/>
  <c r="V17" i="56"/>
  <c r="J12" i="52"/>
  <c r="D2" i="7"/>
  <c r="F2" i="5"/>
  <c r="H2" i="15"/>
  <c r="J2" i="18"/>
  <c r="F4" i="42"/>
  <c r="F6" i="42"/>
  <c r="F8" i="42"/>
  <c r="F10" i="42"/>
  <c r="F12" i="42"/>
  <c r="F14" i="42"/>
  <c r="C6" i="43"/>
  <c r="G8" i="43"/>
  <c r="A13" i="9"/>
  <c r="A12" i="9"/>
  <c r="A11" i="9"/>
  <c r="A10" i="9"/>
  <c r="A9" i="9"/>
  <c r="A8" i="9"/>
  <c r="A7" i="9"/>
  <c r="A6" i="9"/>
  <c r="A5" i="9"/>
  <c r="A4" i="9"/>
  <c r="V13" i="56"/>
  <c r="J4" i="52"/>
  <c r="J6" i="52"/>
  <c r="J8" i="52"/>
  <c r="J10" i="52"/>
  <c r="B2" i="47"/>
  <c r="M4" i="9"/>
  <c r="AC4" i="9"/>
  <c r="E2" i="38"/>
  <c r="J10" i="48"/>
  <c r="S14" i="56"/>
  <c r="C3" i="52"/>
  <c r="C5" i="52"/>
  <c r="C7" i="52"/>
  <c r="C9" i="52"/>
  <c r="C11" i="52"/>
  <c r="A2" i="46"/>
  <c r="C2" i="47"/>
  <c r="E2" i="7"/>
  <c r="G2" i="5"/>
  <c r="I2" i="15"/>
  <c r="K2" i="18"/>
  <c r="G4" i="42"/>
  <c r="G6" i="42"/>
  <c r="G8" i="42"/>
  <c r="G10" i="42"/>
  <c r="G12" i="42"/>
  <c r="G14" i="42"/>
  <c r="C7" i="43"/>
  <c r="H8" i="43"/>
  <c r="N4" i="9"/>
  <c r="AD4" i="9"/>
  <c r="F2" i="38"/>
  <c r="J11" i="48"/>
  <c r="B15" i="56"/>
  <c r="H7" i="56"/>
  <c r="H11" i="56"/>
  <c r="H15" i="56"/>
  <c r="T6" i="56"/>
  <c r="T10" i="56"/>
  <c r="T14" i="56"/>
  <c r="D3" i="52"/>
  <c r="D5" i="52"/>
  <c r="D7" i="52"/>
  <c r="D9" i="52"/>
  <c r="D11" i="52"/>
  <c r="B2" i="46"/>
  <c r="D2" i="47"/>
  <c r="F2" i="7"/>
  <c r="H2" i="5"/>
  <c r="J2" i="15"/>
  <c r="L2" i="18"/>
  <c r="H4" i="42"/>
  <c r="H6" i="42"/>
  <c r="H8" i="42"/>
  <c r="H10" i="42"/>
  <c r="H12" i="42"/>
  <c r="H14" i="42"/>
  <c r="C8" i="43"/>
  <c r="G9" i="43"/>
  <c r="O4" i="9"/>
  <c r="AE4" i="9"/>
  <c r="G2" i="38"/>
  <c r="J12" i="48"/>
  <c r="E11" i="52"/>
  <c r="C2" i="46"/>
  <c r="E2" i="47"/>
  <c r="G2" i="7"/>
  <c r="I2" i="5"/>
  <c r="K2" i="15"/>
  <c r="M2" i="18"/>
  <c r="I4" i="42"/>
  <c r="I6" i="42"/>
  <c r="I8" i="42"/>
  <c r="I10" i="42"/>
  <c r="I12" i="42"/>
  <c r="I14" i="42"/>
  <c r="C9" i="43"/>
  <c r="H9" i="43"/>
  <c r="P4" i="9"/>
  <c r="AF4" i="9"/>
  <c r="H2" i="38"/>
  <c r="J13" i="48"/>
  <c r="F5" i="52"/>
  <c r="F7" i="52"/>
  <c r="F9" i="52"/>
  <c r="F11" i="52"/>
  <c r="D2" i="46"/>
  <c r="F2" i="47"/>
  <c r="H2" i="7"/>
  <c r="J10" i="42"/>
  <c r="J12" i="42"/>
  <c r="J14" i="42"/>
  <c r="C10" i="43"/>
  <c r="G10" i="43"/>
  <c r="J2" i="5"/>
  <c r="L2" i="15"/>
  <c r="N2" i="18"/>
  <c r="J4" i="42"/>
  <c r="J6" i="42"/>
  <c r="J8" i="42"/>
  <c r="Q4" i="9"/>
  <c r="AG4" i="9"/>
  <c r="I2" i="38"/>
  <c r="J14" i="48"/>
  <c r="G2" i="47"/>
  <c r="I2" i="7"/>
  <c r="K2" i="5"/>
  <c r="M2" i="15"/>
  <c r="C3" i="42"/>
  <c r="C5" i="42"/>
  <c r="C7" i="42"/>
  <c r="C9" i="42"/>
  <c r="C11" i="42"/>
  <c r="C13" i="42"/>
  <c r="C15" i="42"/>
  <c r="C11" i="43"/>
  <c r="H10" i="43"/>
  <c r="E2" i="46"/>
  <c r="B4" i="9"/>
  <c r="R4" i="9"/>
  <c r="AH4" i="9"/>
  <c r="J2" i="38"/>
  <c r="J15" i="48"/>
  <c r="T7" i="56"/>
  <c r="T11" i="56"/>
  <c r="T15" i="56"/>
  <c r="H3" i="52"/>
  <c r="H5" i="52"/>
  <c r="H7" i="52"/>
  <c r="H9" i="52"/>
  <c r="N2" i="15"/>
  <c r="D3" i="42"/>
  <c r="D5" i="42"/>
  <c r="D7" i="42"/>
  <c r="D11" i="42"/>
  <c r="D13" i="42"/>
  <c r="D15" i="42"/>
  <c r="G11" i="43"/>
  <c r="S19" i="12"/>
  <c r="C24" i="56"/>
  <c r="H11" i="52"/>
  <c r="F2" i="46"/>
  <c r="H2" i="47"/>
  <c r="J2" i="7"/>
  <c r="L2" i="5"/>
  <c r="D9" i="42"/>
  <c r="G3" i="43"/>
  <c r="C4" i="9"/>
  <c r="S4" i="9"/>
  <c r="AI4" i="9"/>
  <c r="K2" i="38"/>
  <c r="J16" i="48"/>
  <c r="Q21" i="12"/>
  <c r="C15" i="13"/>
  <c r="H8" i="56"/>
  <c r="H12" i="56"/>
  <c r="H16" i="56"/>
  <c r="F3" i="60"/>
  <c r="C15" i="40"/>
  <c r="L5" i="1"/>
  <c r="K11" i="28"/>
  <c r="C3" i="39"/>
  <c r="F6" i="39"/>
  <c r="J12" i="39"/>
  <c r="F8" i="12"/>
  <c r="G13" i="12"/>
  <c r="E21" i="12"/>
  <c r="R3" i="12"/>
  <c r="Q12" i="12"/>
  <c r="M18" i="12"/>
  <c r="K20" i="12"/>
  <c r="C16" i="13"/>
  <c r="C25" i="56"/>
  <c r="I8" i="56"/>
  <c r="I12" i="56"/>
  <c r="I16" i="56"/>
  <c r="U7" i="56"/>
  <c r="U11" i="56"/>
  <c r="U15" i="56"/>
  <c r="I3" i="52"/>
  <c r="I5" i="52"/>
  <c r="I7" i="52"/>
  <c r="I9" i="52"/>
  <c r="I11" i="52"/>
  <c r="G2" i="46"/>
  <c r="I2" i="47"/>
  <c r="K2" i="7"/>
  <c r="M2" i="5"/>
  <c r="A2" i="18"/>
  <c r="E3" i="42"/>
  <c r="E5" i="42"/>
  <c r="E7" i="42"/>
  <c r="E9" i="42"/>
  <c r="E11" i="42"/>
  <c r="E13" i="42"/>
  <c r="E15" i="42"/>
  <c r="H3" i="43"/>
  <c r="H11" i="43"/>
  <c r="O23" i="12"/>
  <c r="F7" i="60"/>
  <c r="F11" i="60"/>
  <c r="C21" i="55"/>
  <c r="C5" i="1"/>
  <c r="J3" i="1"/>
  <c r="G8" i="1"/>
  <c r="I10" i="1"/>
  <c r="K12" i="1"/>
  <c r="F15" i="1"/>
  <c r="H20" i="1"/>
  <c r="O14" i="1"/>
  <c r="D10" i="28"/>
  <c r="G4" i="28"/>
  <c r="G12" i="28"/>
  <c r="M5" i="28"/>
  <c r="H9" i="39"/>
  <c r="E3" i="12"/>
  <c r="P5" i="12"/>
  <c r="N7" i="12"/>
  <c r="L9" i="12"/>
  <c r="S10" i="12"/>
  <c r="O14" i="12"/>
  <c r="R21" i="12"/>
  <c r="P23" i="12"/>
  <c r="D4" i="9"/>
  <c r="T4" i="9"/>
  <c r="AJ4" i="9"/>
  <c r="L2" i="38"/>
  <c r="J19" i="48"/>
  <c r="H4" i="28"/>
  <c r="H12" i="28"/>
  <c r="L11" i="28"/>
  <c r="F7" i="39"/>
  <c r="J13" i="39"/>
  <c r="F3" i="12"/>
  <c r="L20" i="12"/>
  <c r="S21" i="12"/>
  <c r="Q23" i="12"/>
  <c r="B5" i="56"/>
  <c r="C26" i="56"/>
  <c r="J8" i="56"/>
  <c r="J12" i="56"/>
  <c r="J16" i="56"/>
  <c r="V7" i="56"/>
  <c r="V11" i="56"/>
  <c r="V15" i="56"/>
  <c r="J3" i="52"/>
  <c r="J5" i="52"/>
  <c r="J7" i="52"/>
  <c r="J9" i="52"/>
  <c r="J11" i="52"/>
  <c r="H2" i="46"/>
  <c r="J2" i="47"/>
  <c r="L2" i="7"/>
  <c r="N2" i="5"/>
  <c r="B2" i="18"/>
  <c r="F3" i="42"/>
  <c r="F5" i="42"/>
  <c r="F7" i="42"/>
  <c r="F9" i="42"/>
  <c r="F11" i="42"/>
  <c r="F13" i="42"/>
  <c r="F15" i="42"/>
  <c r="G4" i="43"/>
  <c r="G12" i="43"/>
  <c r="E10" i="28"/>
  <c r="K6" i="28"/>
  <c r="C4" i="39"/>
  <c r="H10" i="39"/>
  <c r="G8" i="12"/>
  <c r="E14" i="12"/>
  <c r="F21" i="12"/>
  <c r="S3" i="12"/>
  <c r="Q5" i="12"/>
  <c r="O7" i="12"/>
  <c r="M9" i="12"/>
  <c r="K11" i="12"/>
  <c r="R12" i="12"/>
  <c r="P14" i="12"/>
  <c r="N18" i="12"/>
  <c r="E4" i="9"/>
  <c r="U4" i="9"/>
  <c r="AK4" i="9"/>
  <c r="M2" i="38"/>
  <c r="J20" i="48"/>
  <c r="G21" i="12"/>
  <c r="K4" i="12"/>
  <c r="R5" i="12"/>
  <c r="P7" i="12"/>
  <c r="N9" i="12"/>
  <c r="L11" i="12"/>
  <c r="S12" i="12"/>
  <c r="Q14" i="12"/>
  <c r="O18" i="12"/>
  <c r="M20" i="12"/>
  <c r="K22" i="12"/>
  <c r="R23" i="12"/>
  <c r="B6" i="56"/>
  <c r="G5" i="56"/>
  <c r="G9" i="56"/>
  <c r="G13" i="56"/>
  <c r="G17" i="56"/>
  <c r="S8" i="56"/>
  <c r="S12" i="56"/>
  <c r="S16" i="56"/>
  <c r="C4" i="52"/>
  <c r="C6" i="52"/>
  <c r="C8" i="52"/>
  <c r="C10" i="52"/>
  <c r="C12" i="52"/>
  <c r="I2" i="46"/>
  <c r="K2" i="47"/>
  <c r="M2" i="7"/>
  <c r="A2" i="15"/>
  <c r="C2" i="18"/>
  <c r="G3" i="42"/>
  <c r="G5" i="42"/>
  <c r="G7" i="42"/>
  <c r="G9" i="42"/>
  <c r="G11" i="42"/>
  <c r="G13" i="42"/>
  <c r="G15" i="42"/>
  <c r="H4" i="43"/>
  <c r="H12" i="43"/>
  <c r="AG2" i="12"/>
  <c r="AF2" i="12"/>
  <c r="AE2" i="12"/>
  <c r="M15" i="48" a="1"/>
  <c r="M15" i="48" l="1"/>
  <c r="Y11" i="12" a="1"/>
  <c r="Y11" i="12" s="1"/>
  <c r="Y9" i="12" a="1"/>
  <c r="Y9" i="12" s="1"/>
  <c r="Y12" i="12" a="1"/>
  <c r="Y12" i="12" s="1"/>
  <c r="Y10" i="12" a="1"/>
  <c r="Y10" i="12" s="1"/>
  <c r="Y8" i="12" a="1"/>
  <c r="Y8" i="12" s="1"/>
  <c r="Y4" i="12" a="1"/>
  <c r="Y4" i="12" s="1"/>
  <c r="Y7" i="12" a="1"/>
  <c r="Y7" i="12" s="1"/>
  <c r="Y6" i="12" a="1"/>
  <c r="Y6" i="12" s="1"/>
  <c r="Y5" i="12" a="1"/>
  <c r="Y5" i="12" s="1"/>
  <c r="Y3" i="12" a="1"/>
  <c r="Y3" i="12" s="1"/>
  <c r="Y15" i="12" a="1"/>
  <c r="Y15" i="12" s="1"/>
  <c r="Y14" i="12" a="1"/>
  <c r="Y14" i="12" s="1"/>
  <c r="E31" i="8"/>
  <c r="F28" i="8"/>
  <c r="E28" i="8"/>
  <c r="E20" i="8"/>
  <c r="H16" i="8"/>
  <c r="G16" i="8"/>
  <c r="F16" i="8"/>
  <c r="E16" i="8"/>
  <c r="G12" i="8"/>
  <c r="F12" i="8"/>
  <c r="E12" i="8"/>
  <c r="L2" i="48" l="1"/>
  <c r="L1" i="48"/>
  <c r="K18" i="48" a="1"/>
  <c r="N3" i="48" a="1"/>
  <c r="L18" i="48" a="1"/>
  <c r="O3" i="48" a="1"/>
  <c r="O3" i="48" l="1"/>
  <c r="L18" i="48"/>
  <c r="N3" i="48"/>
  <c r="K18" i="48"/>
  <c r="C23" i="12"/>
  <c r="O4" i="48" a="1"/>
  <c r="O5" i="48" a="1"/>
  <c r="O6" i="48" a="1"/>
  <c r="O7" i="48" a="1"/>
  <c r="O8" i="48" a="1"/>
  <c r="O9" i="48" a="1"/>
  <c r="O10" i="48" a="1"/>
  <c r="O11" i="48" a="1"/>
  <c r="O12" i="48" a="1"/>
  <c r="O13" i="48" a="1"/>
  <c r="O14" i="48" a="1"/>
  <c r="O15" i="48" a="1"/>
  <c r="O16" i="48" a="1"/>
  <c r="L19" i="48" a="1"/>
  <c r="L20" i="48" a="1"/>
  <c r="K19" i="48" a="1"/>
  <c r="K20" i="48" a="1"/>
  <c r="N4" i="48" a="1"/>
  <c r="N5" i="48" a="1"/>
  <c r="N6" i="48" a="1"/>
  <c r="N7" i="48" a="1"/>
  <c r="N8" i="48" a="1"/>
  <c r="N9" i="48" a="1"/>
  <c r="N10" i="48" a="1"/>
  <c r="N11" i="48" a="1"/>
  <c r="N12" i="48" a="1"/>
  <c r="N13" i="48" a="1"/>
  <c r="N14" i="48" a="1"/>
  <c r="N15" i="48" a="1"/>
  <c r="N16" i="48" a="1"/>
  <c r="N16" i="48" l="1"/>
  <c r="N15" i="48"/>
  <c r="N14" i="48"/>
  <c r="N13" i="48"/>
  <c r="N12" i="48"/>
  <c r="N11" i="48"/>
  <c r="N10" i="48"/>
  <c r="N9" i="48"/>
  <c r="N8" i="48"/>
  <c r="N7" i="48"/>
  <c r="N6" i="48"/>
  <c r="N5" i="48"/>
  <c r="N4" i="48"/>
  <c r="K20" i="48"/>
  <c r="K19" i="48"/>
  <c r="L20" i="48"/>
  <c r="L19" i="48"/>
  <c r="O16" i="48"/>
  <c r="O15" i="48"/>
  <c r="O14" i="48"/>
  <c r="O13" i="48"/>
  <c r="O12" i="48"/>
  <c r="O11" i="48"/>
  <c r="O10" i="48"/>
  <c r="O9" i="48"/>
  <c r="O8" i="48"/>
  <c r="O7" i="48"/>
  <c r="O6" i="48"/>
  <c r="O5" i="48"/>
  <c r="O4" i="48"/>
  <c r="I23" i="12"/>
  <c r="E25" i="59" s="1"/>
  <c r="H23" i="12"/>
  <c r="O4" i="28"/>
  <c r="F36" i="59"/>
  <c r="F37" i="59"/>
  <c r="O3" i="28"/>
  <c r="O8" i="28"/>
  <c r="O13" i="28"/>
  <c r="O5" i="28"/>
  <c r="O15" i="28"/>
  <c r="O11" i="28"/>
  <c r="F38" i="59"/>
  <c r="O9" i="28"/>
  <c r="F35" i="59"/>
  <c r="S4" i="52"/>
  <c r="S16" i="52"/>
  <c r="S5" i="52"/>
  <c r="S9" i="52"/>
  <c r="F39" i="59"/>
  <c r="O6" i="28" l="1"/>
  <c r="O7" i="28"/>
  <c r="O10" i="28"/>
  <c r="O12" i="28"/>
  <c r="O14" i="28"/>
  <c r="S13" i="52"/>
  <c r="S3" i="52"/>
  <c r="M16" i="56"/>
  <c r="N16" i="56"/>
  <c r="L16" i="56"/>
  <c r="M12" i="56"/>
  <c r="N12" i="56"/>
  <c r="L12" i="56"/>
  <c r="M8" i="56"/>
  <c r="N8" i="56"/>
  <c r="L8" i="56"/>
  <c r="M15" i="56"/>
  <c r="N15" i="56"/>
  <c r="L15" i="56"/>
  <c r="M11" i="56"/>
  <c r="N11" i="56"/>
  <c r="L11" i="56"/>
  <c r="M7" i="56"/>
  <c r="N7" i="56"/>
  <c r="L7" i="56"/>
  <c r="M14" i="56"/>
  <c r="N14" i="56"/>
  <c r="L14" i="56"/>
  <c r="M10" i="56"/>
  <c r="N10" i="56"/>
  <c r="L10" i="56"/>
  <c r="M6" i="56"/>
  <c r="N6" i="56"/>
  <c r="L6" i="56"/>
  <c r="M17" i="56"/>
  <c r="N17" i="56"/>
  <c r="L17" i="56"/>
  <c r="M13" i="56"/>
  <c r="N13" i="56"/>
  <c r="L13" i="56"/>
  <c r="M9" i="56"/>
  <c r="N9" i="56"/>
  <c r="L9" i="56"/>
  <c r="M5" i="56"/>
  <c r="L5" i="56"/>
  <c r="N5" i="56"/>
  <c r="J23" i="12"/>
  <c r="C25" i="59"/>
  <c r="P14" i="56" l="1"/>
  <c r="M20" i="48"/>
  <c r="M19" i="48"/>
  <c r="P8" i="56"/>
  <c r="P15" i="56"/>
  <c r="P9" i="56"/>
  <c r="P13" i="56"/>
  <c r="P10" i="56"/>
  <c r="P5" i="56"/>
  <c r="M19" i="56"/>
  <c r="M20" i="56"/>
  <c r="N19" i="56"/>
  <c r="N20" i="56"/>
  <c r="P6" i="56"/>
  <c r="P11" i="56"/>
  <c r="P16" i="56"/>
  <c r="L20" i="56"/>
  <c r="L19" i="56"/>
  <c r="P17" i="56"/>
  <c r="P7" i="56"/>
  <c r="P12" i="56"/>
  <c r="C12" i="60"/>
  <c r="C11" i="60"/>
  <c r="C10" i="60"/>
  <c r="C9" i="60"/>
  <c r="C8" i="60"/>
  <c r="C7" i="60"/>
  <c r="C6" i="60"/>
  <c r="C5" i="60"/>
  <c r="C4" i="60"/>
  <c r="C3" i="60"/>
  <c r="L35" i="59"/>
  <c r="L22" i="56" l="1"/>
  <c r="I9" i="59" s="1"/>
  <c r="M22" i="56"/>
  <c r="I10" i="59" s="1"/>
  <c r="N22" i="56"/>
  <c r="I11" i="59" s="1"/>
  <c r="K3" i="60"/>
  <c r="L37" i="59"/>
  <c r="L38" i="59"/>
  <c r="L39" i="59"/>
  <c r="L36" i="59"/>
  <c r="M10" i="60"/>
  <c r="M5" i="60"/>
  <c r="M9" i="60"/>
  <c r="M6" i="60"/>
  <c r="K8" i="60"/>
  <c r="L12" i="60"/>
  <c r="L6" i="60"/>
  <c r="K6" i="60"/>
  <c r="M8" i="60"/>
  <c r="L10" i="60"/>
  <c r="K10" i="60"/>
  <c r="L8" i="60"/>
  <c r="L5" i="60"/>
  <c r="K5" i="60"/>
  <c r="L9" i="60"/>
  <c r="K9" i="60"/>
  <c r="M11" i="60"/>
  <c r="M3" i="60" l="1"/>
  <c r="P6" i="60"/>
  <c r="Q6" i="60"/>
  <c r="K4" i="60"/>
  <c r="K7" i="60"/>
  <c r="P9" i="60"/>
  <c r="Q9" i="60"/>
  <c r="P5" i="60"/>
  <c r="Q5" i="60"/>
  <c r="K12" i="60"/>
  <c r="M12" i="60"/>
  <c r="M4" i="60"/>
  <c r="Q8" i="60"/>
  <c r="P8" i="60"/>
  <c r="L11" i="60"/>
  <c r="L7" i="60"/>
  <c r="L3" i="60"/>
  <c r="M7" i="60"/>
  <c r="P10" i="60"/>
  <c r="Q10" i="60"/>
  <c r="L4" i="60"/>
  <c r="K11" i="60"/>
  <c r="Q11" i="60" l="1"/>
  <c r="P11" i="60"/>
  <c r="Q12" i="60"/>
  <c r="P12" i="60"/>
  <c r="Q7" i="60"/>
  <c r="P7" i="60"/>
  <c r="Q4" i="60"/>
  <c r="P4" i="60"/>
  <c r="Q3" i="60"/>
  <c r="P3" i="60"/>
  <c r="S9" i="60" l="1"/>
  <c r="D14" i="59" s="1"/>
  <c r="S3" i="60"/>
  <c r="D8" i="59" s="1"/>
  <c r="S10" i="60"/>
  <c r="D15" i="59" s="1"/>
  <c r="S6" i="60"/>
  <c r="D11" i="59" s="1"/>
  <c r="S8" i="60"/>
  <c r="D13" i="59" s="1"/>
  <c r="S5" i="60"/>
  <c r="D10" i="59" s="1"/>
  <c r="S4" i="60"/>
  <c r="D9" i="59" s="1"/>
  <c r="S12" i="60"/>
  <c r="D17" i="59" s="1"/>
  <c r="S7" i="60"/>
  <c r="D12" i="59" s="1"/>
  <c r="S11" i="60"/>
  <c r="D16" i="59" s="1"/>
  <c r="Q5" i="48" l="1" a="1"/>
  <c r="Q5" i="48" s="1"/>
  <c r="AF4" i="12" s="1"/>
  <c r="Q8" i="48" a="1"/>
  <c r="Q8" i="48" s="1"/>
  <c r="AF7" i="12" s="1"/>
  <c r="Q13" i="48" a="1"/>
  <c r="Q13" i="48" s="1"/>
  <c r="AF12" i="12" s="1"/>
  <c r="Q16" i="48" a="1"/>
  <c r="Q16" i="48" s="1"/>
  <c r="AF15" i="12" s="1"/>
  <c r="Q12" i="48" a="1"/>
  <c r="Q12" i="48" s="1"/>
  <c r="AF11" i="12" s="1"/>
  <c r="Q7" i="48" a="1"/>
  <c r="Q7" i="48" s="1"/>
  <c r="AF6" i="12" s="1"/>
  <c r="Q15" i="48" a="1"/>
  <c r="Q15" i="48" s="1"/>
  <c r="AF14" i="12" s="1"/>
  <c r="Q6" i="48" a="1"/>
  <c r="Q6" i="48" s="1"/>
  <c r="AF5" i="12" s="1"/>
  <c r="Q11" i="48" a="1"/>
  <c r="Q11" i="48" s="1"/>
  <c r="AF10" i="12" s="1"/>
  <c r="Q14" i="48" a="1"/>
  <c r="Q14" i="48" s="1"/>
  <c r="AF13" i="12" s="1"/>
  <c r="Q9" i="48" a="1"/>
  <c r="Q9" i="48" s="1"/>
  <c r="AF8" i="12" s="1"/>
  <c r="Q4" i="48" a="1"/>
  <c r="Q4" i="48" s="1"/>
  <c r="AF3" i="12" s="1"/>
  <c r="Q10" i="48" a="1"/>
  <c r="Q10" i="48" s="1"/>
  <c r="AF9" i="12" s="1"/>
  <c r="J4" i="43" l="1" a="1"/>
  <c r="J4" i="43" s="1"/>
  <c r="Q4" i="42" s="1"/>
  <c r="J5" i="43" a="1"/>
  <c r="J5" i="43" s="1"/>
  <c r="Q5" i="42" s="1"/>
  <c r="J6" i="43" a="1"/>
  <c r="J6" i="43" s="1"/>
  <c r="Q6" i="42" s="1"/>
  <c r="J7" i="43" a="1"/>
  <c r="J7" i="43" s="1"/>
  <c r="Q7" i="42" s="1"/>
  <c r="J8" i="43" a="1"/>
  <c r="J8" i="43" s="1"/>
  <c r="Q8" i="42" s="1"/>
  <c r="J9" i="43" a="1"/>
  <c r="J9" i="43" s="1"/>
  <c r="Q9" i="42" s="1"/>
  <c r="J10" i="43" a="1"/>
  <c r="J10" i="43" s="1"/>
  <c r="Q10" i="42" s="1"/>
  <c r="J11" i="43" a="1"/>
  <c r="J11" i="43" s="1"/>
  <c r="Q11" i="42" s="1"/>
  <c r="J12" i="43" a="1"/>
  <c r="J12" i="43" s="1"/>
  <c r="Q12" i="42" s="1"/>
  <c r="J13" i="43" a="1"/>
  <c r="J13" i="43" s="1"/>
  <c r="Q13" i="42" s="1"/>
  <c r="J14" i="43" a="1"/>
  <c r="J14" i="43" s="1"/>
  <c r="Q14" i="42" s="1"/>
  <c r="J15" i="43" a="1"/>
  <c r="J15" i="43" s="1"/>
  <c r="Q15" i="42" s="1"/>
  <c r="J3" i="43" a="1"/>
  <c r="J3" i="43" s="1"/>
  <c r="Q3" i="42" s="1"/>
  <c r="F12" i="43"/>
  <c r="F13" i="43"/>
  <c r="F14" i="43"/>
  <c r="F15" i="43"/>
  <c r="P4" i="42"/>
  <c r="P5" i="42"/>
  <c r="P6" i="42"/>
  <c r="P7" i="42"/>
  <c r="P8" i="42"/>
  <c r="P9" i="42"/>
  <c r="P10" i="42"/>
  <c r="P11" i="42"/>
  <c r="P12" i="42"/>
  <c r="P13" i="42"/>
  <c r="P14" i="42"/>
  <c r="P15" i="42"/>
  <c r="P3" i="42"/>
  <c r="N4" i="42"/>
  <c r="N5" i="42"/>
  <c r="N6" i="42"/>
  <c r="N7" i="42"/>
  <c r="N8" i="42"/>
  <c r="N9" i="42"/>
  <c r="N10" i="42"/>
  <c r="N11" i="42"/>
  <c r="N12" i="42"/>
  <c r="N13" i="42"/>
  <c r="N14" i="42"/>
  <c r="N15" i="42"/>
  <c r="N3" i="42"/>
  <c r="M4" i="42"/>
  <c r="M5" i="42"/>
  <c r="M6" i="42"/>
  <c r="M7" i="42"/>
  <c r="M8" i="42"/>
  <c r="M9" i="42"/>
  <c r="M10" i="42"/>
  <c r="M11" i="42"/>
  <c r="M12" i="42"/>
  <c r="M13" i="42"/>
  <c r="M14" i="42"/>
  <c r="M15" i="42"/>
  <c r="M3" i="42"/>
  <c r="L4" i="42"/>
  <c r="L5" i="42"/>
  <c r="L6" i="42"/>
  <c r="L7" i="42"/>
  <c r="L8" i="42"/>
  <c r="L9" i="42"/>
  <c r="L10" i="42"/>
  <c r="L11" i="42"/>
  <c r="L12" i="42"/>
  <c r="L13" i="42"/>
  <c r="L14" i="42"/>
  <c r="L15" i="42"/>
  <c r="L3" i="42"/>
  <c r="K126" i="15" l="1" a="1"/>
  <c r="K126" i="15" s="1"/>
  <c r="L126" i="15" a="1"/>
  <c r="L126" i="15" s="1"/>
  <c r="M126" i="15" a="1"/>
  <c r="M126" i="15" s="1"/>
  <c r="N126" i="15" a="1"/>
  <c r="N126" i="15" s="1"/>
  <c r="K127" i="15" a="1"/>
  <c r="K127" i="15" s="1"/>
  <c r="L127" i="15" a="1"/>
  <c r="L127" i="15" s="1"/>
  <c r="M127" i="15" a="1"/>
  <c r="M127" i="15" s="1"/>
  <c r="N127" i="15" a="1"/>
  <c r="N127" i="15" s="1"/>
  <c r="K128" i="15" a="1"/>
  <c r="K128" i="15" s="1"/>
  <c r="L128" i="15" a="1"/>
  <c r="L128" i="15" s="1"/>
  <c r="M128" i="15" a="1"/>
  <c r="M128" i="15" s="1"/>
  <c r="N128" i="15" a="1"/>
  <c r="N128" i="15" s="1"/>
  <c r="K130" i="15"/>
  <c r="L130" i="15"/>
  <c r="M130" i="15"/>
  <c r="N130" i="15"/>
  <c r="K131" i="15"/>
  <c r="L131" i="15"/>
  <c r="M131" i="15"/>
  <c r="N131" i="15"/>
  <c r="K136" i="15" a="1"/>
  <c r="K136" i="15" s="1"/>
  <c r="L136" i="15" a="1"/>
  <c r="L136" i="15" s="1"/>
  <c r="M136" i="15" a="1"/>
  <c r="M136" i="15" s="1"/>
  <c r="N136" i="15" a="1"/>
  <c r="N136" i="15" s="1"/>
  <c r="K137" i="15" a="1"/>
  <c r="K137" i="15" s="1"/>
  <c r="L137" i="15" a="1"/>
  <c r="L137" i="15" s="1"/>
  <c r="M137" i="15" a="1"/>
  <c r="M137" i="15" s="1"/>
  <c r="N137" i="15" a="1"/>
  <c r="N137" i="15" s="1"/>
  <c r="K138" i="15" a="1"/>
  <c r="K138" i="15" s="1"/>
  <c r="L138" i="15" a="1"/>
  <c r="L138" i="15" s="1"/>
  <c r="M138" i="15" a="1"/>
  <c r="M138" i="15" s="1"/>
  <c r="N138" i="15" a="1"/>
  <c r="N138" i="15" s="1"/>
  <c r="L133" i="15" l="1"/>
  <c r="K133" i="15"/>
  <c r="L140" i="15"/>
  <c r="N140" i="15"/>
  <c r="M133" i="15"/>
  <c r="N133" i="15"/>
  <c r="M140" i="15"/>
  <c r="K140" i="15"/>
  <c r="K125" i="7" l="1" a="1"/>
  <c r="K125" i="7" s="1"/>
  <c r="L125" i="7" a="1"/>
  <c r="L125" i="7" s="1"/>
  <c r="M125" i="7" a="1"/>
  <c r="M125" i="7" s="1"/>
  <c r="N125" i="7" a="1"/>
  <c r="N125" i="7" s="1"/>
  <c r="K126" i="7" a="1"/>
  <c r="K126" i="7" s="1"/>
  <c r="L126" i="7" a="1"/>
  <c r="L126" i="7" s="1"/>
  <c r="M126" i="7" a="1"/>
  <c r="M126" i="7" s="1"/>
  <c r="N126" i="7" a="1"/>
  <c r="N126" i="7" s="1"/>
  <c r="K128" i="7" a="1"/>
  <c r="K128" i="7" s="1"/>
  <c r="L128" i="7" a="1"/>
  <c r="L128" i="7" s="1"/>
  <c r="M128" i="7" a="1"/>
  <c r="M128" i="7" s="1"/>
  <c r="N128" i="7" a="1"/>
  <c r="N128" i="7" s="1"/>
  <c r="K124" i="47" a="1"/>
  <c r="K124" i="47" s="1"/>
  <c r="L124" i="47" a="1"/>
  <c r="L124" i="47" s="1"/>
  <c r="M124" i="47" a="1"/>
  <c r="M124" i="47" s="1"/>
  <c r="N124" i="47" a="1"/>
  <c r="N124" i="47" s="1"/>
  <c r="K125" i="47" a="1"/>
  <c r="K125" i="47" s="1"/>
  <c r="L125" i="47" a="1"/>
  <c r="L125" i="47" s="1"/>
  <c r="M125" i="47" a="1"/>
  <c r="M125" i="47" s="1"/>
  <c r="N125" i="47" a="1"/>
  <c r="N125" i="47" s="1"/>
  <c r="K127" i="47" a="1"/>
  <c r="K127" i="47" s="1"/>
  <c r="L127" i="47" a="1"/>
  <c r="L127" i="47" s="1"/>
  <c r="M127" i="47" a="1"/>
  <c r="M127" i="47" s="1"/>
  <c r="N127" i="47" a="1"/>
  <c r="N127" i="47" s="1"/>
  <c r="K124" i="46" a="1"/>
  <c r="K124" i="46" s="1"/>
  <c r="L124" i="46" a="1"/>
  <c r="L124" i="46" s="1"/>
  <c r="M124" i="46" a="1"/>
  <c r="M124" i="46" s="1"/>
  <c r="N124" i="46" a="1"/>
  <c r="N124" i="46" s="1"/>
  <c r="K125" i="46" a="1"/>
  <c r="K125" i="46" s="1"/>
  <c r="L125" i="46" a="1"/>
  <c r="L125" i="46" s="1"/>
  <c r="M125" i="46" a="1"/>
  <c r="M125" i="46" s="1"/>
  <c r="N125" i="46" a="1"/>
  <c r="N125" i="46" s="1"/>
  <c r="K127" i="46" a="1"/>
  <c r="K127" i="46" s="1"/>
  <c r="L127" i="46" a="1"/>
  <c r="L127" i="46" s="1"/>
  <c r="M127" i="46" a="1"/>
  <c r="M127" i="46" s="1"/>
  <c r="N127" i="46" a="1"/>
  <c r="N127" i="46" s="1"/>
  <c r="AD4" i="12" l="1"/>
  <c r="AD5" i="12"/>
  <c r="AD6" i="12"/>
  <c r="AD7" i="12"/>
  <c r="AD8" i="12"/>
  <c r="AD9" i="12"/>
  <c r="AD10" i="12"/>
  <c r="AD11" i="12"/>
  <c r="AD12" i="12"/>
  <c r="AD13" i="12"/>
  <c r="AD14" i="12"/>
  <c r="AD15" i="12"/>
  <c r="AD3" i="12"/>
  <c r="AC4" i="12"/>
  <c r="AC5" i="12"/>
  <c r="AC6" i="12"/>
  <c r="AC7" i="12"/>
  <c r="AC8" i="12"/>
  <c r="AC9" i="12"/>
  <c r="AC10" i="12"/>
  <c r="AC11" i="12"/>
  <c r="AC12" i="12"/>
  <c r="AC13" i="12"/>
  <c r="AC14" i="12"/>
  <c r="AC15" i="12"/>
  <c r="AC3" i="12"/>
  <c r="Z4" i="12" a="1"/>
  <c r="Z4" i="12" s="1"/>
  <c r="Z5" i="12" a="1"/>
  <c r="Z5" i="12" s="1"/>
  <c r="Z6" i="12" a="1"/>
  <c r="Z6" i="12" s="1"/>
  <c r="Z7" i="12" a="1"/>
  <c r="Z7" i="12" s="1"/>
  <c r="Z8" i="12" a="1"/>
  <c r="Z8" i="12" s="1"/>
  <c r="Z9" i="12" a="1"/>
  <c r="Z9" i="12" s="1"/>
  <c r="Z10" i="12" a="1"/>
  <c r="Z10" i="12" s="1"/>
  <c r="Z11" i="12" a="1"/>
  <c r="Z11" i="12" s="1"/>
  <c r="Z12" i="12" a="1"/>
  <c r="Z12" i="12" s="1"/>
  <c r="Z13" i="12" a="1"/>
  <c r="Z13" i="12" s="1"/>
  <c r="Z14" i="12" a="1"/>
  <c r="Z14" i="12" s="1"/>
  <c r="Z15" i="12" a="1"/>
  <c r="Z15" i="12" s="1"/>
  <c r="Z3" i="12" a="1"/>
  <c r="Z3" i="12" s="1"/>
  <c r="X4" i="12" a="1"/>
  <c r="X4" i="12" s="1"/>
  <c r="X5" i="12" a="1"/>
  <c r="X5" i="12" s="1"/>
  <c r="X6" i="12" a="1"/>
  <c r="X6" i="12" s="1"/>
  <c r="X7" i="12" a="1"/>
  <c r="X7" i="12" s="1"/>
  <c r="X8" i="12" a="1"/>
  <c r="X8" i="12" s="1"/>
  <c r="X9" i="12" a="1"/>
  <c r="X9" i="12" s="1"/>
  <c r="X10" i="12" a="1"/>
  <c r="X10" i="12" s="1"/>
  <c r="X11" i="12" a="1"/>
  <c r="X11" i="12" s="1"/>
  <c r="X12" i="12" a="1"/>
  <c r="X12" i="12" s="1"/>
  <c r="X13" i="12" a="1"/>
  <c r="X13" i="12" s="1"/>
  <c r="X14" i="12" a="1"/>
  <c r="X14" i="12" s="1"/>
  <c r="X15" i="12" a="1"/>
  <c r="X15" i="12" s="1"/>
  <c r="X3" i="12" a="1"/>
  <c r="X3" i="12" s="1"/>
  <c r="W4" i="12" a="1"/>
  <c r="W4" i="12" s="1"/>
  <c r="W5" i="12" a="1"/>
  <c r="W5" i="12" s="1"/>
  <c r="W6" i="12" a="1"/>
  <c r="W6" i="12" s="1"/>
  <c r="W7" i="12" a="1"/>
  <c r="W7" i="12" s="1"/>
  <c r="W8" i="12" a="1"/>
  <c r="W8" i="12" s="1"/>
  <c r="W9" i="12" a="1"/>
  <c r="W9" i="12" s="1"/>
  <c r="W10" i="12" a="1"/>
  <c r="W10" i="12" s="1"/>
  <c r="W11" i="12" a="1"/>
  <c r="W11" i="12" s="1"/>
  <c r="W12" i="12" a="1"/>
  <c r="W12" i="12" s="1"/>
  <c r="W13" i="12" a="1"/>
  <c r="W13" i="12" s="1"/>
  <c r="W14" i="12" a="1"/>
  <c r="W14" i="12" s="1"/>
  <c r="W15" i="12" a="1"/>
  <c r="W15" i="12" s="1"/>
  <c r="W3" i="12" a="1"/>
  <c r="W3" i="12" s="1"/>
  <c r="V4" i="12" a="1"/>
  <c r="V4" i="12" s="1"/>
  <c r="V5" i="12" a="1"/>
  <c r="V5" i="12" s="1"/>
  <c r="V6" i="12" a="1"/>
  <c r="V6" i="12" s="1"/>
  <c r="V7" i="12" a="1"/>
  <c r="V7" i="12" s="1"/>
  <c r="V8" i="12" a="1"/>
  <c r="V8" i="12" s="1"/>
  <c r="V9" i="12" a="1"/>
  <c r="V9" i="12" s="1"/>
  <c r="V10" i="12" a="1"/>
  <c r="V10" i="12" s="1"/>
  <c r="V11" i="12" a="1"/>
  <c r="V11" i="12" s="1"/>
  <c r="V12" i="12" a="1"/>
  <c r="V12" i="12" s="1"/>
  <c r="V13" i="12" a="1"/>
  <c r="V13" i="12" s="1"/>
  <c r="V14" i="12" a="1"/>
  <c r="V14" i="12" s="1"/>
  <c r="V15" i="12" a="1"/>
  <c r="V15" i="12" s="1"/>
  <c r="V3" i="12" a="1"/>
  <c r="V3" i="12" s="1"/>
  <c r="T4" i="12" a="1"/>
  <c r="T4" i="12" s="1"/>
  <c r="T5" i="12" a="1"/>
  <c r="T5" i="12" s="1"/>
  <c r="T6" i="12" a="1"/>
  <c r="T6" i="12" s="1"/>
  <c r="T7" i="12" a="1"/>
  <c r="T7" i="12" s="1"/>
  <c r="T8" i="12" a="1"/>
  <c r="T8" i="12" s="1"/>
  <c r="T9" i="12" a="1"/>
  <c r="T9" i="12" s="1"/>
  <c r="T10" i="12" a="1"/>
  <c r="T10" i="12" s="1"/>
  <c r="T11" i="12" a="1"/>
  <c r="T11" i="12" s="1"/>
  <c r="T12" i="12" a="1"/>
  <c r="T12" i="12" s="1"/>
  <c r="T13" i="12" a="1"/>
  <c r="T13" i="12" s="1"/>
  <c r="T14" i="12" a="1"/>
  <c r="T14" i="12" s="1"/>
  <c r="T15" i="12" a="1"/>
  <c r="T15" i="12" s="1"/>
  <c r="T3" i="12" a="1"/>
  <c r="T3" i="12" s="1"/>
  <c r="D4" i="12"/>
  <c r="D5" i="12"/>
  <c r="D6" i="12"/>
  <c r="D7" i="12"/>
  <c r="D8" i="12"/>
  <c r="D9" i="12"/>
  <c r="D10" i="12"/>
  <c r="D11" i="12"/>
  <c r="D12" i="12"/>
  <c r="D13" i="12"/>
  <c r="D14" i="12"/>
  <c r="D15" i="12"/>
  <c r="D3" i="12"/>
  <c r="AE9" i="12" l="1"/>
  <c r="AE13" i="12"/>
  <c r="AE12" i="12"/>
  <c r="AE15" i="12"/>
  <c r="AE11" i="12"/>
  <c r="AE7" i="12"/>
  <c r="AE8" i="12"/>
  <c r="AE14" i="12"/>
  <c r="AE10" i="12"/>
  <c r="AE6" i="12"/>
  <c r="AE5" i="12"/>
  <c r="AE3" i="12"/>
  <c r="AE4" i="12"/>
  <c r="F11" i="57"/>
  <c r="F12" i="57"/>
  <c r="F13" i="57"/>
  <c r="F14" i="57"/>
  <c r="H14" i="12" l="1"/>
  <c r="K17" i="40" s="1"/>
  <c r="U13" i="12"/>
  <c r="I15" i="12"/>
  <c r="H13" i="12"/>
  <c r="K16" i="40" s="1"/>
  <c r="U12" i="12"/>
  <c r="U14" i="12"/>
  <c r="U15" i="12"/>
  <c r="I14" i="12"/>
  <c r="K126" i="5" a="1"/>
  <c r="K126" i="5" s="1"/>
  <c r="L126" i="5" a="1"/>
  <c r="L126" i="5" s="1"/>
  <c r="M126" i="5" a="1"/>
  <c r="M126" i="5" s="1"/>
  <c r="N126" i="5" a="1"/>
  <c r="N126" i="5" s="1"/>
  <c r="K127" i="5" a="1"/>
  <c r="K127" i="5" s="1"/>
  <c r="D13" i="13" s="1"/>
  <c r="L127" i="5" a="1"/>
  <c r="L127" i="5" s="1"/>
  <c r="D14" i="13" s="1"/>
  <c r="M127" i="5" a="1"/>
  <c r="M127" i="5" s="1"/>
  <c r="D15" i="13" s="1"/>
  <c r="N127" i="5" a="1"/>
  <c r="N127" i="5" s="1"/>
  <c r="D16" i="13" s="1"/>
  <c r="K129" i="5"/>
  <c r="L129" i="5"/>
  <c r="M129" i="5"/>
  <c r="N129" i="5"/>
  <c r="K130" i="5"/>
  <c r="L130" i="5"/>
  <c r="M130" i="5"/>
  <c r="N130" i="5"/>
  <c r="K134" i="5" a="1"/>
  <c r="K134" i="5" s="1"/>
  <c r="F14" i="56" s="1"/>
  <c r="L134" i="5" a="1"/>
  <c r="L134" i="5" s="1"/>
  <c r="F15" i="56" s="1"/>
  <c r="M134" i="5" a="1"/>
  <c r="M134" i="5" s="1"/>
  <c r="F16" i="56" s="1"/>
  <c r="N134" i="5" a="1"/>
  <c r="N134" i="5" s="1"/>
  <c r="F17" i="56" s="1"/>
  <c r="K136" i="5" a="1"/>
  <c r="K136" i="5" s="1"/>
  <c r="L136" i="5" a="1"/>
  <c r="L136" i="5" s="1"/>
  <c r="M136" i="5" a="1"/>
  <c r="M136" i="5" s="1"/>
  <c r="N136" i="5" a="1"/>
  <c r="N136" i="5" s="1"/>
  <c r="K138" i="5"/>
  <c r="K139" i="5" s="1"/>
  <c r="E18" i="55" s="1"/>
  <c r="L138" i="5"/>
  <c r="L139" i="5" s="1"/>
  <c r="E19" i="55" s="1"/>
  <c r="M138" i="5"/>
  <c r="M139" i="5" s="1"/>
  <c r="E20" i="55" s="1"/>
  <c r="N138" i="5"/>
  <c r="N139" i="5" s="1"/>
  <c r="E21" i="55" s="1"/>
  <c r="L132" i="5" l="1"/>
  <c r="E14" i="13" s="1"/>
  <c r="J14" i="13" s="1"/>
  <c r="K132" i="5"/>
  <c r="E13" i="13" s="1"/>
  <c r="J13" i="13" s="1"/>
  <c r="N132" i="5"/>
  <c r="E16" i="13" s="1"/>
  <c r="J16" i="13" s="1"/>
  <c r="M132" i="5"/>
  <c r="E15" i="13" s="1"/>
  <c r="J15" i="13" s="1"/>
  <c r="H12" i="12"/>
  <c r="K15" i="40" s="1"/>
  <c r="I12" i="12"/>
  <c r="J14" i="12"/>
  <c r="I13" i="12"/>
  <c r="J13" i="12" s="1"/>
  <c r="H15" i="12"/>
  <c r="K18" i="40" s="1"/>
  <c r="J12" i="12" l="1"/>
  <c r="J15" i="12"/>
  <c r="I13" i="13" l="1"/>
  <c r="I14" i="13"/>
  <c r="I15" i="13"/>
  <c r="I16" i="13"/>
  <c r="H15" i="13"/>
  <c r="H14" i="13"/>
  <c r="H13" i="13" l="1"/>
  <c r="H16" i="13"/>
  <c r="L11" i="39" l="1"/>
  <c r="L12" i="39"/>
  <c r="L13" i="39"/>
  <c r="L14" i="39"/>
  <c r="K23" i="18"/>
  <c r="K25" i="18" s="1" a="1"/>
  <c r="K25" i="18" s="1"/>
  <c r="K11" i="39" s="1"/>
  <c r="L23" i="18"/>
  <c r="L25" i="18" s="1" a="1"/>
  <c r="L25" i="18" s="1"/>
  <c r="K12" i="39" s="1"/>
  <c r="M23" i="18"/>
  <c r="M25" i="18" s="1" a="1"/>
  <c r="M25" i="18" s="1"/>
  <c r="K13" i="39" s="1"/>
  <c r="N23" i="18"/>
  <c r="N25" i="18" s="1" a="1"/>
  <c r="N25" i="18" s="1"/>
  <c r="K14" i="39" s="1"/>
  <c r="O3" i="39" l="1" a="1"/>
  <c r="O3" i="39" s="1"/>
  <c r="O4" i="39" a="1"/>
  <c r="O4" i="39" s="1"/>
  <c r="O5" i="39" a="1"/>
  <c r="O5" i="39" s="1"/>
  <c r="O6" i="39" a="1"/>
  <c r="O6" i="39" s="1"/>
  <c r="O7" i="39" a="1"/>
  <c r="O7" i="39" s="1"/>
  <c r="O8" i="39" a="1"/>
  <c r="O8" i="39" s="1"/>
  <c r="O9" i="39" a="1"/>
  <c r="O9" i="39" s="1"/>
  <c r="O10" i="39" a="1"/>
  <c r="O10" i="39" s="1"/>
  <c r="O11" i="39" a="1"/>
  <c r="O11" i="39" s="1"/>
  <c r="O12" i="39" a="1"/>
  <c r="O12" i="39" s="1"/>
  <c r="O13" i="39" a="1"/>
  <c r="O13" i="39" s="1"/>
  <c r="O14" i="39" a="1"/>
  <c r="O14" i="39" s="1"/>
  <c r="O2" i="39" a="1"/>
  <c r="O2" i="39" s="1"/>
  <c r="G11" i="39"/>
  <c r="G12" i="39"/>
  <c r="G13" i="39"/>
  <c r="G14" i="39"/>
  <c r="G3" i="39"/>
  <c r="G4" i="39"/>
  <c r="G5" i="39"/>
  <c r="G6" i="39"/>
  <c r="G7" i="39"/>
  <c r="G8" i="39"/>
  <c r="G9" i="39"/>
  <c r="G10" i="39"/>
  <c r="G2" i="39"/>
  <c r="T4" i="28" l="1"/>
  <c r="T5" i="28"/>
  <c r="T6" i="28"/>
  <c r="T7" i="28"/>
  <c r="T8" i="28"/>
  <c r="T9" i="28"/>
  <c r="T10" i="28"/>
  <c r="T11" i="28"/>
  <c r="T12" i="28"/>
  <c r="T13" i="28"/>
  <c r="T14" i="28"/>
  <c r="T15" i="28"/>
  <c r="S6" i="28"/>
  <c r="S7" i="28"/>
  <c r="S8" i="28"/>
  <c r="S9" i="28"/>
  <c r="S10" i="28"/>
  <c r="S11" i="28"/>
  <c r="S12" i="28"/>
  <c r="S13" i="28"/>
  <c r="S14" i="28"/>
  <c r="S15" i="28"/>
  <c r="S4" i="28"/>
  <c r="S5" i="28"/>
  <c r="K25" i="38" l="1"/>
  <c r="M12" i="1" s="1"/>
  <c r="L25" i="38"/>
  <c r="M13" i="1" s="1"/>
  <c r="M25" i="38"/>
  <c r="M14" i="1" s="1"/>
  <c r="N25" i="38"/>
  <c r="M15" i="1" s="1"/>
  <c r="K24" i="38"/>
  <c r="I11" i="39" s="1"/>
  <c r="M11" i="39" s="1"/>
  <c r="L24" i="38"/>
  <c r="I12" i="39" s="1"/>
  <c r="M12" i="39" s="1"/>
  <c r="M24" i="38"/>
  <c r="I13" i="39" s="1"/>
  <c r="M13" i="39" s="1"/>
  <c r="N24" i="38"/>
  <c r="I14" i="39" s="1"/>
  <c r="M14" i="39" s="1"/>
  <c r="K23" i="38"/>
  <c r="L23" i="38"/>
  <c r="M23" i="38"/>
  <c r="N23" i="38"/>
  <c r="J4" i="28" l="1"/>
  <c r="J5" i="28"/>
  <c r="J6" i="28"/>
  <c r="J7" i="28"/>
  <c r="J8" i="28"/>
  <c r="J9" i="28"/>
  <c r="J10" i="28"/>
  <c r="J11" i="28"/>
  <c r="J12" i="28"/>
  <c r="J13" i="28"/>
  <c r="J14" i="28"/>
  <c r="J15" i="28"/>
  <c r="J3" i="28"/>
  <c r="U12" i="28"/>
  <c r="U13" i="28"/>
  <c r="U14" i="28"/>
  <c r="U15" i="28"/>
  <c r="N15" i="28" l="1"/>
  <c r="N14" i="28"/>
  <c r="N13" i="28" l="1"/>
  <c r="N12" i="28"/>
  <c r="Y4" i="1" a="1"/>
  <c r="Y4" i="1" s="1"/>
  <c r="Y5" i="1" a="1"/>
  <c r="Y5" i="1" s="1"/>
  <c r="Y6" i="1" a="1"/>
  <c r="Y6" i="1" s="1"/>
  <c r="Y7" i="1" a="1"/>
  <c r="Y7" i="1" s="1"/>
  <c r="Y8" i="1" a="1"/>
  <c r="Y8" i="1" s="1"/>
  <c r="Y9" i="1" a="1"/>
  <c r="Y9" i="1" s="1"/>
  <c r="Y10" i="1" a="1"/>
  <c r="Y10" i="1" s="1"/>
  <c r="Y11" i="1" a="1"/>
  <c r="Y11" i="1" s="1"/>
  <c r="Y12" i="1" a="1"/>
  <c r="Y12" i="1" s="1"/>
  <c r="Y13" i="1" a="1"/>
  <c r="Y13" i="1" s="1"/>
  <c r="Y14" i="1" a="1"/>
  <c r="Y14" i="1" s="1"/>
  <c r="Y15" i="1" a="1"/>
  <c r="Y15" i="1" s="1"/>
  <c r="Y3" i="1" a="1"/>
  <c r="Y3" i="1" s="1"/>
  <c r="X4" i="1" a="1"/>
  <c r="X4" i="1" s="1"/>
  <c r="X5" i="1" a="1"/>
  <c r="X5" i="1" s="1"/>
  <c r="X6" i="1" a="1"/>
  <c r="X6" i="1" s="1"/>
  <c r="X7" i="1" a="1"/>
  <c r="X7" i="1" s="1"/>
  <c r="X8" i="1" a="1"/>
  <c r="X8" i="1" s="1"/>
  <c r="X9" i="1" a="1"/>
  <c r="X9" i="1" s="1"/>
  <c r="X10" i="1" a="1"/>
  <c r="X10" i="1" s="1"/>
  <c r="X11" i="1" a="1"/>
  <c r="X11" i="1" s="1"/>
  <c r="X12" i="1" a="1"/>
  <c r="X12" i="1" s="1"/>
  <c r="X13" i="1" a="1"/>
  <c r="X13" i="1" s="1"/>
  <c r="X14" i="1" a="1"/>
  <c r="X14" i="1" s="1"/>
  <c r="X15" i="1" a="1"/>
  <c r="X15" i="1" s="1"/>
  <c r="X3" i="1" a="1"/>
  <c r="X3" i="1" s="1"/>
  <c r="N12" i="1" l="1"/>
  <c r="P12" i="1"/>
  <c r="N13" i="1"/>
  <c r="P13" i="1"/>
  <c r="N14" i="1"/>
  <c r="S14" i="1" s="1"/>
  <c r="P14" i="1"/>
  <c r="N15" i="1"/>
  <c r="P15" i="1"/>
  <c r="S12" i="1" l="1"/>
  <c r="S13" i="1"/>
  <c r="S15" i="1"/>
  <c r="Q15" i="1"/>
  <c r="T14" i="1"/>
  <c r="R14" i="1"/>
  <c r="Q13" i="1"/>
  <c r="T12" i="1"/>
  <c r="R12" i="1"/>
  <c r="T15" i="1"/>
  <c r="R15" i="1"/>
  <c r="Q14" i="1"/>
  <c r="T13" i="1"/>
  <c r="R13" i="1"/>
  <c r="Q12" i="1"/>
  <c r="F17" i="57" l="1"/>
  <c r="S23" i="52" l="1"/>
  <c r="F10" i="57" l="1"/>
  <c r="F9" i="57"/>
  <c r="F8" i="57"/>
  <c r="F7" i="57"/>
  <c r="F6" i="57"/>
  <c r="F5" i="57"/>
  <c r="F4" i="57"/>
  <c r="F3" i="57"/>
  <c r="F2" i="57"/>
  <c r="B138" i="5" l="1"/>
  <c r="B139" i="5" s="1"/>
  <c r="E9" i="55" s="1"/>
  <c r="C138" i="5"/>
  <c r="C139" i="5" s="1"/>
  <c r="E10" i="55" s="1"/>
  <c r="D138" i="5"/>
  <c r="D139" i="5" s="1"/>
  <c r="E11" i="55" s="1"/>
  <c r="E138" i="5"/>
  <c r="E139" i="5" s="1"/>
  <c r="E12" i="55" s="1"/>
  <c r="F138" i="5"/>
  <c r="F139" i="5" s="1"/>
  <c r="E13" i="55" s="1"/>
  <c r="G138" i="5"/>
  <c r="G139" i="5" s="1"/>
  <c r="E14" i="55" s="1"/>
  <c r="H138" i="5"/>
  <c r="H139" i="5" s="1"/>
  <c r="E15" i="55" s="1"/>
  <c r="I138" i="5"/>
  <c r="I139" i="5" s="1"/>
  <c r="E16" i="55" s="1"/>
  <c r="J138" i="5"/>
  <c r="J139" i="5" s="1"/>
  <c r="E17" i="55" s="1"/>
  <c r="C21" i="12" l="1"/>
  <c r="C22" i="12"/>
  <c r="L2" i="40"/>
  <c r="J2" i="40"/>
  <c r="I2" i="40"/>
  <c r="F2" i="40"/>
  <c r="E2" i="40"/>
  <c r="D2" i="40"/>
  <c r="D82" i="8"/>
  <c r="G39" i="59" l="1"/>
  <c r="H39" i="59"/>
  <c r="G38" i="59"/>
  <c r="H38" i="59"/>
  <c r="H22" i="12"/>
  <c r="C23" i="59" s="1"/>
  <c r="H21" i="12"/>
  <c r="C26" i="59" s="1"/>
  <c r="P2" i="40"/>
  <c r="I21" i="12" l="1"/>
  <c r="I22" i="12"/>
  <c r="J21" i="12" l="1"/>
  <c r="E38" i="59" s="1"/>
  <c r="E26" i="59"/>
  <c r="J22" i="12"/>
  <c r="E39" i="59" s="1"/>
  <c r="E23" i="59"/>
  <c r="T16" i="52"/>
  <c r="T4" i="52"/>
  <c r="T9" i="52"/>
  <c r="T5" i="52"/>
  <c r="T23" i="52"/>
  <c r="T13" i="52" l="1"/>
  <c r="T3" i="52"/>
  <c r="B131" i="15" l="1"/>
  <c r="C131" i="15"/>
  <c r="D131" i="15"/>
  <c r="E131" i="15"/>
  <c r="F131" i="15"/>
  <c r="G131" i="15"/>
  <c r="H131" i="15"/>
  <c r="I131" i="15"/>
  <c r="J131" i="15"/>
  <c r="B130" i="15"/>
  <c r="C130" i="15"/>
  <c r="D130" i="15"/>
  <c r="E130" i="15"/>
  <c r="F130" i="15"/>
  <c r="G130" i="15"/>
  <c r="H130" i="15"/>
  <c r="I130" i="15"/>
  <c r="J130" i="15"/>
  <c r="B128" i="15" a="1"/>
  <c r="B128" i="15" s="1"/>
  <c r="C128" i="15" a="1"/>
  <c r="C128" i="15" s="1"/>
  <c r="D128" i="15" a="1"/>
  <c r="D128" i="15" s="1"/>
  <c r="E128" i="15" a="1"/>
  <c r="E128" i="15" s="1"/>
  <c r="F128" i="15" a="1"/>
  <c r="F128" i="15" s="1"/>
  <c r="G128" i="15" a="1"/>
  <c r="G128" i="15" s="1"/>
  <c r="H128" i="15" a="1"/>
  <c r="H128" i="15" s="1"/>
  <c r="I128" i="15" a="1"/>
  <c r="I128" i="15" s="1"/>
  <c r="J128" i="15" a="1"/>
  <c r="J128" i="15" s="1"/>
  <c r="B127" i="15" a="1"/>
  <c r="B127" i="15" s="1"/>
  <c r="C127" i="15" a="1"/>
  <c r="C127" i="15" s="1"/>
  <c r="D127" i="15" a="1"/>
  <c r="D127" i="15" s="1"/>
  <c r="E127" i="15" a="1"/>
  <c r="E127" i="15" s="1"/>
  <c r="F127" i="15" a="1"/>
  <c r="F127" i="15" s="1"/>
  <c r="G127" i="15" a="1"/>
  <c r="G127" i="15" s="1"/>
  <c r="H127" i="15" a="1"/>
  <c r="H127" i="15" s="1"/>
  <c r="I127" i="15" a="1"/>
  <c r="I127" i="15" s="1"/>
  <c r="J127" i="15" a="1"/>
  <c r="J127" i="15" s="1"/>
  <c r="B126" i="15" a="1"/>
  <c r="B126" i="15" s="1"/>
  <c r="L2" i="39" s="1"/>
  <c r="C126" i="15" a="1"/>
  <c r="C126" i="15" s="1"/>
  <c r="L3" i="39" s="1"/>
  <c r="D126" i="15" a="1"/>
  <c r="D126" i="15" s="1"/>
  <c r="L4" i="39" s="1"/>
  <c r="E126" i="15" a="1"/>
  <c r="E126" i="15" s="1"/>
  <c r="L5" i="39" s="1"/>
  <c r="F126" i="15" a="1"/>
  <c r="F126" i="15" s="1"/>
  <c r="L6" i="39" s="1"/>
  <c r="G126" i="15" a="1"/>
  <c r="G126" i="15" s="1"/>
  <c r="L7" i="39" s="1"/>
  <c r="H126" i="15" a="1"/>
  <c r="H126" i="15" s="1"/>
  <c r="L8" i="39" s="1"/>
  <c r="I126" i="15" a="1"/>
  <c r="I126" i="15" s="1"/>
  <c r="L9" i="39" s="1"/>
  <c r="J126" i="15" a="1"/>
  <c r="J126" i="15" s="1"/>
  <c r="L10" i="39" s="1"/>
  <c r="Q6" i="39" l="1" a="1"/>
  <c r="Q6" i="39" s="1"/>
  <c r="Q10" i="39" a="1"/>
  <c r="Q10" i="39" s="1"/>
  <c r="Q14" i="39" a="1"/>
  <c r="Q14" i="39" s="1"/>
  <c r="Q3" i="39" a="1"/>
  <c r="Q3" i="39" s="1"/>
  <c r="Q7" i="39" a="1"/>
  <c r="Q7" i="39" s="1"/>
  <c r="Q11" i="39" a="1"/>
  <c r="Q11" i="39" s="1"/>
  <c r="Q2" i="39" a="1"/>
  <c r="Q2" i="39" s="1"/>
  <c r="Q4" i="39" a="1"/>
  <c r="Q4" i="39" s="1"/>
  <c r="Q8" i="39" a="1"/>
  <c r="Q8" i="39" s="1"/>
  <c r="Q12" i="39" a="1"/>
  <c r="Q12" i="39" s="1"/>
  <c r="Q5" i="39" a="1"/>
  <c r="Q5" i="39" s="1"/>
  <c r="Q9" i="39" a="1"/>
  <c r="Q9" i="39" s="1"/>
  <c r="Q13" i="39" a="1"/>
  <c r="Q13" i="39" s="1"/>
  <c r="B134" i="5" a="1"/>
  <c r="B134" i="5" s="1"/>
  <c r="F5" i="56" s="1"/>
  <c r="C134" i="5" a="1"/>
  <c r="C134" i="5" s="1"/>
  <c r="F6" i="56" s="1"/>
  <c r="D134" i="5" a="1"/>
  <c r="D134" i="5" s="1"/>
  <c r="F7" i="56" s="1"/>
  <c r="E134" i="5" a="1"/>
  <c r="E134" i="5" s="1"/>
  <c r="F8" i="56" s="1"/>
  <c r="F134" i="5" a="1"/>
  <c r="F134" i="5" s="1"/>
  <c r="F9" i="56" s="1"/>
  <c r="G134" i="5" a="1"/>
  <c r="G134" i="5" s="1"/>
  <c r="F10" i="56" s="1"/>
  <c r="H134" i="5" a="1"/>
  <c r="H134" i="5" s="1"/>
  <c r="F11" i="56" s="1"/>
  <c r="I134" i="5" a="1"/>
  <c r="I134" i="5" s="1"/>
  <c r="F12" i="56" s="1"/>
  <c r="J134" i="5" a="1"/>
  <c r="J134" i="5" s="1"/>
  <c r="F13" i="56" s="1"/>
  <c r="B130" i="5"/>
  <c r="C130" i="5"/>
  <c r="D130" i="5"/>
  <c r="E130" i="5"/>
  <c r="F130" i="5"/>
  <c r="G130" i="5"/>
  <c r="H130" i="5"/>
  <c r="I130" i="5"/>
  <c r="J130" i="5"/>
  <c r="B129" i="5"/>
  <c r="C129" i="5"/>
  <c r="D129" i="5"/>
  <c r="E129" i="5"/>
  <c r="F129" i="5"/>
  <c r="G129" i="5"/>
  <c r="H129" i="5"/>
  <c r="I129" i="5"/>
  <c r="J129" i="5"/>
  <c r="B127" i="5" a="1"/>
  <c r="B127" i="5" s="1"/>
  <c r="D4" i="13" s="1"/>
  <c r="C127" i="5" a="1"/>
  <c r="C127" i="5" s="1"/>
  <c r="D5" i="13" s="1"/>
  <c r="D127" i="5" a="1"/>
  <c r="D127" i="5" s="1"/>
  <c r="D6" i="13" s="1"/>
  <c r="E127" i="5" a="1"/>
  <c r="E127" i="5" s="1"/>
  <c r="D7" i="13" s="1"/>
  <c r="F127" i="5" a="1"/>
  <c r="F127" i="5" s="1"/>
  <c r="D8" i="13" s="1"/>
  <c r="G127" i="5" a="1"/>
  <c r="G127" i="5" s="1"/>
  <c r="D9" i="13" s="1"/>
  <c r="H127" i="5" a="1"/>
  <c r="H127" i="5" s="1"/>
  <c r="D10" i="13" s="1"/>
  <c r="I127" i="5" a="1"/>
  <c r="I127" i="5" s="1"/>
  <c r="D11" i="13" s="1"/>
  <c r="J127" i="5" a="1"/>
  <c r="J127" i="5" s="1"/>
  <c r="D12" i="13" s="1"/>
  <c r="B126" i="5" a="1"/>
  <c r="B126" i="5" s="1"/>
  <c r="C126" i="5" a="1"/>
  <c r="C126" i="5" s="1"/>
  <c r="D126" i="5" a="1"/>
  <c r="D126" i="5" s="1"/>
  <c r="E126" i="5" a="1"/>
  <c r="E126" i="5" s="1"/>
  <c r="F126" i="5" a="1"/>
  <c r="F126" i="5" s="1"/>
  <c r="G126" i="5" a="1"/>
  <c r="G126" i="5" s="1"/>
  <c r="H126" i="5" a="1"/>
  <c r="H126" i="5" s="1"/>
  <c r="I126" i="5" a="1"/>
  <c r="I126" i="5" s="1"/>
  <c r="J126" i="5" a="1"/>
  <c r="J126" i="5" s="1"/>
  <c r="B126" i="7" l="1" a="1"/>
  <c r="B126" i="7" s="1"/>
  <c r="C126" i="7" a="1"/>
  <c r="C126" i="7" s="1"/>
  <c r="D126" i="7" a="1"/>
  <c r="D126" i="7" s="1"/>
  <c r="E126" i="7" a="1"/>
  <c r="E126" i="7" s="1"/>
  <c r="F126" i="7" a="1"/>
  <c r="F126" i="7" s="1"/>
  <c r="G126" i="7" a="1"/>
  <c r="G126" i="7" s="1"/>
  <c r="H126" i="7" a="1"/>
  <c r="H126" i="7" s="1"/>
  <c r="I126" i="7" a="1"/>
  <c r="I126" i="7" s="1"/>
  <c r="J126" i="7" a="1"/>
  <c r="J126" i="7" s="1"/>
  <c r="B128" i="7" a="1"/>
  <c r="B128" i="7" s="1"/>
  <c r="C128" i="7" a="1"/>
  <c r="C128" i="7" s="1"/>
  <c r="D128" i="7" a="1"/>
  <c r="D128" i="7" s="1"/>
  <c r="E128" i="7" a="1"/>
  <c r="E128" i="7" s="1"/>
  <c r="F128" i="7" a="1"/>
  <c r="F128" i="7" s="1"/>
  <c r="G128" i="7" a="1"/>
  <c r="G128" i="7" s="1"/>
  <c r="H128" i="7" a="1"/>
  <c r="H128" i="7" s="1"/>
  <c r="I128" i="7" a="1"/>
  <c r="I128" i="7" s="1"/>
  <c r="J128" i="7" a="1"/>
  <c r="J128" i="7" s="1"/>
  <c r="B125" i="7" a="1"/>
  <c r="B125" i="7" s="1"/>
  <c r="C125" i="7" a="1"/>
  <c r="C125" i="7" s="1"/>
  <c r="D125" i="7" a="1"/>
  <c r="D125" i="7" s="1"/>
  <c r="E125" i="7" a="1"/>
  <c r="E125" i="7" s="1"/>
  <c r="F125" i="7" a="1"/>
  <c r="F125" i="7" s="1"/>
  <c r="G125" i="7" a="1"/>
  <c r="G125" i="7" s="1"/>
  <c r="H125" i="7" a="1"/>
  <c r="H125" i="7" s="1"/>
  <c r="I125" i="7" a="1"/>
  <c r="I125" i="7" s="1"/>
  <c r="J125" i="7" a="1"/>
  <c r="J125" i="7" s="1"/>
  <c r="C20" i="12" l="1"/>
  <c r="G37" i="59" l="1"/>
  <c r="H37" i="59"/>
  <c r="I20" i="12"/>
  <c r="H20" i="12" l="1"/>
  <c r="J20" i="12" s="1"/>
  <c r="E37" i="59" s="1"/>
  <c r="C19" i="12" l="1"/>
  <c r="L40" i="8"/>
  <c r="G36" i="59" l="1"/>
  <c r="H36" i="59"/>
  <c r="I19" i="12"/>
  <c r="E28" i="59" s="1"/>
  <c r="H19" i="12"/>
  <c r="C28" i="59" s="1"/>
  <c r="J19" i="12" l="1"/>
  <c r="E36" i="59" s="1"/>
  <c r="P15" i="48" l="1"/>
  <c r="P16" i="48"/>
  <c r="P14" i="48"/>
  <c r="P13" i="48"/>
  <c r="P10" i="48"/>
  <c r="P7" i="48"/>
  <c r="P9" i="48"/>
  <c r="P11" i="48"/>
  <c r="P8" i="48"/>
  <c r="P12" i="48"/>
  <c r="P5" i="48"/>
  <c r="P6" i="48"/>
  <c r="P4" i="48"/>
  <c r="P3" i="1"/>
  <c r="P4" i="1"/>
  <c r="P5" i="1"/>
  <c r="P6" i="1"/>
  <c r="P7" i="1"/>
  <c r="P8" i="1"/>
  <c r="P9" i="1"/>
  <c r="P10" i="1"/>
  <c r="P11" i="1"/>
  <c r="AA4" i="1" l="1" a="1"/>
  <c r="AA4" i="1" s="1"/>
  <c r="AA15" i="1" a="1"/>
  <c r="AA15" i="1" s="1"/>
  <c r="AA5" i="1" a="1"/>
  <c r="AA5" i="1" s="1"/>
  <c r="AA12" i="1" a="1"/>
  <c r="AA12" i="1" s="1"/>
  <c r="AA13" i="1" a="1"/>
  <c r="AA13" i="1" s="1"/>
  <c r="AA14" i="1" a="1"/>
  <c r="AA14" i="1" s="1"/>
  <c r="AA11" i="1" a="1"/>
  <c r="AA11" i="1" s="1"/>
  <c r="AA3" i="1" a="1"/>
  <c r="AA3" i="1" s="1"/>
  <c r="AA6" i="1" a="1"/>
  <c r="AA6" i="1" s="1"/>
  <c r="AA7" i="1" a="1"/>
  <c r="AA7" i="1" s="1"/>
  <c r="AA8" i="1" a="1"/>
  <c r="AA8" i="1" s="1"/>
  <c r="AA9" i="1" a="1"/>
  <c r="AA9" i="1" s="1"/>
  <c r="AA10" i="1" a="1"/>
  <c r="AA10" i="1" s="1"/>
  <c r="R5" i="48" a="1"/>
  <c r="R5" i="48" s="1"/>
  <c r="R7" i="48" a="1"/>
  <c r="R7" i="48" s="1"/>
  <c r="R9" i="48" a="1"/>
  <c r="R9" i="48" s="1"/>
  <c r="R11" i="48" a="1"/>
  <c r="R11" i="48" s="1"/>
  <c r="R13" i="48" a="1"/>
  <c r="R13" i="48" s="1"/>
  <c r="R8" i="48" a="1"/>
  <c r="R8" i="48" s="1"/>
  <c r="R10" i="48" a="1"/>
  <c r="R10" i="48" s="1"/>
  <c r="R14" i="48" a="1"/>
  <c r="R14" i="48" s="1"/>
  <c r="R16" i="48" a="1"/>
  <c r="R16" i="48" s="1"/>
  <c r="R6" i="48" a="1"/>
  <c r="R6" i="48" s="1"/>
  <c r="R12" i="48" a="1"/>
  <c r="R12" i="48" s="1"/>
  <c r="R15" i="48" a="1"/>
  <c r="R15" i="48" s="1"/>
  <c r="R4" i="48" a="1"/>
  <c r="R4" i="48" s="1"/>
  <c r="H136" i="5" a="1"/>
  <c r="H136" i="5" s="1"/>
  <c r="B136" i="5" a="1"/>
  <c r="B136" i="5" s="1"/>
  <c r="J136" i="5" a="1"/>
  <c r="J136" i="5" s="1"/>
  <c r="E136" i="5" a="1"/>
  <c r="E136" i="5" s="1"/>
  <c r="C136" i="5" a="1"/>
  <c r="C136" i="5" s="1"/>
  <c r="D136" i="5" a="1"/>
  <c r="D136" i="5" s="1"/>
  <c r="I136" i="5" a="1"/>
  <c r="I136" i="5" s="1"/>
  <c r="G136" i="5" a="1"/>
  <c r="G136" i="5" s="1"/>
  <c r="F136" i="5" a="1"/>
  <c r="F136" i="5" s="1"/>
  <c r="W11" i="45"/>
  <c r="W12" i="45"/>
  <c r="W13" i="45"/>
  <c r="W14" i="45"/>
  <c r="W15" i="45"/>
  <c r="W16" i="45"/>
  <c r="W17" i="45"/>
  <c r="W18" i="45"/>
  <c r="W19" i="45"/>
  <c r="W20" i="45"/>
  <c r="W21" i="45"/>
  <c r="W22" i="45"/>
  <c r="W23" i="45"/>
  <c r="W24" i="45"/>
  <c r="W25" i="45"/>
  <c r="W26" i="45"/>
  <c r="W27" i="45"/>
  <c r="W28" i="45"/>
  <c r="W29" i="45"/>
  <c r="W30" i="45"/>
  <c r="W31" i="45"/>
  <c r="W32" i="45"/>
  <c r="W33" i="45"/>
  <c r="W34" i="45"/>
  <c r="W35" i="45"/>
  <c r="W36" i="45"/>
  <c r="W37" i="45"/>
  <c r="W38" i="45"/>
  <c r="W39" i="45"/>
  <c r="W40" i="45"/>
  <c r="W41" i="45"/>
  <c r="W42" i="45"/>
  <c r="W43" i="45"/>
  <c r="W44" i="45"/>
  <c r="W45" i="45"/>
  <c r="W46" i="45"/>
  <c r="W47" i="45"/>
  <c r="W48" i="45"/>
  <c r="W49" i="45"/>
  <c r="W50" i="45"/>
  <c r="W51" i="45"/>
  <c r="W52" i="45"/>
  <c r="W53" i="45"/>
  <c r="W54" i="45"/>
  <c r="W55" i="45"/>
  <c r="W56" i="45"/>
  <c r="W57" i="45"/>
  <c r="W58" i="45"/>
  <c r="W59" i="45"/>
  <c r="W60" i="45"/>
  <c r="W61" i="45"/>
  <c r="W62" i="45"/>
  <c r="W63" i="45"/>
  <c r="W64" i="45"/>
  <c r="W65" i="45"/>
  <c r="W66" i="45"/>
  <c r="W67" i="45"/>
  <c r="W68" i="45"/>
  <c r="W69" i="45"/>
  <c r="W70" i="45"/>
  <c r="W71" i="45"/>
  <c r="W72" i="45"/>
  <c r="W73" i="45"/>
  <c r="W74" i="45"/>
  <c r="W75" i="45"/>
  <c r="W76" i="45"/>
  <c r="W77" i="45"/>
  <c r="W78" i="45"/>
  <c r="W79" i="45"/>
  <c r="W80" i="45"/>
  <c r="W81" i="45"/>
  <c r="W82" i="45"/>
  <c r="W83" i="45"/>
  <c r="W84" i="45"/>
  <c r="W85" i="45"/>
  <c r="W86" i="45"/>
  <c r="W87" i="45"/>
  <c r="W88" i="45"/>
  <c r="W89" i="45"/>
  <c r="W90" i="45"/>
  <c r="W91" i="45"/>
  <c r="W92" i="45"/>
  <c r="W93" i="45"/>
  <c r="W94" i="45"/>
  <c r="W95" i="45"/>
  <c r="W96" i="45"/>
  <c r="W97" i="45"/>
  <c r="W98" i="45"/>
  <c r="W99" i="45"/>
  <c r="W100" i="45"/>
  <c r="W101" i="45"/>
  <c r="W102" i="45"/>
  <c r="W103" i="45"/>
  <c r="W104" i="45"/>
  <c r="W105" i="45"/>
  <c r="W106" i="45"/>
  <c r="W107" i="45"/>
  <c r="W108" i="45"/>
  <c r="W109" i="45"/>
  <c r="W110" i="45"/>
  <c r="W111" i="45"/>
  <c r="W112" i="45"/>
  <c r="W113" i="45"/>
  <c r="W114" i="45"/>
  <c r="W115" i="45"/>
  <c r="W116" i="45"/>
  <c r="W117" i="45"/>
  <c r="W118" i="45"/>
  <c r="W119" i="45"/>
  <c r="W120" i="45"/>
  <c r="W121" i="45"/>
  <c r="W122" i="45"/>
  <c r="W123" i="45"/>
  <c r="W124" i="45"/>
  <c r="W125" i="45"/>
  <c r="W126" i="45"/>
  <c r="W127" i="45"/>
  <c r="W128" i="45"/>
  <c r="W129" i="45"/>
  <c r="W130" i="45"/>
  <c r="W131" i="45"/>
  <c r="W132" i="45"/>
  <c r="W133" i="45"/>
  <c r="W134" i="45"/>
  <c r="W135" i="45"/>
  <c r="W136" i="45"/>
  <c r="W137" i="45"/>
  <c r="W138" i="45"/>
  <c r="W139" i="45"/>
  <c r="W140" i="45"/>
  <c r="W141" i="45"/>
  <c r="W142" i="45"/>
  <c r="W143" i="45"/>
  <c r="W144" i="45"/>
  <c r="W145" i="45"/>
  <c r="W146" i="45"/>
  <c r="W147" i="45"/>
  <c r="W148" i="45"/>
  <c r="W149" i="45"/>
  <c r="W150" i="45"/>
  <c r="W151" i="45"/>
  <c r="W152" i="45"/>
  <c r="W153" i="45"/>
  <c r="W154" i="45"/>
  <c r="W155" i="45"/>
  <c r="W156" i="45"/>
  <c r="W157" i="45"/>
  <c r="W158" i="45"/>
  <c r="W159" i="45"/>
  <c r="W160" i="45"/>
  <c r="W161" i="45"/>
  <c r="W162" i="45"/>
  <c r="W163" i="45"/>
  <c r="W164" i="45"/>
  <c r="W165" i="45"/>
  <c r="W10" i="45"/>
  <c r="B127" i="47" a="1"/>
  <c r="B127" i="47" s="1"/>
  <c r="C127" i="47" a="1"/>
  <c r="C127" i="47" s="1"/>
  <c r="D127" i="47" a="1"/>
  <c r="D127" i="47" s="1"/>
  <c r="E127" i="47" a="1"/>
  <c r="E127" i="47" s="1"/>
  <c r="F127" i="47" a="1"/>
  <c r="F127" i="47" s="1"/>
  <c r="G127" i="47" a="1"/>
  <c r="G127" i="47" s="1"/>
  <c r="H127" i="47" a="1"/>
  <c r="H127" i="47" s="1"/>
  <c r="I127" i="47" a="1"/>
  <c r="I127" i="47" s="1"/>
  <c r="J127" i="47" a="1"/>
  <c r="J127" i="47" s="1"/>
  <c r="B125" i="47" a="1"/>
  <c r="B125" i="47" s="1"/>
  <c r="C125" i="47" a="1"/>
  <c r="C125" i="47" s="1"/>
  <c r="D125" i="47" a="1"/>
  <c r="D125" i="47" s="1"/>
  <c r="E125" i="47" a="1"/>
  <c r="E125" i="47" s="1"/>
  <c r="F125" i="47" a="1"/>
  <c r="F125" i="47" s="1"/>
  <c r="G125" i="47" a="1"/>
  <c r="G125" i="47" s="1"/>
  <c r="H125" i="47" a="1"/>
  <c r="H125" i="47" s="1"/>
  <c r="I125" i="47" a="1"/>
  <c r="I125" i="47" s="1"/>
  <c r="J125" i="47" a="1"/>
  <c r="J125" i="47" s="1"/>
  <c r="B124" i="47" a="1"/>
  <c r="B124" i="47" s="1"/>
  <c r="C124" i="47" a="1"/>
  <c r="C124" i="47" s="1"/>
  <c r="D124" i="47" a="1"/>
  <c r="D124" i="47" s="1"/>
  <c r="E124" i="47" a="1"/>
  <c r="E124" i="47" s="1"/>
  <c r="F124" i="47" a="1"/>
  <c r="F124" i="47" s="1"/>
  <c r="G124" i="47" a="1"/>
  <c r="G124" i="47" s="1"/>
  <c r="H124" i="47" a="1"/>
  <c r="H124" i="47" s="1"/>
  <c r="I124" i="47" a="1"/>
  <c r="I124" i="47" s="1"/>
  <c r="J124" i="47" a="1"/>
  <c r="J124" i="47" s="1"/>
  <c r="S15" i="48" l="1"/>
  <c r="AG14" i="12"/>
  <c r="S16" i="48"/>
  <c r="AG15" i="12"/>
  <c r="S12" i="48"/>
  <c r="AG11" i="12"/>
  <c r="S11" i="48"/>
  <c r="AG10" i="12"/>
  <c r="S6" i="48"/>
  <c r="AG5" i="12"/>
  <c r="S5" i="48"/>
  <c r="AG4" i="12"/>
  <c r="S14" i="48"/>
  <c r="AG13" i="12"/>
  <c r="S9" i="48"/>
  <c r="AG8" i="12"/>
  <c r="S8" i="48"/>
  <c r="AG7" i="12"/>
  <c r="S13" i="48"/>
  <c r="AG12" i="12"/>
  <c r="S10" i="48"/>
  <c r="AG9" i="12"/>
  <c r="S7" i="48"/>
  <c r="AG6" i="12"/>
  <c r="S4" i="48"/>
  <c r="AG3" i="12"/>
  <c r="E125" i="46" a="1"/>
  <c r="E125" i="46" s="1"/>
  <c r="E127" i="46" a="1"/>
  <c r="E127" i="46" s="1"/>
  <c r="E124" i="46" a="1"/>
  <c r="E124" i="46" s="1"/>
  <c r="C127" i="46" a="1"/>
  <c r="C127" i="46" s="1"/>
  <c r="C125" i="46" a="1"/>
  <c r="C125" i="46" s="1"/>
  <c r="C124" i="46" a="1"/>
  <c r="C124" i="46" s="1"/>
  <c r="F124" i="46" a="1"/>
  <c r="F124" i="46" s="1"/>
  <c r="F125" i="46" a="1"/>
  <c r="F125" i="46" s="1"/>
  <c r="F127" i="46" a="1"/>
  <c r="F127" i="46" s="1"/>
  <c r="I124" i="46" a="1"/>
  <c r="I124" i="46" s="1"/>
  <c r="I127" i="46" a="1"/>
  <c r="I127" i="46" s="1"/>
  <c r="I125" i="46" a="1"/>
  <c r="I125" i="46" s="1"/>
  <c r="D127" i="46" a="1"/>
  <c r="D127" i="46" s="1"/>
  <c r="D125" i="46" a="1"/>
  <c r="D125" i="46" s="1"/>
  <c r="D124" i="46" a="1"/>
  <c r="D124" i="46" s="1"/>
  <c r="H127" i="46" a="1"/>
  <c r="H127" i="46" s="1"/>
  <c r="H125" i="46" a="1"/>
  <c r="H125" i="46" s="1"/>
  <c r="H124" i="46" a="1"/>
  <c r="H124" i="46" s="1"/>
  <c r="G127" i="46" a="1"/>
  <c r="G127" i="46" s="1"/>
  <c r="G124" i="46" a="1"/>
  <c r="G124" i="46" s="1"/>
  <c r="G125" i="46" a="1"/>
  <c r="G125" i="46" s="1"/>
  <c r="J124" i="46" a="1"/>
  <c r="J124" i="46" s="1"/>
  <c r="J127" i="46" a="1"/>
  <c r="J127" i="46" s="1"/>
  <c r="J125" i="46" a="1"/>
  <c r="J125" i="46" s="1"/>
  <c r="B127" i="46" a="1"/>
  <c r="B127" i="46" s="1"/>
  <c r="B124" i="46" a="1"/>
  <c r="B124" i="46" s="1"/>
  <c r="B125" i="46" a="1"/>
  <c r="B125" i="46" s="1"/>
  <c r="T6" i="48" l="1" a="1"/>
  <c r="T6" i="48" s="1"/>
  <c r="T4" i="48" a="1"/>
  <c r="T4" i="48" s="1"/>
  <c r="T9" i="48" a="1"/>
  <c r="T9" i="48" s="1"/>
  <c r="T5" i="48" a="1"/>
  <c r="T5" i="48" s="1"/>
  <c r="T12" i="48" a="1"/>
  <c r="T12" i="48" s="1"/>
  <c r="T11" i="48" a="1"/>
  <c r="T11" i="48" s="1"/>
  <c r="T14" i="48" a="1"/>
  <c r="T14" i="48" s="1"/>
  <c r="T10" i="48" a="1"/>
  <c r="T10" i="48" s="1"/>
  <c r="T15" i="48" a="1"/>
  <c r="T15" i="48" s="1"/>
  <c r="T7" i="48" a="1"/>
  <c r="T7" i="48" s="1"/>
  <c r="T8" i="48" a="1"/>
  <c r="T8" i="48" s="1"/>
  <c r="T13" i="48" a="1"/>
  <c r="T13" i="48" s="1"/>
  <c r="T16" i="48" a="1"/>
  <c r="T16" i="48" s="1"/>
  <c r="B138" i="15" a="1"/>
  <c r="B138" i="15" s="1"/>
  <c r="I4" i="13" s="1"/>
  <c r="C138" i="15" a="1"/>
  <c r="C138" i="15" s="1"/>
  <c r="I5" i="13" s="1"/>
  <c r="D138" i="15" a="1"/>
  <c r="D138" i="15" s="1"/>
  <c r="I6" i="13" s="1"/>
  <c r="E138" i="15" a="1"/>
  <c r="E138" i="15" s="1"/>
  <c r="I7" i="13" s="1"/>
  <c r="F138" i="15" a="1"/>
  <c r="F138" i="15" s="1"/>
  <c r="I8" i="13" s="1"/>
  <c r="G138" i="15" a="1"/>
  <c r="G138" i="15" s="1"/>
  <c r="I9" i="13" s="1"/>
  <c r="H138" i="15" a="1"/>
  <c r="H138" i="15" s="1"/>
  <c r="I10" i="13" s="1"/>
  <c r="I138" i="15" a="1"/>
  <c r="I138" i="15" s="1"/>
  <c r="I11" i="13" s="1"/>
  <c r="J138" i="15" a="1"/>
  <c r="J138" i="15" s="1"/>
  <c r="I12" i="13" s="1"/>
  <c r="B137" i="15" a="1"/>
  <c r="B137" i="15" s="1"/>
  <c r="C137" i="15" a="1"/>
  <c r="C137" i="15" s="1"/>
  <c r="D137" i="15" a="1"/>
  <c r="D137" i="15" s="1"/>
  <c r="E137" i="15" a="1"/>
  <c r="E137" i="15" s="1"/>
  <c r="F137" i="15" a="1"/>
  <c r="F137" i="15" s="1"/>
  <c r="G137" i="15" a="1"/>
  <c r="G137" i="15" s="1"/>
  <c r="H137" i="15" a="1"/>
  <c r="H137" i="15" s="1"/>
  <c r="I137" i="15" a="1"/>
  <c r="I137" i="15" s="1"/>
  <c r="J137" i="15" a="1"/>
  <c r="J137" i="15" s="1"/>
  <c r="J136" i="15" a="1"/>
  <c r="J136" i="15" s="1"/>
  <c r="I136" i="15" a="1"/>
  <c r="I136" i="15" s="1"/>
  <c r="H136" i="15" a="1"/>
  <c r="H136" i="15" s="1"/>
  <c r="G136" i="15" a="1"/>
  <c r="G136" i="15" s="1"/>
  <c r="F136" i="15" a="1"/>
  <c r="F136" i="15" s="1"/>
  <c r="E136" i="15" a="1"/>
  <c r="E136" i="15" s="1"/>
  <c r="D136" i="15" a="1"/>
  <c r="D136" i="15" s="1"/>
  <c r="C136" i="15" a="1"/>
  <c r="C136" i="15" s="1"/>
  <c r="B136" i="15" a="1"/>
  <c r="B136" i="15" s="1"/>
  <c r="N14" i="8"/>
  <c r="N13" i="8"/>
  <c r="N12" i="13" l="1"/>
  <c r="N11" i="13"/>
  <c r="N7" i="13"/>
  <c r="N10" i="13"/>
  <c r="N6" i="13"/>
  <c r="N9" i="13"/>
  <c r="N5" i="13"/>
  <c r="N8" i="13"/>
  <c r="N4" i="13"/>
  <c r="N14" i="13"/>
  <c r="N15" i="13"/>
  <c r="N13" i="13"/>
  <c r="N16" i="13"/>
  <c r="F10" i="43"/>
  <c r="F11" i="43"/>
  <c r="F3" i="43"/>
  <c r="F4" i="43"/>
  <c r="F5" i="43"/>
  <c r="F6" i="43"/>
  <c r="F7" i="43"/>
  <c r="F8" i="43"/>
  <c r="F9" i="43"/>
  <c r="Q1" i="42" l="1"/>
  <c r="P1" i="42"/>
  <c r="O1" i="42"/>
  <c r="N1" i="42"/>
  <c r="M1" i="42"/>
  <c r="L1" i="42"/>
  <c r="O3" i="42" l="1"/>
  <c r="O15" i="42"/>
  <c r="S15" i="42" s="1"/>
  <c r="O12" i="42"/>
  <c r="S12" i="42" s="1"/>
  <c r="O13" i="42"/>
  <c r="S13" i="42" s="1"/>
  <c r="O14" i="42"/>
  <c r="S14" i="42" s="1"/>
  <c r="O11" i="42"/>
  <c r="C18" i="12"/>
  <c r="G35" i="59" l="1"/>
  <c r="H35" i="59"/>
  <c r="O10" i="42"/>
  <c r="S10" i="42" s="1"/>
  <c r="O6" i="42"/>
  <c r="S6" i="42" s="1"/>
  <c r="O9" i="42"/>
  <c r="D20" i="1"/>
  <c r="D19" i="1"/>
  <c r="N35" i="59" l="1"/>
  <c r="N38" i="59"/>
  <c r="N39" i="59"/>
  <c r="N37" i="59"/>
  <c r="N36" i="59"/>
  <c r="M35" i="59"/>
  <c r="M38" i="59"/>
  <c r="M39" i="59"/>
  <c r="M37" i="59"/>
  <c r="M36" i="59"/>
  <c r="O7" i="42"/>
  <c r="O8" i="42"/>
  <c r="O4" i="42"/>
  <c r="O5" i="42"/>
  <c r="I18" i="12"/>
  <c r="E27" i="59" s="1"/>
  <c r="H18" i="12" l="1"/>
  <c r="C27" i="59" s="1"/>
  <c r="J18" i="12" l="1"/>
  <c r="E35" i="59" s="1"/>
  <c r="M2" i="13" l="1"/>
  <c r="N2" i="13"/>
  <c r="L2" i="13"/>
  <c r="J25" i="38" l="1"/>
  <c r="I25" i="38"/>
  <c r="H25" i="38"/>
  <c r="G25" i="38"/>
  <c r="F25" i="38"/>
  <c r="E25" i="38"/>
  <c r="D25" i="38"/>
  <c r="C25" i="38"/>
  <c r="B25" i="38"/>
  <c r="M4" i="1" l="1"/>
  <c r="T4" i="1" s="1"/>
  <c r="M6" i="1"/>
  <c r="T6" i="1" s="1"/>
  <c r="M10" i="1"/>
  <c r="T10" i="1" s="1"/>
  <c r="M8" i="1"/>
  <c r="T8" i="1" s="1"/>
  <c r="M5" i="1"/>
  <c r="T5" i="1" s="1"/>
  <c r="M9" i="1"/>
  <c r="T9" i="1" s="1"/>
  <c r="M3" i="1"/>
  <c r="T3" i="1" s="1"/>
  <c r="M7" i="1"/>
  <c r="T7" i="1" s="1"/>
  <c r="M11" i="1"/>
  <c r="T11" i="1" s="1"/>
  <c r="N3" i="1"/>
  <c r="R3" i="1" s="1"/>
  <c r="N4" i="1"/>
  <c r="R4" i="1" s="1"/>
  <c r="N5" i="1"/>
  <c r="R5" i="1" s="1"/>
  <c r="N6" i="1"/>
  <c r="R6" i="1" s="1"/>
  <c r="N7" i="1"/>
  <c r="R7" i="1" s="1"/>
  <c r="N8" i="1"/>
  <c r="R8" i="1" s="1"/>
  <c r="N9" i="1"/>
  <c r="R9" i="1" s="1"/>
  <c r="N10" i="1"/>
  <c r="R10" i="1" s="1"/>
  <c r="N11" i="1"/>
  <c r="R11" i="1" s="1"/>
  <c r="Z5" i="1" l="1" a="1"/>
  <c r="Z5" i="1" s="1"/>
  <c r="Z7" i="1" a="1"/>
  <c r="Z7" i="1" s="1"/>
  <c r="Z9" i="1" a="1"/>
  <c r="Z9" i="1" s="1"/>
  <c r="Z11" i="1" a="1"/>
  <c r="Z11" i="1" s="1"/>
  <c r="Z13" i="1" a="1"/>
  <c r="Z13" i="1" s="1"/>
  <c r="Z15" i="1" a="1"/>
  <c r="Z15" i="1" s="1"/>
  <c r="Z6" i="1" a="1"/>
  <c r="Z6" i="1" s="1"/>
  <c r="Z10" i="1" a="1"/>
  <c r="Z10" i="1" s="1"/>
  <c r="Z14" i="1" a="1"/>
  <c r="Z14" i="1" s="1"/>
  <c r="Z4" i="1" a="1"/>
  <c r="Z4" i="1" s="1"/>
  <c r="Z8" i="1" a="1"/>
  <c r="Z8" i="1" s="1"/>
  <c r="Z12" i="1" a="1"/>
  <c r="Z12" i="1" s="1"/>
  <c r="Z3" i="1" a="1"/>
  <c r="Z3" i="1" s="1"/>
  <c r="V6" i="1" a="1"/>
  <c r="V6" i="1" s="1"/>
  <c r="V9" i="1" a="1"/>
  <c r="V9" i="1" s="1"/>
  <c r="V14" i="1" a="1"/>
  <c r="V14" i="1" s="1"/>
  <c r="V8" i="1" a="1"/>
  <c r="V8" i="1" s="1"/>
  <c r="V3" i="1" a="1"/>
  <c r="V3" i="1" s="1"/>
  <c r="V4" i="1" a="1"/>
  <c r="V4" i="1" s="1"/>
  <c r="V7" i="1" a="1"/>
  <c r="V7" i="1" s="1"/>
  <c r="V12" i="1" a="1"/>
  <c r="V12" i="1" s="1"/>
  <c r="V15" i="1" a="1"/>
  <c r="V15" i="1" s="1"/>
  <c r="V11" i="1" a="1"/>
  <c r="V11" i="1" s="1"/>
  <c r="V5" i="1" a="1"/>
  <c r="V5" i="1" s="1"/>
  <c r="V10" i="1" a="1"/>
  <c r="V10" i="1" s="1"/>
  <c r="V13" i="1" a="1"/>
  <c r="V13" i="1" s="1"/>
  <c r="J23" i="38"/>
  <c r="J24" i="38"/>
  <c r="H23" i="38"/>
  <c r="H24" i="38"/>
  <c r="D24" i="38"/>
  <c r="D23" i="38"/>
  <c r="I23" i="38"/>
  <c r="I24" i="38"/>
  <c r="E24" i="38"/>
  <c r="E23" i="38"/>
  <c r="C24" i="38"/>
  <c r="C23" i="38"/>
  <c r="F23" i="38"/>
  <c r="F24" i="38"/>
  <c r="B24" i="38"/>
  <c r="B23" i="38"/>
  <c r="G23" i="38"/>
  <c r="G24" i="38"/>
  <c r="Q11" i="1"/>
  <c r="Q7" i="1"/>
  <c r="Q3" i="1"/>
  <c r="Q10" i="1"/>
  <c r="Q6" i="1"/>
  <c r="Q9" i="1"/>
  <c r="Q5" i="1"/>
  <c r="Q8" i="1"/>
  <c r="Q4" i="1"/>
  <c r="I10" i="39" l="1"/>
  <c r="M10" i="39" s="1"/>
  <c r="I5" i="39"/>
  <c r="M5" i="39" s="1"/>
  <c r="I4" i="39"/>
  <c r="M4" i="39" s="1"/>
  <c r="I7" i="39"/>
  <c r="M7" i="39" s="1"/>
  <c r="I9" i="39"/>
  <c r="M9" i="39" s="1"/>
  <c r="I8" i="39"/>
  <c r="M8" i="39" s="1"/>
  <c r="I6" i="39"/>
  <c r="M6" i="39" s="1"/>
  <c r="I2" i="39"/>
  <c r="M2" i="39" s="1"/>
  <c r="I3" i="39"/>
  <c r="M3" i="39" s="1"/>
  <c r="U4" i="1" a="1"/>
  <c r="U4" i="1" s="1"/>
  <c r="U7" i="1" a="1"/>
  <c r="U7" i="1" s="1"/>
  <c r="U12" i="1" a="1"/>
  <c r="U12" i="1" s="1"/>
  <c r="U15" i="1" a="1"/>
  <c r="U15" i="1" s="1"/>
  <c r="U9" i="1" a="1"/>
  <c r="U9" i="1" s="1"/>
  <c r="U5" i="1" a="1"/>
  <c r="U5" i="1" s="1"/>
  <c r="U10" i="1" a="1"/>
  <c r="U10" i="1" s="1"/>
  <c r="U13" i="1" a="1"/>
  <c r="U13" i="1" s="1"/>
  <c r="U11" i="1" a="1"/>
  <c r="U11" i="1" s="1"/>
  <c r="U6" i="1" a="1"/>
  <c r="U6" i="1" s="1"/>
  <c r="U14" i="1" a="1"/>
  <c r="U14" i="1" s="1"/>
  <c r="U8" i="1" a="1"/>
  <c r="U8" i="1" s="1"/>
  <c r="U3" i="1" a="1"/>
  <c r="U3" i="1" s="1"/>
  <c r="N4" i="39" l="1" a="1"/>
  <c r="N4" i="39" s="1"/>
  <c r="N9" i="39" a="1"/>
  <c r="N9" i="39" s="1"/>
  <c r="N12" i="39" a="1"/>
  <c r="N12" i="39" s="1"/>
  <c r="N7" i="39" a="1"/>
  <c r="N7" i="39" s="1"/>
  <c r="N10" i="39" a="1"/>
  <c r="N10" i="39" s="1"/>
  <c r="N2" i="39" a="1"/>
  <c r="N2" i="39" s="1"/>
  <c r="N5" i="39" a="1"/>
  <c r="N5" i="39" s="1"/>
  <c r="N8" i="39" a="1"/>
  <c r="N8" i="39" s="1"/>
  <c r="N13" i="39" a="1"/>
  <c r="N13" i="39" s="1"/>
  <c r="N3" i="39" a="1"/>
  <c r="N3" i="39" s="1"/>
  <c r="N6" i="39" a="1"/>
  <c r="N6" i="39" s="1"/>
  <c r="N11" i="39" a="1"/>
  <c r="N11" i="39" s="1"/>
  <c r="N14" i="39" a="1"/>
  <c r="N14" i="39" s="1"/>
  <c r="U2" i="12"/>
  <c r="U11" i="12" l="1"/>
  <c r="U7" i="12"/>
  <c r="U3" i="12"/>
  <c r="U10" i="12"/>
  <c r="U9" i="12"/>
  <c r="U8" i="12"/>
  <c r="U6" i="12"/>
  <c r="U5" i="12"/>
  <c r="U4" i="12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AM16" i="9"/>
  <c r="AN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AM17" i="9"/>
  <c r="AN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AM18" i="9"/>
  <c r="AN18" i="9"/>
  <c r="B18" i="9"/>
  <c r="B17" i="9"/>
  <c r="B16" i="9"/>
  <c r="S8" i="1"/>
  <c r="S4" i="1"/>
  <c r="S3" i="1"/>
  <c r="S5" i="1" l="1"/>
  <c r="S7" i="1"/>
  <c r="S11" i="1"/>
  <c r="S9" i="1"/>
  <c r="S6" i="1"/>
  <c r="S10" i="1"/>
  <c r="W5" i="1" l="1" a="1"/>
  <c r="W5" i="1" s="1"/>
  <c r="AB5" i="1" s="1"/>
  <c r="W12" i="1" a="1"/>
  <c r="W12" i="1" s="1"/>
  <c r="AB12" i="1" s="1"/>
  <c r="W9" i="1" a="1"/>
  <c r="W9" i="1" s="1"/>
  <c r="W8" i="1" a="1"/>
  <c r="W8" i="1" s="1"/>
  <c r="AB8" i="1" s="1"/>
  <c r="W7" i="1" a="1"/>
  <c r="W7" i="1" s="1"/>
  <c r="AB7" i="1" s="1"/>
  <c r="W6" i="1" a="1"/>
  <c r="W6" i="1" s="1"/>
  <c r="AB6" i="1" s="1"/>
  <c r="W13" i="1" a="1"/>
  <c r="W13" i="1" s="1"/>
  <c r="AB13" i="1" s="1"/>
  <c r="W4" i="1" a="1"/>
  <c r="W4" i="1" s="1"/>
  <c r="AB4" i="1" s="1"/>
  <c r="W15" i="1" a="1"/>
  <c r="W15" i="1" s="1"/>
  <c r="AB15" i="1" s="1"/>
  <c r="W10" i="1" a="1"/>
  <c r="W10" i="1" s="1"/>
  <c r="AB10" i="1" s="1"/>
  <c r="W14" i="1" a="1"/>
  <c r="W14" i="1" s="1"/>
  <c r="AB14" i="1" s="1"/>
  <c r="W11" i="1" a="1"/>
  <c r="W11" i="1" s="1"/>
  <c r="AB11" i="1" s="1"/>
  <c r="W3" i="1" a="1"/>
  <c r="W3" i="1" s="1"/>
  <c r="AB3" i="1" s="1"/>
  <c r="AB9" i="1"/>
  <c r="AC6" i="1" l="1" a="1"/>
  <c r="AC6" i="1" s="1"/>
  <c r="D10" i="40" s="1"/>
  <c r="AC9" i="1" a="1"/>
  <c r="AC9" i="1" s="1"/>
  <c r="D11" i="40" s="1"/>
  <c r="AC14" i="1" a="1"/>
  <c r="AC14" i="1" s="1"/>
  <c r="D17" i="40" s="1"/>
  <c r="AC4" i="1" a="1"/>
  <c r="AC4" i="1" s="1"/>
  <c r="D13" i="40" s="1"/>
  <c r="AC7" i="1" a="1"/>
  <c r="AC7" i="1" s="1"/>
  <c r="D7" i="40" s="1"/>
  <c r="AC12" i="1" a="1"/>
  <c r="AC12" i="1" s="1"/>
  <c r="D15" i="40" s="1"/>
  <c r="AC15" i="1" a="1"/>
  <c r="AC15" i="1" s="1"/>
  <c r="D18" i="40" s="1"/>
  <c r="AC5" i="1" a="1"/>
  <c r="AC5" i="1" s="1"/>
  <c r="D12" i="40" s="1"/>
  <c r="AC10" i="1" a="1"/>
  <c r="AC10" i="1" s="1"/>
  <c r="D8" i="40" s="1"/>
  <c r="AC13" i="1" a="1"/>
  <c r="AC13" i="1" s="1"/>
  <c r="D16" i="40" s="1"/>
  <c r="AC3" i="1" a="1"/>
  <c r="AC3" i="1" s="1"/>
  <c r="D14" i="40" s="1"/>
  <c r="AC8" i="1" a="1"/>
  <c r="AC8" i="1" s="1"/>
  <c r="D6" i="40" s="1"/>
  <c r="AC11" i="1" a="1"/>
  <c r="AC11" i="1" s="1"/>
  <c r="D9" i="40" s="1"/>
  <c r="E7" i="49" l="1"/>
  <c r="E4" i="49"/>
  <c r="E10" i="49"/>
  <c r="E11" i="49"/>
  <c r="E12" i="49"/>
  <c r="E16" i="49"/>
  <c r="E15" i="49"/>
  <c r="E14" i="49"/>
  <c r="E13" i="49"/>
  <c r="E9" i="49"/>
  <c r="E6" i="49"/>
  <c r="E5" i="49"/>
  <c r="E8" i="49"/>
  <c r="S11" i="42"/>
  <c r="S9" i="42" l="1"/>
  <c r="S3" i="42"/>
  <c r="S5" i="42"/>
  <c r="S7" i="42"/>
  <c r="S8" i="42"/>
  <c r="S4" i="42"/>
  <c r="U5" i="42" l="1" a="1"/>
  <c r="U5" i="42" s="1"/>
  <c r="L12" i="40" s="1"/>
  <c r="U10" i="42" a="1"/>
  <c r="U10" i="42" s="1"/>
  <c r="L8" i="40" s="1"/>
  <c r="U13" i="42" a="1"/>
  <c r="U13" i="42" s="1"/>
  <c r="L16" i="40" s="1"/>
  <c r="U4" i="42" a="1"/>
  <c r="U4" i="42" s="1"/>
  <c r="L13" i="40" s="1"/>
  <c r="U15" i="42" a="1"/>
  <c r="U15" i="42" s="1"/>
  <c r="L18" i="40" s="1"/>
  <c r="U8" i="42" a="1"/>
  <c r="U8" i="42" s="1"/>
  <c r="L6" i="40" s="1"/>
  <c r="U11" i="42" a="1"/>
  <c r="U11" i="42" s="1"/>
  <c r="L9" i="40" s="1"/>
  <c r="U3" i="42" a="1"/>
  <c r="U3" i="42" s="1"/>
  <c r="L14" i="40" s="1"/>
  <c r="U7" i="42" a="1"/>
  <c r="U7" i="42" s="1"/>
  <c r="L7" i="40" s="1"/>
  <c r="U6" i="42" a="1"/>
  <c r="U6" i="42" s="1"/>
  <c r="L10" i="40" s="1"/>
  <c r="U9" i="42" a="1"/>
  <c r="U9" i="42" s="1"/>
  <c r="L11" i="40" s="1"/>
  <c r="U14" i="42" a="1"/>
  <c r="U14" i="42" s="1"/>
  <c r="L17" i="40" s="1"/>
  <c r="U12" i="42" a="1"/>
  <c r="U12" i="42" s="1"/>
  <c r="L15" i="40" s="1"/>
  <c r="K8" i="49" l="1"/>
  <c r="I12" i="55"/>
  <c r="P12" i="55" s="1"/>
  <c r="K5" i="49"/>
  <c r="I13" i="55"/>
  <c r="P13" i="55" s="1"/>
  <c r="K10" i="49"/>
  <c r="I11" i="55"/>
  <c r="P11" i="55" s="1"/>
  <c r="K15" i="49"/>
  <c r="I20" i="55"/>
  <c r="P20" i="55" s="1"/>
  <c r="K12" i="49"/>
  <c r="I9" i="55"/>
  <c r="K11" i="49"/>
  <c r="I10" i="55"/>
  <c r="P10" i="55" s="1"/>
  <c r="K13" i="49"/>
  <c r="I18" i="55"/>
  <c r="P18" i="55" s="1"/>
  <c r="K16" i="49"/>
  <c r="I21" i="55"/>
  <c r="P21" i="55" s="1"/>
  <c r="K9" i="49"/>
  <c r="I15" i="55"/>
  <c r="P15" i="55" s="1"/>
  <c r="K7" i="49"/>
  <c r="I17" i="55"/>
  <c r="P17" i="55" s="1"/>
  <c r="K14" i="49"/>
  <c r="I19" i="55"/>
  <c r="P19" i="55" s="1"/>
  <c r="K6" i="49"/>
  <c r="I16" i="55"/>
  <c r="P16" i="55" s="1"/>
  <c r="K4" i="49"/>
  <c r="I14" i="55"/>
  <c r="P14" i="55" s="1"/>
  <c r="U1" i="28"/>
  <c r="T1" i="28"/>
  <c r="S1" i="28"/>
  <c r="V12" i="28" l="1"/>
  <c r="V14" i="28"/>
  <c r="V13" i="28"/>
  <c r="V15" i="28"/>
  <c r="U11" i="28"/>
  <c r="U10" i="28" l="1"/>
  <c r="U9" i="28" l="1"/>
  <c r="U8" i="28" l="1"/>
  <c r="U7" i="28" l="1"/>
  <c r="U6" i="28" l="1"/>
  <c r="V6" i="28" l="1"/>
  <c r="U5" i="28" l="1"/>
  <c r="U4" i="28" l="1"/>
  <c r="U3" i="28" l="1"/>
  <c r="T3" i="28" l="1"/>
  <c r="N17" i="8" l="1"/>
  <c r="V8" i="28" l="1"/>
  <c r="N4" i="28"/>
  <c r="V5" i="28"/>
  <c r="N9" i="28"/>
  <c r="N11" i="28"/>
  <c r="N6" i="28"/>
  <c r="N10" i="28"/>
  <c r="N3" i="28"/>
  <c r="N7" i="28"/>
  <c r="N16" i="8"/>
  <c r="V4" i="28"/>
  <c r="V10" i="28"/>
  <c r="S3" i="28"/>
  <c r="V3" i="28" s="1"/>
  <c r="V7" i="28"/>
  <c r="O13" i="8"/>
  <c r="O21" i="8" s="1"/>
  <c r="N5" i="28" l="1"/>
  <c r="N8" i="28"/>
  <c r="V11" i="28"/>
  <c r="V9" i="28"/>
  <c r="X5" i="28" s="1"/>
  <c r="I12" i="40" s="1"/>
  <c r="N22" i="8"/>
  <c r="N21" i="8"/>
  <c r="X11" i="28" l="1"/>
  <c r="I9" i="40" s="1"/>
  <c r="I7" i="49" s="1"/>
  <c r="I10" i="49"/>
  <c r="H11" i="55"/>
  <c r="N11" i="55" s="1"/>
  <c r="X12" i="28"/>
  <c r="I15" i="40" s="1"/>
  <c r="X8" i="28"/>
  <c r="I6" i="40" s="1"/>
  <c r="X7" i="28"/>
  <c r="I7" i="40" s="1"/>
  <c r="X13" i="28"/>
  <c r="I16" i="40" s="1"/>
  <c r="X4" i="28"/>
  <c r="I13" i="40" s="1"/>
  <c r="X14" i="28"/>
  <c r="I17" i="40" s="1"/>
  <c r="X9" i="28"/>
  <c r="I11" i="40" s="1"/>
  <c r="X15" i="28"/>
  <c r="I18" i="40" s="1"/>
  <c r="X10" i="28"/>
  <c r="I8" i="40" s="1"/>
  <c r="X6" i="28"/>
  <c r="I10" i="40" s="1"/>
  <c r="X3" i="28"/>
  <c r="I14" i="40" s="1"/>
  <c r="H17" i="55" l="1"/>
  <c r="N17" i="55" s="1"/>
  <c r="I16" i="49"/>
  <c r="H21" i="55"/>
  <c r="N21" i="55" s="1"/>
  <c r="I14" i="49"/>
  <c r="H19" i="55"/>
  <c r="N19" i="55" s="1"/>
  <c r="I12" i="49"/>
  <c r="H9" i="55"/>
  <c r="N9" i="55" s="1"/>
  <c r="I9" i="49"/>
  <c r="H15" i="55"/>
  <c r="N15" i="55" s="1"/>
  <c r="I5" i="49"/>
  <c r="H13" i="55"/>
  <c r="N13" i="55" s="1"/>
  <c r="I8" i="49"/>
  <c r="H12" i="55"/>
  <c r="N12" i="55" s="1"/>
  <c r="I15" i="49"/>
  <c r="H20" i="55"/>
  <c r="N20" i="55" s="1"/>
  <c r="I4" i="49"/>
  <c r="H14" i="55"/>
  <c r="N14" i="55" s="1"/>
  <c r="I6" i="49"/>
  <c r="H16" i="55"/>
  <c r="N16" i="55" s="1"/>
  <c r="I11" i="49"/>
  <c r="H10" i="55"/>
  <c r="N10" i="55" s="1"/>
  <c r="I13" i="49"/>
  <c r="H18" i="55"/>
  <c r="N18" i="55" s="1"/>
  <c r="I140" i="15"/>
  <c r="J140" i="15"/>
  <c r="H140" i="15"/>
  <c r="B140" i="15"/>
  <c r="G140" i="15"/>
  <c r="F140" i="15"/>
  <c r="E140" i="15"/>
  <c r="C140" i="15"/>
  <c r="D140" i="15"/>
  <c r="N22" i="55" l="1"/>
  <c r="AC2" i="12"/>
  <c r="AD2" i="12"/>
  <c r="O17" i="55" l="1"/>
  <c r="O11" i="55"/>
  <c r="O13" i="55"/>
  <c r="O9" i="55"/>
  <c r="O16" i="55"/>
  <c r="O10" i="55"/>
  <c r="O19" i="55"/>
  <c r="O20" i="55"/>
  <c r="O21" i="55"/>
  <c r="O18" i="55"/>
  <c r="O14" i="55"/>
  <c r="O15" i="55"/>
  <c r="O12" i="55"/>
  <c r="G23" i="18"/>
  <c r="G25" i="18" s="1" a="1"/>
  <c r="G25" i="18" s="1"/>
  <c r="K7" i="39" s="1"/>
  <c r="B23" i="18"/>
  <c r="H23" i="18"/>
  <c r="H25" i="18" s="1" a="1"/>
  <c r="H25" i="18" s="1"/>
  <c r="K8" i="39" s="1"/>
  <c r="C23" i="18"/>
  <c r="C25" i="18" s="1" a="1"/>
  <c r="C25" i="18" s="1"/>
  <c r="K3" i="39" s="1"/>
  <c r="I23" i="18"/>
  <c r="I25" i="18" s="1" a="1"/>
  <c r="I25" i="18" s="1"/>
  <c r="K9" i="39" s="1"/>
  <c r="J23" i="18"/>
  <c r="J25" i="18" s="1" a="1"/>
  <c r="J25" i="18" s="1"/>
  <c r="K10" i="39" s="1"/>
  <c r="E23" i="18"/>
  <c r="D23" i="18"/>
  <c r="F23" i="18"/>
  <c r="F25" i="18" s="1" a="1"/>
  <c r="F25" i="18" s="1"/>
  <c r="K6" i="39" s="1"/>
  <c r="D25" i="18" l="1" a="1"/>
  <c r="D25" i="18" s="1"/>
  <c r="K4" i="39" s="1"/>
  <c r="E25" i="18" a="1"/>
  <c r="E25" i="18" s="1"/>
  <c r="K5" i="39" s="1"/>
  <c r="B25" i="18" a="1"/>
  <c r="B25" i="18" s="1"/>
  <c r="K2" i="39" s="1"/>
  <c r="P3" i="39" l="1" a="1"/>
  <c r="P3" i="39" s="1"/>
  <c r="R3" i="39" s="1"/>
  <c r="P6" i="39" a="1"/>
  <c r="P6" i="39" s="1"/>
  <c r="R6" i="39" s="1"/>
  <c r="P11" i="39" a="1"/>
  <c r="P11" i="39" s="1"/>
  <c r="R11" i="39" s="1"/>
  <c r="P14" i="39" a="1"/>
  <c r="P14" i="39" s="1"/>
  <c r="R14" i="39" s="1"/>
  <c r="P4" i="39" a="1"/>
  <c r="P4" i="39" s="1"/>
  <c r="R4" i="39" s="1"/>
  <c r="P9" i="39" a="1"/>
  <c r="P9" i="39" s="1"/>
  <c r="R9" i="39" s="1"/>
  <c r="P12" i="39" a="1"/>
  <c r="P12" i="39" s="1"/>
  <c r="R12" i="39" s="1"/>
  <c r="P7" i="39" a="1"/>
  <c r="P7" i="39" s="1"/>
  <c r="R7" i="39" s="1"/>
  <c r="P10" i="39" a="1"/>
  <c r="P10" i="39" s="1"/>
  <c r="R10" i="39" s="1"/>
  <c r="P2" i="39" a="1"/>
  <c r="P2" i="39" s="1"/>
  <c r="R2" i="39" s="1"/>
  <c r="P5" i="39" a="1"/>
  <c r="P5" i="39" s="1"/>
  <c r="R5" i="39" s="1"/>
  <c r="P8" i="39" a="1"/>
  <c r="P8" i="39" s="1"/>
  <c r="R8" i="39" s="1"/>
  <c r="P13" i="39" a="1"/>
  <c r="P13" i="39" s="1"/>
  <c r="R13" i="39" s="1"/>
  <c r="B133" i="15"/>
  <c r="H4" i="13" s="1"/>
  <c r="S5" i="39" l="1" a="1"/>
  <c r="S5" i="39" s="1"/>
  <c r="E10" i="40" s="1"/>
  <c r="S8" i="39" a="1"/>
  <c r="S8" i="39" s="1"/>
  <c r="E11" i="40" s="1"/>
  <c r="S13" i="39" a="1"/>
  <c r="S13" i="39" s="1"/>
  <c r="E17" i="40" s="1"/>
  <c r="S3" i="39" a="1"/>
  <c r="S3" i="39" s="1"/>
  <c r="E13" i="40" s="1"/>
  <c r="S6" i="39" a="1"/>
  <c r="S6" i="39" s="1"/>
  <c r="E7" i="40" s="1"/>
  <c r="S11" i="39" a="1"/>
  <c r="S11" i="39" s="1"/>
  <c r="E15" i="40" s="1"/>
  <c r="S14" i="39" a="1"/>
  <c r="S14" i="39" s="1"/>
  <c r="E18" i="40" s="1"/>
  <c r="S4" i="39" a="1"/>
  <c r="S4" i="39" s="1"/>
  <c r="E12" i="40" s="1"/>
  <c r="S9" i="39" a="1"/>
  <c r="S9" i="39" s="1"/>
  <c r="E8" i="40" s="1"/>
  <c r="S12" i="39" a="1"/>
  <c r="S12" i="39" s="1"/>
  <c r="E16" i="40" s="1"/>
  <c r="S7" i="39" a="1"/>
  <c r="S7" i="39" s="1"/>
  <c r="E6" i="40" s="1"/>
  <c r="S10" i="39" a="1"/>
  <c r="S10" i="39" s="1"/>
  <c r="E9" i="40" s="1"/>
  <c r="S2" i="39" a="1"/>
  <c r="S2" i="39" s="1"/>
  <c r="E14" i="40" s="1"/>
  <c r="D133" i="15"/>
  <c r="H6" i="13" s="1"/>
  <c r="J133" i="15"/>
  <c r="H12" i="13" s="1"/>
  <c r="I133" i="15"/>
  <c r="H11" i="13" s="1"/>
  <c r="G133" i="15"/>
  <c r="H9" i="13" s="1"/>
  <c r="F133" i="15"/>
  <c r="H8" i="13" s="1"/>
  <c r="H133" i="15"/>
  <c r="H10" i="13" s="1"/>
  <c r="E133" i="15"/>
  <c r="H7" i="13" s="1"/>
  <c r="C133" i="15"/>
  <c r="H5" i="13" s="1"/>
  <c r="F7" i="49" l="1"/>
  <c r="F10" i="49"/>
  <c r="F11" i="49"/>
  <c r="F4" i="49"/>
  <c r="F16" i="49"/>
  <c r="F15" i="49"/>
  <c r="F14" i="49"/>
  <c r="F13" i="49"/>
  <c r="F9" i="49"/>
  <c r="F12" i="49"/>
  <c r="F6" i="49"/>
  <c r="F5" i="49"/>
  <c r="F8" i="49"/>
  <c r="M5" i="13"/>
  <c r="M9" i="13"/>
  <c r="M12" i="13"/>
  <c r="M7" i="13"/>
  <c r="M11" i="13"/>
  <c r="M13" i="13"/>
  <c r="M15" i="13"/>
  <c r="M10" i="13"/>
  <c r="M8" i="13"/>
  <c r="M6" i="13"/>
  <c r="M14" i="13"/>
  <c r="M16" i="13"/>
  <c r="M4" i="13"/>
  <c r="E132" i="5" l="1"/>
  <c r="E7" i="13" s="1"/>
  <c r="J7" i="13" s="1"/>
  <c r="F132" i="5"/>
  <c r="E8" i="13" s="1"/>
  <c r="J8" i="13" s="1"/>
  <c r="G132" i="5"/>
  <c r="E9" i="13" s="1"/>
  <c r="J9" i="13" s="1"/>
  <c r="H132" i="5"/>
  <c r="E10" i="13" s="1"/>
  <c r="J10" i="13" s="1"/>
  <c r="I132" i="5"/>
  <c r="E11" i="13" s="1"/>
  <c r="J11" i="13" s="1"/>
  <c r="J132" i="5"/>
  <c r="E12" i="13" s="1"/>
  <c r="J12" i="13" s="1"/>
  <c r="D132" i="5" l="1"/>
  <c r="E6" i="13" s="1"/>
  <c r="J6" i="13" s="1"/>
  <c r="C132" i="5"/>
  <c r="E5" i="13" s="1"/>
  <c r="B132" i="5"/>
  <c r="E4" i="13" s="1"/>
  <c r="J4" i="13" s="1"/>
  <c r="L5" i="13" l="1"/>
  <c r="J5" i="13"/>
  <c r="K5" i="13" s="1"/>
  <c r="K7" i="13"/>
  <c r="K8" i="13"/>
  <c r="K9" i="13"/>
  <c r="K10" i="13"/>
  <c r="K11" i="13"/>
  <c r="K12" i="13"/>
  <c r="L9" i="13"/>
  <c r="L12" i="13"/>
  <c r="L6" i="13"/>
  <c r="L8" i="13"/>
  <c r="L7" i="13"/>
  <c r="L4" i="13"/>
  <c r="L13" i="13"/>
  <c r="P13" i="13" s="1"/>
  <c r="L14" i="13"/>
  <c r="P14" i="13" s="1"/>
  <c r="L15" i="13"/>
  <c r="P15" i="13" s="1"/>
  <c r="L16" i="13"/>
  <c r="P16" i="13" s="1"/>
  <c r="L11" i="13"/>
  <c r="L10" i="13"/>
  <c r="Z2" i="12"/>
  <c r="AB2" i="12"/>
  <c r="AA2" i="12"/>
  <c r="W2" i="12"/>
  <c r="X2" i="12"/>
  <c r="V2" i="12"/>
  <c r="K6" i="13" l="1"/>
  <c r="AH2" i="12"/>
  <c r="K14" i="13"/>
  <c r="K13" i="13"/>
  <c r="K16" i="13"/>
  <c r="K15" i="13"/>
  <c r="K4" i="13"/>
  <c r="P5" i="13"/>
  <c r="P11" i="13"/>
  <c r="P7" i="13"/>
  <c r="P10" i="13"/>
  <c r="P4" i="13"/>
  <c r="P9" i="13"/>
  <c r="P6" i="13"/>
  <c r="P8" i="13"/>
  <c r="P12" i="13"/>
  <c r="R5" i="13" l="1" a="1"/>
  <c r="R5" i="13" s="1"/>
  <c r="F13" i="40" s="1"/>
  <c r="R8" i="13" a="1"/>
  <c r="R8" i="13" s="1"/>
  <c r="F7" i="40" s="1"/>
  <c r="R13" i="13" a="1"/>
  <c r="R13" i="13" s="1"/>
  <c r="F15" i="40" s="1"/>
  <c r="R16" i="13" a="1"/>
  <c r="R16" i="13" s="1"/>
  <c r="F18" i="40" s="1"/>
  <c r="R6" i="13" a="1"/>
  <c r="R6" i="13" s="1"/>
  <c r="F12" i="40" s="1"/>
  <c r="R11" i="13" a="1"/>
  <c r="R11" i="13" s="1"/>
  <c r="F8" i="40" s="1"/>
  <c r="R14" i="13" a="1"/>
  <c r="R14" i="13" s="1"/>
  <c r="F16" i="40" s="1"/>
  <c r="R9" i="13" a="1"/>
  <c r="R9" i="13" s="1"/>
  <c r="F6" i="40" s="1"/>
  <c r="R12" i="13" a="1"/>
  <c r="R12" i="13" s="1"/>
  <c r="F9" i="40" s="1"/>
  <c r="R4" i="13" a="1"/>
  <c r="R4" i="13" s="1"/>
  <c r="F14" i="40" s="1"/>
  <c r="R7" i="13" a="1"/>
  <c r="R7" i="13" s="1"/>
  <c r="F10" i="40" s="1"/>
  <c r="R10" i="13" a="1"/>
  <c r="R10" i="13" s="1"/>
  <c r="F11" i="40" s="1"/>
  <c r="R15" i="13" a="1"/>
  <c r="R15" i="13" s="1"/>
  <c r="F17" i="40" s="1"/>
  <c r="I4" i="12"/>
  <c r="H3" i="12"/>
  <c r="K14" i="40" s="1"/>
  <c r="I8" i="12"/>
  <c r="H4" i="12"/>
  <c r="K13" i="40" s="1"/>
  <c r="H10" i="12"/>
  <c r="K8" i="40" l="1"/>
  <c r="C24" i="59"/>
  <c r="G15" i="49"/>
  <c r="G17" i="40"/>
  <c r="G9" i="49"/>
  <c r="G11" i="40"/>
  <c r="G4" i="49"/>
  <c r="G6" i="40"/>
  <c r="G16" i="49"/>
  <c r="G18" i="40"/>
  <c r="G8" i="49"/>
  <c r="G10" i="40"/>
  <c r="G14" i="49"/>
  <c r="G16" i="40"/>
  <c r="G13" i="49"/>
  <c r="G15" i="40"/>
  <c r="G12" i="49"/>
  <c r="G14" i="40"/>
  <c r="G6" i="49"/>
  <c r="G8" i="40"/>
  <c r="G5" i="49"/>
  <c r="G7" i="40"/>
  <c r="G7" i="49"/>
  <c r="G9" i="40"/>
  <c r="G10" i="49"/>
  <c r="G12" i="40"/>
  <c r="G11" i="49"/>
  <c r="G13" i="40"/>
  <c r="P9" i="55"/>
  <c r="J4" i="12"/>
  <c r="I10" i="12"/>
  <c r="I11" i="12"/>
  <c r="H5" i="12"/>
  <c r="K12" i="40" s="1"/>
  <c r="I9" i="12"/>
  <c r="I7" i="12"/>
  <c r="I5" i="12"/>
  <c r="H11" i="12"/>
  <c r="K9" i="40" s="1"/>
  <c r="I3" i="12"/>
  <c r="J3" i="12" s="1"/>
  <c r="H6" i="12"/>
  <c r="K10" i="40" s="1"/>
  <c r="H8" i="12"/>
  <c r="K6" i="40" s="1"/>
  <c r="I6" i="12"/>
  <c r="H7" i="12"/>
  <c r="K7" i="40" s="1"/>
  <c r="H9" i="12"/>
  <c r="K11" i="40" s="1"/>
  <c r="P22" i="55" l="1"/>
  <c r="Q9" i="55" s="1"/>
  <c r="H8" i="40" a="1"/>
  <c r="H8" i="40" s="1"/>
  <c r="G16" i="55" s="1"/>
  <c r="H13" i="40" a="1"/>
  <c r="H13" i="40" s="1"/>
  <c r="G10" i="55" s="1"/>
  <c r="H16" i="40" a="1"/>
  <c r="H16" i="40" s="1"/>
  <c r="G19" i="55" s="1"/>
  <c r="H11" i="40" a="1"/>
  <c r="H11" i="40" s="1"/>
  <c r="G15" i="55" s="1"/>
  <c r="H14" i="40" a="1"/>
  <c r="H14" i="40" s="1"/>
  <c r="G9" i="55" s="1"/>
  <c r="H6" i="40" a="1"/>
  <c r="H6" i="40" s="1"/>
  <c r="G14" i="55" s="1"/>
  <c r="L14" i="55" s="1"/>
  <c r="H9" i="40" a="1"/>
  <c r="H9" i="40" s="1"/>
  <c r="G17" i="55" s="1"/>
  <c r="H12" i="40" a="1"/>
  <c r="H12" i="40" s="1"/>
  <c r="G11" i="55" s="1"/>
  <c r="H17" i="40" a="1"/>
  <c r="H17" i="40" s="1"/>
  <c r="G20" i="55" s="1"/>
  <c r="H7" i="40" a="1"/>
  <c r="H7" i="40" s="1"/>
  <c r="G13" i="55" s="1"/>
  <c r="H10" i="40" a="1"/>
  <c r="H10" i="40" s="1"/>
  <c r="G12" i="55" s="1"/>
  <c r="H15" i="40" a="1"/>
  <c r="H15" i="40" s="1"/>
  <c r="G18" i="55" s="1"/>
  <c r="H18" i="40" a="1"/>
  <c r="H18" i="40" s="1"/>
  <c r="G21" i="55" s="1"/>
  <c r="J10" i="12"/>
  <c r="E24" i="59"/>
  <c r="AA12" i="12" a="1"/>
  <c r="AA12" i="12" s="1"/>
  <c r="AA9" i="12" a="1"/>
  <c r="AA9" i="12" s="1"/>
  <c r="AA8" i="12" a="1"/>
  <c r="AA8" i="12" s="1"/>
  <c r="AA7" i="12" a="1"/>
  <c r="AA7" i="12" s="1"/>
  <c r="AA6" i="12" a="1"/>
  <c r="AA6" i="12" s="1"/>
  <c r="AA13" i="12" a="1"/>
  <c r="AA13" i="12" s="1"/>
  <c r="AA4" i="12" a="1"/>
  <c r="AA4" i="12" s="1"/>
  <c r="AA3" i="12" a="1"/>
  <c r="AA3" i="12" s="1"/>
  <c r="AA10" i="12" a="1"/>
  <c r="AA10" i="12" s="1"/>
  <c r="AA15" i="12" a="1"/>
  <c r="AA15" i="12" s="1"/>
  <c r="AA14" i="12" a="1"/>
  <c r="AA14" i="12" s="1"/>
  <c r="AA11" i="12" a="1"/>
  <c r="AA11" i="12" s="1"/>
  <c r="AA5" i="12" a="1"/>
  <c r="AA5" i="12" s="1"/>
  <c r="J9" i="12"/>
  <c r="J8" i="12"/>
  <c r="J7" i="12"/>
  <c r="J6" i="12"/>
  <c r="J11" i="12"/>
  <c r="J5" i="12"/>
  <c r="H4" i="49" l="1"/>
  <c r="Q16" i="55"/>
  <c r="Q14" i="55"/>
  <c r="Q17" i="55"/>
  <c r="Q15" i="55"/>
  <c r="Q18" i="55"/>
  <c r="Q10" i="55"/>
  <c r="Q20" i="55"/>
  <c r="Q12" i="55"/>
  <c r="Q19" i="55"/>
  <c r="Q21" i="55"/>
  <c r="Q11" i="55"/>
  <c r="Q13" i="55"/>
  <c r="AB7" i="12" a="1"/>
  <c r="AB7" i="12" s="1"/>
  <c r="AH7" i="12" s="1"/>
  <c r="H16" i="49"/>
  <c r="L21" i="55"/>
  <c r="H9" i="49"/>
  <c r="L15" i="55"/>
  <c r="H8" i="49"/>
  <c r="L12" i="55"/>
  <c r="H15" i="49"/>
  <c r="L20" i="55"/>
  <c r="H6" i="49"/>
  <c r="L16" i="55"/>
  <c r="H5" i="49"/>
  <c r="L13" i="55"/>
  <c r="H13" i="49"/>
  <c r="L18" i="55"/>
  <c r="H10" i="49"/>
  <c r="L11" i="55"/>
  <c r="H14" i="49"/>
  <c r="L19" i="55"/>
  <c r="H7" i="49"/>
  <c r="L17" i="55"/>
  <c r="H12" i="49"/>
  <c r="L9" i="55"/>
  <c r="H11" i="49"/>
  <c r="L10" i="55"/>
  <c r="AB14" i="12" a="1"/>
  <c r="AB14" i="12" s="1"/>
  <c r="AH14" i="12" s="1"/>
  <c r="AB11" i="12" a="1"/>
  <c r="AB11" i="12" s="1"/>
  <c r="AH11" i="12" s="1"/>
  <c r="AB5" i="12" a="1"/>
  <c r="AB5" i="12" s="1"/>
  <c r="AH5" i="12" s="1"/>
  <c r="AB4" i="12" a="1"/>
  <c r="AB4" i="12" s="1"/>
  <c r="AH4" i="12" s="1"/>
  <c r="AB9" i="12" a="1"/>
  <c r="AB9" i="12" s="1"/>
  <c r="AH9" i="12" s="1"/>
  <c r="AB8" i="12" a="1"/>
  <c r="AB8" i="12" s="1"/>
  <c r="AH8" i="12" s="1"/>
  <c r="AB15" i="12" a="1"/>
  <c r="AB15" i="12" s="1"/>
  <c r="AH15" i="12" s="1"/>
  <c r="AB6" i="12" a="1"/>
  <c r="AB6" i="12" s="1"/>
  <c r="AH6" i="12" s="1"/>
  <c r="AB13" i="12" a="1"/>
  <c r="AB13" i="12" s="1"/>
  <c r="AK13" i="12" s="1"/>
  <c r="AB12" i="12" a="1"/>
  <c r="AB12" i="12" s="1"/>
  <c r="AK12" i="12" s="1"/>
  <c r="AB3" i="12" a="1"/>
  <c r="AB3" i="12" s="1"/>
  <c r="AK3" i="12" s="1"/>
  <c r="AB10" i="12" a="1"/>
  <c r="AB10" i="12" s="1"/>
  <c r="AK10" i="12" s="1"/>
  <c r="AK7" i="12" l="1"/>
  <c r="AH10" i="12"/>
  <c r="AH12" i="12"/>
  <c r="AH13" i="12"/>
  <c r="AH3" i="12"/>
  <c r="AK8" i="12"/>
  <c r="AK15" i="12"/>
  <c r="AK14" i="12"/>
  <c r="L22" i="55"/>
  <c r="M14" i="55" s="1"/>
  <c r="AK11" i="12"/>
  <c r="AK4" i="12"/>
  <c r="AK6" i="12"/>
  <c r="AK9" i="12"/>
  <c r="AK5" i="12"/>
  <c r="AJ6" i="12" l="1" a="1"/>
  <c r="AJ6" i="12" s="1"/>
  <c r="J10" i="40" s="1"/>
  <c r="J8" i="49" s="1"/>
  <c r="AJ9" i="12" a="1"/>
  <c r="AJ9" i="12" s="1"/>
  <c r="AJ15" i="12" a="1"/>
  <c r="AJ15" i="12" s="1"/>
  <c r="AJ5" i="12" a="1"/>
  <c r="AJ5" i="12" s="1"/>
  <c r="AJ13" i="12" a="1"/>
  <c r="AJ13" i="12" s="1"/>
  <c r="M16" i="55"/>
  <c r="AJ7" i="12" a="1"/>
  <c r="AJ7" i="12" s="1"/>
  <c r="M17" i="55"/>
  <c r="AJ11" i="12" a="1"/>
  <c r="AJ11" i="12" s="1"/>
  <c r="AJ12" i="12" a="1"/>
  <c r="AJ12" i="12" s="1"/>
  <c r="M18" i="55"/>
  <c r="AJ14" i="12" a="1"/>
  <c r="AJ14" i="12" s="1"/>
  <c r="J17" i="40" s="1"/>
  <c r="AJ4" i="12" a="1"/>
  <c r="AJ4" i="12" s="1"/>
  <c r="J13" i="40" s="1"/>
  <c r="M12" i="55"/>
  <c r="M9" i="55"/>
  <c r="M15" i="55"/>
  <c r="M20" i="55"/>
  <c r="AJ10" i="12" a="1"/>
  <c r="AJ10" i="12" s="1"/>
  <c r="J8" i="40" s="1"/>
  <c r="M13" i="55"/>
  <c r="AJ3" i="12" a="1"/>
  <c r="AJ3" i="12" s="1"/>
  <c r="J14" i="40" s="1"/>
  <c r="AJ8" i="12" a="1"/>
  <c r="AJ8" i="12" s="1"/>
  <c r="M21" i="55"/>
  <c r="M19" i="55"/>
  <c r="M10" i="55"/>
  <c r="M11" i="55"/>
  <c r="M10" i="40" l="1"/>
  <c r="F12" i="55"/>
  <c r="J12" i="55" s="1"/>
  <c r="J7" i="40"/>
  <c r="J5" i="49" s="1"/>
  <c r="J16" i="40"/>
  <c r="F19" i="55" s="1"/>
  <c r="J19" i="55" s="1"/>
  <c r="J12" i="40"/>
  <c r="M12" i="40" s="1"/>
  <c r="J15" i="40"/>
  <c r="F18" i="55" s="1"/>
  <c r="J18" i="55" s="1"/>
  <c r="J18" i="40"/>
  <c r="M18" i="40" s="1"/>
  <c r="J9" i="40"/>
  <c r="M9" i="40" s="1"/>
  <c r="J11" i="40"/>
  <c r="F15" i="55" s="1"/>
  <c r="J15" i="55" s="1"/>
  <c r="J6" i="40"/>
  <c r="M6" i="40" s="1"/>
  <c r="J14" i="49"/>
  <c r="M7" i="40"/>
  <c r="F13" i="55"/>
  <c r="J13" i="55" s="1"/>
  <c r="J6" i="49"/>
  <c r="F16" i="55"/>
  <c r="J16" i="55" s="1"/>
  <c r="M8" i="40"/>
  <c r="J11" i="49"/>
  <c r="F10" i="55"/>
  <c r="J10" i="55" s="1"/>
  <c r="M13" i="40"/>
  <c r="J15" i="49"/>
  <c r="F20" i="55"/>
  <c r="J20" i="55" s="1"/>
  <c r="M17" i="40"/>
  <c r="J12" i="49"/>
  <c r="F9" i="55"/>
  <c r="J9" i="55" s="1"/>
  <c r="M14" i="40"/>
  <c r="M16" i="40" l="1"/>
  <c r="J10" i="49"/>
  <c r="F11" i="55"/>
  <c r="J11" i="55" s="1"/>
  <c r="F17" i="55"/>
  <c r="J17" i="55" s="1"/>
  <c r="J7" i="49"/>
  <c r="M15" i="40"/>
  <c r="F21" i="55"/>
  <c r="J21" i="55" s="1"/>
  <c r="J16" i="49"/>
  <c r="J13" i="49"/>
  <c r="M11" i="40"/>
  <c r="J9" i="49"/>
  <c r="F14" i="55"/>
  <c r="J14" i="55" s="1"/>
  <c r="J4" i="49"/>
  <c r="N6" i="40" l="1" a="1"/>
  <c r="N6" i="40" s="1"/>
  <c r="L4" i="49" s="1"/>
  <c r="N12" i="40" a="1"/>
  <c r="N12" i="40" s="1"/>
  <c r="L10" i="49" s="1"/>
  <c r="N10" i="40" a="1"/>
  <c r="N10" i="40" s="1"/>
  <c r="L8" i="49" s="1"/>
  <c r="J22" i="55"/>
  <c r="K14" i="55" s="1"/>
  <c r="R14" i="55" s="1"/>
  <c r="N16" i="40" a="1"/>
  <c r="N16" i="40" s="1"/>
  <c r="L14" i="49" s="1"/>
  <c r="N17" i="40" a="1"/>
  <c r="N17" i="40" s="1"/>
  <c r="L15" i="49" s="1"/>
  <c r="N18" i="40" a="1"/>
  <c r="N18" i="40" s="1"/>
  <c r="L16" i="49" s="1"/>
  <c r="N13" i="40" a="1"/>
  <c r="N13" i="40" s="1"/>
  <c r="L11" i="49" s="1"/>
  <c r="N9" i="40" a="1"/>
  <c r="N9" i="40" s="1"/>
  <c r="L7" i="49" s="1"/>
  <c r="N11" i="40" a="1"/>
  <c r="N11" i="40" s="1"/>
  <c r="L9" i="49" s="1"/>
  <c r="N8" i="40" a="1"/>
  <c r="N8" i="40" s="1"/>
  <c r="L6" i="49" s="1"/>
  <c r="N15" i="40" a="1"/>
  <c r="N15" i="40" s="1"/>
  <c r="L13" i="49" s="1"/>
  <c r="N14" i="40" a="1"/>
  <c r="N14" i="40" s="1"/>
  <c r="L12" i="49" s="1"/>
  <c r="N7" i="40" a="1"/>
  <c r="N7" i="40" s="1"/>
  <c r="L5" i="49" s="1"/>
  <c r="K10" i="55"/>
  <c r="R10" i="55" s="1"/>
  <c r="K20" i="55"/>
  <c r="R20" i="55" s="1"/>
  <c r="K16" i="55"/>
  <c r="R16" i="55" s="1"/>
  <c r="K12" i="55" l="1"/>
  <c r="R12" i="55" s="1"/>
  <c r="K9" i="55"/>
  <c r="R9" i="55" s="1"/>
  <c r="K18" i="55"/>
  <c r="R18" i="55" s="1"/>
  <c r="K15" i="55"/>
  <c r="R15" i="55" s="1"/>
  <c r="K21" i="55"/>
  <c r="R21" i="55" s="1"/>
  <c r="K11" i="55"/>
  <c r="R11" i="55" s="1"/>
  <c r="K17" i="55"/>
  <c r="R17" i="55" s="1"/>
  <c r="K13" i="55"/>
  <c r="R13" i="55" s="1"/>
  <c r="K19" i="55"/>
  <c r="R19" i="55" s="1"/>
  <c r="S19" i="55" s="1"/>
  <c r="S16" i="55"/>
  <c r="S20" i="55"/>
  <c r="S10" i="55"/>
  <c r="S14" i="55"/>
  <c r="S12" i="55" l="1"/>
  <c r="S17" i="55"/>
  <c r="S13" i="55"/>
  <c r="S21" i="55"/>
  <c r="S15" i="55"/>
  <c r="S11" i="55"/>
  <c r="S9" i="55"/>
  <c r="R3" i="55"/>
  <c r="S18" i="55"/>
  <c r="E13" i="59"/>
  <c r="E12" i="59"/>
  <c r="E15" i="59"/>
  <c r="E16" i="59"/>
  <c r="E8" i="59"/>
  <c r="E9" i="59"/>
  <c r="E11" i="59"/>
  <c r="E10" i="59"/>
  <c r="E17" i="59"/>
  <c r="E14" i="59"/>
  <c r="S3" i="55" l="1"/>
  <c r="K35" i="59"/>
  <c r="O35" i="59" s="1"/>
  <c r="K39" i="59"/>
  <c r="O39" i="59" s="1"/>
  <c r="K38" i="59"/>
  <c r="O38" i="59" s="1"/>
  <c r="K37" i="59"/>
  <c r="O37" i="59" s="1"/>
  <c r="K36" i="59"/>
  <c r="O36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333CCBC6-4CE7-4983-9FD4-D731DAF304DE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Timestamp="1718361178"&gt;&lt;FQL&gt;&lt;Q&gt;FC0000IT^FMA_MCAP(0,,,USD,"PORTAGG")&lt;/Q&gt;&lt;R&gt;1&lt;/R&gt;&lt;C&gt;1&lt;/C&gt;&lt;D xsi:type="xsd:double"&gt;863832.4&lt;/D&gt;&lt;/FQL&gt;&lt;FQL&gt;&lt;Q&gt;EWD^FREF_MARKET_VALUE_COMPANY(0,,,USD,,0,,"LEGACY")&lt;/Q&gt;&lt;R&gt;1&lt;/R&gt;&lt;C&gt;1&lt;/C&gt;&lt;D xsi:type="xsd:double"&gt;384.1875&lt;/D&gt;&lt;/FQL&gt;&lt;FQL&gt;&lt;Q&gt;EWN^FREF_MARKET_VALUE_COMPANY(0,,,USD,,0,,"LEGACY")&lt;/Q&gt;&lt;R&gt;1&lt;/R&gt;&lt;C&gt;1&lt;/C&gt;&lt;D xsi:type="xsd:double"&gt;283.938&lt;/D&gt;&lt;/FQL&gt;&lt;FQL&gt;&lt;Q&gt;FC0000NL^FMA_MCAP(0,,,USD,"PORTAGG")&lt;/Q&gt;&lt;R&gt;1&lt;/R&gt;&lt;C&gt;1&lt;/C&gt;&lt;D xsi:type="xsd:double"&gt;1185687.1&lt;/D&gt;&lt;/FQL&gt;&lt;FQL&gt;&lt;Q&gt;EWQ^FREF_MARKET_VALUE_COMPANY(0,,,USD,,0,,"LEGACY")&lt;/Q&gt;&lt;R&gt;1&lt;/R&gt;&lt;C&gt;1&lt;/C&gt;&lt;D xsi:type="xsd:double"&gt;615.41&lt;/D&gt;&lt;/FQL&gt;&lt;FQL&gt;&lt;Q&gt;FC0000FR^FMA_MCAP(0,,,USD,"PORTAGG")&lt;/Q&gt;&lt;R&gt;1&lt;/R&gt;&lt;C&gt;1&lt;/C&gt;&lt;D xsi:type="xsd:double"&gt;3227415.8&lt;/D&gt;&lt;/FQL&gt;&lt;FQL&gt;&lt;Q&gt;SPY^FREF_MARKET_VALUE_COMPANY(0,,,USD,,0,,"LEGACY")&lt;/Q&gt;&lt;R&gt;1&lt;/R&gt;&lt;C&gt;1&lt;/C&gt;&lt;D xsi:type="xsd:double"&gt;536907.300145&lt;/D&gt;&lt;/FQL&gt;&lt;FQL&gt;&lt;Q&gt;FC0000US^FMA_MCAP(0,,,USD,"PORTAGG")&lt;/Q&gt;&lt;R&gt;1&lt;/R&gt;&lt;C&gt;1&lt;/C&gt;&lt;D xsi:type="xsd:double"&gt;56151130&lt;/D&gt;&lt;/FQL&gt;&lt;FQL&gt;&lt;Q&gt;QQQ^FREF_MARKET_VALUE_COMPANY(0,,,USD,,0,,"LEGACY")&lt;/Q&gt;&lt;R&gt;1&lt;/R&gt;&lt;C&gt;1&lt;/C&gt;&lt;D xsi:type="xsd:double"&gt;284983.216&lt;/D&gt;&lt;/FQL&gt;&lt;FQL&gt;&lt;Q&gt;EWU^FREF_MARKET_VALUE_COMPANY(0,,,USD,,0,,"LEGACY")&lt;/Q&gt;&lt;R&gt;1&lt;/R&gt;&lt;C&gt;1&lt;/C&gt;&lt;D xsi:type="xsd:double"&gt;2800.182&lt;/D&gt;&lt;/FQL&gt;&lt;FQL&gt;&lt;Q&gt;FC0000GB^FMA_MCAP(0,,,USD,"PORTAGG")&lt;/Q&gt;&lt;R&gt;1&lt;/R&gt;&lt;C&gt;1&lt;/C&gt;&lt;D xsi:type="xsd:double"&gt;3242559&lt;/D&gt;&lt;/FQL&gt;&lt;FQL&gt;&lt;Q&gt;EWL^FREF_MARKET_VALUE_COMPANY(0,,,USD,,0,,"LEGACY")&lt;/Q&gt;&lt;R&gt;1&lt;/R&gt;&lt;C&gt;1&lt;/C&gt;&lt;D xsi:type="xsd:double"&gt;1168.68125&lt;/D&gt;&lt;/FQL&gt;&lt;FQL&gt;&lt;Q&gt;FC0000CH^FMA_MCAP(0,,,USD,"PORTAGG")&lt;/Q&gt;&lt;R&gt;1&lt;/R&gt;&lt;C&gt;1&lt;/C&gt;&lt;D xsi:type="xsd:double"&gt;2205332.8&lt;/D&gt;&lt;/FQL&gt;&lt;FQL&gt;&lt;Q&gt;EWJ^FREF_MARKET_VALUE_COMPANY(0,,,USD,,0,,"LEGACY")&lt;/Q&gt;&lt;R&gt;1&lt;/R&gt;&lt;C&gt;1&lt;/C&gt;&lt;D xsi:type="xsd:double"&gt;15612.375&lt;/D&gt;&lt;/FQL&gt;&lt;FQL&gt;&lt;Q&gt;FC0000JP^FMA_MCAP(0,,,USD,"PORTAGG")&lt;/Q&gt;&lt;R&gt;1&lt;/R&gt;&lt;C&gt;1&lt;/C&gt;&lt;D xsi:type="xsd:double"&gt;6325763.5&lt;/D&gt;&lt;/FQL&gt;&lt;FQL&gt;&lt;Q&gt;EWG^FREF_MARKET_VALUE_COMPANY(0,,,USD,,0,,"LEGACY")&lt;/Q&gt;&lt;R&gt;1&lt;/R&gt;&lt;C&gt;1&lt;/C&gt;&lt;D xsi:type="xsd:double"&gt;936.666&lt;/D&gt;&lt;/FQL&gt;&lt;FQL&gt;&lt;Q&gt;FC0000DE^FMA_MCAP(0,,,USD,"PORTAGG")&lt;/Q&gt;&lt;R&gt;1&lt;/R&gt;&lt;C&gt;1&lt;/C&gt;&lt;D xsi:type="xsd:double"&gt;2241649.5&lt;/D&gt;&lt;/FQL&gt;&lt;FQL&gt;&lt;Q&gt;EWC^FREF_MARKET_VALUE_COMPANY(0,,,USD,,0,,"LEGACY")&lt;/Q&gt;&lt;R&gt;1&lt;/R&gt;&lt;C&gt;1&lt;/C&gt;&lt;D xsi:type="xsd:double"&gt;2411.94&lt;/D&gt;&lt;/FQL&gt;&lt;FQL&gt;&lt;Q&gt;FC0000CA^FMA_MCAP(0,,,USD,"PORTAGG")&lt;/Q&gt;&lt;R&gt;1&lt;/R&gt;&lt;C&gt;1&lt;/C&gt;&lt;D xsi:type="xsd:double"&gt;2660496.5&lt;/D&gt;&lt;/FQL&gt;&lt;FQL&gt;&lt;Q&gt;EWA^FREF_MARKET_VALUE_COMPANY(0,,,USD,,0,,"LEGACY")&lt;/Q&gt;&lt;R&gt;1&lt;/R&gt;&lt;C&gt;1&lt;/C&gt;&lt;D xsi:type="xsd:double"&gt;1644.828&lt;/D&gt;&lt;/FQL&gt;&lt;FQL&gt;&lt;Q&gt;FC0000AU^FMA_MCAP(0,,,USD,"PORTAGG")&lt;/Q&gt;&lt;R&gt;1&lt;/R&gt;&lt;C&gt;1&lt;/C&gt;&lt;D xsi:type="xsd:double"&gt;1689419&lt;/D&gt;&lt;/FQL&gt;&lt;FQL&gt;&lt;Q&gt;ENZL^FREF_MARKET_VALUE_COMPANY(0,,,USD,,0,,"LEGACY")&lt;/Q&gt;&lt;R&gt;1&lt;/R&gt;&lt;C&gt;1&lt;/C&gt;&lt;D xsi:type="xsd:double"&gt;85.174&lt;/D&gt;&lt;/FQL&gt;&lt;FQL&gt;&lt;Q&gt;FC0000NZ^FMA_MCAP(0,,,USD,"PORTAGG")&lt;/Q&gt;&lt;R&gt;1&lt;/R&gt;&lt;C&gt;1&lt;/C&gt;&lt;D xsi:type="xsd:double"&gt;93283.5&lt;/D&gt;&lt;/FQL&gt;&lt;FQL&gt;&lt;Q&gt;NQG00809^FG_COMPANY_NAME&lt;/Q&gt;&lt;R&gt;1&lt;/R&gt;&lt;C&gt;1&lt;/C&gt;&lt;D xsi:type="xsd:string"&gt;Nasdaq South Africa&lt;/D&gt;&lt;/FQL&gt;&lt;FQL&gt;&lt;Q&gt;CC_ZA^FG_COMPANY_NAME&lt;/Q&gt;&lt;R&gt;1&lt;/R&gt;&lt;C&gt;1&lt;/C&gt;&lt;D xsi:type="xsd:string"&gt;South Africa&lt;/D&gt;&lt;/FQL&gt;&lt;FQL&gt;&lt;Q&gt;NQG00809^FMA_MCAP(0,,,USD,"PORTAGG")&lt;/Q&gt;&lt;R&gt;0&lt;/R&gt;&lt;C&gt;0&lt;/C&gt;&lt;/FQL&gt;&lt;FQL&gt;&lt;Q&gt;FC0000ZA^FG_MCAP_IDX(0,,,USD)&lt;/Q&gt;&lt;R&gt;1&lt;/R&gt;&lt;C&gt;1&lt;/C&gt;&lt;D xsi:type="xsd:double"&gt;305865.66&lt;/D&gt;&lt;/FQL&gt;&lt;FQL&gt;&lt;Q&gt;EWI^FREF_MARKET_VALUE_COMPANY(0,,,USD,,0,,"LEGACY")&lt;/Q&gt;&lt;R&gt;1&lt;/R&gt;&lt;C&gt;1&lt;/C&gt;&lt;D xsi:type="xsd:double"&gt;430.392&lt;/D&gt;&lt;/FQL&gt;&lt;FQL&gt;&lt;Q&gt;FC0000SE^FMA_MCAP(0,,,USD,"PORTAGG")&lt;/Q&gt;&lt;R&gt;1&lt;/R&gt;&lt;C&gt;1&lt;/C&gt;&lt;D xsi:type="xsd:double"&gt;1032775.25&lt;/D&gt;&lt;/FQL&gt;&lt;FQL&gt;&lt;Q&gt;DUMMY^ECON_EXPR_DATA('FDS_ECON[NTCPMIMFGSA@IT]',,,M)&lt;/Q&gt;&lt;R&gt;1&lt;/R&gt;&lt;C&gt;1&lt;/C&gt;&lt;D xsi:type="xsd:double"&gt;45.618244&lt;/D&gt;&lt;/FQL&gt;&lt;FQL&gt;&lt;Q&gt;DUMMY^ECON_EXPR_DATA('FDS_ECON[NTCPMIMFGSA@NL]',,,M)&lt;/Q&gt;&lt;R&gt;1&lt;/R&gt;&lt;C&gt;1&lt;/C&gt;&lt;D xsi:type="xsd:double"&gt;52.487343&lt;/D&gt;&lt;/FQL&gt;&lt;FQL&gt;&lt;Q&gt;DUMMY^ECON_EXPR_DATA('FDS_ECON[NTCPMIMFGMESA@US]',,,M)&lt;/Q&gt;&lt;R&gt;1&lt;/R&gt;&lt;C&gt;1&lt;/C&gt;&lt;D xsi:type="xsd:double"&gt;51.294792&lt;/D&gt;&lt;/FQL&gt;&lt;FQL&gt;&lt;Q&gt;DUMMY^ECON_EXPR_DATA('FDS_ECON[NTCPMIMFGSA@DE]',,,M)&lt;/Q&gt;&lt;R&gt;1&lt;/R&gt;&lt;C&gt;1&lt;/C&gt;&lt;D xsi:type="xsd:double"&gt;45.385258&lt;/D&gt;&lt;/FQL&gt;&lt;FQL&gt;&lt;Q&gt;DUMMY^ECON_EXPR_DATA('FDS_ECON[NTCPMIMFGSA@FR]',,,M)&lt;/Q&gt;&lt;R&gt;1&lt;/R&gt;&lt;C&gt;1&lt;/C&gt;&lt;D xsi:type="xsd:double"&gt;46.41387&lt;/D&gt;&lt;/FQL&gt;&lt;FQL&gt;&lt;Q&gt;DUMMY^ECON_EXPR_DATA('FDS_ECON[NTCPMIMFGSA@CA]',,,M)&lt;/Q&gt;&lt;R&gt;1&lt;/R&gt;&lt;C&gt;1&lt;/C&gt;&lt;D xsi:type="xsd:double"&gt;49.27551&lt;/D&gt;&lt;/FQL&gt;&lt;FQL&gt;&lt;Q&gt;DUMMY^ECON_EXPR_DATA('FDS_ECON[]',,,M)&lt;/Q&gt;&lt;R&gt;0&lt;/R&gt;&lt;C&gt;0&lt;/C&gt;&lt;/FQL&gt;&lt;FQL&gt;&lt;Q&gt;DUMMY^ECON_EXPR_DATA('FDS_ECON[NTCPMIMFGSA@JP]',,,M)&lt;/Q&gt;&lt;R&gt;1&lt;/R&gt;&lt;C&gt;1&lt;/C&gt;&lt;D xsi:type="xsd:double"&gt;50.359417&lt;/D&gt;&lt;/FQL&gt;&lt;FQL&gt;&lt;Q&gt;DUMMY^ECON_EXPR_DATA('FDS_ECON[NTCPMIMFGSA@GB]',,,M)&lt;/Q&gt;&lt;R&gt;1&lt;/R&gt;&lt;C&gt;1&lt;/C&gt;&lt;D xsi:type="xsd:double"&gt;51.21113&lt;/D&gt;&lt;/FQL&gt;&lt;FQL&gt;&lt;Q&gt;DUMMY^ECON_EXPR_DATA('FDS_ECON[NTCPMIMFGSA@AU]',,,M)&lt;/Q&gt;&lt;R&gt;1&lt;/R&gt;&lt;C&gt;1&lt;/C&gt;&lt;D xsi:type="xsd:double"&gt;49.677513&lt;/D&gt;&lt;/FQL&gt;&lt;FQL&gt;&lt;Q&gt;DUMMY^ECON_EXPR_DATA('FDS_ECON[NTCPMIMFGSA@CH]',,,M)&lt;/Q&gt;&lt;R&gt;1&lt;/R&gt;&lt;C&gt;1&lt;/C&gt;&lt;D xsi:type="xsd:double"&gt;46.441544&lt;/D&gt;&lt;/FQL&gt;&lt;FQL&gt;&lt;Q&gt;DUMMY^ECON_EXPR_DATA('FDS_ECON[NTCPMIMFGSA@NZ]',,,M)&lt;/Q&gt;&lt;R&gt;1&lt;/R&gt;&lt;C&gt;1&lt;/C&gt;&lt;D xsi:type="xsd:double"&gt;47.15829&lt;/D&gt;&lt;/FQL&gt;&lt;FQL&gt;&lt;Q&gt;CAGDPY@FR^EE_ACTUAL_ANNUAL(MED,+1)&lt;/Q&gt;&lt;R&gt;1&lt;/R&gt;&lt;C&gt;1&lt;/C&gt;&lt;D xsi:type="xsd:double"&gt;-0.5&lt;/D&gt;&lt;/FQL&gt;&lt;FQL&gt;&lt;Q&gt;CAGDPY@AU^EE_ACTUAL_ANNUAL(MED,+1)&lt;/Q&gt;&lt;R&gt;1&lt;/R&gt;&lt;C&gt;1&lt;/C&gt;&lt;D xsi:type="xsd:double"&gt;0.5&lt;/D&gt;&lt;/FQL&gt;&lt;FQL&gt;&lt;Q&gt;USDITL^FG_PRICE_CHANGE(0,-3AM)&lt;/Q&gt;&lt;R&gt;1&lt;/R&gt;&lt;C&gt;1&lt;/C&gt;&lt;D xsi:type="xsd:double"&gt;1.5968084&lt;/D&gt;&lt;/FQL&gt;&lt;FQL&gt;&lt;Q&gt;USDANG^FG_PRICE_CHANGE(0,-3AM)&lt;/Q&gt;&lt;R&gt;1&lt;/R&gt;&lt;C&gt;1&lt;/C&gt;&lt;D xsi:type="xsd:double"&gt;0&lt;/D&gt;&lt;/FQL&gt;&lt;FQL&gt;&lt;Q&gt;USDUSD^FG_PRICE_CHANGE(0,-3AM)&lt;/Q&gt;&lt;R&gt;1&lt;/R&gt;&lt;C&gt;1&lt;/C&gt;&lt;D xsi:type="xsd:double"&gt;0&lt;/D&gt;&lt;/FQL&gt;&lt;FQL&gt;&lt;Q&gt;USDGBP^FG_PRICE_CHANGE(0,-3AM)&lt;/Q&gt;&lt;R&gt;1&lt;/R&gt;&lt;C&gt;1&lt;/C&gt;&lt;D xsi:type="xsd:double"&gt;0.2428174&lt;/D&gt;&lt;/FQL&gt;&lt;FQL&gt;&lt;Q&gt;USDJPY^FG_PRICE_CHANGE(0,-3AM)&lt;/Q&gt;&lt;R&gt;1&lt;/R&gt;&lt;C&gt;1&lt;/C&gt;&lt;D xsi:type="xsd:double"&gt;6.2134147&lt;/D&gt;&lt;/FQL&gt;&lt;FQL&gt;&lt;Q&gt;USDCAD^FG_PRICE_CHANGE(0,-3AM)&lt;/Q&gt;&lt;R&gt;1&lt;/R&gt;&lt;C&gt;1&lt;/C&gt;&lt;D xsi:type="xsd:double"&gt;2.1081567&lt;/D&gt;&lt;/FQL&gt;&lt;FQL&gt;&lt;Q&gt;USDNZD^FG_PRICE_CHANGE(0,-3AM)&lt;/Q&gt;&lt;R&gt;1&lt;/R&gt;&lt;C&gt;1&lt;/C&gt;&lt;D xsi:type="xsd:double"&gt;-0.21071434&lt;/D&gt;&lt;/FQL&gt;&lt;FQL&gt;&lt;Q&gt;EWA^FMA_EPS(NTMA,-20AY,0,CY,,"PORTAGG","MEANR")&lt;/Q&gt;&lt;R&gt;20&lt;/R&gt;&lt;C&gt;1&lt;/C&gt;&lt;D xsi:type="xsd:double"&gt;1.18421421757289&lt;/D&gt;&lt;D xsi:type="xsd:double"&gt;1.35622936034371&lt;/D&gt;&lt;D xsi:type="xsd:double"&gt;1.68223219538503&lt;/D&gt;&lt;D xsi:type="xsd:double"&gt;2.01218211762237&lt;/D&gt;&lt;D xsi:type="xsd:double"&gt;1.47822239950882&lt;/D&gt;&lt;D xsi:type="xsd:double"&gt;1.49861477471222&lt;/D&gt;&lt;D xsi:type="xsd:double"&gt;2.04832230944667&lt;/D&gt;&lt;D xsi:type="xsd:double"&gt;2.08841813329258&lt;/D&gt;&lt;D xsi:type="xsd:double"&gt;1.8915836506348&lt;/D&gt;&lt;D xsi:type="xsd:double"&gt;1.71909344341549&lt;/D&gt;&lt;D xsi:type="xsd:double"&gt;1.51920222936301&lt;/D&gt;&lt;D xsi:type="xsd:double"&gt;1.20321447580294&lt;/D&gt;&lt;D xsi:type="xsd:double"&gt;1.28201594869045&lt;/D&gt;&lt;D xsi:type="xsd:double"&gt;1.44580701527009&lt;/D&gt;&lt;D xsi:type="xsd:double"&gt;1.37894957605166&lt;/D&gt;&lt;D xsi:type="xsd:double"&gt;1.3179970851092&lt;/D&gt;&lt;D xsi:type="xsd:double"&gt;1.26256164176903&lt;/D&gt;&lt;D xsi:type="xsd:double"&gt;1.41909398824033&lt;/D&gt;&lt;D xsi:type="xsd:double"&gt;1.56850336770513&lt;/D&gt;&lt;D xsi:type="xsd:double"&gt;1.47892717787447&lt;/D&gt;&lt;/FQL&gt;&lt;FQL&gt;&lt;Q&gt;ENZL^JULIAN(P_PRICE_RETURNS_PR('52W',2,-10AY,0,AM).DATES)&lt;/Q&gt;&lt;R&gt;121&lt;/R&gt;&lt;C&gt;1&lt;/C&gt;&lt;D xsi:type="xsd:long"&gt;41803&lt;/D&gt;&lt;D xsi:type="xsd:long"&gt;41831&lt;/D&gt;&lt;D xsi:type="xsd:long"&gt;41864&lt;/D&gt;&lt;D xsi:type="xsd:long"&gt;41894&lt;/D&gt;&lt;D xsi:type="xsd:long"&gt;41925&lt;/D&gt;&lt;D xsi:type="xsd:long"&gt;41956&lt;/D&gt;&lt;D xsi:type="xsd:long"&gt;41985&lt;/D&gt;&lt;D xsi:type="xsd:long"&gt;42017&lt;/D&gt;&lt;D xsi:type="xsd:long"&gt;42048&lt;/D&gt;&lt;D xsi:type="xsd:long"&gt;42076&lt;/D&gt;&lt;D xsi:type="xsd:long"&gt;42107&lt;/D&gt;&lt;D xsi:type="xsd:long"&gt;42137&lt;/D&gt;&lt;D xsi:type="xsd:long"&gt;42167&lt;/D&gt;&lt;D xsi:type="xsd:long"&gt;42198&lt;/D&gt;&lt;D xsi:type="xsd:long"&gt;42229&lt;/D&gt;&lt;D xsi:type="xsd:long"&gt;42258&lt;/D&gt;&lt;D xsi:type="xsd:long"&gt;42290&lt;/D&gt;&lt;D xsi:type="xsd:long"&gt;42321&lt;/D&gt;&lt;D xsi:type="xsd:long"&gt;42349&lt;/D&gt;&lt;D xsi:type="xsd:long"&gt;42382&lt;/D&gt;&lt;D xsi:type="xsd:long"&gt;42412&lt;/D&gt;&lt;D xsi:type="xsd:long"&gt;42440&lt;/D&gt;&lt;D xsi:type="xsd:long"&gt;42473&lt;/D&gt;&lt;D xsi:type="xsd:long"&gt;42503&lt;/D&gt;&lt;D xsi:type="xsd:long"&gt;42534&lt;/D&gt;&lt;D xsi:type="xsd:long"&gt;42564&lt;/D&gt;&lt;D xsi:type="xsd:long"&gt;42594&lt;/D&gt;&lt;D xsi:type="xsd:long"&gt;42626&lt;/D&gt;&lt;D xsi:type="xsd:long"&gt;42656&lt;/D&gt;&lt;D xsi:type="xsd:long"&gt;42685&lt;/D&gt;&lt;D xsi:type="xsd:long"&gt;42717&lt;/D&gt;&lt;D xsi:type="xsd:long"&gt;42748&lt;/D&gt;&lt;D xsi:type="xsd:long"&gt;42779&lt;/D&gt;&lt;D xsi:type="xsd:long"&gt;42807&lt;/D&gt;&lt;D xsi:type="xsd:long"&gt;42838&lt;/D&gt;&lt;D xsi:type="xsd:long"&gt;42867&lt;/D&gt;&lt;D xsi:type="xsd:long"&gt;42899&lt;/D&gt;&lt;D xsi:type="xsd:long"&gt;42929&lt;/D&gt;&lt;D xsi:type="xsd:long"&gt;42958&lt;/D&gt;&lt;D xsi:type="xsd:long"&gt;42991&lt;/D&gt;&lt;D xsi:type="xsd:long"&gt;43021&lt;/D&gt;&lt;D xsi:type="xsd:long"&gt;43052&lt;/D&gt;&lt;D xsi:type="xsd:long"&gt;43082&lt;/D&gt;&lt;D xsi:type="xsd:long"&gt;43112&lt;/D&gt;&lt;D xsi:type="xsd:long"&gt;43144&lt;/D&gt;&lt;D xsi:type="xsd:long"&gt;43172&lt;/D&gt;&lt;D xsi:type="xsd:long"&gt;43203&lt;/D&gt;&lt;D xsi:type="xsd:long"&gt;43231&lt;/D&gt;&lt;D xsi:type="xsd:long"&gt;43264&lt;/D&gt;&lt;D xsi:type="xsd:long"&gt;43294&lt;/D&gt;&lt;D xsi:type="xsd:long"&gt;43325&lt;/D&gt;&lt;D xsi:type="xsd:long"&gt;43356&lt;/D&gt;&lt;D xsi:type="xsd:long"&gt;43385&lt;/D&gt;&lt;D xsi:type="xsd:long"&gt;43417&lt;/D&gt;&lt;D xsi:type="xsd:long"&gt;43447&lt;/D&gt;&lt;D xsi:type="xsd:long"&gt;43476&lt;/D&gt;&lt;D xsi:type="xsd:long"&gt;43509&lt;/D&gt;&lt;D xsi:type="xsd:long"&gt;43537&lt;/D&gt;&lt;D xsi:type="xsd:long"&gt;43567&lt;/D&gt;&lt;D xsi:type="xsd:long"&gt;43598&lt;/D&gt;&lt;D xsi:type="xsd:long"&gt;43629&lt;/D&gt;&lt;D xsi:type="xsd:long"&gt;43658&lt;/D&gt;&lt;D xsi:type="xsd:long"&gt;43690&lt;/D&gt;&lt;D xsi:type="xsd:long"&gt;43721&lt;/D&gt;&lt;D xsi:type="xsd:long"&gt;43749&lt;/D&gt;&lt;D xsi:type="xsd:long"&gt;43782&lt;/D&gt;&lt;D xsi:type="xsd:long"&gt;43812&lt;/D&gt;&lt;D xsi:type="xsd:long"&gt;43843&lt;/D&gt;&lt;D xsi:type="xsd:long"&gt;43874&lt;/D&gt;&lt;D xsi:type="xsd:long"&gt;43903&lt;/D&gt;&lt;D xsi:type="xsd:long"&gt;43934&lt;/D&gt;&lt;D xsi:type="xsd:long"&gt;43964&lt;/D&gt;&lt;D xsi:type="xsd:long"&gt;43994&lt;/D&gt;&lt;D xsi:type="xsd:long"&gt;44025&lt;/D&gt;&lt;D xsi:type="xsd:long"&gt;44056&lt;/D&gt;&lt;D xsi:type="xsd:long"&gt;44085&lt;/D&gt;&lt;D xsi:type="xsd:long"&gt;44117&lt;/D&gt;&lt;D xsi:type="xsd:long"&gt;44148&lt;/D&gt;&lt;D xsi:type="xsd:long"&gt;44176&lt;/D&gt;&lt;D xsi:type="xsd:long"&gt;44209&lt;/D&gt;&lt;D xsi:type="xsd:long"&gt;44239&lt;/D&gt;&lt;D xsi:type="xsd:long"&gt;44267&lt;/D&gt;&lt;D xsi:type="xsd:long"&gt;44299&lt;/D&gt;&lt;D xsi:type="xsd:long"&gt;44329&lt;/D&gt;&lt;D xsi:type="xsd:long"&gt;44358&lt;/D&gt;&lt;D xsi:type="xsd:long"&gt;44390&lt;/D&gt;&lt;D xsi:type="xsd:long"&gt;44421&lt;/D&gt;&lt;D xsi:type="xsd:long"&gt;44452&lt;/D&gt;&lt;D xsi:type="xsd:long"&gt;44482&lt;/D&gt;&lt;D xsi:type="xsd:long"&gt;44512&lt;/D&gt;&lt;D xsi:type="xsd:long"&gt;44543&lt;/D&gt;&lt;D xsi:type="xsd:long"&gt;44574&lt;/D&gt;&lt;D xsi:type="xsd:long"&gt;44603&lt;/D&gt;&lt;D xsi:type="xsd:long"&gt;44631&lt;/D&gt;&lt;D xsi:type="xsd:long"&gt;44664&lt;/D&gt;&lt;D xsi:type="xsd:long"&gt;44694&lt;/D&gt;&lt;D xsi:type="xsd:long"&gt;44725&lt;/D&gt;&lt;D xsi:type="xsd:long"&gt;44755&lt;/D&gt;&lt;D xsi:type="xsd:long"&gt;44785&lt;/D&gt;&lt;D xsi:type="xsd:long"&gt;44817&lt;/D&gt;&lt;D xsi:type="xsd:long"&gt;44847&lt;/D&gt;&lt;D xsi:type="xsd:long"&gt;44876&lt;/D&gt;&lt;D xsi:type="xsd:long"&gt;44908&lt;/D&gt;&lt;D xsi:type="xsd:long"&gt;44939&lt;/D&gt;&lt;D xsi:type="xsd:long"&gt;44970&lt;/D&gt;&lt;D xsi:type="xsd:long"&gt;44998&lt;/D&gt;&lt;D xsi:type="xsd:long"&gt;45029&lt;/D&gt;&lt;D xsi:type="xsd:long"&gt;45058&lt;/D&gt;&lt;D xsi:type="xsd:long"&gt;45090&lt;/D&gt;&lt;D xsi:type="xsd:long"&gt;45120&lt;/D&gt;&lt;D xsi:type="xsd:long"&gt;45149&lt;/D&gt;&lt;D xsi:type="xsd:long"&gt;45182&lt;/D&gt;&lt;D xsi:type="xsd:long"&gt;45212&lt;/D&gt;&lt;D xsi:type="xsd:long"&gt;45243&lt;/D&gt;&lt;D xsi:type="xsd:long"&gt;45273&lt;/D&gt;&lt;D xsi:type="xsd:long"&gt;45303&lt;/D&gt;&lt;D xsi:type="xsd:long"&gt;45335&lt;/D&gt;&lt;D xsi:type="xsd:long"&gt;45364&lt;/D&gt;&lt;D xsi:type="xsd:long"&gt;45394&lt;/D&gt;&lt;D xsi:type="xsd:long"&gt;45425&lt;/D&gt;&lt;D xsi:type="xsd:long"&gt;45456&lt;/D&gt;&lt;/FQL&gt;&lt;FQL&gt;&lt;Q&gt;EWD^FMA_DIV_YLD(NTMA,-10AY,0,AM,"PORTAGG","MEANR")&lt;/Q&gt;&lt;R&gt;121&lt;/R&gt;&lt;C&gt;1&lt;/C&gt;&lt;D xsi:type="xsd:double"&gt;4.09985389996815&lt;/D&gt;&lt;D xsi:type="xsd:double"&gt;4.22063823734161&lt;/D&gt;&lt;D xsi:type="xsd:double"&gt;4.28214394595399&lt;/D&gt;&lt;D xsi:type="xsd:double"&gt;4.22047377924378&lt;/D&gt;&lt;D xsi:type="xsd:double"&gt;4.56260080491807&lt;/D&gt;&lt;D xsi:type="xsd:double"&gt;4.16228357135201&lt;/D&gt;&lt;D xsi:type="xsd:double"&gt;4.18745699090756&lt;/D&gt;&lt;D xsi:type="xsd:double"&gt;4.09742215021225&lt;/D&gt;&lt;D xsi:type="xsd:double"&gt;3.69143980802822&lt;/D&gt;&lt;D xsi:type="xsd:double"&gt;3.66961632479926&lt;/D&gt;&lt;D xsi:type="xsd:double"&gt;3.60594600581758&lt;/D&gt;&lt;D xsi:type="xsd:double"&gt;3.84205934751671&lt;/D&gt;&lt;D xsi:type="xsd:double"&gt;3.92024969248168&lt;/D&gt;&lt;D xsi:type="xsd:double"&gt;3.90823399309765&lt;/D&gt;&lt;D xsi:type="xsd:double"&gt;4.02325547566358&lt;/D&gt;&lt;D xsi:type="xsd:double"&gt;4.33107058101237&lt;/D&gt;&lt;D xsi:type="xsd:double"&gt;4.37108572528465&lt;/D&gt;&lt;D xsi:type="xsd:double"&gt;4.27171881297169&lt;/D&gt;&lt;D xsi:type="xsd:double"&gt;4.4659113915458&lt;/D&gt;&lt;D xsi:type="xsd:double"&gt;4.54567953184026&lt;/D&gt;&lt;D xsi:type="xsd:double"&gt;4.66418460022768&lt;/D&gt;&lt;D xsi:type="xsd:double"&gt;4.24082423501161&lt;/D&gt;&lt;D xsi:type="xsd:double"&gt;4.30097130259627&lt;/D&gt;&lt;D xsi:type="xsd:double"&gt;4.50342036797399&lt;/D&gt;&lt;D xsi:type="xsd:double"&gt;4.62569029146125&lt;/D&gt;&lt;D xsi:type="xsd:double"&gt;4.40254339221566&lt;/D&gt;&lt;D xsi:type="xsd:double"&gt;4.22174436836216&lt;/D&gt;&lt;D xsi:type="xsd:double"&gt;4.26856051791405&lt;/D&gt;&lt;D xsi:type="xsd:double"&gt;4.16408444816993&lt;/D&gt;&lt;D xsi:type="xsd:double"&gt;4.10678132346761&lt;/D&gt;&lt;D xsi:type="xsd:double"&gt;3.84623353603887&lt;/D&gt;&lt;D xsi:type="xsd:double"&gt;3.88572117946763&lt;/D&gt;&lt;D xsi:type="xsd:double"&gt;3.64903083104478&lt;/D&gt;&lt;D xsi:type="xsd:double"&gt;3.61795867453613&lt;/D&gt;&lt;D xsi:type="xsd:double"&gt;3.6684849386335&lt;/D&gt;&lt;D xsi:type="xsd:double"&gt;3.51828255882125&lt;/D&gt;&lt;D xsi:type="xsd:double"&gt;3.55662900617582&lt;/D&gt;&lt;D xsi:type="xsd:double"&gt;3.53089483725071&lt;/D&gt;&lt;D xsi:type="xsd:double"&gt;3.77350324160059&lt;/D&gt;&lt;D xsi:type="xsd:double"&gt;3.70109614481077&lt;/D&gt;&lt;D xsi:type="xsd:double"&gt;3.55888289875184&lt;/D&gt;&lt;D xsi:type="xsd:double"&gt;3.61498520144832&lt;/D&gt;&lt;D xsi:type="xsd:double"&gt;3.67180851933194&lt;/D&gt;&lt;D xsi:type="xsd:double"&gt;3.64644225551985&lt;/D&gt;&lt;D xsi:type="xsd:double"&gt;3.99647813972683&lt;/D&gt;&lt;D xsi:type="xsd:double"&gt;3.86847253562471&lt;/D&gt;&lt;D xsi:type="xsd:double"&gt;4.11540745083266&lt;/D&gt;&lt;D xsi:type="xsd:double"&gt;3.97680499455087&lt;/D&gt;&lt;D xsi:type="xsd:double"&gt;4.13072598484065&lt;/D&gt;&lt;D xsi:type="xsd:double"&gt;4.17081175416842&lt;/D&gt;&lt;D xsi:type="xsd:double"&gt;4.11529093907348&lt;/D&gt;&lt;D xsi:type="xsd:double"&gt;4.1084349096724&lt;/D&gt;&lt;D xsi:type="xsd:double"&gt;4.31993114086404&lt;/D&gt;&lt;D xsi:type="xsd:double"&gt;4.41733660498172&lt;/D&gt;&lt;D xsi:type="xsd:double"&gt;4.54311163316248&lt;/D&gt;&lt;D xsi:type="xsd:double"&gt;4.51309182651059&lt;/D&gt;&lt;D xsi:type="xsd:double"&gt;4.17178207536677&lt;/D&gt;&lt;D xsi:type="xsd:double"&gt;4.1663523168625&lt;/D&gt;&lt;D xsi:type="xsd:double"&gt;4.03031485292811&lt;/D&gt;&lt;D xsi:type="xsd:double"&gt;4.2853916999688&lt;/D&gt;&lt;D xsi:type="xsd:double"&gt;4.20889969772709&lt;/D&gt;&lt;D xsi:type="xsd:double"&gt;4.13440190746786&lt;/D&gt;&lt;D xsi:type="xsd:double"&gt;4.25412157813781&lt;/D&gt;&lt;D xsi:type="xsd:double"&gt;3.85356974806673&lt;/D&gt;&lt;D xsi:type="xsd:double"&gt;3.87484673789006&lt;/D&gt;&lt;D xsi:type="xsd:double"&gt;3.67109285905047&lt;/D&gt;&lt;D xsi:type="xsd:double"&gt;3.61881679811322&lt;/D&gt;&lt;D xsi:type="xsd:double"&gt;3.56256892085804&lt;/D&gt;&lt;D xsi:type="xsd:double"&gt;3.4127733106588&lt;/D&gt;&lt;D xsi:type="xsd:double"&gt;4.63963113655042&lt;/D&gt;&lt;D xsi:type="xsd:double"&gt;3.62388243993096&lt;/D&gt;&lt;D xsi:type="xsd:double"&gt;3.40256504106711&lt;/D&gt;&lt;D xsi:type="xsd:double"&gt;3.12958103079513&lt;/D&gt;&lt;D xsi:type="xsd:double"&gt;2.96218460839604&lt;/D&gt;&lt;D xsi:type="xsd:double"&gt;2.95912171889146&lt;/D&gt;&lt;D xsi:type="xsd:double"&gt;2.97242361494776&lt;/D&gt;&lt;D xsi:type="xsd:double"&gt;3.01357910794831&lt;/D&gt;&lt;D xsi:type="xsd:double"&gt;3.05028741200152&lt;/D&gt;&lt;D xsi:type="xsd:double"&gt;3.06491459569105&lt;/D&gt;&lt;D xsi:type="xsd:double"&gt;2.99471119729259&lt;/D&gt;&lt;D xsi:type="xsd:double"&gt;2.98512129371177&lt;/D&gt;&lt;D xsi:type="xsd:double"&gt;2.77384250084342&lt;/D&gt;&lt;D xsi:type="xsd:double"&gt;2.71591184318315&lt;/D&gt;&lt;D xsi:type="xsd:double"&gt;2.8679737348274&lt;/D&gt;&lt;D xsi:type="xsd:double"&gt;2.67979345871395&lt;/D&gt;&lt;D xsi:type="xsd:double"&gt;2.6400513460018&lt;/D&gt;&lt;D xsi:type="xsd:double"&gt;2.68963777876816&lt;/D&gt;&lt;D xsi:type="xsd:double"&gt;2.76632300251786&lt;/D&gt;&lt;D xsi:type="xsd:double"&gt;2.8718789436496&lt;/D&gt;&lt;D xsi:type="xsd:double"&gt;2.93344582869156&lt;/D&gt;&lt;D xsi:type="xsd:double"&gt;2.92328641520437&lt;/D&gt;&lt;D xsi:type="xsd:double"&gt;2.89900238022823&lt;/D&gt;&lt;D xsi:type="xsd:double"&gt;2.91111913172772&lt;/D&gt;&lt;D xsi:type="xsd:double"&gt;3.21557112211881&lt;/D&gt;&lt;D xsi:type="xsd:double"&gt;3.14770152426343&lt;/D&gt;&lt;D xsi:type="xsd:double"&gt;3.40054631029772&lt;/D&gt;&lt;D xsi:type="xsd:double"&gt;3.46761806538455&lt;/D&gt;&lt;D xsi:type="xsd:double"&gt;3.69874765893224&lt;/D&gt;&lt;D xsi:type="xsd:double"&gt;3.47544812426449&lt;/D&gt;&lt;D xsi:type="xsd:double"&gt;3.65492084502165&lt;/D&gt;&lt;D xsi:type="xsd:double"&gt;3.80272442074748&lt;/D&gt;&lt;D xsi:type="xsd:double"&gt;3.52731068899338&lt;/D&gt;&lt;D xsi:type="xsd:double"&gt;3.55266363043826&lt;/D&gt;&lt;D xsi:type="xsd:double"&gt;3.48879663161168&lt;/D&gt;&lt;D xsi:type="xsd:double"&gt;3.51363559112557&lt;/D&gt;&lt;D xsi:type="xsd:double"&gt;3.7148383130788&lt;/D&gt;&lt;D xsi:type="xsd:double"&gt;3.65221444713875&lt;/D&gt;&lt;D xsi:type="xsd:double"&gt;3.73459545083292&lt;/D&gt;&lt;D xsi:type="xsd:double"&gt;3.66437604507197&lt;/D&gt;&lt;D xsi:type="xsd:double"&gt;3.74857853016903&lt;/D&gt;&lt;D xsi:type="xsd:double"&gt;3.88842617300702&lt;/D&gt;&lt;D xsi:type="xsd:double"&gt;4.01140106445714&lt;/D&gt;&lt;D xsi:type="xsd:double"&gt;3.75715799967548&lt;/D&gt;&lt;D xsi:type="xsd:double"&gt;3.86385299855463&lt;/D&gt;&lt;D xsi:type="xsd:double"&gt;3.0402728899238&lt;/D&gt;&lt;D xsi:type="xsd:double"&gt;2.99345003143033&lt;/D&gt;&lt;D xsi:type="xsd:double"&gt;3.4074094148087&lt;/D&gt;&lt;D xsi:type="xsd:double"&gt;3.19316124423699&lt;/D&gt;&lt;D xsi:type="xsd:double"&gt;3.29871089887232&lt;/D&gt;&lt;D xsi:type="xsd:double"&gt;3.17831657974598&lt;/D&gt;&lt;D xsi:type="xsd:double"&gt;3.1921882517028&lt;/D&gt;&lt;/FQL&gt;&lt;FQL&gt;&lt;Q&gt;EWQ^FMA_PE(NTMA,-10AY,0,AM,"PORTAGG","MEANR")&lt;/Q&gt;&lt;R&gt;121&lt;/R&gt;&lt;C&gt;1&lt;/C&gt;&lt;D xsi:type="xsd:double"&gt;14.325964218381&lt;/D&gt;&lt;D xsi:type="xsd:double"&gt;13.5881141677996&lt;/D&gt;&lt;D xsi:type="xsd:double"&gt;13.184985571759&lt;/D&gt;&lt;D xsi:type="xsd:double"&gt;13.776792837184&lt;/D&gt;&lt;D xsi:type="xsd:double"&gt;12.6225269920366&lt;/D&gt;&lt;D xsi:type="xsd:double"&gt;13.1051617091704&lt;/D&gt;&lt;D xsi:type="xsd:double"&gt;13.2450955020514&lt;/D&gt;&lt;D xsi:type="xsd:double"&gt;13.9056732534632&lt;/D&gt;&lt;D xsi:type="xsd:double"&gt;15.8488584265041&lt;/D&gt;&lt;D xsi:type="xsd:double"&gt;16.4818424227142&lt;/D&gt;&lt;D xsi:type="xsd:double"&gt;17.1282990164354&lt;/D&gt;&lt;D xsi:type="xsd:double"&gt;16.0747234152909&lt;/D&gt;&lt;D xsi:type="xsd:double"&gt;15.7148232250822&lt;/D&gt;&lt;D xsi:type="xsd:double"&gt;15.7513433905636&lt;/D&gt;&lt;D xsi:type="xsd:double"&gt;15.4053657416402&lt;/D&gt;&lt;D xsi:type="xsd:double"&gt;14.1123860445249&lt;/D&gt;&lt;D xsi:type="xsd:double"&gt;14.4608796046594&lt;/D&gt;&lt;D xsi:type="xsd:double"&gt;14.9247815566812&lt;/D&gt;&lt;D xsi:type="xsd:double"&gt;14.2868704415095&lt;/D&gt;&lt;D xsi:type="xsd:double"&gt;14.0007754300274&lt;/D&gt;&lt;D xsi:type="xsd:double"&gt;13.0724355785714&lt;/D&gt;&lt;D xsi:type="xsd:double"&gt;14.6751205161635&lt;/D&gt;&lt;D xsi:type="xsd:double"&gt;14.6964433357284&lt;/D&gt;&lt;D xsi:type="xsd:double"&gt;14.1462465728977&lt;/D&gt;&lt;D xsi:type="xsd:double"&gt;13.6156681391833&lt;/D&gt;&lt;D xsi:type="xsd:double"&gt;13.8771557111246&lt;/D&gt;&lt;D xsi:type="xsd:double"&gt;14.2110563818159&lt;/D&gt;&lt;D xsi:type="xsd:double"&gt;13.7816653738024&lt;/D&gt;&lt;D xsi:type="xsd:double"&gt;13.6761631126654&lt;/D&gt;&lt;D xsi:type="xsd:double"&gt;13.6999609196774&lt;/D&gt;&lt;D xsi:type="xsd:double"&gt;14.4980509921594&lt;/D&gt;&lt;D xsi:type="xsd:double"&gt;14.7056745434906&lt;/D&gt;&lt;D xsi:type="xsd:double"&gt;14.3732596977268&lt;/D&gt;&lt;D xsi:type="xsd:double"&gt;14.5254822018695&lt;/D&gt;&lt;D xsi:type="xsd:double"&gt;14.7212955994013&lt;/D&gt;&lt;D xsi:type="xsd:double"&gt;15.4449960293393&lt;/D&gt;&lt;D xsi:type="xsd:double"&gt;14.9484104436737&lt;/D&gt;&lt;D xsi:type="xsd:double"&gt;14.8759186117676&lt;/D&gt;&lt;D xsi:type="xsd:double"&gt;14.3750450674355&lt;/D&gt;&lt;D xsi:type="xsd:double"&gt;14.8510035592725&lt;/D&gt;&lt;D xsi:type="xsd:double"&gt;15.1514289187621&lt;/D&gt;&lt;D xsi:type="xsd:double"&gt;14.8672540564453&lt;/D&gt;&lt;D xsi:type="xsd:double"&gt;15.0814802681243&lt;/D&gt;&lt;D xsi:type="xsd:double"&gt;15.2610205624904&lt;/D&gt;&lt;D xsi:type="xsd:double"&gt;14.1301914997781&lt;/D&gt;&lt;D xsi:type="xsd:double"&gt;14.4772354277013&lt;/D&gt;&lt;D xsi:type="xsd:double"&gt;14.4984968865028&lt;/D&gt;&lt;D xsi:type="xsd:double"&gt;14.8437202251711&lt;/D&gt;&lt;D xsi:type="xsd:double"&gt;14.3960029733676&lt;/D&gt;&lt;D xsi:type="xsd:double"&gt;14.1446834610285&lt;/D&gt;&lt;D xsi:type="xsd:double"&gt;13.8368594133899&lt;/D&gt;&lt;D xsi:type="xsd:double"&gt;13.5410445130212&lt;/D&gt;&lt;D xsi:type="xsd:double"&gt;12.7696063528263&lt;/D&gt;&lt;D xsi:type="xsd:double"&gt;12.7933953241201&lt;/D&gt;&lt;D xsi:type="xsd:double"&gt;12.3359016645472&lt;/D&gt;&lt;D xsi:type="xsd:double"&gt;12.2246420766778&lt;/D&gt;&lt;D xsi:type="xsd:double"&gt;13.0014843015607&lt;/D&gt;&lt;D xsi:type="xsd:double"&gt;13.5678126829475&lt;/D&gt;&lt;D xsi:type="xsd:double"&gt;13.9819519930681&lt;/D&gt;&lt;D xsi:type="xsd:double"&gt;13.3086308167253&lt;/D&gt;&lt;D xsi:type="xsd:double"&gt;13.5377375782483&lt;/D&gt;&lt;D xsi:type="xsd:double"&gt;14.0005031473928&lt;/D&gt;&lt;D xsi:type="xsd:double"&gt;13.5583367634257&lt;/D&gt;&lt;D xsi:type="xsd:double"&gt;14.2115092834687&lt;/D&gt;&lt;D xsi:type="xsd:double"&gt;14.2294376206063&lt;/D&gt;&lt;D xsi:type="xsd:double"&gt;14.7591186905188&lt;/D&gt;&lt;D xsi:type="xsd:double"&gt;14.7805671887177&lt;/D&gt;&lt;D xsi:type="xsd:double"&gt;14.9954381204471&lt;/D&gt;&lt;D xsi:type="xsd:double"&gt;15.191422536858&lt;/D&gt;&lt;D xsi:type="xsd:double"&gt;10.9983815765493&lt;/D&gt;&lt;D xsi:type="xsd:double"&gt;14.5164649865079&lt;/D&gt;&lt;D xsi:type="xsd:double"&gt;16.1130385603031&lt;/D&gt;&lt;D xsi:type="xsd:double"&gt;18.2989596874985&lt;/D&gt;&lt;D xsi:type="xsd:double"&gt;19.5775171372405&lt;/D&gt;&lt;D xsi:type="xsd:double"&gt;20.1144339982554&lt;/D&gt;&lt;D xsi:type="xsd:double"&gt;19.2720556953931&lt;/D&gt;&lt;D xsi:type="xsd:double"&gt;18.3363529221868&lt;/D&gt;&lt;D xsi:type="xsd:double"&gt;18.9086632261095&lt;/D&gt;&lt;D xsi:type="xsd:double"&gt;18.482260879385&lt;/D&gt;&lt;D xsi:type="xsd:double"&gt;18.0171261445072&lt;/D&gt;&lt;D xsi:type="xsd:double"&gt;17.8841413416659&lt;/D&gt;&lt;D xsi:type="xsd:double"&gt;18.4694012066389&lt;/D&gt;&lt;D xsi:type="xsd:double"&gt;18.2283463505734&lt;/D&gt;&lt;D xsi:type="xsd:double"&gt;17.5606551803666&lt;/D&gt;&lt;D xsi:type="xsd:double"&gt;17.9957746529484&lt;/D&gt;&lt;D xsi:type="xsd:double"&gt;17.2678232832737&lt;/D&gt;&lt;D xsi:type="xsd:double"&gt;16.9206085505731&lt;/D&gt;&lt;D xsi:type="xsd:double"&gt;16.1900519410193&lt;/D&gt;&lt;D xsi:type="xsd:double"&gt;15.4030270604815&lt;/D&gt;&lt;D xsi:type="xsd:double"&gt;15.9250982239416&lt;/D&gt;&lt;D xsi:type="xsd:double"&gt;15.5560726454874&lt;/D&gt;&lt;D xsi:type="xsd:double"&gt;15.6950119719554&lt;/D&gt;&lt;D xsi:type="xsd:double"&gt;14.6435495162003&lt;/D&gt;&lt;D xsi:type="xsd:double"&gt;13.00273296428&lt;/D&gt;&lt;D xsi:type="xsd:double"&gt;13.1559531090524&lt;/D&gt;&lt;D xsi:type="xsd:double"&gt;12.2353151259507&lt;/D&gt;&lt;D xsi:type="xsd:double"&gt;11.3999064408282&lt;/D&gt;&lt;D xsi:type="xsd:double"&gt;11.1475916230664&lt;/D&gt;&lt;D xsi:type="xsd:double"&gt;11.8433831406594&lt;/D&gt;&lt;D xsi:type="xsd:double"&gt;11.2440149649078&lt;/D&gt;&lt;D xsi:type="xsd:double"&gt;10.4194817672044&lt;/D&gt;&lt;D xsi:type="xsd:double"&gt;11.8858695831373&lt;/D&gt;&lt;D xsi:type="xsd:double"&gt;12.2703572119808&lt;/D&gt;&lt;D xsi:type="xsd:double"&gt;12.9479256564523&lt;/D&gt;&lt;D xsi:type="xsd:double"&gt;13.2452383801231&lt;/D&gt;&lt;D xsi:type="xsd:double"&gt;12.7713085159313&lt;/D&gt;&lt;D xsi:type="xsd:double"&gt;13.6134053139395&lt;/D&gt;&lt;D xsi:type="xsd:double"&gt;13.3698802715171&lt;/D&gt;&lt;D xsi:type="xsd:double"&gt;13.1690422207463&lt;/D&gt;&lt;D xsi:type="xsd:double"&gt;13.2609939690986&lt;/D&gt;&lt;D xsi:type="xsd:double"&gt;13.0827653065931&lt;/D&gt;&lt;D xsi:type="xsd:double"&gt;12.7273855796824&lt;/D&gt;&lt;D xsi:type="xsd:double"&gt;12.2258720459005&lt;/D&gt;&lt;D xsi:type="xsd:double"&gt;12.5023342450345&lt;/D&gt;&lt;D xsi:type="xsd:double"&gt;13.3127509923539&lt;/D&gt;&lt;D xsi:type="xsd:double"&gt;13.3585988219751&lt;/D&gt;&lt;D xsi:type="xsd:double"&gt;13.7715395342977&lt;/D&gt;&lt;D xsi:type="xsd:double"&gt;14.6941657614045&lt;/D&gt;&lt;D xsi:type="xsd:double"&gt;14.3724725025721&lt;/D&gt;&lt;D xsi:type="xsd:double"&gt;14.7610796292092&lt;/D&gt;&lt;D xsi:type="xsd:double"&gt;14.1059265451474&lt;/D&gt;&lt;/FQL&gt;&lt;FQL&gt;&lt;Q&gt;QQQ^FMA_PE(LTMA,-10AY,0,AM,"PORTAGG","MEANR")&lt;/Q&gt;&lt;R&gt;121&lt;/R&gt;&lt;C&gt;1&lt;/C&gt;&lt;D xsi:type="xsd:double"&gt;18.9082508072172&lt;/D&gt;&lt;D xsi:type="xsd:double"&gt;19.1398682903092&lt;/D&gt;&lt;D xsi:type="xsd:double"&gt;19.080516034954&lt;/D&gt;&lt;D xsi:type="xsd:double"&gt;19.3997030773728&lt;/D&gt;&lt;D xsi:type="xsd:double"&gt;18.4196737863617&lt;/D&gt;&lt;D xsi:type="xsd:double"&gt;19.9832516952939&lt;/D&gt;&lt;D xsi:type="xsd:double"&gt;19.935976692912&lt;/D&gt;&lt;D xsi:type="xsd:double"&gt;19.6948581086628&lt;/D&gt;&lt;D xsi:type="xsd:double"&gt;20.5031059244572&lt;/D&gt;&lt;D xsi:type="xsd:double"&gt;20.5977290581868&lt;/D&gt;&lt;D xsi:type="xsd:double"&gt;20.4830606194033&lt;/D&gt;&lt;D xsi:type="xsd:double"&gt;20.2456701689477&lt;/D&gt;&lt;D xsi:type="xsd:double"&gt;20.0988882694733&lt;/D&gt;&lt;D xsi:type="xsd:double"&gt;19.9924300686758&lt;/D&gt;&lt;D xsi:type="xsd:double"&gt;20.2127567783095&lt;/D&gt;&lt;D xsi:type="xsd:double"&gt;19.5311811452464&lt;/D&gt;&lt;D xsi:type="xsd:double"&gt;19.5009476420562&lt;/D&gt;&lt;D xsi:type="xsd:double"&gt;19.7947644689412&lt;/D&gt;&lt;D xsi:type="xsd:double"&gt;19.8636286828396&lt;/D&gt;&lt;D xsi:type="xsd:double"&gt;18.4753428958699&lt;/D&gt;&lt;D xsi:type="xsd:double"&gt;17.6074768266086&lt;/D&gt;&lt;D xsi:type="xsd:double"&gt;18.2664480602178&lt;/D&gt;&lt;D xsi:type="xsd:double"&gt;18.4842575100189&lt;/D&gt;&lt;D xsi:type="xsd:double"&gt;18.3073068622234&lt;/D&gt;&lt;D xsi:type="xsd:double"&gt;18.4798714881793&lt;/D&gt;&lt;D xsi:type="xsd:double"&gt;18.9586380728671&lt;/D&gt;&lt;D xsi:type="xsd:double"&gt;19.5557290844995&lt;/D&gt;&lt;D xsi:type="xsd:double"&gt;19.4329638450149&lt;/D&gt;&lt;D xsi:type="xsd:double"&gt;19.7996039645534&lt;/D&gt;&lt;D xsi:type="xsd:double"&gt;19.5979289954878&lt;/D&gt;&lt;D xsi:type="xsd:double"&gt;20.4279021010306&lt;/D&gt;&lt;D xsi:type="xsd:double"&gt;21.0330392307996&lt;/D&gt;&lt;D xsi:type="xsd:double"&gt;21.6336535375518&lt;/D&gt;&lt;D xsi:type="xsd:double"&gt;21.6957575410759&lt;/D&gt;&lt;D xsi:type="xsd:double"&gt;21.5288296751513&lt;/D&gt;&lt;D xsi:type="xsd:double"&gt;21.8417708303109&lt;/D&gt;&lt;D xsi:type="xsd:double"&gt;21.8902193211551&lt;/D&gt;&lt;D xsi:type="xsd:double"&gt;21.9252524378561&lt;/D&gt;&lt;D xsi:type="xsd:double"&gt;21.9412261552739&lt;/D&gt;&lt;D xsi:type="xsd:double"&gt;22.364455522542&lt;/D&gt;&lt;D xsi:type="xsd:double"&gt;22.6404777915012&lt;/D&gt;&lt;D xsi:type="xsd:double"&gt;22.9756600534365&lt;/D&gt;&lt;D xsi:type="xsd:double"&gt;23.3015673059791&lt;/D&gt;&lt;D xsi:type="xsd:double"&gt;24.7973158807691&lt;/D&gt;&lt;D xsi:type="xsd:double"&gt;23.2241735005895&lt;/D&gt;&lt;D xsi:type="xsd:double"&gt;24.1136973169082&lt;/D&gt;&lt;D xsi:type="xsd:double"&gt;23.5066934333558&lt;/D&gt;&lt;D xsi:type="xsd:double"&gt;23.3662295775586&lt;/D&gt;&lt;D xsi:type="xsd:double"&gt;23.3411929508164&lt;/D&gt;&lt;D xsi:type="xsd:double"&gt;23.3931313026631&lt;/D&gt;&lt;D xsi:type="xsd:double"&gt;23.08097692313&lt;/D&gt;&lt;D xsi:type="xsd:double"&gt;23.1816348697582&lt;/D&gt;&lt;D xsi:type="xsd:double"&gt;22.112471239717&lt;/D&gt;&lt;D xsi:type="xsd:double"&gt;20.6220856709921&lt;/D&gt;&lt;D xsi:type="xsd:double"&gt;20.0990550048242&lt;/D&gt;&lt;D xsi:type="xsd:double"&gt;19.5479829189366&lt;/D&gt;&lt;D xsi:type="xsd:double"&gt;20.6595451928311&lt;/D&gt;&lt;D xsi:type="xsd:double"&gt;20.9581380019141&lt;/D&gt;&lt;D xsi:type="xsd:double"&gt;21.2375851783933&lt;/D&gt;&lt;D xsi:type="xsd:double"&gt;21.0172599874858&lt;/D&gt;&lt;D xsi:type="xsd:double"&gt;21.2714683744589&lt;/D&gt;&lt;D xsi:type="xsd:double"&gt;22.0715741859966&lt;/D&gt;&lt;D xsi:type="xsd:double"&gt;21.8341181860624&lt;/D&gt;&lt;D xsi:type="xsd:double"&gt;22.2942348215395&lt;/D&gt;&lt;D xsi:type="xsd:double"&gt;22.3590161294615&lt;/D&gt;&lt;D xsi:type="xsd:double"&gt;23.4722786419345&lt;/D&gt;&lt;D xsi:type="xsd:double"&gt;24.5110099975939&lt;/D&gt;&lt;D xsi:type="xsd:double"&gt;26.3452477507587&lt;/D&gt;&lt;D xsi:type="xsd:double"&gt;27.1127152614491&lt;/D&gt;&lt;D xsi:type="xsd:double"&gt;23.529123029894&lt;/D&gt;&lt;D xsi:type="xsd:double"&gt;24.0507136251758&lt;/D&gt;&lt;D xsi:type="xsd:double"&gt;25.4915256609377&lt;/D&gt;&lt;D xsi:type="xsd:double"&gt;26.8460780978105&lt;/D&gt;&lt;D xsi:type="xsd:double"&gt;28.6196797954394&lt;/D&gt;&lt;D xsi:type="xsd:double"&gt;29.3057638387955&lt;/D&gt;&lt;D xsi:type="xsd:double"&gt;29.7589488952463&lt;/D&gt;&lt;D xsi:type="xsd:double"&gt;32.6182080275371&lt;/D&gt;&lt;D xsi:type="xsd:double"&gt;32.0005079239386&lt;/D&gt;&lt;D xsi:type="xsd:double"&gt;33.7056634565056&lt;/D&gt;&lt;D xsi:type="xsd:double"&gt;35.2153582931886&lt;/D&gt;&lt;D xsi:type="xsd:double"&gt;35.5964685538244&lt;/D&gt;&lt;D xsi:type="xsd:double"&gt;32.7438575839471&lt;/D&gt;&lt;D xsi:type="xsd:double"&gt;32.9298461392544&lt;/D&gt;&lt;D xsi:type="xsd:double"&gt;31.3590321965158&lt;/D&gt;&lt;D xsi:type="xsd:double"&gt;31.558010404828&lt;/D&gt;&lt;D xsi:type="xsd:double"&gt;32.0550256618222&lt;/D&gt;&lt;D xsi:type="xsd:double"&gt;31.3416059519543&lt;/D&gt;&lt;D xsi:type="xsd:double"&gt;31.4087447352996&lt;/D&gt;&lt;D xsi:type="xsd:double"&gt;30.1976960711856&lt;/D&gt;&lt;D xsi:type="xsd:double"&gt;31.9140198758575&lt;/D&gt;&lt;D xsi:type="xsd:double"&gt;31.4101241771063&lt;/D&gt;&lt;D xsi:type="xsd:double"&gt;30.1687091921699&lt;/D&gt;&lt;D xsi:type="xsd:double"&gt;26.9185130660352&lt;/D&gt;&lt;D xsi:type="xsd:double"&gt;26.3272997594652&lt;/D&gt;&lt;D xsi:type="xsd:double"&gt;26.5051271129833&lt;/D&gt;&lt;D xsi:type="xsd:double"&gt;25.3602704101215&lt;/D&gt;&lt;D xsi:type="xsd:double"&gt;24.0985691366147&lt;/D&gt;&lt;D xsi:type="xsd:double"&gt;24.1700211412357&lt;/D&gt;&lt;D xsi:type="xsd:double"&gt;26.4409387397847&lt;/D&gt;&lt;D xsi:type="xsd:double"&gt;24.2925026910743&lt;/D&gt;&lt;D xsi:type="xsd:double"&gt;22.6770726467963&lt;/D&gt;&lt;D xsi:type="xsd:double"&gt;23.9368884060968&lt;/D&gt;&lt;D xsi:type="xsd:double"&gt;23.6328856726995&lt;/D&gt;&lt;D xsi:type="xsd:double"&gt;23.9337093831897&lt;/D&gt;&lt;D xsi:type="xsd:double"&gt;26.044652426957&lt;/D&gt;&lt;D xsi:type="xsd:double"&gt;25.138263238552&lt;/D&gt;&lt;D xsi:type="xsd:double"&gt;25.6731992600113&lt;/D&gt;&lt;D xsi:type="xsd:double"&gt;25.738106672514&lt;/D&gt;&lt;D xsi:type="xsd:double"&gt;26.999074942906&lt;/D&gt;&lt;D xsi:type="xsd:double"&gt;27.7970428281559&lt;/D&gt;&lt;D xsi:type="xsd:double"&gt;26.3352865893327&lt;/D&gt;&lt;D xsi:type="xsd:double"&gt;26.6679449682456&lt;/D&gt;&lt;D xsi:type="xsd:double"&gt;26.3938528810756&lt;/D&gt;&lt;D xsi:type="xsd:double"&gt;26.9422211010256&lt;/D&gt;&lt;D xsi:type="xsd:double"&gt;28.7458451547726&lt;/D&gt;&lt;D xsi:type="xsd:double"&gt;29.7582531178066&lt;/D&gt;&lt;D xsi:type="xsd:double"&gt;30.4996780125067&lt;/D&gt;&lt;D xsi:type="xsd:double"&gt;31.0077711380649&lt;/D&gt;&lt;D xsi:type="xsd:double"&gt;30.6778728844164&lt;/D&gt;&lt;D xsi:type="xsd:double"&gt;30.5074272721143&lt;/D&gt;&lt;D xsi:type="xsd:double"&gt;30.4608546390619&lt;/D&gt;&lt;/FQL&gt;&lt;FQL&gt;&lt;Q&gt;DDR3512M-FDS^FG_PRICE(0)&lt;/Q&gt;&lt;R&gt;1&lt;/R&gt;&lt;C&gt;1&lt;/C&gt;&lt;D xsi:type="xsd:double"&gt;0.9549733&lt;/D&gt;&lt;/FQL&gt;&lt;FQL&gt;&lt;Q&gt;PASP-FDS^FG_PRICE(0)&lt;/Q&gt;&lt;R&gt;1&lt;/R&gt;&lt;C&gt;1&lt;/C&gt;&lt;D xsi:type="xsd:double"&gt;915&lt;/D&gt;&lt;/FQL&gt;&lt;FQL&gt;&lt;Q&gt;PLATI-FDS^FG_PRICE(0)&lt;/Q&gt;&lt;R&gt;1&lt;/R&gt;&lt;C&gt;1&lt;/C&gt;&lt;D xsi:type="xsd:double"&gt;965&lt;/D&gt;&lt;/FQL&gt;&lt;FQL&gt;&lt;Q&gt;W-FDS^FG_PRICE(0)&lt;/Q&gt;&lt;R&gt;1&lt;/R&gt;&lt;C&gt;1&lt;/C&gt;&lt;D xsi:type="xsd:double"&gt;6.2&lt;/D&gt;&lt;/FQL&gt;&lt;FQL&gt;&lt;Q&gt;COPP-FDS^FG_PRICE(0)&lt;/Q&gt;&lt;R&gt;1&lt;/R&gt;&lt;C&gt;1&lt;/C&gt;&lt;D xsi:type="xsd:double"&gt;4.5075&lt;/D&gt;&lt;/FQL&gt;&lt;FQL&gt;&lt;Q&gt;FC0000US^FG_PRICE(0)&lt;/Q&gt;&lt;R&gt;1&lt;/R&gt;&lt;C&gt;1&lt;/C&gt;&lt;D xsi:type="xsd:double"&gt;405.11874&lt;/D&gt;&lt;/FQL&gt;&lt;FQL&gt;&lt;Q&gt;FC0000GR^FG_PRICE(0)&lt;/Q&gt;&lt;R&gt;1&lt;/R&gt;&lt;C&gt;1&lt;/C&gt;&lt;D xsi:type="xsd:double"&gt;9.619458&lt;/D&gt;&lt;/FQL&gt;&lt;FQL&gt;&lt;Q&gt;EWI^FG_PRICE(0)&lt;/Q&gt;&lt;R&gt;1&lt;/R&gt;&lt;C&gt;1&lt;/C&gt;&lt;D xsi:type="xsd:double"&gt;36.32&lt;/D&gt;&lt;/FQL&gt;&lt;FQL&gt;&lt;Q&gt;SPY^FG_PRICE(0)&lt;/Q&gt;&lt;R&gt;1&lt;/R&gt;&lt;C&gt;1&lt;/C&gt;&lt;D xsi:type="xsd:double"&gt;542.45&lt;/D&gt;&lt;/FQL&gt;&lt;FQL&gt;&lt;Q&gt;EWJ^FG_PRICE(0)&lt;/Q&gt;&lt;R&gt;1&lt;/R&gt;&lt;C&gt;1&lt;/C&gt;&lt;D xsi:type="xsd:double"&gt;67.15&lt;/D&gt;&lt;/FQL&gt;&lt;FQL&gt;&lt;Q&gt;ENZL^FG_PRICE(0)&lt;/Q&gt;&lt;R&gt;1&lt;/R&gt;&lt;C&gt;1&lt;/C&gt;&lt;D xsi:type="xsd:double"&gt;46.04&lt;/D&gt;&lt;/FQL&gt;&lt;FQL&gt;&lt;Q&gt;EWA^FG_COMPANY_NAME&lt;/Q&gt;&lt;R&gt;1&lt;/R&gt;&lt;C&gt;1&lt;/C&gt;&lt;D xsi:type="xsd:string"&gt;iShares MSCI Australia ETF&lt;/D&gt;&lt;/FQL&gt;&lt;FQL&gt;&lt;Q&gt;FXI^P_PRICE(0)/P_PRICE_LOW_PR(0,,,,,,"PRICE","INTRA","52W")-1&lt;/Q&gt;&lt;R&gt;1&lt;/R&gt;&lt;C&gt;1&lt;/C&gt;&lt;D xsi:type="xsd:double"&gt;0.2651006&lt;/D&gt;&lt;/FQL&gt;&lt;FQL&gt;&lt;Q&gt;SPY^FMA_PCT_ABOVE_MAVG(200,0,,,,"PORTAGG")&lt;/Q&gt;&lt;R&gt;1&lt;/R&gt;&lt;C&gt;1&lt;/C&gt;&lt;D xsi:type="xsd:double"&gt;65.6686626746507&lt;/D&gt;&lt;/FQL&gt;&lt;FQL&gt;&lt;Q&gt;URTH^PERCENT_CHANGE(FMA_EPS(+1,0,,,,"PORTAGG","MEAN"),FMA_EPS(+1,-3AM,,,,"PORTAGG","MEAN"))&lt;/Q&gt;&lt;R&gt;1&lt;/R&gt;&lt;C&gt;1&lt;/C&gt;&lt;D xsi:type="xsd:double"&gt;1.56274410171236&lt;/D&gt;&lt;/FQL&gt;&lt;FQL&gt;&lt;Q&gt;VGK^FG_TOTAL_RETURNC(0,-3AM)&lt;/Q&gt;&lt;R&gt;1&lt;/R&gt;&lt;C&gt;1&lt;/C&gt;&lt;D xsi:type="xsd:double"&gt;2.1762967&lt;/D&gt;&lt;/FQL&gt;&lt;FQL&gt;&lt;Q&gt;EWD^P_PRICE(0)/P_PRICE_HIGH_PR(0,,,,,,"PRICE","INTRA","52W")&lt;/Q&gt;&lt;R&gt;1&lt;/R&gt;&lt;C&gt;1&lt;/C&gt;&lt;D xsi:type="xsd:double"&gt;0.96084404&lt;/D&gt;&lt;/FQL&gt;&lt;FQL&gt;&lt;Q&gt;EWQ^FG_TOTAL_RETURNC(0,-12AM)&lt;/Q&gt;&lt;R&gt;1&lt;/R&gt;&lt;C&gt;1&lt;/C&gt;&lt;D xsi:type="xsd:double"&gt;7.114589&lt;/D&gt;&lt;/FQL&gt;&lt;FQL&gt;&lt;Q&gt;SPY^PERCENT_CHANGE(FMA_EPS(+1,0,,,,"PORTAGG","MEAN"),FMA_EPS(+1,-1AM,,,,"PORTAGG","MEAN"))&lt;/Q&gt;&lt;R&gt;1&lt;/R&gt;&lt;C&gt;1&lt;/C&gt;&lt;D xsi:type="xsd:double"&gt;3.09295530104642&lt;/D&gt;&lt;/FQL&gt;&lt;FQL&gt;&lt;Q&gt;EWU^FG_TOTAL_RETURNC(0,-1AM)&lt;/Q&gt;&lt;R&gt;1&lt;/R&gt;&lt;C&gt;1&lt;/C&gt;&lt;D xsi:type="xsd:double"&gt;-1.0860205&lt;/D&gt;&lt;/FQL&gt;&lt;FQL&gt;&lt;Q&gt;EWJ^FG_TOTAL_RETURNC(0,-6AM)&lt;/Q&gt;&lt;R&gt;1&lt;/R&gt;&lt;C&gt;1&lt;/C&gt;&lt;D xsi:type="xsd:double"&gt;7.1791887&lt;/D&gt;&lt;/FQL&gt;&lt;FQL&gt;&lt;Q&gt;EWC^P_PRICE(0)/P_PRICE_LOW_PR(0,,,,,,"PRICE","INTRA","52W")-1&lt;/Q&gt;&lt;R&gt;1&lt;/R&gt;&lt;C&gt;1&lt;/C&gt;&lt;D xsi:type="xsd:double"&gt;0.16523397&lt;/D&gt;&lt;/FQL&gt;&lt;FQL&gt;&lt;Q&gt;EWA^FMA_PCT_ABOVE_MAVG(200,0,,,,"PORTAGG")&lt;/Q&gt;&lt;R&gt;1&lt;/R&gt;&lt;C&gt;1&lt;/C&gt;&lt;D xsi:type="xsd:double"&gt;61.0169491525424&lt;/D&gt;&lt;/FQL&gt;&lt;FQL&gt;&lt;Q&gt;EWJ^SIZE(FG_CONSTITUENTS)&lt;/Q&gt;&lt;R&gt;1&lt;/R&gt;&lt;C&gt;1&lt;/C&gt;&lt;D xsi:type="xsd:long"&gt;205&lt;/D&gt;&lt;/FQL&gt;&lt;FQL&gt;&lt;Q&gt;DUMMY^ECON_EXPR_DATA('FDS_ECON[NTCPMIMFGSA@EME]',,,M)&lt;/Q&gt;&lt;R&gt;1&lt;/R&gt;&lt;C&gt;1&lt;/C&gt;&lt;D xsi:type="xsd:double"&gt;51.96729&lt;/D&gt;&lt;/FQL&gt;&lt;FQL&gt;&lt;Q&gt;EWD^FMA_ROE(NTMA,-20AY,NOW,FY,"PORTAGG","MEANR")&lt;/Q&gt;&lt;R&gt;20&lt;/R&gt;&lt;C&gt;1&lt;/C&gt;&lt;D xsi:type="xsd:double"&gt;16.2261090864793&lt;/D&gt;&lt;D xsi:type="xsd:double"&gt;17.2247287220762&lt;/D&gt;&lt;D xsi:type="xsd:double"&gt;18.2100106841597&lt;/D&gt;&lt;D xsi:type="xsd:double"&gt;18.8871757625538&lt;/D&gt;&lt;D xsi:type="xsd:double"&gt;13.942889841066&lt;/D&gt;&lt;D xsi:type="xsd:double"&gt;10.3461745032911&lt;/D&gt;&lt;D xsi:type="xsd:double"&gt;15.8182159921786&lt;/D&gt;&lt;D xsi:type="xsd:double"&gt;15.7255547384444&lt;/D&gt;&lt;D xsi:type="xsd:double"&gt;14.800794930169&lt;/D&gt;&lt;D xsi:type="xsd:double"&gt;14.1943515647563&lt;/D&gt;&lt;D xsi:type="xsd:double"&gt;13.790896513923&lt;/D&gt;&lt;D xsi:type="xsd:double"&gt;13.0367586478869&lt;/D&gt;&lt;D xsi:type="xsd:double"&gt;12.3225531542011&lt;/D&gt;&lt;D xsi:type="xsd:double"&gt;13.8549633296522&lt;/D&gt;&lt;D xsi:type="xsd:double"&gt;13.3193557094803&lt;/D&gt;&lt;D xsi:type="xsd:double"&gt;13.4531336298968&lt;/D&gt;&lt;D xsi:type="xsd:double"&gt;11.9734316080377&lt;/D&gt;&lt;D xsi:type="xsd:double"&gt;15.4719420327405&lt;/D&gt;&lt;D xsi:type="xsd:double"&gt;14.7406058144791&lt;/D&gt;&lt;D xsi:type="xsd:double"&gt;15.368050598586&lt;/D&gt;&lt;/FQL&gt;&lt;FQL&gt;&lt;Q&gt;^FG_YIELD(-10AY,0,Y,,"YTM")&lt;/Q&gt;&lt;R&gt;10&lt;/R&gt;&lt;C&gt;1&lt;/C&gt;&lt;D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xsi:type="xsd:string"&gt;@NA&lt;/D&gt;&lt;/FQL&gt;&lt;FQL&gt;&lt;Q&gt;TRYCA10Y-FDS^FG_YIELD(-10AY,0,Y,,"YTM")&lt;/Q&gt;&lt;R&gt;10&lt;/R&gt;&lt;C&gt;1&lt;/C&gt;&lt;D xsi:type="xsd:double"&gt;1.79&lt;/D&gt;&lt;D xsi:type="xsd:double"&gt;1.39&lt;/D&gt;&lt;D xsi:type="xsd:double"&gt;1.72&lt;/D&gt;&lt;D xsi:type="xsd:double"&gt;2.04&lt;/D&gt;&lt;D xsi:type="xsd:double"&gt;1.96&lt;/D&gt;&lt;D xsi:type="xsd:double"&gt;1.7&lt;/D&gt;&lt;D xsi:type="xsd:double"&gt;0.67&lt;/D&gt;&lt;D xsi:type="xsd:double"&gt;1.42&lt;/D&gt;&lt;D xsi:type="xsd:double"&gt;3.3&lt;/D&gt;&lt;D xsi:type="xsd:double"&gt;3.0987&lt;/D&gt;&lt;/FQL&gt;&lt;FQL&gt;&lt;Q&gt;TRYDE10Y-FDS^FG_YIELD(-10AY,0,Y,,"YTM")&lt;/Q&gt;&lt;R&gt;10&lt;/R&gt;&lt;C&gt;1&lt;/C&gt;&lt;D xsi:type="xsd:double"&gt;0.5475&lt;/D&gt;&lt;D xsi:type="xsd:double"&gt;0.636&lt;/D&gt;&lt;D xsi:type="xsd:double"&gt;0.22&lt;/D&gt;&lt;D xsi:type="xsd:double"&gt;0.47&lt;/D&gt;&lt;D xsi:type="xsd:double"&gt;0.239&lt;/D&gt;&lt;D xsi:type="xsd:double"&gt;-0.189&lt;/D&gt;&lt;D xsi:type="xsd:double"&gt;-0.575&lt;/D&gt;&lt;D xsi:type="xsd:double"&gt;-0.181&lt;/D&gt;&lt;D xsi:type="xsd:double"&gt;2.534&lt;/D&gt;&lt;D xsi:type="xsd:double"&gt;2.004&lt;/D&gt;&lt;/FQL&gt;&lt;FQL&gt;&lt;Q&gt;VGK^FG_TOTAL_RETURNC(0,-1AM)&lt;/Q&gt;&lt;R&gt;1&lt;/R&gt;&lt;C&gt;1&lt;/C&gt;&lt;D xsi:type="xsd:double"&gt;-0.3769815&lt;/D&gt;&lt;/FQL&gt;&lt;FQL&gt;&lt;Q&gt;EWD^FG_TOTAL_RETURNC(0,-6AM)&lt;/Q&gt;&lt;R&gt;1&lt;/R&gt;&lt;C&gt;1&lt;/C&gt;&lt;D xsi:type="xsd:double"&gt;11.290037&lt;/D&gt;&lt;/FQL&gt;&lt;FQL&gt;&lt;Q&gt;EWQ^P_PRICE(0)/P_PRICE_LOW_PR(0,,,,,,"PRICE","INTRA","52W")-1&lt;/Q&gt;&lt;R&gt;1&lt;/R&gt;&lt;C&gt;1&lt;/C&gt;&lt;D xsi:type="xsd:double"&gt;0.1571598&lt;/D&gt;&lt;/FQL&gt;&lt;FQL&gt;&lt;Q&gt;EWU^PERCENT_CHANGE(FMA_EPS(+1,0,,,,"PORTAGG","MEAN"),FMA_EPS(+1,-3AM,,,,"PORTAGG","MEAN"))&lt;/Q&gt;&lt;R&gt;1&lt;/R&gt;&lt;C&gt;1&lt;/C&gt;&lt;D xsi:type="xsd:double"&gt;3.13974148765821&lt;/D&gt;&lt;/FQL&gt;&lt;FQL&gt;&lt;Q&gt;EWJ^FG_TOTAL_RETURNC(0,-3AM)&lt;/Q&gt;&lt;R&gt;1&lt;/R&gt;&lt;C&gt;1&lt;/C&gt;&lt;D xsi:type="xsd:double"&gt;-2.4767935&lt;/D&gt;&lt;/FQL&gt;&lt;FQL&gt;&lt;Q&gt;EWC^P_PRICE(0)/P_PRICE_HIGH_PR(0,,,,,,"PRICE","INT</t>
        </r>
      </text>
    </comment>
    <comment ref="A2" authorId="0" shapeId="0" xr:uid="{ACA271F5-CF0C-4E0F-8A13-5159480D4E0B}">
      <text>
        <r>
          <rPr>
            <b/>
            <sz val="9"/>
            <color indexed="81"/>
            <rFont val="Tahoma"/>
            <charset val="1"/>
          </rPr>
          <t>RA","52W")&lt;/Q&gt;&lt;R&gt;1&lt;/R&gt;&lt;C&gt;1&lt;/C&gt;&lt;D xsi:type="xsd:double"&gt;0.94427246&lt;/D&gt;&lt;/FQL&gt;&lt;FQL&gt;&lt;Q&gt;ENZL^FG_TOTAL_RETURNC(0,-12AM)&lt;/Q&gt;&lt;R&gt;1&lt;/R&gt;&lt;C&gt;1&lt;/C&gt;&lt;D xsi:type="xsd:double"&gt;-1.4807045&lt;/D&gt;&lt;/FQL&gt;&lt;FQL&gt;&lt;Q&gt;EWJ^FMA_COS_DOWN("EPS","1M",+1,0,,,"PORTAGG","MEANR")&lt;/Q&gt;&lt;R&gt;1&lt;/R&gt;&lt;C&gt;1&lt;/C&gt;&lt;D xsi:type="xsd:double"&gt;86&lt;/D&gt;&lt;/FQL&gt;&lt;FQL&gt;&lt;Q&gt;EWD^FMA_COS_UP("EPS","1M",+1,0,,,"PORTAGG","MEANR")&lt;/Q&gt;&lt;R&gt;1&lt;/R&gt;&lt;C&gt;1&lt;/C&gt;&lt;D xsi:type="xsd:double"&gt;14&lt;/D&gt;&lt;/FQL&gt;&lt;FQL&gt;&lt;Q&gt;EWL^SIZE(FG_CONSTITUENTS)&lt;/Q&gt;&lt;R&gt;1&lt;/R&gt;&lt;C&gt;1&lt;/C&gt;&lt;D xsi:type="xsd:long"&gt;47&lt;/D&gt;&lt;/FQL&gt;&lt;FQL&gt;&lt;Q&gt;SPY^FG_ROE(0)&lt;/Q&gt;&lt;R&gt;1&lt;/R&gt;&lt;C&gt;1&lt;/C&gt;&lt;D xsi:type="xsd:double"&gt;18.4226034329665&lt;/D&gt;&lt;/FQL&gt;&lt;FQL&gt;&lt;Q&gt;EWC^FG_COMPANY_NAME&lt;/Q&gt;&lt;R&gt;1&lt;/R&gt;&lt;C&gt;1&lt;/C&gt;&lt;D xsi:type="xsd:string"&gt;iShares MSCI Canada ETF&lt;/D&gt;&lt;/FQL&gt;&lt;FQL&gt;&lt;Q&gt;REFEUREFI-FDS^PROPER_NAME(0,,,"SECURITY","NAME")&lt;/Q&gt;&lt;R&gt;1&lt;/R&gt;&lt;C&gt;1&lt;/C&gt;&lt;D xsi:type="xsd:string"&gt;Eurozone Main Refinancing Operations Minimum Bid Rate&lt;/D&gt;&lt;/FQL&gt;&lt;FQL&gt;&lt;Q&gt;TRYUS10Y-FDS^FG_YIELD(0,,,,"YTM")&lt;/Q&gt;&lt;R&gt;1&lt;/R&gt;&lt;C&gt;1&lt;/C&gt;&lt;D xsi:type="xsd:double"&gt;4.2389&lt;/D&gt;&lt;/FQL&gt;&lt;FQL&gt;&lt;Q&gt;CAGDPY@FR^EE_ACTUAL_ANNUAL(MED,0)&lt;/Q&gt;&lt;R&gt;1&lt;/R&gt;&lt;C&gt;1&lt;/C&gt;&lt;D xsi:type="xsd:double"&gt;-0.756817157305732&lt;/D&gt;&lt;/FQL&gt;&lt;FQL&gt;&lt;Q&gt;CAGDPY@AU^EE_ACTUAL_ANNUAL(MED,0)&lt;/Q&gt;&lt;R&gt;1&lt;/R&gt;&lt;C&gt;1&lt;/C&gt;&lt;D xsi:type="xsd:double"&gt;0.275776825503169&lt;/D&gt;&lt;/FQL&gt;&lt;FQL&gt;&lt;Q&gt;USDITL^FG_PRICE_CHANGE(0,-1AM)&lt;/Q&gt;&lt;R&gt;1&lt;/R&gt;&lt;C&gt;1&lt;/C&gt;&lt;D xsi:type="xsd:double"&gt;0.29706955&lt;/D&gt;&lt;/FQL&gt;&lt;FQL&gt;&lt;Q&gt;USDANG^FG_PRICE_CHANGE(0,-1AM)&lt;/Q&gt;&lt;R&gt;1&lt;/R&gt;&lt;C&gt;1&lt;/C&gt;&lt;D xsi:type="xsd:double"&gt;0&lt;/D&gt;&lt;/FQL&gt;&lt;FQL&gt;&lt;Q&gt;USDUSD^FG_PRICE_CHANGE(0,-1AM)&lt;/Q&gt;&lt;R&gt;1&lt;/R&gt;&lt;C&gt;1&lt;/C&gt;&lt;D xsi:type="xsd:double"&gt;0&lt;/D&gt;&lt;/FQL&gt;&lt;FQL&gt;&lt;Q&gt;USDGBP^FG_PRICE_CHANGE(0,-1AM)&lt;/Q&gt;&lt;R&gt;1&lt;/R&gt;&lt;C&gt;1&lt;/C&gt;&lt;D xsi:type="xsd:double"&gt;-1.597935&lt;/D&gt;&lt;/FQL&gt;&lt;FQL&gt;&lt;Q&gt;USDJPY^FG_PRICE_CHANGE(0,-1AM)&lt;/Q&gt;&lt;R&gt;1&lt;/R&gt;&lt;C&gt;1&lt;/C&gt;&lt;D xsi:type="xsd:double"&gt;0.63488483&lt;/D&gt;&lt;/FQL&gt;&lt;FQL&gt;&lt;Q&gt;USDCAD^FG_PRICE_CHANGE(0,-1AM)&lt;/Q&gt;&lt;R&gt;1&lt;/R&gt;&lt;C&gt;1&lt;/C&gt;&lt;D xsi:type="xsd:double"&gt;0.6217718&lt;/D&gt;&lt;/FQL&gt;&lt;FQL&gt;&lt;Q&gt;USDNZD^FG_PRICE_CHANGE(0,-1AM)&lt;/Q&gt;&lt;R&gt;1&lt;/R&gt;&lt;C&gt;1&lt;/C&gt;&lt;D xsi:type="xsd:double"&gt;-2.3502707&lt;/D&gt;&lt;/FQL&gt;&lt;FQL&gt;&lt;Q&gt;ENZL^FMA_EPS(NTMA,-20AY,0,CY,,"PORTAGG","MEANR")&lt;/Q&gt;&lt;R&gt;20&lt;/R&gt;&lt;C&gt;1&lt;/C&gt;&lt;D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xsi:type="xsd:double"&gt;2.40890596176463&lt;/D&gt;&lt;D xsi:type="xsd:double"&gt;2.24117429803946&lt;/D&gt;&lt;D xsi:type="xsd:double"&gt;2.40285148565594&lt;/D&gt;&lt;D xsi:type="xsd:double"&gt;2.31210808961864&lt;/D&gt;&lt;D xsi:type="xsd:double"&gt;2.19492193820354&lt;/D&gt;&lt;D xsi:type="xsd:double"&gt;2.04943671601749&lt;/D&gt;&lt;D xsi:type="xsd:double"&gt;2.14962845087329&lt;/D&gt;&lt;D xsi:type="xsd:double"&gt;2.26706810161072&lt;/D&gt;&lt;D xsi:type="xsd:double"&gt;2.29721148308571&lt;/D&gt;&lt;D xsi:type="xsd:double"&gt;2.24732564412744&lt;/D&gt;&lt;D xsi:type="xsd:double"&gt;1.98522618259249&lt;/D&gt;&lt;D xsi:type="xsd:double"&gt;1.82093688879477&lt;/D&gt;&lt;D xsi:type="xsd:double"&gt;2.11037846476333&lt;/D&gt;&lt;D xsi:type="xsd:double"&gt;2.11106621771878&lt;/D&gt;&lt;/FQL&gt;&lt;FQL&gt;&lt;Q&gt;EWI^FG_TOTAL_RETURNC(-10AY,0,AM)&lt;/Q&gt;&lt;R&gt;121&lt;/R&gt;&lt;C&gt;1&lt;/C&gt;&lt;D xsi:type="xsd:double"&gt;3.995359&lt;/D&gt;&lt;D xsi:type="xsd:double"&gt;-4.922688&lt;/D&gt;&lt;D xsi:type="xsd:double"&gt;-8.076012&lt;/D&gt;&lt;D xsi:type="xsd:double"&gt;4.392767&lt;/D&gt;&lt;D xsi:type="xsd:double"&gt;-11.324257&lt;/D&gt;&lt;D xsi:type="xsd:double"&gt;-1.605022&lt;/D&gt;&lt;D xsi:type="xsd:double"&gt;-2.5531948&lt;/D&gt;&lt;D xsi:type="xsd:double"&gt;-4.948032&lt;/D&gt;&lt;D xsi:type="xsd:double"&gt;11.333847&lt;/D&gt;&lt;D xsi:type="xsd:double"&gt;-1.3850391&lt;/D&gt;&lt;D xsi:type="xsd:double"&gt;5.266857&lt;/D&gt;&lt;D xsi:type="xsd:double"&gt;4.336226&lt;/D&gt;&lt;D xsi:type="xsd:double"&gt;-0.5754471&lt;/D&gt;&lt;D xsi:type="xsd:double"&gt;-0.7904589&lt;/D&gt;&lt;D xsi:type="xsd:double"&gt;3.100264&lt;/D&gt;&lt;D xsi:type="xsd:double"&gt;-4.7984657&lt;/D&gt;&lt;D xsi:type="xsd:double"&gt;1.0752678&lt;/D&gt;&lt;D xsi:type="xsd:double"&gt;-6.781912&lt;/D&gt;&lt;D xsi:type="xsd:double"&gt;-2.0684779&lt;/D&gt;&lt;D xsi:type="xsd:double"&gt;-6.3456774&lt;/D&gt;&lt;D xsi:type="xsd:double"&gt;-13.650549&lt;/D&gt;&lt;D xsi:type="xsd:double"&gt;14.272809&lt;/D&gt;&lt;D xsi:type="xsd:double"&gt;-4.2687774&lt;/D&gt;&lt;D xsi:type="xsd:double"&gt;-2.0644069&lt;/D&gt;&lt;D xsi:type="xsd:double"&gt;-4.384482&lt;/D&gt;&lt;D xsi:type="xsd:double"&gt;-0.6879747&lt;/D&gt;&lt;D xsi:type="xsd:double"&gt;3.0136943&lt;/D&gt;&lt;D xsi:type="xsd:double"&gt;-1.4184356&lt;/D&gt;&lt;D xsi:type="xsd:double"&gt;-3.0575573&lt;/D&gt;&lt;D xsi:type="xsd:double"&gt;2.4582624&lt;/D&gt;&lt;D xsi:type="xsd:double"&gt;9.280216&lt;/D&gt;&lt;D xsi:type="xsd:double"&gt;2.636814&lt;/D&gt;&lt;D xsi:type="xsd:double"&gt;-2.9735208&lt;/D&gt;&lt;D xsi:type="xsd:double"&gt;4.0302277&lt;/D&gt;&lt;D xsi:type="xsd:double"&gt;-0.121068954&lt;/D&gt;&lt;D xsi:type="xsd:double"&gt;12.727272&lt;/D&gt;&lt;D xsi:type="xsd:double"&gt;1.5412211&lt;/D&gt;&lt;D xsi:type="xsd:double"&gt;3.509295&lt;/D&gt;&lt;D xsi:type="xsd:double"&gt;2.569449&lt;/D&gt;&lt;D xsi:type="xsd:double"&gt;4.5362115&lt;/D&gt;&lt;D xsi:type="xsd:double"&gt;0.32383204&lt;/D&gt;&lt;D xsi:type="xsd:double"&gt;-1.2911558&lt;/D&gt;&lt;D xsi:type="xsd:double"&gt;1.013732&lt;/D&gt;&lt;D xsi:type="xsd:double"&gt;7.6804996&lt;/D&gt;&lt;D xsi:type="xsd:double"&gt;-4.0810227&lt;/D&gt;&lt;D xsi:type="xsd:double"&gt;2.23763&lt;/D&gt;&lt;D xsi:type="xsd:double"&gt;3.0826092&lt;/D&gt;&lt;D xsi:type="xsd:double"&gt;0.29904842&lt;/D&gt;&lt;D xsi:type="xsd:double"&gt;-8.527136&lt;/D&gt;&lt;D xsi:type="xsd:double"&gt;-1.8219113&lt;/D&gt;&lt;D xsi:type="xsd:double"&gt;-5.836177&lt;/D&gt;&lt;D xsi:type="xsd:double"&gt;1.7035127&lt;/D&gt;&lt;D xsi:type="xsd:double"&gt;-7.9116163&lt;/D&gt;&lt;D xsi:type="xsd:double"&gt;-2.9798806&lt;/D&gt;&lt;D xsi:type="xsd:double"&gt;0.9174347&lt;/D&gt;&lt;D xsi:type="xsd:double"&gt;1.8382788&lt;/D&gt;&lt;D xsi:type="xsd:double"&gt;2.3977995&lt;/D&gt;&lt;D xsi:type="xsd:double"&gt;4.491365&lt;/D&gt;&lt;D xsi:type="xsd:double"&gt;4.4452667&lt;/D&gt;&lt;D xsi:type="xsd:double"&gt;-5.803728&lt;/D&gt;&lt;D xsi:type="xsd:double"&gt;2.240467&lt;/D&gt;&lt;D xsi:type="xsd:double"&gt;8.052993&lt;/D&gt;&lt;D xsi:type="xsd:double"&gt;-8.324594&lt;/D&gt;&lt;D xsi:type="xsd:double"&gt;6.8676114&lt;/D&gt;&lt;D xsi:type="xsd:double"&gt;-0.67833066&lt;/D&gt;&lt;D xsi:type="xsd:double"&gt;5.5715322&lt;/D&gt;&lt;D xsi:type="xsd:double"&gt;-0.40858388&lt;/D&gt;&lt;D xsi:type="xsd:double"&gt;2.176559&lt;/D&gt;&lt;D xsi:type="xsd:double"&gt;0.87600946&lt;/D&gt;&lt;D xsi:type="xsd:double"&gt;-30.494326&lt;/D&gt;&lt;D xsi:type="xsd:double"&gt;1.3935685&lt;/D&gt;&lt;D xsi:type="xsd:double"&gt;-3.8862526&lt;/D&gt;&lt;D xsi:type="xsd:double"&gt;17.209076&lt;/D&gt;&lt;D xsi:type="xsd:double"&gt;4.6170354&lt;/D&gt;&lt;D xsi:type="xsd:double"&gt;6.7858577&lt;/D&gt;&lt;D xsi:type="xsd:double"&gt;-2.3592114&lt;/D&gt;&lt;D xsi:type="xsd:double"&gt;-2.5331259&lt;/D&gt;&lt;D xsi:type="xsd:double"&gt;9.116352&lt;/D&gt;&lt;D xsi:type="xsd:double"&gt;6.3393116&lt;/D&gt;&lt;D xsi:type="xsd:double"&gt;4.161334&lt;/D&gt;&lt;D xsi:type="xsd:double"&gt;3.1687856&lt;/D&gt;&lt;D xsi:type="xsd:double"&gt;2.1985173&lt;/D&gt;&lt;D xsi:type="xsd:double"&gt;1.4235973&lt;/D&gt;&lt;D xsi:type="xsd:double"&gt;0.90454817&lt;/D&gt;&lt;D xsi:type="xsd:double"&gt;5.4745436&lt;/D&gt;&lt;D xsi:type="xsd:double"&gt;-4.924357&lt;/D&gt;&lt;D xsi:type="xsd:double"&gt;5.897033&lt;/D&gt;&lt;D xsi:type="xsd:double"&gt;-3.5061836&lt;/D&gt;&lt;D xsi:type="xsd:double"&gt;-1.1603057&lt;/D&gt;&lt;D xsi:type="xsd:double"&gt;4.788387&lt;/D&gt;&lt;D xsi:type="xsd:double"&gt;-5.12439&lt;/D&gt;&lt;D xsi:type="xsd:double"&gt;5.9249997&lt;/D&gt;&lt;D xsi:type="xsd:double"&gt;-4.403448&lt;/D&gt;&lt;D xsi:type="xsd:double"&gt;-16.433239&lt;/D&gt;&lt;D xsi:type="xsd:double"&gt;8.752335&lt;/D&gt;&lt;D xsi:type="xsd:double"&gt;-7.1575346&lt;/D&gt;&lt;D xsi:type="xsd:double"&gt;-7.3857727&lt;/D&gt;&lt;D xsi:type="xsd:double"&gt;-5.418718&lt;/D&gt;&lt;D xsi:type="xsd:double"&gt;10.28645&lt;/D&gt;&lt;D xsi:type="xsd:double"&gt;-6.8870544&lt;/D&gt;&lt;D xsi:type="xsd:double"&gt;-7.0160627&lt;/D&gt;&lt;D xsi:type="xsd:double"&gt;24.363636&lt;/D&gt;&lt;D xsi:type="xsd:double"&gt;2.6166677&lt;/D&gt;&lt;D xsi:type="xsd:double"&gt;7.0860505&lt;/D&gt;&lt;D xsi:type="xsd:double"&gt;3.2748103&lt;/D&gt;&lt;D xsi:type="xsd:double"&gt;-4.8708735&lt;/D&gt;&lt;D xsi:type="xsd:double"&gt;8.969069&lt;/D&gt;&lt;D xsi:type="xsd:double"&gt;-1.2298942&lt;/D&gt;&lt;D xsi:type="xsd:double"&gt;0.49101114&lt;/D&gt;&lt;D xsi:type="xsd:double"&gt;7.9752564&lt;/D&gt;&lt;D xsi:type="xsd:double"&gt;-3.708166&lt;/D&gt;&lt;D xsi:type="xsd:double"&gt;-2.0037591&lt;/D&gt;&lt;D xsi:type="xsd:double"&gt;-3.9297104&lt;/D&gt;&lt;D xsi:type="xsd:double"&gt;4.3565035&lt;/D&gt;&lt;D xsi:type="xsd:double"&gt;7.966864&lt;/D&gt;&lt;D xsi:type="xsd:double"&gt;1.2914896&lt;/D&gt;&lt;D xsi:type="xsd:double"&gt;-1.3573289&lt;/D&gt;&lt;D xsi:type="xsd:double"&gt;11.426867&lt;/D&gt;&lt;D xsi:type="xsd:double"&gt;-3.4362376&lt;/D&gt;&lt;D xsi:type="xsd:double"&gt;6.5332174&lt;/D&gt;&lt;D xsi:type="xsd:double"&gt;-2.8719366&lt;/D&gt;&lt;/FQL&gt;&lt;FQL&gt;&lt;Q&gt;EWN^FMA_DIV_YLD(NTMA,-10AY,0,AM,"PORTAGG","MEANR")&lt;/Q&gt;&lt;R&gt;121&lt;/R&gt;&lt;C&gt;1&lt;/C&gt;&lt;D xsi:type="xsd:double"&gt;2.79833170280322&lt;/D&gt;&lt;D xsi:type="xsd:double"&gt;2.89347782002791&lt;/D&gt;&lt;D xsi:type="xsd:double"&gt;3.0845112351302&lt;/D&gt;&lt;D xsi:type="xsd:double"&gt;3.00312785407198&lt;/D&gt;&lt;D xsi:type="xsd:double"&gt;3.20828816233682&lt;/D&gt;&lt;D xsi:type="xsd:double"&gt;3.10822072014976&lt;/D&gt;&lt;D xsi:type="xsd:double"&gt;3.13475473373686&lt;/D&gt;&lt;D xsi:type="xsd:double"&gt;3.08024763038109&lt;/D&gt;&lt;D xsi:type="xsd:double"&gt;2.83180979558115&lt;/D&gt;&lt;D xsi:type="xsd:double"&gt;2.62806858070778&lt;/D&gt;&lt;D xsi:type="xsd:double"&gt;2.57837090140805&lt;/D&gt;&lt;D xsi:type="xsd:double"&gt;2.77502748139512&lt;/D&gt;&lt;D xsi:type="xsd:double"&gt;2.92179443853623&lt;/D&gt;&lt;D xsi:type="xsd:double"&gt;2.86995674841658&lt;/D&gt;&lt;D xsi:type="xsd:double"&gt;3.18245722471757&lt;/D&gt;&lt;D xsi:type="xsd:double"&gt;3.50502890783083&lt;/D&gt;&lt;D xsi:type="xsd:double"&gt;3.47596918449856&lt;/D&gt;&lt;D xsi:type="xsd:double"&gt;3.24652605435845&lt;/D&gt;&lt;D xsi:type="xsd:double"&gt;3.3703178124924&lt;/D&gt;&lt;D xsi:type="xsd:double"&gt;3.2660182797629&lt;/D&gt;&lt;D xsi:type="xsd:double"&gt;3.66522513263701&lt;/D&gt;&lt;D xsi:type="xsd:double"&gt;3.3070368016115&lt;/D&gt;&lt;D xsi:type="xsd:double"&gt;3.26365323805729&lt;/D&gt;&lt;D xsi:type="xsd:double"&gt;3.41557741930806&lt;/D&gt;&lt;D xsi:type="xsd:double"&gt;3.33182907553567&lt;/D&gt;&lt;D xsi:type="xsd:double"&gt;3.26623150309424&lt;/D&gt;&lt;D xsi:type="xsd:double"&gt;3.13896510352899&lt;/D&gt;&lt;D xsi:type="xsd:double"&gt;3.20777615163782&lt;/D&gt;&lt;D xsi:type="xsd:double"&gt;3.1650874905794&lt;/D&gt;&lt;D xsi:type="xsd:double"&gt;3.18868506839284&lt;/D&gt;&lt;D xsi:type="xsd:double"&gt;3.02233729015695&lt;/D&gt;&lt;D xsi:type="xsd:double"&gt;2.94438739934246&lt;/D&gt;&lt;D xsi:type="xsd:double"&gt;2.89558928975287&lt;/D&gt;&lt;D xsi:type="xsd:double"&gt;2.7757896523662&lt;/D&gt;&lt;D xsi:type="xsd:double"&gt;2.77082339462495&lt;/D&gt;&lt;D xsi:type="xsd:double"&gt;2.69470200247365&lt;/D&gt;&lt;D xsi:type="xsd:double"&gt;2.73121289886105&lt;/D&gt;&lt;D xsi:type="xsd:double"&gt;2.78000044550396&lt;/D&gt;&lt;D xsi:type="xsd:double"&gt;2.81879214633753&lt;/D&gt;&lt;D xsi:type="xsd:double"&gt;2.82399692913698&lt;/D&gt;&lt;D xsi:type="xsd:double"&gt;2.7549358622198&lt;/D&gt;&lt;D xsi:type="xsd:double"&gt;2.81365949594347&lt;/D&gt;&lt;D xsi:type="xsd:double"&gt;2.8071514857527&lt;/D&gt;&lt;D xsi:type="xsd:double"&gt;2.78955391180591&lt;/D&gt;&lt;D xsi:type="xsd:double"&gt;3.01338197897866&lt;/D&gt;&lt;D xsi:type="xsd:double"&gt;2.93477376992107&lt;/D&gt;&lt;D xsi:type="xsd:double"&gt;2.93074126161989&lt;/D&gt;&lt;D xsi:type="xsd:double"&gt;2.90794126440471&lt;/D&gt;&lt;D xsi:type="xsd:double"&gt;2.85811318328518&lt;/D&gt;&lt;D xsi:type="xsd:double"&gt;2.92914478460565&lt;/D&gt;&lt;D xsi:type="xsd:double"&gt;2.91583042677493&lt;/D&gt;&lt;D xsi:type="xsd:double"&gt;3.03987244995373&lt;/D&gt;&lt;D xsi:type="xsd:double"&gt;3.2226147030557&lt;/D&gt;&lt;D xsi:type="xsd:double"&gt;3.16349661887889&lt;/D&gt;&lt;D xsi:type="xsd:double"&gt;3.32300575835983&lt;/D&gt;&lt;D xsi:type="xsd:double"&gt;3.38437527772502&lt;/D&gt;&lt;D xsi:type="xsd:double"&gt;3.15939100848085&lt;/D&gt;&lt;D xsi:type="xsd:double"&gt;3.11106828175684&lt;/D&gt;&lt;D xsi:type="xsd:double"&gt;3.00134530181539&lt;/D&gt;&lt;D xsi:type="xsd:double"&gt;3.11890361846191&lt;/D&gt;&lt;D xsi:type="xsd:double"&gt;3.0545352068845&lt;/D&gt;&lt;D xsi:type="xsd:double"&gt;2.97536640737763&lt;/D&gt;&lt;D xsi:type="xsd:double"&gt;3.02191760981392&lt;/D&gt;&lt;D xsi:type="xsd:double"&gt;2.83797260293687&lt;/D&gt;&lt;D xsi:type="xsd:double"&gt;2.74741717089089&lt;/D&gt;&lt;D xsi:type="xsd:double"&gt;2.65891702582024&lt;/D&gt;&lt;D xsi:type="xsd:double"&gt;2.61646598492515&lt;/D&gt;&lt;D xsi:type="xsd:double"&gt;2.58368870456185&lt;/D&gt;&lt;D xsi:type="xsd:double"&gt;2.45989612176605&lt;/D&gt;&lt;D xsi:type="xsd:double"&gt;3.56941217342088&lt;/D&gt;&lt;D xsi:type="xsd:double"&gt;2.88763297570715&lt;/D&gt;&lt;D xsi:type="xsd:double"&gt;2.66043424243167&lt;/D&gt;&lt;D xsi:type="xsd:double"&gt;2.46502180877839&lt;/D&gt;&lt;D xsi:type="xsd:double"&gt;2.292501166308&lt;/D&gt;&lt;D xsi:type="xsd:double"&gt;2.32623010195805&lt;/D&gt;&lt;D xsi:type="xsd:double"&gt;2.32122518056387&lt;/D&gt;&lt;D xsi:type="xsd:double"&gt;2.24697470996654&lt;/D&gt;&lt;D xsi:type="xsd:double"&gt;2.18632035394661&lt;/D&gt;&lt;D xsi:type="xsd:double"&gt;2.07826912388842&lt;/D&gt;&lt;D xsi:type="xsd:double"&gt;1.9633845949084&lt;/D&gt;&lt;D xsi:type="xsd:double"&gt;1.88278995619088&lt;/D&gt;&lt;D xsi:type="xsd:double"&gt;2.02377356840099&lt;/D&gt;&lt;D xsi:type="xsd:double"&gt;1.92026132716326&lt;/D&gt;&lt;D xsi:type="xsd:double"&gt;2.02544664314679&lt;/D&gt;&lt;D xsi:type="xsd:double"&gt;1.97589729034351&lt;/D&gt;&lt;D xsi:type="xsd:double"&gt;1.99557089680133&lt;/D&gt;&lt;D xsi:type="xsd:double"&gt;1.94658494356893&lt;/D&gt;&lt;D xsi:type="xsd:double"&gt;1.85349180549905&lt;/D&gt;&lt;D xsi:type="xsd:double"&gt;1.98563022362514&lt;/D&gt;&lt;D xsi:type="xsd:double"&gt;1.84147942389919&lt;/D&gt;&lt;D xsi:type="xsd:double"&gt;1.9770197803366&lt;/D&gt;&lt;D xsi:type="xsd:double"&gt;1.98522992405944&lt;/D&gt;&lt;D xsi:type="xsd:double"&gt;2.21584445906126&lt;/D&gt;&lt;D xsi:type="xsd:double"&gt;2.45050247290314&lt;/D&gt;&lt;D xsi:type="xsd:double"&gt;2.3100917164353&lt;/D&gt;&lt;D xsi:type="xsd:double"&gt;2.55245121123474&lt;/D&gt;&lt;D xsi:type="xsd:double"&gt;2.75047177384402&lt;/D&gt;&lt;D xsi:type="xsd:double"&gt;3.42296936644953&lt;/D&gt;&lt;D xsi:type="xsd:double"&gt;3.05380147167044&lt;/D&gt;&lt;D xsi:type="xsd:double"&gt;3.67924870252977&lt;/D&gt;&lt;D xsi:type="xsd:double"&gt;3.13851504922575&lt;/D&gt;&lt;D xsi:type="xsd:double"&gt;2.70869262830335&lt;/D&gt;&lt;D xsi:type="xsd:double"&gt;2.60319243877857&lt;/D&gt;&lt;D xsi:type="xsd:double"&gt;2.5713686318426&lt;/D&gt;&lt;D xsi:type="xsd:double"&gt;2.55585561497803&lt;/D&gt;&lt;D xsi:type="xsd:double"&gt;2.7803734109418&lt;/D&gt;&lt;D xsi:type="xsd:double"&gt;2.67863453652182&lt;/D&gt;&lt;D xsi:type="xsd:double"&gt;2.72305297187372&lt;/D&gt;&lt;D xsi:type="xsd:double"&gt;2.63969023089845&lt;/D&gt;&lt;D xsi:type="xsd:double"&gt;2.65759761077405&lt;/D&gt;&lt;D xsi:type="xsd:double"&gt;2.77621023414872&lt;/D&gt;&lt;D xsi:type="xsd:double"&gt;2.99137516338207&lt;/D&gt;&lt;D xsi:type="xsd:double"&gt;3.04244131556991&lt;/D&gt;&lt;D xsi:type="xsd:double"&gt;2.8889221563746&lt;/D&gt;&lt;D xsi:type="xsd:double"&gt;2.70138114626897&lt;/D&gt;&lt;D xsi:type="xsd:double"&gt;2.71901916775392&lt;/D&gt;&lt;D xsi:type="xsd:double"&gt;2.50336500133965&lt;/D&gt;&lt;D xsi:type="xsd:double"&gt;2.57885189416403&lt;/D&gt;&lt;D xsi:type="xsd:double"&gt;2.55451560536782&lt;/D&gt;&lt;D xsi:type="xsd:double"&gt;2.48276214652229&lt;/D&gt;&lt;D xsi:type="xsd:double"&gt;2.43311096537863&lt;/D&gt;&lt;/FQL&gt;&lt;FQL&gt;&lt;Q&gt;SPY^FMA_PE(NTMA,-10AY,0,AM,"PORTAGG","MEANR")&lt;/Q&gt;&lt;R&gt;121&lt;/R&gt;&lt;C&gt;1&lt;/C&gt;&lt;D xsi:type="xsd:double"&gt;15.2208671061235&lt;/D&gt;&lt;D xsi:type="xsd:double"&gt;15.3433437721194&lt;/D&gt;&lt;D xsi:type="xsd:double"&gt;14.981043294154&lt;/D&gt;&lt;D xsi:type="xsd:double"&gt;15.1731429771878&lt;/D&gt;&lt;D xsi:type="xsd:double"&gt;14.2780380143617&lt;/D&gt;&lt;D xsi:type="xsd:double"&gt;15.6324000997892&lt;/D&gt;&lt;D xsi:type="xsd:double"&gt;15.4666051675582&lt;/D&gt;&lt;D xsi:type="xsd:double"&gt;15.885624421852&lt;/D&gt;&lt;D xsi:type="xsd:double"&gt;16.8655024277584&lt;/D&gt;&lt;D xsi:type="xsd:double"&gt;16.4715700397736&lt;/D&gt;&lt;D xsi:type="xsd:double"&gt;16.6636278052973&lt;/D&gt;&lt;D xsi:type="xsd:double"&gt;16.5537632078645&lt;/D&gt;&lt;D xsi:type="xsd:double"&gt;16.3842740921224&lt;/D&gt;&lt;D xsi:type="xsd:double"&gt;16.3552255029645&lt;/D&gt;&lt;D xsi:type="xsd:double"&gt;16.2451495023367&lt;/D&gt;&lt;D xsi:type="xsd:double"&gt;15.2817631966567&lt;/D&gt;&lt;D xsi:type="xsd:double"&gt;15.6620971195901&lt;/D&gt;&lt;D xsi:type="xsd:double"&gt;15.8518400680542&lt;/D&gt;&lt;D xsi:type="xsd:double"&gt;15.7300489831403&lt;/D&gt;&lt;D xsi:type="xsd:double"&gt;14.8820179378534&lt;/D&gt;&lt;D xsi:type="xsd:double"&gt;15.5099438140132&lt;/D&gt;&lt;D xsi:type="xsd:double"&gt;15.5167363536305&lt;/D&gt;&lt;D xsi:type="xsd:double"&gt;16.5004635460184&lt;/D&gt;&lt;D xsi:type="xsd:double"&gt;16.5226770167304&lt;/D&gt;&lt;D xsi:type="xsd:double"&gt;16.3787449536364&lt;/D&gt;&lt;D xsi:type="xsd:double"&gt;16.8877248607289&lt;/D&gt;&lt;D xsi:type="xsd:double"&gt;16.9893615444774&lt;/D&gt;&lt;D xsi:type="xsd:double"&gt;16.4159086120171&lt;/D&gt;&lt;D xsi:type="xsd:double"&gt;16.342573954939&lt;/D&gt;&lt;D xsi:type="xsd:double"&gt;16.5261030604819&lt;/D&gt;&lt;D xsi:type="xsd:double"&gt;17.1487678382057&lt;/D&gt;&lt;D xsi:type="xsd:double"&gt;16.9866013196807&lt;/D&gt;&lt;D xsi:type="xsd:double"&gt;17.4329022171593&lt;/D&gt;&lt;D xsi:type="xsd:double"&gt;17.676807467638&lt;/D&gt;&lt;D xsi:type="xsd:double"&gt;17.1920351489964&lt;/D&gt;&lt;D xsi:type="xsd:double"&gt;17.4302331447348&lt;/D&gt;&lt;D xsi:type="xsd:double"&gt;17.630996135763&lt;/D&gt;&lt;D xsi:type="xsd:double"&gt;17.5461980748764&lt;/D&gt;&lt;D xsi:type="xsd:double"&gt;17.3716829759511&lt;/D&gt;&lt;D xsi:type="xsd:double"&gt;17.6398012475247&lt;/D&gt;&lt;D xsi:type="xsd:double"&gt;17.9062776252455&lt;/D&gt;&lt;D xsi:type="xsd:double"&gt;17.920926271216&lt;/D&gt;&lt;D xsi:type="xsd:double"&gt;18.2583062374482&lt;/D&gt;&lt;D xsi:type="xsd:double"&gt;18.4026634406931&lt;/D&gt;&lt;D xsi:type="xsd:double"&gt;16.6843713365911&lt;/D&gt;&lt;D xsi:type="xsd:double"&gt;17.146570539825&lt;/D&gt;&lt;D xsi:type="xsd:double"&gt;16.3370571512776&lt;/D&gt;&lt;D xsi:type="xsd:double"&gt;16.4505081458464&lt;/D&gt;&lt;D xsi:type="xsd:double"&gt;16.5511528205218&lt;/D&gt;&lt;D xsi:type="xsd:double"&gt;16.5410134438428&lt;/D&gt;&lt;D xsi:type="xsd:double"&gt;16.4265040851223&lt;/D&gt;&lt;D xsi:type="xsd:double"&gt;16.755726813373&lt;/D&gt;&lt;D xsi:type="xsd:double"&gt;15.8733227670383&lt;/D&gt;&lt;D xsi:type="xsd:double"&gt;15.5495534024904&lt;/D&gt;&lt;D xsi:type="xsd:double"&gt;15.1323597510045&lt;/D&gt;&lt;D xsi:type="xsd:double"&gt;15.0726387797725&lt;/D&gt;&lt;D xsi:type="xsd:double"&gt;16.0264011439228&lt;/D&gt;&lt;D xsi:type="xsd:double"&gt;16.3198781338215&lt;/D&gt;&lt;D xsi:type="xsd:double"&gt;16.841229554086&lt;/D&gt;&lt;D xsi:type="xsd:double"&gt;16.100952402533&lt;/D&gt;&lt;D xsi:type="xsd:double"&gt;16.4421799284672&lt;/D&gt;&lt;D xsi:type="xsd:double"&gt;17.143858749979&lt;/D&gt;&lt;D xsi:type="xsd:double"&gt;16.6244410993786&lt;/D&gt;&lt;D xsi:type="xsd:double"&gt;16.9726645345148&lt;/D&gt;&lt;D xsi:type="xsd:double"&gt;16.7891810900059&lt;/D&gt;&lt;D xsi:type="xsd:double"&gt;17.4608348367435&lt;/D&gt;&lt;D xsi:type="xsd:double"&gt;17.8300929122335&lt;/D&gt;&lt;D xsi:type="xsd:double"&gt;18.4151052952686&lt;/D&gt;&lt;D xsi:type="xsd:double"&gt;18.9196439777945&lt;/D&gt;&lt;D xsi:type="xsd:double"&gt;15.4518513111389&lt;/D&gt;&lt;D xsi:type="xsd:double"&gt;17.8759605040879&lt;/D&gt;&lt;D xsi:type="xsd:double"&gt;20.110603179469&lt;/D&gt;&lt;D xsi:type="xsd:double"&gt;21.4402587735129&lt;/D&gt;&lt;D xsi:type="xsd:double"&gt;21.9350972234534&lt;/D&gt;&lt;D xsi:type="xsd:double"&gt;22.3722036318378&lt;/D&gt;&lt;D xsi:type="xsd:double"&gt;21.6520384594938&lt;/D&gt;&lt;D xsi:type="xsd:double"&gt;22.2112249164989&lt;/D&gt;&lt;D xsi:type="xsd:double"&gt;21.8795328712155&lt;/D&gt;&lt;D xsi:type="xsd:double"&gt;21.8321034056647&lt;/D&gt;&lt;D xsi:type="xsd:double"&gt;22.5048213011813&lt;/D&gt;&lt;D xsi:type="xsd:double"&gt;22.2725246233836&lt;/D&gt;&lt;D xsi:type="xsd:double"&gt;21.9021086802485&lt;/D&gt;&lt;D xsi:type="xsd:double"&gt;22.5232981937537&lt;/D&gt;&lt;D xsi:type="xsd:double"&gt;21.0182913825809&lt;/D&gt;&lt;D xsi:type="xsd:double"&gt;21.3215030144352&lt;/D&gt;&lt;D xsi:type="xsd:double"&gt;21.5451743021269&lt;/D&gt;&lt;D xsi:type="xsd:double"&gt;21.1247877807905&lt;/D&gt;&lt;D xsi:type="xsd:double"&gt;20.8862131271427&lt;/D&gt;&lt;D xsi:type="xsd:double"&gt;20.2505221010779&lt;/D&gt;&lt;D xsi:type="xsd:double"&gt;21.3661311387133&lt;/D&gt;&lt;D xsi:type="xsd:double"&gt;20.9724254046958&lt;/D&gt;&lt;D xsi:type="xsd:double"&gt;20.7296019810734&lt;/D&gt;&lt;D xsi:type="xsd:double"&gt;19.4146286063082&lt;/D&gt;&lt;D xsi:type="xsd:double"&gt;18.1868428978354&lt;/D&gt;&lt;D xsi:type="xsd:double"&gt;18.9679113539203&lt;/D&gt;&lt;D xsi:type="xsd:double"&gt;16.9880237787917&lt;/D&gt;&lt;D xsi:type="xsd:double"&gt;15.6511747170775&lt;/D&gt;&lt;D xsi:type="xsd:double"&gt;15.872328775565&lt;/D&gt;&lt;D xsi:type="xsd:double"&gt;18.0699305430277&lt;/D&gt;&lt;D xsi:type="xsd:double"&gt;16.5173332145028&lt;/D&gt;&lt;D xsi:type="xsd:double"&gt;15.5540464972203&lt;/D&gt;&lt;D xsi:type="xsd:double"&gt;17.3034950408957&lt;/D&gt;&lt;D xsi:type="xsd:double"&gt;17.3970866573715&lt;/D&gt;&lt;D xsi:type="xsd:double"&gt;17.4305504720552&lt;/D&gt;&lt;D xsi:type="xsd:double"&gt;18.2499532682089&lt;/D&gt;&lt;D xsi:type="xsd:double"&gt;16.9235600718091&lt;/D&gt;&lt;D xsi:type="xsd:double"&gt;18.2458447444756&lt;/D&gt;&lt;D xsi:type="xsd:double"&gt;17.9387731436317&lt;/D&gt;&lt;D xsi:type="xsd:double"&gt;18.7861799149026&lt;/D&gt;&lt;D xsi:type="xsd:double"&gt;19.3670008074261&lt;/D&gt;&lt;D xsi:type="xsd:double"&gt;18.9019037865603&lt;/D&gt;&lt;D xsi:type="xsd:double"&gt;18.6141089003067&lt;/D&gt;&lt;D xsi:type="xsd:double"&gt;17.9374506266959&lt;/D&gt;&lt;D xsi:type="xsd:double"&gt;18.2277311955346&lt;/D&gt;&lt;D xsi:type="xsd:double"&gt;19.2895447285692&lt;/D&gt;&lt;D xsi:type="xsd:double"&gt;19.9993831938924&lt;/D&gt;&lt;D xsi:type="xsd:double"&gt;20.523306285436&lt;/D&gt;&lt;D xsi:type="xsd:double"&gt;21.1964073938526&lt;/D&gt;&lt;D xsi:type="xsd:double"&gt;20.9420125616925&lt;/D&gt;&lt;D xsi:type="xsd:double"&gt;21.0078174953666&lt;/D&gt;&lt;D xsi:type="xsd:double"&gt;20.7559183470507&lt;/D&gt;&lt;/FQL&gt;&lt;FQL&gt;&lt;Q&gt;EWU^FMA_PE(LTMA,-10AY,0,AM,"PORTAGG","MEANR")&lt;/Q&gt;&lt;R&gt;121&lt;/R&gt;&lt;C&gt;1&lt;/C&gt;&lt;D xsi:type="xsd:double"&gt;14.3668182943823&lt;/D&gt;&lt;D xsi:type="xsd:double"&gt;14.2744493993483&lt;/D&gt;&lt;D xsi:type="xsd:double"&gt;14.1274773848745&lt;/D&gt;&lt;D xsi:type="xsd:double"&gt;14.1692022582628&lt;/D&gt;&lt;D xsi:type="xsd:double"&gt;13.4607811563717&lt;/D&gt;&lt;D xsi:type="xsd:double"&gt;13.9102167300975&lt;/D&gt;&lt;D xsi:type="xsd:double"&gt;13.2758443481195&lt;/D&gt;&lt;D xsi:type="xsd:double"&gt;13.5738203616608&lt;/D&gt;&lt;D xsi:type="xsd:double"&gt;14.6601635158196&lt;/D&gt;&lt;D xsi:type="xsd:double"&gt;15.1195627248523&lt;/D&gt;&lt;D xsi:type="xsd:double"&gt;15.4589224887731&lt;/D&gt;&lt;D xsi:type="xsd:double"&gt;15.6791866444035&lt;/D&gt;&lt;D xsi:type="xsd:double"&gt;15.6456275393428&lt;/D&gt;&lt;D xsi:type="xsd:double"&gt;15.6773190566652&lt;/D&gt;&lt;D xsi:type="xsd:double"&gt;15.6395442506655&lt;/D&gt;&lt;D xsi:type="xsd:double"&gt;15.018967059324&lt;/D&gt;&lt;D xsi:type="xsd:double"&gt;15.5822700623152&lt;/D&gt;&lt;D xsi:type="xsd:double"&gt;15.3701191934467&lt;/D&gt;&lt;D xsi:type="xsd:double"&gt;15.0845130535522&lt;/D&gt;&lt;D xsi:type="xsd:double"&gt;14.9850650050683&lt;/D&gt;&lt;D xsi:type="xsd:double"&gt;14.4445419127267&lt;/D&gt;&lt;D xsi:type="xsd:double"&gt;15.6255820413721&lt;/D&gt;&lt;D xsi:type="xsd:double"&gt;15.9463696069775&lt;/D&gt;&lt;D xsi:type="xsd:double"&gt;15.8312454919475&lt;/D&gt;&lt;D xsi:type="xsd:double"&gt;15.8097066250498&lt;/D&gt;&lt;D xsi:type="xsd:double"&gt;16.4440346130474&lt;/D&gt;&lt;D xsi:type="xsd:double"&gt;16.9476907494451&lt;/D&gt;&lt;D xsi:type="xsd:double"&gt;16.5931683218175&lt;/D&gt;&lt;D xsi:type="xsd:double"&gt;16.8507667869479&lt;/D&gt;&lt;D xsi:type="xsd:double"&gt;16.3174182826211&lt;/D&gt;&lt;D xsi:type="xsd:double"&gt;16.9739729780077&lt;/D&gt;&lt;D xsi:type="xsd:double"&gt;17.3701048915432&lt;/D&gt;&lt;D xsi:type="xsd:double"&gt;17.3722236028117&lt;/D&gt;&lt;D xsi:type="xsd:double"&gt;17.2659250612454&lt;/D&gt;&lt;D xsi:type="xsd:double"&gt;17.0231368797814&lt;/D&gt;&lt;D xsi:type="xsd:double"&gt;16.8844672209117&lt;/D&gt;&lt;D xsi:type="xsd:double"&gt;16.6377628813487&lt;/D&gt;&lt;D xsi:type="xsd:double"&gt;16.4599624765778&lt;/D&gt;&lt;D xsi:type="xsd:double"&gt;16.1329607142966&lt;/D&gt;&lt;D xsi:type="xsd:double"&gt;15.9772095972201&lt;/D&gt;&lt;D xsi:type="xsd:double"&gt;15.908369719248&lt;/D&gt;&lt;D xsi:type="xsd:double"&gt;15.2954664817511&lt;/D&gt;&lt;D xsi:type="xsd:double"&gt;15.2780976901192&lt;/D&gt;&lt;D xsi:type="xsd:double"&gt;15.7490795361722&lt;/D&gt;&lt;D xsi:type="xsd:double"&gt;14.3791795177215&lt;/D&gt;&lt;D xsi:type="xsd:double"&gt;13.9521102089314&lt;/D&gt;&lt;D xsi:type="xsd:double"&gt;13.9760879557659&lt;/D&gt;&lt;D xsi:type="xsd:double"&gt;14.1292551417902&lt;/D&gt;&lt;D xsi:type="xsd:double"&gt;13.9613793500304&lt;/D&gt;&lt;D xsi:type="xsd:double"&gt;13.837812378318&lt;/D&gt;&lt;D xsi:type="xsd:double"&gt;13.7507305135365&lt;/D&gt;&lt;D xsi:type="xsd:double"&gt;13.3534572186179&lt;/D&gt;&lt;D xsi:type="xsd:double"&gt;12.9027782632447&lt;/D&gt;&lt;D xsi:type="xsd:double"&gt;12.8376886860097&lt;/D&gt;&lt;D xsi:type="xsd:double"&gt;12.2722914883503&lt;/D&gt;&lt;D xsi:type="xsd:double"&gt;12.3033933231619&lt;/D&gt;&lt;D xsi:type="xsd:double"&gt;12.7856044415234&lt;/D&gt;&lt;D xsi:type="xsd:double"&gt;12.9332659971328&lt;/D&gt;&lt;D xsi:type="xsd:double"&gt;13.0231609895238&lt;/D&gt;&lt;D xsi:type="xsd:double"&gt;12.8342137292874&lt;/D&gt;&lt;D xsi:type="xsd:double"&gt;12.969532032999&lt;/D&gt;&lt;D xsi:type="xsd:double"&gt;13.1114565812661&lt;/D&gt;&lt;D xsi:type="xsd:double"&gt;12.7696314603571&lt;/D&gt;&lt;D xsi:type="xsd:double"&gt;13.1259521892408&lt;/D&gt;&lt;D xsi:type="xsd:double"&gt;13.120744372717&lt;/D&gt;&lt;D xsi:type="xsd:double"&gt;13.4166664357575&lt;/D&gt;&lt;D xsi:type="xsd:double"&gt;13.7872665510304&lt;/D&gt;&lt;D xsi:type="xsd:double"&gt;14.2100697964495&lt;/D&gt;&lt;D xsi:type="xsd:double"&gt;13.9563660322508&lt;/D&gt;&lt;D xsi:type="xsd:double"&gt;11.9796715863848&lt;/D&gt;&lt;D xsi:type="xsd:double"&gt;12.8421927669546&lt;/D&gt;&lt;D xsi:type="xsd:double"&gt;13.8985351543437&lt;/D&gt;&lt;D xsi:type="xsd:double"&gt;14.8368077344094&lt;/D&gt;&lt;D xsi:type="xsd:double"&gt;15.3869645293039&lt;/D&gt;&lt;D xsi:type="xsd:double"&gt;16.436026023793&lt;/D&gt;&lt;D xsi:type="xsd:double"&gt;16.7737634359504&lt;/D&gt;&lt;D xsi:type="xsd:double"&gt;17.119366161111&lt;/D&gt;&lt;D xsi:type="xsd:double"&gt;18.3007622295555&lt;/D&gt;&lt;D xsi:type="xsd:double"&gt;19.2835860663072&lt;/D&gt;&lt;D xsi:type="xsd:double"&gt;20.2181772161384&lt;/D&gt;&lt;D xsi:type="xsd:double"&gt;19.5026367307804&lt;/D&gt;&lt;D xsi:type="xsd:double"&gt;18.6633672789291&lt;/D&gt;&lt;D xsi:type="xsd:double"&gt;17.989822322843&lt;/D&gt;&lt;D xsi:type="xsd:double"&gt;17.4030407990062&lt;/D&gt;&lt;D xsi:type="xsd:double"&gt;16.9539767159684&lt;/D&gt;&lt;D xsi:type="xsd:double"&gt;16.1013042496385&lt;/D&gt;&lt;D xsi:type="xsd:double"&gt;15.2508189677149&lt;/D&gt;&lt;D xsi:type="xsd:double"&gt;14.3797653201857&lt;/D&gt;&lt;D xsi:type="xsd:double"&gt;13.8083449377289&lt;/D&gt;&lt;D xsi:type="xsd:double"&gt;13.2937801097009&lt;/D&gt;&lt;D xsi:type="xsd:double"&gt;12.518250410842&lt;/D&gt;&lt;D xsi:type="xsd:double"&gt;12.7574292941863&lt;/D&gt;&lt;D xsi:type="xsd:double"&gt;12.8897101201569&lt;/D&gt;&lt;D xsi:type="xsd:double"&gt;12.4077864211837&lt;/D&gt;&lt;D xsi:type="xsd:double"&gt;12.2406737374755&lt;/D&gt;&lt;D xsi:type="xsd:double"&gt;11.7572441368683&lt;/D&gt;&lt;D xsi:type="xsd:double"&gt;11.3481670502764&lt;/D&gt;&lt;D xsi:type="xsd:double"&gt;10.9441171638804&lt;/D&gt;&lt;D xsi:type="xsd:double"&gt;10.8233562063295&lt;/D&gt;&lt;D xsi:type="xsd:double"&gt;10.2555776753775&lt;/D&gt;&lt;D xsi:type="xsd:double"&gt;9.3909731587667&lt;/D&gt;&lt;D xsi:type="xsd:double"&gt;9.68732007620547&lt;/D&gt;&lt;D xsi:type="xsd:double"&gt;9.91913110200089&lt;/D&gt;&lt;D xsi:type="xsd:double"&gt;10.1921051359069&lt;/D&gt;&lt;D xsi:type="xsd:double"&gt;10.2318215353435&lt;/D&gt;&lt;D xsi:type="xsd:double"&gt;10.1856957747148&lt;/D&gt;&lt;D xsi:type="xsd:double"&gt;10.3975403065454&lt;/D&gt;&lt;D xsi:type="xsd:double"&gt;10.3489360835645&lt;/D&gt;&lt;D xsi:type="xsd:double"&gt;10.3298615140991&lt;/D&gt;&lt;D xsi:type="xsd:double"&gt;10.4289228778984&lt;/D&gt;&lt;D xsi:type="xsd:double"&gt;10.5418493104009&lt;/D&gt;&lt;D xsi:type="xsd:double"&gt;10.538243082409&lt;/D&gt;&lt;D xsi:type="xsd:double"&gt;10.5667134506574&lt;/D&gt;&lt;D xsi:type="xsd:double"&gt;10.5106935565787&lt;/D&gt;&lt;D xsi:type="xsd:double"&gt;10.9013483972056&lt;/D&gt;&lt;D xsi:type="xsd:double"&gt;11.2607118245469&lt;/D&gt;&lt;D xsi:type="xsd:double"&gt;11.0855572107772&lt;/D&gt;&lt;D xsi:type="xsd:double"&gt;11.4833190905329&lt;/D&gt;&lt;D xsi:type="xsd:double"&gt;11.5498416787897&lt;/D&gt;&lt;D xsi:type="xsd:double"&gt;11.763882069329&lt;/D&gt;&lt;D xsi:type="xsd:double"&gt;11.683677153033&lt;/D&gt;&lt;/FQL&gt;&lt;FQL&gt;&lt;Q&gt;WL-FDS^MAX(FG_PRICE(0,-5AY))&lt;/Q&gt;&lt;R&gt;1&lt;/R&gt;&lt;C&gt;1&lt;/C&gt;&lt;D xsi:type="xsd:double"&gt;763.4&lt;/D&gt;&lt;/FQL&gt;&lt;FQL&gt;&lt;Q&gt;NI-FDS^MAX(FG_PRICE(0,-5AY))&lt;/Q&gt;&lt;R&gt;1&lt;/R&gt;&lt;C&gt;1&lt;/C&gt;&lt;D xsi:type="xsd:double"&gt;48241&lt;/D&gt;&lt;/FQL&gt;&lt;FQL&gt;&lt;Q&gt;CPALM-FDS^MAX(FG_PRICE(0,-5AY))&lt;/Q&gt;&lt;R&gt;1&lt;/R&gt;&lt;C&gt;1&lt;/C&gt;&lt;D xsi:type="xsd:double"&gt;8163&lt;/D&gt;&lt;/FQL&gt;&lt;FQL&gt;&lt;Q&gt;BRENT-FDS^MAX(FG_PRICE(0,-5AY))&lt;/Q&gt;&lt;R&gt;1&lt;/R&gt;&lt;C&gt;1&lt;/C&gt;&lt;D xsi:type="xsd:double"&gt;140.85&lt;/D&gt;&lt;/FQL&gt;&lt;FQL&gt;&lt;Q&gt;TIOS-FDS^MAX(FG_PRICE(0,-5AY))&lt;/Q&gt;&lt;R&gt;1&lt;/R&gt;&lt;C&gt;1&lt;/C&gt;&lt;D xsi:type="xsd:double"&gt;219.77&lt;/D&gt;&lt;/FQL&gt;&lt;FQL&gt;&lt;Q&gt;FC0000GB^FG_PRICE(0)&lt;/Q&gt;&lt;R&gt;1&lt;/R&gt;&lt;C&gt;1&lt;/C&gt;&lt;D xsi:type="xsd:double"&gt;127.1915&lt;/D&gt;&lt;/FQL&gt;&lt;FQL&gt;&lt;Q&gt;FC0000CA^FG_PRICE(0)&lt;/Q&gt;&lt;R&gt;1&lt;/R&gt;&lt;C&gt;1&lt;/C&gt;&lt;D xsi:type="xsd:double"&gt;283.8682&lt;/D&gt;&lt;/FQL&gt;&lt;FQL&gt;&lt;Q&gt;EWD^FG_PRICE_MAVG(0,,,,200)&lt;/Q&gt;&lt;R&gt;1&lt;/R&gt;&lt;C&gt;1&lt;/C&gt;&lt;D xsi:type="xsd:double"&gt;37.287876&lt;/D&gt;&lt;/FQL&gt;&lt;FQL&gt;&lt;Q&gt;QQQ^FG_PRICE_MAVG(0,,,,200)&lt;/Q&gt;&lt;R&gt;1&lt;/R&gt;&lt;C&gt;1&lt;/C&gt;&lt;D xsi:type="xsd:double"&gt;410.40515&lt;/D&gt;&lt;/FQL&gt;&lt;FQL&gt;&lt;Q&gt;EWG^FG_PRICE_MAVG(0,,,,200)&lt;/Q&gt;&lt;R&gt;1&lt;/R&gt;&lt;C&gt;1&lt;/C&gt;&lt;D xsi:type="xsd:double"&gt;29.16815&lt;/D&gt;&lt;/FQL&gt;&lt;FQL&gt;&lt;Q&gt;EWI^FG_COMPANY_NAME&lt;/Q&gt;&lt;R&gt;1&lt;/R&gt;&lt;C&gt;1&lt;/C&gt;&lt;D xsi:type="xsd:string"&gt;iShares MSCI Italy ETF&lt;/D&gt;&lt;/FQL&gt;&lt;FQL&gt;&lt;Q&gt;ENZL^FG_COMPANY_NAME&lt;/Q&gt;&lt;R&gt;1&lt;/R&gt;&lt;C&gt;1&lt;/C&gt;&lt;D xsi:type="xsd:string"&gt;iShares MSCI New Zealand ETF&lt;/D&gt;&lt;/FQL&gt;&lt;FQL&gt;&lt;Q&gt;FXI^P_PRICE(0)/P_PRICE_HIGH_PR(0,,,,,,"PRICE","INTRA","52W")&lt;/Q&gt;&lt;R&gt;1&lt;/R&gt;&lt;C&gt;1&lt;/C&gt;&lt;D xsi:type="xsd:double"&gt;0.8641126&lt;/D&gt;&lt;/FQL&gt;&lt;FQL&gt;&lt;Q&gt;EWJ^FG_TOTAL_RETURNC(0,-12AM)&lt;/Q&gt;&lt;R&gt;1&lt;/R&gt;&lt;C&gt;1&lt;/C&gt;&lt;D xsi:type="xsd:double"&gt;8.022987&lt;/D&gt;&lt;/FQL&gt;&lt;FQL&gt;&lt;Q&gt;URTH^PERCENT_CHANGE(FMA_EPS(+1,0,,,,"PORTAGG","MEAN"),FMA_EPS(+1,-1AM,,,,"PORTAGG","MEAN"))&lt;/Q&gt;&lt;R&gt;1&lt;/R&gt;&lt;C&gt;1&lt;/C&gt;&lt;D xsi:type="xsd:double"&gt;1.94875945137319&lt;/D&gt;&lt;/FQL&gt;&lt;FQL&gt;&lt;Q&gt;ENZL^FMA_COS_DOWN("EPS","1M",+1,0,,,"PORTAGG","MEANR")&lt;/Q&gt;&lt;R&gt;1&lt;/R&gt;&lt;C&gt;1&lt;/C&gt;&lt;D xsi:type="xsd:double"&gt;8&lt;/D&gt;&lt;/FQL&gt;&lt;FQL&gt;&lt;Q&gt;EWD^FMA_RBICS_REV_CURRENT(30, LOC, "PORTAGG")&lt;/Q&gt;&lt;R&gt;1&lt;/R&gt;&lt;C&gt;1&lt;/C&gt;&lt;D xsi:type="xsd:double"&gt;26.1566900370565&lt;/D&gt;&lt;/FQL&gt;&lt;FQL&gt;&lt;Q&gt;TRYCH10Y-FDS^FG_YIELD_NAME&lt;/Q&gt;&lt;R&gt;1&lt;/R&gt;&lt;C&gt;1&lt;/C&gt;&lt;D xsi:type="xsd:string"&gt;Treasury - Switzerland Benchmark Bond 10Y&lt;/D&gt;&lt;/FQL&gt;&lt;FQL&gt;&lt;Q&gt;REFFFUND-FDS^FG_YIELD(NOW,,,0)&lt;/Q&gt;&lt;R&gt;1&lt;/R&gt;&lt;C&gt;1&lt;/C&gt;&lt;D xsi:type="xsd:double"&gt;5.5&lt;/D&gt;&lt;/FQL&gt;&lt;FQL&gt;&lt;Q&gt;TRYFR10Y-FDS^PCTCHG(FG_YIELD(0,,,,"YTM"),FG_YIELD(-3AM,,,,"YTM"))&lt;/Q&gt;&lt;R&gt;1&lt;/R&gt;&lt;C&gt;1&lt;/C&gt;&lt;D xsi:type="xsd:double"&gt;13.732516&lt;/D&gt;&lt;/FQL&gt;&lt;FQL&gt;&lt;Q&gt;TRYAU10Y-FDS^PCTCHG(FG_YIELD(0,,,,"YTM"),FG_YIELD(-3AM,,,,"YTM"))&lt;/Q&gt;&lt;R&gt;1&lt;/R&gt;&lt;C&gt;1&lt;/C&gt;&lt;D xsi:type="xsd:double"&gt;4.305621&lt;/D&gt;&lt;/FQL&gt;&lt;FQL&gt;&lt;Q&gt;DUMMY^ECON_EXPR_DATA('FDS_ECON[PMIDMMANHE]',,,M)&lt;/Q&gt;&lt;R&gt;1&lt;/R&gt;&lt;C&gt;1&lt;/C&gt;&lt;D xsi:type="xsd:double"&gt;49.99967&lt;/D&gt;&lt;/FQL&gt;&lt;FQL&gt;&lt;Q&gt;EWN^FMA_ROE(NTMA,-20AY,NOW,FY,"PORTAGG","MEANR")&lt;/Q&gt;&lt;R&gt;20&lt;/R&gt;&lt;C&gt;1&lt;/C&gt;&lt;D xsi:type="xsd:double"&gt;20.5027022731768&lt;/D&gt;&lt;D xsi:type="xsd:double"&gt;18.4388432839057&lt;/D&gt;&lt;D xsi:type="xsd:double"&gt;17.2963282197402&lt;/D&gt;&lt;D xsi:type="xsd:double"&gt;16.6220124304454&lt;/D&gt;&lt;D xsi:type="xsd:double"&gt;13.9821831035128&lt;/D&gt;&lt;D xsi:type="xsd:double"&gt;13.3304023919735&lt;/D&gt;&lt;D xsi:type="xsd:double"&gt;14.6594809949092&lt;/D&gt;&lt;D xsi:type="xsd:double"&gt;13.0989988533626&lt;/D&gt;&lt;D xsi:type="xsd:double"&gt;12.0023835077373&lt;/D&gt;&lt;D xsi:type="xsd:double"&gt;12.1486145572934&lt;/D&gt;&lt;D xsi:type="xsd:double"&gt;12.2197829564797&lt;/D&gt;&lt;D xsi:type="xsd:double"&gt;12.4442703427853&lt;/D&gt;&lt;D xsi:type="xsd:double"&gt;11.8415876112609&lt;/D&gt;&lt;D xsi:type="xsd:double"&gt;13.007558022755&lt;/D&gt;&lt;D xsi:type="xsd:double"&gt;13.2228677711132&lt;/D&gt;&lt;D xsi:type="xsd:double"&gt;13.0917636337237&lt;/D&gt;&lt;D xsi:type="xsd:double"&gt;9.77856566503728&lt;/D&gt;&lt;D xsi:type="xsd:double"&gt;10.8991459518594&lt;/D&gt;&lt;D xsi:type="xsd:double"&gt;12.0158891532418&lt;/D&gt;&lt;D xsi:type="xsd:double"&gt;12.7459856653411&lt;/D&gt;&lt;/FQL&gt;&lt;FQL&gt;&lt;Q&gt;TRYSA10Y-FDS^FG_YIELD(-10AY,0,Y,,"YTM")&lt;/Q&gt;&lt;R&gt;10&lt;/R&gt;&lt;C&gt;1&lt;/C&gt;&lt;D xsi:type="xsd:string"&gt;@NA&lt;/D&gt;&lt;D xsi:type="xsd:string"&gt;@NA&lt;/D&gt;&lt;D xsi:type="xsd:double"&gt;3.8912454&lt;/D&gt;&lt;D xsi:type="xsd:double"&gt;3.7299898&lt;/D&gt;&lt;D xsi:type="xsd:double"&gt;4.5715504&lt;/D&gt;&lt;D xsi:type="xsd:double"&gt;2.8775356&lt;/D&gt;&lt;D xsi:type="xsd:double"&gt;2.0844028&lt;/D&gt;&lt;D xsi:type="xsd:double"&gt;2.5113702&lt;/D&gt;&lt;D xsi:type="xsd:double"&gt;4.613973&lt;/D&gt;&lt;D xsi:type="xsd:double"&gt;4.608568&lt;/D&gt;&lt;/FQL&gt;&lt;FQL&gt;&lt;Q&gt;TRYGB10Y-FDS^FG_YIELD(-10AY,0,Y,,"YTM")&lt;/Q&gt;&lt;R&gt;10&lt;/R&gt;&lt;C&gt;1&lt;/C&gt;&lt;D xsi:type="xsd:double"&gt;1.8155&lt;/D&gt;&lt;D xsi:type="xsd:double"&gt;2.0248&lt;/D&gt;&lt;D xsi:type="xsd:double"&gt;1.2817&lt;/D&gt;&lt;D xsi:type="xsd:double"&gt;1.2536&lt;/D&gt;&lt;D xsi:type="xsd:double"&gt;1.3339&lt;/D&gt;&lt;D xsi:type="xsd:double"&gt;0.822&lt;/D&gt;&lt;D xsi:type="xsd:double"&gt;0.197&lt;/D&gt;&lt;D xsi:type="xsd:double"&gt;0.966&lt;/D&gt;&lt;D xsi:type="xsd:double"&gt;3.662&lt;/D&gt;&lt;D xsi:type="xsd:double"&gt;3.534&lt;/D&gt;&lt;/FQL&gt;&lt;FQL&gt;&lt;Q&gt;TRYKR10Y-FDS^FG_YIELD(-10AY,0,Y,,"YTM")&lt;/Q&gt;&lt;R&gt;10&lt;/R&gt;&lt;C&gt;1&lt;/C&gt;&lt;D xsi:type="xsd:double"&gt;2.6272&lt;/D&gt;&lt;D xsi:type="xsd:double"&gt;2.0852&lt;/D&gt;&lt;D xsi:type="xsd:double"&gt;2.0916&lt;/D&gt;&lt;D xsi:type="xsd:double"&gt;2.4797&lt;/D&gt;&lt;D xsi:type="xsd:double"&gt;1.9804&lt;/D&gt;&lt;D xsi:type="xsd:double"&gt;1.6728&lt;/D&gt;&lt;D xsi:type="xsd:double"&gt;1.7238&lt;/D&gt;&lt;D xsi:type="xsd:double"&gt;2.2417&lt;/D&gt;&lt;D xsi:type="xsd:double"&gt;3.6906&lt;/D&gt;&lt;D xsi:type="xsd:double"&gt;3.1928&lt;/D&gt;&lt;/FQL&gt;&lt;FQL&gt;&lt;Q&gt;FXI^FG_TOTAL_RETURNC(0,-6AM)&lt;/Q&gt;&lt;R&gt;1&lt;/R&gt;&lt;C&gt;1&lt;/C&gt;&lt;D xsi:type="xsd:double"&gt;13.852083&lt;/D&gt;&lt;/FQL&gt;&lt;FQL&gt;&lt;Q&gt;EWJ^P_PRICE(0)/P_PRICE_LOW_PR(0,,,,,,"PRICE","INTRA","52W")-1&lt;/Q&gt;&lt;R&gt;1&lt;/R&gt;&lt;C&gt;1&lt;/C&gt;&lt;D xsi:type="xsd:double"&gt;0.17395103&lt;/D&gt;&lt;/FQL&gt;&lt;FQL&gt;&lt;Q&gt;EWD^FG_TOTAL_RETURNC(0,-3AM)&lt;/Q&gt;&lt;R&gt;1&lt;/R&gt;&lt;C&gt;1&lt;/C&gt;&lt;D xsi:type="xsd:double"&gt;0.5076647&lt;/D&gt;&lt;/FQL&gt;&lt;FQL&gt;&lt;Q&gt;QQQ^FG_TOTAL_RETURNC(0,-12AM)&lt;/Q&gt;&lt;R&gt;1&lt;/R&gt;&lt;C&gt;1&lt;/C&gt;&lt;D xsi:type="xsd:double"&gt;32.107353&lt;/D&gt;&lt;/FQL&gt;&lt;FQL&gt;&lt;Q&gt;EWU^PERCENT_CHANGE(FMA_EPS(+1,0,,,,"PORTAGG","MEAN"),FMA_EPS(+1,-1AM,,,,"PORTAGG","MEAN"))&lt;/Q&gt;&lt;R&gt;1&lt;/R&gt;&lt;C&gt;1&lt;/C&gt;&lt;D xsi:type="xsd:double"&gt;2.27408724344345&lt;/D&gt;&lt;/FQL&gt;&lt;FQL&gt;&lt;Q&gt;EWJ^FG_TOTAL_RETURNC(0,-1AM)&lt;/Q&gt;&lt;R&gt;1&lt;/R&gt;&lt;C&gt;1&lt;/C&gt;&lt;D xsi:type="xsd:double"&gt;-0.04159212&lt;/D&gt;&lt;/FQL&gt;&lt;FQL&gt;&lt;Q&gt;EWC^FG_TOTAL_RETURNC(0,-6AM)&lt;/Q&gt;&lt;R&gt;1&lt;/R&gt;&lt;C&gt;1&lt;/C&gt;&lt;D xsi:type="xsd:double"&gt;4.6380043&lt;/D&gt;&lt;/FQL&gt;&lt;FQL&gt;&lt;Q&gt;ENZL^FMA_COS_UP("EPS","1M",+1,0,,,"PORTAGG","MEANR")&lt;/Q&gt;&lt;R&gt;1&lt;/R&gt;&lt;C&gt;1&lt;/C&gt;&lt;D xsi:type="xsd:double"&gt;5&lt;/D&gt;&lt;/FQL&gt;&lt;FQL&gt;&lt;Q&gt;QQQ^FG_ROE(0)&lt;/Q&gt;&lt;R&gt;1&lt;/R&gt;&lt;C&gt;1&lt;/C&gt;&lt;D xsi:type="xsd:double"&gt;22.6944366928874&lt;/D&gt;&lt;/FQL&gt;&lt;FQL&gt;&lt;Q&gt;REFCATARG-FDS^(SUBARRAY(NOT_NA(NO_REPEAT_F(FG_YIELD(NOW,-10AY,D))),0,1)-SUBARRAY(NOT_NA(NO_REPEAT_F(FG_YIELD(NOW,-10AY,D))),1,1))*100&lt;/Q&gt;&lt;R&gt;1&lt;/R&gt;&lt;C&gt;1&lt;/C&gt;&lt;D xsi:type="xsd:double"&gt;-25&lt;/D&gt;&lt;/FQL&gt;&lt;FQL&gt;&lt;Q&gt;TRYFR10Y-FDS^PCTCHG(FG_YIELD(0,,,,"YTM"),FG_YIELD(-1AM,,,,"YTM"))&lt;/Q&gt;&lt;R&gt;1&lt;/R&gt;&lt;C&gt;1&lt;/C&gt;&lt;D xsi:type="xsd:double"&gt;6.4786787&lt;/D&gt;&lt;/FQL&gt;&lt;FQL&gt;&lt;Q&gt;TRYAU10Y-FDS^PCTCHG(FG_YIELD(0,,,,"YTM"),FG_YIELD(-1AM,,,,"YTM"))&lt;/Q&gt;&lt;R&gt;1&lt;/R&gt;&lt;C&gt;1&lt;/C&gt;&lt;D xsi:type="xsd:double"&gt;-3.1654363&lt;/D&gt;&lt;/FQL&gt;&lt;FQL&gt;&lt;Q&gt;TRYUS10Y-FDS^FG_YIELD_NAME&lt;/Q&gt;&lt;R&gt;1&lt;/R&gt;&lt;C&gt;1&lt;/C&gt;&lt;D xsi:type="xsd:string"&gt;US Benchmark Bond - 10 Year&lt;/D&gt;&lt;/FQL&gt;&lt;FQL&gt;&lt;Q&gt;CC_SE^IMF_IFS_RCPI_Q(0)&lt;/Q&gt;&lt;R&gt;1&lt;/R&gt;&lt;C&gt;1&lt;/C&gt;&lt;D xsi:type="xsd:double"&gt;4.6701536&lt;/D&gt;&lt;/FQL&gt;&lt;FQL&gt;&lt;Q&gt;VWO^FG_PE_NTM(0,,,90,0)&lt;/Q&gt;&lt;R&gt;1&lt;/R&gt;&lt;C&gt;1&lt;/C&gt;&lt;D xsi:type="xsd:double"&gt;12.7485222048707&lt;/D&gt;&lt;/FQL&gt;&lt;FQL&gt;&lt;Q&gt;EWI^JULIAN(FMA_DIV_YLD(NTMA,NOW,NOW,M,"PORTAGG","MEANR").DATES)&lt;/Q&gt;&lt;R&gt;1&lt;/R&gt;&lt;C&gt;1&lt;/C&gt;&lt;D xsi:type="xsd:long"&gt;45443&lt;/D&gt;&lt;/FQL&gt;&lt;FQL&gt;&lt;Q&gt;EWQ^FMA_EVAL_EBITDA(NTMA,0,,,"PORTAGG","MEANR")&lt;/Q&gt;&lt;R&gt;1&lt;/R&gt;&lt;C&gt;1&lt;/C&gt;&lt;D xsi:type="xsd:double"&gt;9.26534941278307&lt;/D&gt;&lt;/FQL&gt;&lt;FQL&gt;&lt;Q&gt;QQQ^FMA_DIV_YLD(NTMA,NOW,NOW,M,"PORTAGG","MEANR")&lt;/Q&gt;&lt;R&gt;1&lt;/R&gt;&lt;C&gt;1&lt;/C&gt;&lt;D xsi:type="xsd:double"&gt;0.896391194420397&lt;/D&gt;&lt;/FQL&gt;&lt;FQL&gt;&lt;Q&gt;EWL^FMA_PE(LTM,0,,,"PORTAGG","MEANR")&lt;/Q&gt;&lt;R&gt;1&lt;/R&gt;&lt;C&gt;1&lt;/C&gt;&lt;D xsi:type="xsd:double"&gt;16.6539351111273&lt;/D&gt;&lt;/FQL&gt;&lt;FQL&gt;&lt;Q&gt;ENZL^FG_FCF_YIELD_NTM(0)&lt;/Q&gt;&lt;R&gt;1&lt;/R&gt;&lt;C&gt;1&lt;/C&gt;&lt;D xsi:type="xsd:double"&gt;-0.166434628393187&lt;/D&gt;&lt;/FQL&gt;&lt;FQL&gt;&lt;Q&gt;QQQ^FG_TOTAL_RETURNC(0,-3AM)&lt;/Q&gt;&lt;R&gt;1&lt;/R&gt;&lt;C&gt;1&lt;/C&gt;&lt;D xsi:type="xsd:double"&gt;8.425867&lt;/D&gt;&lt;/FQL&gt;&lt;FQL&gt;&lt;Q&gt;FXI^FG_TOTAL_RETURNC(0,-3AM)&lt;/Q&gt;&lt;R&gt;1&lt;/R&gt;&lt;C&gt;1&lt;/C&gt;&lt;D xsi:type="xsd:double"&gt;7.445395&lt;/D&gt;&lt;/FQL&gt;&lt;FQL&gt;&lt;Q&gt;CAGDPY@US^EE_ACTUAL_ANNUAL(MED,+1)&lt;/Q&gt;&lt;R&gt;1&lt;/R&gt;&lt;C&gt;1&lt;/C&gt;&lt;D xsi:type="xsd:double"&gt;-3&lt;/D&gt;&lt;/FQL&gt;&lt;FQL&gt;&lt;Q&gt;CAGDPY@NZ^EE_ACTUAL_ANNUAL(MED,+1)&lt;/Q&gt;&lt;R&gt;1&lt;/R&gt;&lt;C&gt;1&lt;/C&gt;&lt;D xsi:type="xsd:double"&gt;-5.6&lt;/D&gt;&lt;/FQL&gt;&lt;FQL&gt;&lt;Q&gt;USDITL^FG_PRICE_CHANGE(0,-1AY)&lt;/Q&gt;&lt;R&gt;1&lt;/R&gt;&lt;C&gt;1&lt;/C&gt;&lt;D xsi:type="xsd:double"&gt;0.28779507&lt;/D&gt;&lt;/FQL&gt;&lt;FQL&gt;&lt;Q&gt;USDANG^FG_PRICE_CHANGE(0,-1AY)&lt;/Q&gt;&lt;R&gt;1&lt;/R&gt;&lt;C&gt;1&lt;/C&gt;&lt;D xsi:type="xsd:double"&gt;0&lt;/D&gt;&lt;/FQL&gt;&lt;FQL&gt;&lt;Q&gt;USDUSD^FG_PRICE_CHANGE(0,-1AY)&lt;/Q&gt;&lt;R&gt;1&lt;/R&gt;&lt;C&gt;1&lt;/C&gt;&lt;D xsi:type="xsd:double"&gt;0&lt;/D&gt;&lt;/FQL&gt;&lt;FQL&gt;&lt;Q&gt;USDGBP^FG_PRICE_CHANGE(0,-1AY)&lt;/Q&gt;&lt;R&gt;1&lt;/R&gt;&lt;C&gt;1&lt;/C&gt;&lt;D xsi:type="xsd:double"&gt;-1.2650311&lt;/D&gt;&lt;/FQL&gt;&lt;FQL&gt;&lt;Q&gt;USDJPY^FG_PRICE_CHANGE(0,-1AY)&lt;/Q&gt;&lt;R&gt;1&lt;/R&gt;&lt;C&gt;1&lt;/C&gt;&lt;D xsi:type="xsd:double"&gt;12.2375965&lt;/D&gt;&lt;/FQL&gt;&lt;FQL&gt;&lt;Q&gt;USDCAD^FG_PRICE_CHANGE(0,-1AY)&lt;/Q&gt;&lt;R&gt;1&lt;/R&gt;&lt;C&gt;1&lt;/C&gt;&lt;D xsi:type="xsd:double"&gt;3.47538&lt;/D&gt;&lt;/FQL&gt;&lt;FQL&gt;&lt;Q&gt;USDNZD^FG_PRICE_CHANGE(0,-1AY)&lt;/Q&gt;&lt;R&gt;1&lt;/R&gt;&lt;C&gt;1&lt;/C&gt;&lt;D xsi:type="xsd:double"&gt;-0.17829537&lt;/D&gt;&lt;/FQL&gt;&lt;FQL&gt;&lt;Q&gt;EWA^JULIAN(FMA_EPS(NTMA,-20AY,0,CY,,"PORTAGG","MEANR").DATES)&lt;/Q&gt;&lt;R&gt;20&lt;/R&gt;&lt;C&gt;1&lt;/C&gt;&lt;D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</t>
        </r>
      </text>
    </comment>
    <comment ref="A3" authorId="0" shapeId="0" xr:uid="{A63F8F13-2FFB-4165-8169-6997FF1E70D2}">
      <text>
        <r>
          <rPr>
            <b/>
            <sz val="9"/>
            <color indexed="81"/>
            <rFont val="Tahoma"/>
            <charset val="1"/>
          </rPr>
          <t>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xsi:type="xsd:long"&gt;45289&lt;/D&gt;&lt;/FQL&gt;&lt;FQL&gt;&lt;Q&gt;EWD^FG_TOTAL_RETURNC(-10AY,0,AM)&lt;/Q&gt;&lt;R&gt;121&lt;/R&gt;&lt;C&gt;1&lt;/C&gt;&lt;D xsi:type="xsd:double"&gt;-0.701195&lt;/D&gt;&lt;D xsi:type="xsd:double"&gt;-4.009211&lt;/D&gt;&lt;D xsi:type="xsd:double"&gt;-1.367873&lt;/D&gt;&lt;D xsi:type="xsd:double"&gt;-1.7999411&lt;/D&gt;&lt;D xsi:type="xsd:double"&gt;-7.99278&lt;/D&gt;&lt;D xsi:type="xsd:double"&gt;7.1848392&lt;/D&gt;&lt;D xsi:type="xsd:double"&gt;-1.9805014&lt;/D&gt;&lt;D xsi:type="xsd:double"&gt;-3.774768&lt;/D&gt;&lt;D xsi:type="xsd:double"&gt;9.079075&lt;/D&gt;&lt;D xsi:type="xsd:double"&gt;-1.8794775&lt;/D&gt;&lt;D xsi:type="xsd:double"&gt;1.6722441&lt;/D&gt;&lt;D xsi:type="xsd:double"&gt;1.7344594&lt;/D&gt;&lt;D xsi:type="xsd:double"&gt;1.5873075&lt;/D&gt;&lt;D xsi:type="xsd:double"&gt;-2.592039&lt;/D&gt;&lt;D xsi:type="xsd:double"&gt;-1.2300193&lt;/D&gt;&lt;D xsi:type="xsd:double"&gt;-3.268987&lt;/D&gt;&lt;D xsi:type="xsd:double"&gt;-1.1586785&lt;/D&gt;&lt;D xsi:type="xsd:double"&gt;-5.0146523&lt;/D&gt;&lt;D xsi:type="xsd:double"&gt;-3.0167937&lt;/D&gt;&lt;D xsi:type="xsd:double"&gt;-4.3336926&lt;/D&gt;&lt;D xsi:type="xsd:double"&gt;-2.2559166&lt;/D&gt;&lt;D xsi:type="xsd:double"&gt;11.350739&lt;/D&gt;&lt;D xsi:type="xsd:double"&gt;3.0580997&lt;/D&gt;&lt;D xsi:type="xsd:double"&gt;-5.802834&lt;/D&gt;&lt;D xsi:type="xsd:double"&gt;-1.4700711&lt;/D&gt;&lt;D xsi:type="xsd:double"&gt;1.9648314&lt;/D&gt;&lt;D xsi:type="xsd:double"&gt;4.599774&lt;/D&gt;&lt;D xsi:type="xsd:double"&gt;-1.0387778&lt;/D&gt;&lt;D xsi:type="xsd:double"&gt;-1.6445041&lt;/D&gt;&lt;D xsi:type="xsd:double"&gt;-2.1344721&lt;/D&gt;&lt;D xsi:type="xsd:double"&gt;5.597961&lt;/D&gt;&lt;D xsi:type="xsd:double"&gt;1.6352296&lt;/D&gt;&lt;D xsi:type="xsd:double"&gt;3.7262917&lt;/D&gt;&lt;D xsi:type="xsd:double"&gt;1.8288732&lt;/D&gt;&lt;D xsi:type="xsd:double"&gt;-0.06414652&lt;/D&gt;&lt;D xsi:type="xsd:double"&gt;8.472395&lt;/D&gt;&lt;D xsi:type="xsd:double"&gt;1.6272187&lt;/D&gt;&lt;D xsi:type="xsd:double"&gt;4.206431&lt;/D&gt;&lt;D xsi:type="xsd:double"&gt;-3.4285724&lt;/D&gt;&lt;D xsi:type="xsd:double"&gt;3.8165689&lt;/D&gt;&lt;D xsi:type="xsd:double"&gt;2.6218295&lt;/D&gt;&lt;D xsi:type="xsd:double"&gt;-3.5823286&lt;/D&gt;&lt;D xsi:type="xsd:double"&gt;-1.6417027&lt;/D&gt;&lt;D xsi:type="xsd:double"&gt;6.235862&lt;/D&gt;&lt;D xsi:type="xsd:double"&gt;-5.874157&lt;/D&gt;&lt;D xsi:type="xsd:double"&gt;1.0056257&lt;/D&gt;&lt;D xsi:type="xsd:double"&gt;-3.6017656&lt;/D&gt;&lt;D xsi:type="xsd:double"&gt;3.9185882&lt;/D&gt;&lt;D xsi:type="xsd:double"&gt;-1.9877255&lt;/D&gt;&lt;D xsi:type="xsd:double"&gt;-3.86163&lt;/D&gt;&lt;D xsi:type="xsd:double"&gt;0.64935684&lt;/D&gt;&lt;D xsi:type="xsd:double"&gt;2.870965&lt;/D&gt;&lt;D xsi:type="xsd:double"&gt;-4.954529&lt;/D&gt;&lt;D xsi:type="xsd:double"&gt;-3.3322334&lt;/D&gt;&lt;D xsi:type="xsd:double"&gt;-1.9453943&lt;/D&gt;&lt;D xsi:type="xsd:double"&gt;1.4528394&lt;/D&gt;&lt;D xsi:type="xsd:double"&gt;2.7463078&lt;/D&gt;&lt;D xsi:type="xsd:double"&gt;0.4677534&lt;/D&gt;&lt;D xsi:type="xsd:double"&gt;7.349515&lt;/D&gt;&lt;D xsi:type="xsd:double"&gt;-7.4659166&lt;/D&gt;&lt;D xsi:type="xsd:double"&gt;3.0800104&lt;/D&gt;&lt;D xsi:type="xsd:double"&gt;3.3691406&lt;/D&gt;&lt;D xsi:type="xsd:double"&gt;-7.7821016&lt;/D&gt;&lt;D xsi:type="xsd:double"&gt;7.0675135&lt;/D&gt;&lt;D xsi:type="xsd:double"&gt;-2.8571427&lt;/D&gt;&lt;D xsi:type="xsd:double"&gt;7.7755213&lt;/D&gt;&lt;D xsi:type="xsd:double"&gt;4.203272&lt;/D&gt;&lt;D xsi:type="xsd:double"&gt;0.6744027&lt;/D&gt;&lt;D xsi:type="xsd:double"&gt;2.633977&lt;/D&gt;&lt;D xsi:type="xsd:double"&gt;-23.539824&lt;/D&gt;&lt;D xsi:type="xsd:double"&gt;1.1188269&lt;/D&gt;&lt;D xsi:type="xsd:double"&gt;2.0221353&lt;/D&gt;&lt;D xsi:type="xsd:double"&gt;13.01421&lt;/D&gt;&lt;D xsi:type="xsd:double"&gt;8.21476&lt;/D&gt;&lt;D xsi:type="xsd:double"&gt;9.815955&lt;/D&gt;&lt;D xsi:type="xsd:double"&gt;-0.8100569&lt;/D&gt;&lt;D xsi:type="xsd:double"&gt;1.8586278&lt;/D&gt;&lt;D xsi:type="xsd:double"&gt;5.8888674&lt;/D&gt;&lt;D xsi:type="xsd:double"&gt;3.1853795&lt;/D&gt;&lt;D xsi:type="xsd:double"&gt;5.311656&lt;/D&gt;&lt;D xsi:type="xsd:double"&gt;3.727901&lt;/D&gt;&lt;D xsi:type="xsd:double"&gt;5.344224&lt;/D&gt;&lt;D xsi:type="xsd:double"&gt;4.275584&lt;/D&gt;&lt;D xsi:type="xsd:double"&gt;0.3186822&lt;/D&gt;&lt;D xsi:type="xsd:double"&gt;4.4090867&lt;/D&gt;&lt;D xsi:type="xsd:double"&gt;-1.3491094&lt;/D&gt;&lt;D xsi:type="xsd:double"&gt;3.0296683&lt;/D&gt;&lt;D xsi:type="xsd:double"&gt;-2.6138484&lt;/D&gt;&lt;D xsi:type="xsd:double"&gt;-3.187251&lt;/D&gt;&lt;D xsi:type="xsd:double"&gt;5.414772&lt;/D&gt;&lt;D xsi:type="xsd:double"&gt;-5.7035327&lt;/D&gt;&lt;D xsi:type="xsd:double"&gt;3.134942&lt;/D&gt;&lt;D xsi:type="xsd:double"&gt;-10.873824&lt;/D&gt;&lt;D xsi:type="xsd:double"&gt;-12.004889&lt;/D&gt;&lt;D xsi:type="xsd:double"&gt;7.5298667&lt;/D&gt;&lt;D xsi:type="xsd:double"&gt;-10.49096&lt;/D&gt;&lt;D xsi:type="xsd:double"&gt;-4.382926&lt;/D&gt;&lt;D xsi:type="xsd:double"&gt;-5.0947485&lt;/D&gt;&lt;D xsi:type="xsd:double"&gt;10.736502&lt;/D&gt;&lt;D xsi:type="xsd:double"&gt;-10.434532&lt;/D&gt;&lt;D xsi:type="xsd:double"&gt;-8.811879&lt;/D&gt;&lt;D xsi:type="xsd:double"&gt;23.488962&lt;/D&gt;&lt;D xsi:type="xsd:double"&gt;2.0455003&lt;/D&gt;&lt;D xsi:type="xsd:double"&gt;2.1663785&lt;/D&gt;&lt;D xsi:type="xsd:double"&gt;1.2157202&lt;/D&gt;&lt;D xsi:type="xsd:double"&gt;-6.508374&lt;/D&gt;&lt;D xsi:type="xsd:double"&gt;8.75411&lt;/D&gt;&lt;D xsi:type="xsd:double"&gt;-1.0164917&lt;/D&gt;&lt;D xsi:type="xsd:double"&gt;0&lt;/D&gt;&lt;D xsi:type="xsd:double"&gt;2.331388&lt;/D&gt;&lt;D xsi:type="xsd:double"&gt;-7.648492&lt;/D&gt;&lt;D xsi:type="xsd:double"&gt;-4.8164425&lt;/D&gt;&lt;D xsi:type="xsd:double"&gt;2.715218&lt;/D&gt;&lt;D xsi:type="xsd:double"&gt;-0.600785&lt;/D&gt;&lt;D xsi:type="xsd:double"&gt;15.865814&lt;/D&gt;&lt;D xsi:type="xsd:double"&gt;0.9727359&lt;/D&gt;&lt;D xsi:type="xsd:double"&gt;-2.329266&lt;/D&gt;&lt;D xsi:type="xsd:double"&gt;12.2764225&lt;/D&gt;&lt;D xsi:type="xsd:double"&gt;-6.517017&lt;/D&gt;&lt;D xsi:type="xsd:double"&gt;5.0865054&lt;/D&gt;&lt;D xsi:type="xsd:double"&gt;2.3103833&lt;/D&gt;&lt;/FQL&gt;&lt;FQL&gt;&lt;Q&gt;EWQ^FMA_DIV_YLD(NTMA,-10AY,0,AM,"PORTAGG","MEANR")&lt;/Q&gt;&lt;R&gt;121&lt;/R&gt;&lt;C&gt;1&lt;/C&gt;&lt;D xsi:type="xsd:double"&gt;3.38170060164439&lt;/D&gt;&lt;D xsi:type="xsd:double"&gt;3.53094993660286&lt;/D&gt;&lt;D xsi:type="xsd:double"&gt;3.6638380977773&lt;/D&gt;&lt;D xsi:type="xsd:double"&gt;3.50817932606881&lt;/D&gt;&lt;D xsi:type="xsd:double"&gt;3.84433321060912&lt;/D&gt;&lt;D xsi:type="xsd:double"&gt;3.7310518427735&lt;/D&gt;&lt;D xsi:type="xsd:double"&gt;3.77124410594999&lt;/D&gt;&lt;D xsi:type="xsd:double"&gt;3.62429152095257&lt;/D&gt;&lt;D xsi:type="xsd:double"&gt;3.23508532695014&lt;/D&gt;&lt;D xsi:type="xsd:double"&gt;3.20569973465628&lt;/D&gt;&lt;D xsi:type="xsd:double"&gt;3.08087605254262&lt;/D&gt;&lt;D xsi:type="xsd:double"&gt;3.2995190347834&lt;/D&gt;&lt;D xsi:type="xsd:double"&gt;3.36378958681836&lt;/D&gt;&lt;D xsi:type="xsd:double"&gt;3.32316337622495&lt;/D&gt;&lt;D xsi:type="xsd:double"&gt;3.3662125496247&lt;/D&gt;&lt;D xsi:type="xsd:double"&gt;3.69712942805825&lt;/D&gt;&lt;D xsi:type="xsd:double"&gt;3.60405265488104&lt;/D&gt;&lt;D xsi:type="xsd:double"&gt;3.50314760571842&lt;/D&gt;&lt;D xsi:type="xsd:double"&gt;3.66685130327929&lt;/D&gt;&lt;D xsi:type="xsd:double"&gt;3.81818292539712&lt;/D&gt;&lt;D xsi:type="xsd:double"&gt;4.12483905729615&lt;/D&gt;&lt;D xsi:type="xsd:double"&gt;3.69147797520485&lt;/D&gt;&lt;D xsi:type="xsd:double"&gt;3.68878641504818&lt;/D&gt;&lt;D xsi:type="xsd:double"&gt;3.81422781927042&lt;/D&gt;&lt;D xsi:type="xsd:double"&gt;3.92404272402895&lt;/D&gt;&lt;D xsi:type="xsd:double"&gt;3.82127231781463&lt;/D&gt;&lt;D xsi:type="xsd:double"&gt;3.68360356948952&lt;/D&gt;&lt;D xsi:type="xsd:double"&gt;3.76549096008301&lt;/D&gt;&lt;D xsi:type="xsd:double"&gt;3.78792169050569&lt;/D&gt;&lt;D xsi:type="xsd:double"&gt;3.73859146001&lt;/D&gt;&lt;D xsi:type="xsd:double"&gt;3.50505060473783&lt;/D&gt;&lt;D xsi:type="xsd:double"&gt;3.42321925511695&lt;/D&gt;&lt;D xsi:type="xsd:double"&gt;3.46844751711358&lt;/D&gt;&lt;D xsi:type="xsd:double"&gt;3.42357634490259&lt;/D&gt;&lt;D xsi:type="xsd:double"&gt;3.39030113551082&lt;/D&gt;&lt;D xsi:type="xsd:double"&gt;3.19646113125766&lt;/D&gt;&lt;D xsi:type="xsd:double"&gt;3.28860112804737&lt;/D&gt;&lt;D xsi:type="xsd:double"&gt;3.32610698236387&lt;/D&gt;&lt;D xsi:type="xsd:double"&gt;3.4446711197802&lt;/D&gt;&lt;D xsi:type="xsd:double"&gt;3.34631508289784&lt;/D&gt;&lt;D xsi:type="xsd:double"&gt;3.29175786120145&lt;/D&gt;&lt;D xsi:type="xsd:double"&gt;3.33339606026533&lt;/D&gt;&lt;D xsi:type="xsd:double"&gt;3.26898654025027&lt;/D&gt;&lt;D xsi:type="xsd:double"&gt;3.21265992845555&lt;/D&gt;&lt;D xsi:type="xsd:double"&gt;3.48092764840834&lt;/D&gt;&lt;D xsi:type="xsd:double"&gt;3.40154651398449&lt;/D&gt;&lt;D xsi:type="xsd:double"&gt;3.38687472864202&lt;/D&gt;&lt;D xsi:type="xsd:double"&gt;3.28066449848566&lt;/D&gt;&lt;D xsi:type="xsd:double"&gt;3.37093797843676&lt;/D&gt;&lt;D xsi:type="xsd:double"&gt;3.394472954806&lt;/D&gt;&lt;D xsi:type="xsd:double"&gt;3.44945375487997&lt;/D&gt;&lt;D xsi:type="xsd:double"&gt;3.50783911761596&lt;/D&gt;&lt;D xsi:type="xsd:double"&gt;3.70639423314567&lt;/D&gt;&lt;D xsi:type="xsd:double"&gt;3.71240430054304&lt;/D&gt;&lt;D xsi:type="xsd:double"&gt;3.87081076432062&lt;/D&gt;&lt;D xsi:type="xsd:double"&gt;3.95068378533836&lt;/D&gt;&lt;D xsi:type="xsd:double"&gt;3.76663275108575&lt;/D&gt;&lt;D xsi:type="xsd:double"&gt;3.61382259412216&lt;/D&gt;&lt;D xsi:type="xsd:double"&gt;3.50679918678585&lt;/D&gt;&lt;D xsi:type="xsd:double"&gt;3.68126376717465&lt;/D&gt;&lt;D xsi:type="xsd:double"&gt;3.6193756173443&lt;/D&gt;&lt;D xsi:type="xsd:double"&gt;3.5184357746829&lt;/D&gt;&lt;D xsi:type="xsd:double"&gt;3.66817948368943&lt;/D&gt;&lt;D xsi:type="xsd:double"&gt;3.48883304338569&lt;/D&gt;&lt;D xsi:type="xsd:double"&gt;3.50187539976796&lt;/D&gt;&lt;D xsi:type="xsd:double"&gt;3.37693399513679&lt;/D&gt;&lt;D xsi:type="xsd:double"&gt;3.3788319656751&lt;/D&gt;&lt;D xsi:type="xsd:double"&gt;3.32577447343189&lt;/D&gt;&lt;D xsi:type="xsd:double"&gt;3.28829120646146&lt;/D&gt;&lt;D xsi:type="xsd:double"&gt;4.76490030796165&lt;/D&gt;&lt;D xsi:type="xsd:double"&gt;3.95072043862483&lt;/D&gt;&lt;D xsi:type="xsd:double"&gt;3.64217718608403&lt;/D&gt;&lt;D xsi:type="xsd:double"&gt;3.22340179309283&lt;/D&gt;&lt;D xsi:type="xsd:double"&gt;3.07411386173699&lt;/D&gt;&lt;D xsi:type="xsd:double"&gt;3.07638819296571&lt;/D&gt;&lt;D xsi:type="xsd:double"&gt;3.11640589954594&lt;/D&gt;&lt;D xsi:type="xsd:double"&gt;3.19381224873052&lt;/D&gt;&lt;D xsi:type="xsd:double"&gt;2.96640418300514&lt;/D&gt;&lt;D xsi:type="xsd:double"&gt;2.94201646074577&lt;/D&gt;&lt;D xsi:type="xsd:double"&gt;2.90536427440596&lt;/D&gt;&lt;D xsi:type="xsd:double"&gt;2.8844599957975&lt;/D&gt;&lt;D xsi:type="xsd:double"&gt;2.7377327704454&lt;/D&gt;&lt;D xsi:type="xsd:double"&gt;2.71085718961961&lt;/D&gt;&lt;D xsi:type="xsd:double"&gt;2.73912752024867&lt;/D&gt;&lt;D xsi:type="xsd:double"&gt;2.64213019261365&lt;/D&gt;&lt;D xsi:type="xsd:double"&gt;2.69641487398363&lt;/D&gt;&lt;D xsi:type="xsd:double"&gt;2.66960781853893&lt;/D&gt;&lt;D xsi:type="xsd:double"&gt;2.77455544501451&lt;/D&gt;&lt;D xsi:type="xsd:double"&gt;2.86617533495362&lt;/D&gt;&lt;D xsi:type="xsd:double"&gt;2.72800505611113&lt;/D&gt;&lt;D xsi:type="xsd:double"&gt;2.78956507222819&lt;/D&gt;&lt;D xsi:type="xsd:double"&gt;2.74399718318566&lt;/D&gt;&lt;D xsi:type="xsd:double"&gt;2.89460584986674&lt;/D&gt;&lt;D xsi:type="xsd:double"&gt;3.29293793487384&lt;/D&gt;&lt;D xsi:type="xsd:double"&gt;3.14669771537806&lt;/D&gt;&lt;D xsi:type="xsd:double"&gt;3.26921457727609&lt;/D&gt;&lt;D xsi:type="xsd:double"&gt;3.47514740107148&lt;/D&gt;&lt;D xsi:type="xsd:double"&gt;3.50714549767892&lt;/D&gt;&lt;D xsi:type="xsd:double"&gt;3.2522523045064&lt;/D&gt;&lt;D xsi:type="xsd:double"&gt;3.45940689595159&lt;/D&gt;&lt;D xsi:type="xsd:double"&gt;3.71700936973085&lt;/D&gt;&lt;D xsi:type="xsd:double"&gt;3.32180000621021&lt;/D&gt;&lt;D xsi:type="xsd:double"&gt;3.24730765671345&lt;/D&gt;&lt;D xsi:type="xsd:double"&gt;3.11816040060207&lt;/D&gt;&lt;D xsi:type="xsd:double"&gt;3.13349345295458&lt;/D&gt;&lt;D xsi:type="xsd:double"&gt;3.29502021527713&lt;/D&gt;&lt;D xsi:type="xsd:double"&gt;3.1111162873439&lt;/D&gt;&lt;D xsi:type="xsd:double"&gt;3.18818136267546&lt;/D&gt;&lt;D xsi:type="xsd:double"&gt;3.25327183288318&lt;/D&gt;&lt;D xsi:type="xsd:double"&gt;3.24928523373059&lt;/D&gt;&lt;D xsi:type="xsd:double"&gt;3.30006984019525&lt;/D&gt;&lt;D xsi:type="xsd:double"&gt;3.37627468869245&lt;/D&gt;&lt;D xsi:type="xsd:double"&gt;3.49345735261531&lt;/D&gt;&lt;D xsi:type="xsd:double"&gt;3.44509541995809&lt;/D&gt;&lt;D xsi:type="xsd:double"&gt;3.24978657987027&lt;/D&gt;&lt;D xsi:type="xsd:double"&gt;3.25393664943362&lt;/D&gt;&lt;D xsi:type="xsd:double"&gt;3.20913362609912&lt;/D&gt;&lt;D xsi:type="xsd:double"&gt;3.04955985201435&lt;/D&gt;&lt;D xsi:type="xsd:double"&gt;3.13186292110701&lt;/D&gt;&lt;D xsi:type="xsd:double"&gt;3.05277390552014&lt;/D&gt;&lt;D xsi:type="xsd:double"&gt;3.2139834631317&lt;/D&gt;&lt;/FQL&gt;&lt;FQL&gt;&lt;Q&gt;QQQ^FMA_PE(NTMA,-10AY,0,AM,"PORTAGG","MEANR")&lt;/Q&gt;&lt;R&gt;121&lt;/R&gt;&lt;C&gt;1&lt;/C&gt;&lt;D xsi:type="xsd:double"&gt;17.2196500379218&lt;/D&gt;&lt;D xsi:type="xsd:double"&gt;17.6110670683091&lt;/D&gt;&lt;D xsi:type="xsd:double"&gt;17.3955996615078&lt;/D&gt;&lt;D xsi:type="xsd:double"&gt;17.6767686852003&lt;/D&gt;&lt;D xsi:type="xsd:double"&gt;16.3074506516635&lt;/D&gt;&lt;D xsi:type="xsd:double"&gt;17.9225001710234&lt;/D&gt;&lt;D xsi:type="xsd:double"&gt;17.5899395414054&lt;/D&gt;&lt;D xsi:type="xsd:double"&gt;17.0657632508197&lt;/D&gt;&lt;D xsi:type="xsd:double"&gt;17.9161326809444&lt;/D&gt;&lt;D xsi:type="xsd:double"&gt;17.5774806600673&lt;/D&gt;&lt;D xsi:type="xsd:double"&gt;17.9379311578918&lt;/D&gt;&lt;D xsi:type="xsd:double"&gt;17.7728481633322&lt;/D&gt;&lt;D xsi:type="xsd:double"&gt;17.7599237226918&lt;/D&gt;&lt;D xsi:type="xsd:double"&gt;17.7941835139865&lt;/D&gt;&lt;D xsi:type="xsd:double"&gt;18.3078405530031&lt;/D&gt;&lt;D xsi:type="xsd:double"&gt;17.422084545231&lt;/D&gt;&lt;D xsi:type="xsd:double"&gt;17.4995392611174&lt;/D&gt;&lt;D xsi:type="xsd:double"&gt;18.0491442946264&lt;/D&gt;&lt;D xsi:type="xsd:double"&gt;18.1011851659073&lt;/D&gt;&lt;D xsi:type="xsd:double"&gt;16.7898703019994&lt;/D&gt;&lt;D xsi:type="xsd:double"&gt;16.2335874734538&lt;/D&gt;&lt;D xsi:type="xsd:double"&gt;17.4343936503334&lt;/D&gt;&lt;D xsi:type="xsd:double"&gt;18.1050675593301&lt;/D&gt;&lt;D xsi:type="xsd:double"&gt;17.3670650173386&lt;/D&gt;&lt;D xsi:type="xsd:double"&gt;17.5625102769885&lt;/D&gt;&lt;D xsi:type="xsd:double"&gt;18.179330206648&lt;/D&gt;&lt;D xsi:type="xsd:double"&gt;18.8250707244361&lt;/D&gt;&lt;D xsi:type="xsd:double"&gt;18.22417446631&lt;/D&gt;&lt;D xsi:type="xsd:double"&gt;18.3058316609082&lt;/D&gt;&lt;D xsi:type="xsd:double"&gt;17.9364907802065&lt;/D&gt;&lt;D xsi:type="xsd:double"&gt;18.4187156170418&lt;/D&gt;&lt;D xsi:type="xsd:double"&gt;18.7052007770418&lt;/D&gt;&lt;D xsi:type="xsd:double"&gt;19.8450870296071&lt;/D&gt;&lt;D xsi:type="xsd:double"&gt;20.1362394214583&lt;/D&gt;&lt;D xsi:type="xsd:double"&gt;19.7520475929053&lt;/D&gt;&lt;D xsi:type="xsd:double"&gt;20.7111332124772&lt;/D&gt;&lt;D xsi:type="xsd:double"&gt;20.6464719917724&lt;/D&gt;&lt;D xsi:type="xsd:double"&gt;20.4934537399556&lt;/D&gt;&lt;D xsi:type="xsd:double"&gt;20.349037668167&lt;/D&gt;&lt;D xsi:type="xsd:double"&gt;20.6519108608126&lt;/D&gt;&lt;D xsi:type="xsd:double"&gt;20.6459027679879&lt;/D&gt;&lt;D xsi:type="xsd:double"&gt;20.8573350816465&lt;/D&gt;&lt;D xsi:type="xsd:double"&gt;20.8553254562749&lt;/D&gt;&lt;D xsi:type="xsd:double"&gt;21.7719607257055&lt;/D&gt;&lt;D xsi:type="xsd:double"&gt;20.0598591103314&lt;/D&gt;&lt;D xsi:type="xsd:double"&gt;21.2827991924805&lt;/D&gt;&lt;D xsi:type="xsd:double"&gt;19.832218086232&lt;/D&gt;&lt;D xsi:type="xsd:double"&gt;20.196240228418&lt;/D&gt;&lt;D xsi:type="xsd:double"&gt;20.6421737237916&lt;/D&gt;&lt;D xsi:type="xsd:double"&gt;20.9741453050148&lt;/D&gt;&lt;D xsi:type="xsd:double"&gt;20.5472759761547&lt;/D&gt;&lt;D xsi:type="xsd:double"&gt;20.7562948546556&lt;/D&gt;&lt;D xsi:type="xsd:double"&gt;19.5348109136791&lt;/D&gt;&lt;D xsi:type="xsd:double"&gt;18.4733344647458&lt;/D&gt;&lt;D xsi:type="xsd:double"&gt;18.2971472014544&lt;/D&gt;&lt;D xsi:type="xsd:double"&gt;18.1372047182048&lt;/D&gt;&lt;D xsi:type="xsd:double"&gt;19.4076503447229&lt;/D&gt;&lt;D xsi:type="xsd:double"&gt;20.0494115671558&lt;/D&gt;&lt;D xsi:type="xsd:double"&gt;20.9504580309277&lt;/D&gt;&lt;D xsi:type="xsd:double"&gt;19.9797631366338&lt;/D&gt;&lt;D xsi:type="xsd:double"&gt;20.3124871043834&lt;/D&gt;&lt;D xsi:type="xsd:double"&gt;21.4580699956696&lt;/D&gt;&lt;D xsi:type="xsd:double"&gt;20.6555406268131&lt;/D&gt;&lt;D xsi:type="xsd:double"&gt;20.8971302320021&lt;/D&gt;&lt;D xsi:type="xsd:double"&gt;20.6079454175599&lt;/D&gt;&lt;D xsi:type="xsd:double"&gt;21.5284363289257&lt;/D&gt;&lt;D xsi:type="xsd:double"&gt;22.1199045288424&lt;/D&gt;&lt;D xsi:type="xsd:double"&gt;23.4965987201614&lt;/D&gt;&lt;D xsi:type="xsd:double"&gt;24.2848169870799&lt;/D&gt;&lt;D xsi:type="xsd:double"&gt;20.3392333778782&lt;/D&gt;&lt;D xsi:type="xsd:double"&gt;22.5598723615289&lt;/D&gt;&lt;D xsi:type="xsd:double"&gt;25.7828912023658&lt;/D&gt;&lt;D xsi:type="xsd:double"&gt;27.4277932948509&lt;/D&gt;&lt;D xsi:type="xsd:double"&gt;29.3517280810758&lt;/D&gt;&lt;D xsi:type="xsd:double"&gt;29.3281042506334&lt;/D&gt;&lt;D xsi:type="xsd:double"&gt;28.6459694217191&lt;/D&gt;&lt;D xsi:type="xsd:double"&gt;30.6711573942244&lt;/D&gt;&lt;D xsi:type="xsd:double"&gt;29.1890780655368&lt;/D&gt;&lt;D xsi:type="xsd:double"&gt;29.6192077554355&lt;/D&gt;&lt;D xsi:type="xsd:double"&gt;30.0544414031218&lt;/D&gt;&lt;D xsi:type="xsd:double"&gt;30.3313841706796&lt;/D&gt;&lt;D xsi:type="xsd:double"&gt;27.7459490459471&lt;/D&gt;&lt;D xsi:type="xsd:double"&gt;29.6852069115507&lt;/D&gt;&lt;D xsi:type="xsd:double"&gt;26.0424259412394&lt;/D&gt;&lt;D xsi:type="xsd:double"&gt;27.400508478962&lt;/D&gt;&lt;D xsi:type="xsd:double"&gt;28.7856698290403&lt;/D&gt;&lt;D xsi:type="xsd:double"&gt;28.0002626448063&lt;/D&gt;&lt;D xsi:type="xsd:double"&gt;28.2136796929443&lt;/D&gt;&lt;D xsi:type="xsd:double"&gt;26.9293135263548&lt;/D&gt;&lt;D xsi:type="xsd:double"&gt;29.3974665714559&lt;/D&gt;&lt;D xsi:type="xsd:double"&gt;28.7203885935108&lt;/D&gt;&lt;D xsi:type="xsd:double"&gt;27.5536480216763&lt;/D&gt;&lt;D xsi:type="xsd:double"&gt;25.076205103321&lt;/D&gt;&lt;D xsi:type="xsd:double"&gt;23.0478843996981&lt;/D&gt;&lt;D xsi:type="xsd:double"&gt;24.4561222769761&lt;/D&gt;&lt;D xsi:type="xsd:double"&gt;21.4935467710649&lt;/D&gt;&lt;D xsi:type="xsd:double"&gt;19.4190592713663&lt;/D&gt;&lt;D xsi:type="xsd:double"&gt;20.3408663662348&lt;/D&gt;&lt;D xsi:type="xsd:double"&gt;24.1950769118847&lt;/D&gt;&lt;D xsi:type="xsd:double"&gt;21.3073044434312&lt;/D&gt;&lt;D xsi:type="xsd:double"&gt;19.7200943166488&lt;/D&gt;&lt;D xsi:type="xsd:double"&gt;22.0148633063543&lt;/D&gt;&lt;D xsi:type="xsd:double"&gt;21.9703436856387&lt;/D&gt;&lt;D xsi:type="xsd:double"&gt;22.0460347150199&lt;/D&gt;&lt;D xsi:type="xsd:double"&gt;24.1668351051234&lt;/D&gt;&lt;D xsi:type="xsd:double"&gt;22.7678113615425&lt;/D&gt;&lt;D xsi:type="xsd:double"&gt;24.8145064077967&lt;/D&gt;&lt;D xsi:type="xsd:double"&gt;24.5950426296875&lt;/D&gt;&lt;D xsi:type="xsd:double"&gt;26.700592966979&lt;/D&gt;&lt;D xsi:type="xsd:double"&gt;27.2822370377403&lt;/D&gt;&lt;D xsi:type="xsd:double"&gt;24.4462687531717&lt;/D&gt;&lt;D xsi:type="xsd:double"&gt;24.2850226553076&lt;/D&gt;&lt;D xsi:type="xsd:double"&gt;23.5012096787415&lt;/D&gt;&lt;D xsi:type="xsd:double"&gt;23.8822589190878&lt;/D&gt;&lt;D xsi:type="xsd:double"&gt;24.996970090285&lt;/D&gt;&lt;D xsi:type="xsd:double"&gt;25.8542191320774&lt;/D&gt;&lt;D xsi:type="xsd:double"&gt;26.7625787777411&lt;/D&gt;&lt;D xsi:type="xsd:double"&gt;27.1588433842241&lt;/D&gt;&lt;D xsi:type="xsd:double"&gt;26.7573180334082&lt;/D&gt;&lt;D xsi:type="xsd:double"&gt;26.76555591929&lt;/D&gt;&lt;D xsi:type="xsd:double"&gt;26.8396717940978&lt;/D&gt;&lt;/FQL&gt;&lt;FQL&gt;&lt;Q&gt;EWL^FMA_PE(LTMA,-10AY,0,AM,"PORTAGG","MEANR")&lt;/Q&gt;&lt;R&gt;121&lt;/R&gt;&lt;C&gt;1&lt;/C&gt;&lt;D xsi:type="xsd:double"&gt;17.185362217148&lt;/D&gt;&lt;D xsi:type="xsd:double"&gt;17.0572744019681&lt;/D&gt;&lt;D xsi:type="xsd:double"&gt;17.0873147969289&lt;/D&gt;&lt;D xsi:type="xsd:double"&gt;17.3949110072358&lt;/D&gt;&lt;D xsi:type="xsd:double"&gt;16.5734707300512&lt;/D&gt;&lt;D xsi:type="xsd:double"&gt;17.5449392453303&lt;/D&gt;&lt;D xsi:type="xsd:double"&gt;17.1279019254896&lt;/D&gt;&lt;D xsi:type="xsd:double"&gt;17.4900681250986&lt;/D&gt;&lt;D xsi:type="xsd:double"&gt;17.3349180242138&lt;/D&gt;&lt;D xsi:type="xsd:double"&gt;17.9792582948901&lt;/D&gt;&lt;D xsi:type="xsd:double"&gt;18.1879612229442&lt;/D&gt;&lt;D xsi:type="xsd:double"&gt;18.0094561467898&lt;/D&gt;&lt;D xsi:type="xsd:double"&gt;17.9499873531111&lt;/D&gt;&lt;D xsi:type="xsd:double"&gt;18.0639990407606&lt;/D&gt;&lt;D xsi:type="xsd:double"&gt;17.9666700005711&lt;/D&gt;&lt;D xsi:type="xsd:double"&gt;17.304875112429&lt;/D&gt;&lt;D xsi:type="xsd:double"&gt;17.353144756734&lt;/D&gt;&lt;D xsi:type="xsd:double"&gt;17.3100798028196&lt;/D&gt;&lt;D xsi:type="xsd:double"&gt;17.009780886121&lt;/D&gt;&lt;D xsi:type="xsd:double"&gt;16.5715762965619&lt;/D&gt;&lt;D xsi:type="xsd:double"&gt;16.1151152552656&lt;/D&gt;&lt;D xsi:type="xsd:double"&gt;16.6658410291933&lt;/D&gt;&lt;D xsi:type="xsd:double"&gt;16.7665125743963&lt;/D&gt;&lt;D xsi:type="xsd:double"&gt;16.8396802499462&lt;/D&gt;&lt;D xsi:type="xsd:double"&gt;16.8339254756181&lt;/D&gt;&lt;D xsi:type="xsd:double"&gt;17.31300771791&lt;/D&gt;&lt;D xsi:type="xsd:double"&gt;17.9483342957115&lt;/D&gt;&lt;D xsi:type="xsd:double"&gt;17.9040791104128&lt;/D&gt;&lt;D xsi:type="xsd:double"&gt;17.7388792354625&lt;/D&gt;&lt;D xsi:type="xsd:double"&gt;17.6093166174343&lt;/D&gt;&lt;D xsi:type="xsd:double"&gt;18.0481232347527&lt;/D&gt;&lt;D xsi:type="xsd:double"&gt;18.7173341123518&lt;/D&gt;&lt;D xsi:type="xsd:double"&gt;18.6882514527018&lt;/D&gt;&lt;D xsi:type="xsd:double"&gt;19.6328125992848&lt;/D&gt;&lt;D xsi:type="xsd:double"&gt;19.4216073651036&lt;/D&gt;&lt;D xsi:type="xsd:double"&gt;19.5670433299075&lt;/D&gt;&lt;D xsi:type="xsd:double"&gt;19.4481267391281&lt;/D&gt;&lt;D xsi:type="xsd:double"&gt;19.3941628502066&lt;/D&gt;&lt;D xsi:type="xsd:double"&gt;19.1066122872748&lt;/D&gt;&lt;D xsi:type="xsd:double"&gt;19.2830693926488&lt;/D&gt;&lt;D xsi:type="xsd:double"&gt;19.8352477782488&lt;/D&gt;&lt;D xsi:type="xsd:double"&gt;20.1085957094591&lt;/D&gt;&lt;D xsi:type="xsd:double"&gt;20.5638088865557&lt;/D&gt;&lt;D xsi:type="xsd:double"&gt;21.0736052692754&lt;/D&gt;&lt;D xsi:type="xsd:double"&gt;20.1363036511826&lt;/D&gt;&lt;D xsi:type="xsd:double"&gt;21.022013459154&lt;/D&gt;&lt;D xsi:type="xsd:double"&gt;20.5095504297549&lt;/D&gt;&lt;D xsi:type="xsd:double"&gt;20.2243768769774&lt;/D&gt;&lt;D xsi:type="xsd:double"&gt;19.5644091940286&lt;/D&gt;&lt;D xsi:type="xsd:double"&gt;19.3212938870117&lt;/D&gt;&lt;D xsi:type="xsd:double"&gt;18.9360644922415&lt;/D&gt;&lt;D xsi:type="xsd:double"&gt;18.6453352674483&lt;/D&gt;&lt;D xsi:type="xsd:double"&gt;17.6443748157601&lt;/D&gt;&lt;D xsi:type="xsd:double"&gt;17.816780595905&lt;/D&gt;&lt;D xsi:type="xsd:double"&gt;17.1800605200127&lt;/D&gt;&lt;D xsi:type="xsd:double"&gt;16.970166277382&lt;/D&gt;&lt;D xsi:type="xsd:double"&gt;17.7107505487419&lt;/D&gt;&lt;D xsi:type="xsd:double"&gt;18.2933620707766&lt;/D&gt;&lt;D xsi:type="xsd:double"&gt;18.2895294226761&lt;/D&gt;&lt;D xsi:type="xsd:double"&gt;18.0170626429843&lt;/D&gt;&lt;D xsi:type="xsd:double"&gt;18.2912807629713&lt;/D&gt;&lt;D xsi:type="xsd:double"&gt;18.2455741632582&lt;/D&gt;&lt;D xsi:type="xsd:double"&gt;18.2142467934843&lt;/D&gt;&lt;D xsi:type="xsd:double"&gt;18.46555732748&lt;/D&gt;&lt;D xsi:type="xsd:double"&gt;18.4238054997665&lt;/D&gt;&lt;D xsi:type="xsd:double"&gt;18.860834927958&lt;/D&gt;&lt;D xsi:type="xsd:double"&gt;19.1787937502588&lt;/D&gt;&lt;D xsi:type="xsd:double"&gt;19.6051311240488&lt;/D&gt;&lt;D xsi:type="xsd:double"&gt;19.9987161093825&lt;/D&gt;&lt;D xsi:type="xsd:double"&gt;17.4910328649663&lt;/D&gt;&lt;D xsi:type="xsd:double"&gt;18.1239154677145&lt;/D&gt;&lt;D xsi:type="xsd:double"&gt;18.7559328357414&lt;/D&gt;&lt;D xsi:type="xsd:double"&gt;19.083678442177&lt;/D&gt;&lt;D xsi:type="xsd:double"&gt;19.9810938524605&lt;/D&gt;&lt;D xsi:type="xsd:double"&gt;20.4434991993425&lt;/D&gt;&lt;D xsi:type="xsd:double"&gt;20.8774630508209&lt;/D&gt;&lt;D xsi:type="xsd:double"&gt;21.1279796405468&lt;/D&gt;&lt;D xsi:type="xsd:double"&gt;21.1987925841711&lt;/D&gt;&lt;D xsi:type="xsd:double"&gt;21.0825476094379&lt;/D&gt;&lt;D xsi:type="xsd:double"&gt;22.02842805021&lt;/D&gt;&lt;D xsi:type="xsd:double"&gt;21.2469123004081&lt;/D&gt;&lt;D xsi:type="xsd:double"&gt;20.4640769373124&lt;/D&gt;&lt;D xsi:type="xsd:double"&gt;20.5734478809247&lt;/D&gt;&lt;D xsi:type="xsd:double"&gt;20.3697371402388&lt;/D&gt;&lt;D xsi:type="xsd:double"&gt;20.8677443041449&lt;/D&gt;&lt;D xsi:type="xsd:double"&gt;21.0334536184955&lt;/D&gt;&lt;D xsi:type="xsd:double"&gt;21.213066692147&lt;/D&gt;&lt;D xsi:type="xsd:double"&gt;20.7686549320484&lt;/D&gt;&lt;D xsi:type="xsd:double"&gt;20.3045195679541&lt;/D&gt;&lt;D xsi:type="xsd:double"&gt;21.0671234391185&lt;/D&gt;&lt;D xsi:type="xsd:double"&gt;21.0987971381865&lt;/D&gt;&lt;D xsi:type="xsd:double"&gt;21.026060453774&lt;/D&gt;&lt;D xsi:type="xsd:double"&gt;18.6843066457989&lt;/D&gt;&lt;D xsi:type="xsd:double"&gt;18.3477996915388&lt;/D&gt;&lt;D xsi:type="xsd:double"&gt;18.6539793626178&lt;/D&gt;&lt;D xsi:type="xsd:double"&gt;18.1588891094123&lt;/D&gt;&lt;D xsi:type="xsd:double"&gt;17.5666571297466&lt;/D&gt;&lt;D xsi:type="xsd:double"&gt;17.6690052402687&lt;/D&gt;&lt;D xsi:type="xsd:double"&gt;18.3716163503941&lt;/D&gt;&lt;D xsi:type="xsd:double"&gt;17.9490244262098&lt;/D&gt;&lt;D xsi:type="xsd:double"&gt;16.8783781091758&lt;/D&gt;&lt;D xsi:type="xsd:double"&gt;19.7506849150101&lt;/D&gt;&lt;D xsi:type="xsd:double"&gt;20.5630095901633&lt;/D&gt;&lt;D xsi:type="xsd:double"&gt;21.3842478550432&lt;/D&gt;&lt;D xsi:type="xsd:double"&gt;21.3356398556632&lt;/D&gt;&lt;D xsi:type="xsd:double"&gt;20.4643699610026&lt;/D&gt;&lt;D xsi:type="xsd:double"&gt;20.3923288557642&lt;/D&gt;&lt;D xsi:type="xsd:double"&gt;20.1950110571782&lt;/D&gt;&lt;D xsi:type="xsd:double"&gt;19.4891852905046&lt;/D&gt;&lt;D xsi:type="xsd:double"&gt;19.1961623244983&lt;/D&gt;&lt;D xsi:type="xsd:double"&gt;18.9493671581674&lt;/D&gt;&lt;D xsi:type="xsd:double"&gt;18.6494312180114&lt;/D&gt;&lt;D xsi:type="xsd:double"&gt;18.3420822320292&lt;/D&gt;&lt;D xsi:type="xsd:double"&gt;17.6006460339284&lt;/D&gt;&lt;D xsi:type="xsd:double"&gt;18.3522761896433&lt;/D&gt;&lt;D xsi:type="xsd:double"&gt;18.4583991509618&lt;/D&gt;&lt;D xsi:type="xsd:double"&gt;18.6739500230676&lt;/D&gt;&lt;D xsi:type="xsd:double"&gt;19.2456064999813&lt;/D&gt;&lt;D xsi:type="xsd:double"&gt;18.9382417795892&lt;/D&gt;&lt;D xsi:type="xsd:double"&gt;18.8752795942642&lt;/D&gt;&lt;D xsi:type="xsd:double"&gt;18.9179312645722&lt;/D&gt;&lt;/FQL&gt;&lt;FQL&gt;&lt;Q&gt;WL-FDS^FG_PRICE(0)/MAX(FG_PRICE(0,-1AY))&lt;/Q&gt;&lt;R&gt;1&lt;/R&gt;&lt;C&gt;1&lt;/C&gt;&lt;D xsi:type="xsd:double"&gt;0.743253864291328&lt;/D&gt;&lt;/FQL&gt;&lt;FQL&gt;&lt;Q&gt;NI-FDS^FG_PRICE(0)/MAX(FG_PRICE(0,-1AY))&lt;/Q&gt;&lt;R&gt;1&lt;/R&gt;&lt;C&gt;1&lt;/C&gt;&lt;D xsi:type="xsd:double"&gt;0.758426966292135&lt;/D&gt;&lt;/FQL&gt;&lt;FQL&gt;&lt;Q&gt;CPALM-FDS^FG_PRICE(0)/MAX(FG_PRICE(0,-1AY))&lt;/Q&gt;&lt;R&gt;1&lt;/R&gt;&lt;C&gt;1&lt;/C&gt;&lt;D xsi:type="xsd:double"&gt;0.859139550120114&lt;/D&gt;&lt;/FQL&gt;&lt;FQL&gt;&lt;Q&gt;BRENT-FDS^FG_PRICE(0)/MAX(FG_PRICE(0,-1AY))&lt;/Q&gt;&lt;R&gt;1&lt;/R&gt;&lt;C&gt;1&lt;/C&gt;&lt;D xsi:type="xsd:double"&gt;0.870614479821537&lt;/D&gt;&lt;/FQL&gt;&lt;FQL&gt;&lt;Q&gt;TIOS-FDS^FG_PRICE(0)/MAX(FG_PRICE(0,-1AY))&lt;/Q&gt;&lt;R&gt;1&lt;/R&gt;&lt;C&gt;1&lt;/C&gt;&lt;D xsi:type="xsd:double"&gt;0.743063263041066&lt;/D&gt;&lt;/FQL&gt;&lt;FQL&gt;&lt;Q&gt;EWD^FG_PRICE_MAVG(0,,,,60)&lt;/Q&gt;&lt;R&gt;1&lt;/R&gt;&lt;C&gt;1&lt;/C&gt;&lt;D xsi:type="xsd:double"&gt;40.368084&lt;/D&gt;&lt;/FQL&gt;&lt;FQL&gt;&lt;Q&gt;QQQ^FG_PRICE_MAVG(0,,,,60)&lt;/Q&gt;&lt;R&gt;1&lt;/R&gt;&lt;C&gt;1&lt;/C&gt;&lt;D xsi:type="xsd:double"&gt;444.02917&lt;/D&gt;&lt;/FQL&gt;&lt;FQL&gt;&lt;Q&gt;EWG^FG_PRICE_MAVG(0,,,,60)&lt;/Q&gt;&lt;R&gt;1&lt;/R&gt;&lt;C&gt;1&lt;/C&gt;&lt;D xsi:type="xsd:double"&gt;31.429167&lt;/D&gt;&lt;/FQL&gt;&lt;FQL&gt;&lt;Q&gt;EWD^FG_COMPANY_NAME&lt;/Q&gt;&lt;R&gt;1&lt;/R&gt;&lt;C&gt;1&lt;/C&gt;&lt;D xsi:type="xsd:string"&gt;iShares MSCI Sweden ETF&lt;/D&gt;&lt;/FQL&gt;&lt;FQL&gt;&lt;Q&gt;URTH^FMA_PCT_ABOVE_MAVG(200,0,,,,"PORTAGG")&lt;/Q&gt;&lt;R&gt;1&lt;/R&gt;&lt;C&gt;1&lt;/C&gt;&lt;D xsi:type="xsd:double"&gt;68.5353889278206&lt;/D&gt;&lt;/FQL&gt;&lt;FQL&gt;&lt;Q&gt;VGK^PERCENT_CHANGE(FMA_EPS(+1,0,,,,"PORTAGG","MEAN"),FMA_EPS(+1,-3AM,,,,"PORTAGG","MEAN"))&lt;/Q&gt;&lt;R&gt;1&lt;/R&gt;&lt;C&gt;1&lt;/C&gt;&lt;D xsi:type="xsd:double"&gt;-1.87116091588412&lt;/D&gt;&lt;/FQL&gt;&lt;FQL&gt;&lt;Q&gt;EWQ^P_PRICE(0)/P_PRICE_HIGH_PR(0,,,,,,"PRICE","INTRA","52W")&lt;/Q&gt;&lt;R&gt;1&lt;/R&gt;&lt;C&gt;1&lt;/C&gt;&lt;D xsi:type="xsd:double"&gt;0.9143193&lt;/D&gt;&lt;/FQL&gt;&lt;FQL&gt;&lt;Q&gt;ENZL^P_PRICE(0)/P_PRICE_LOW_PR(0,,,,,,"PRICE","INTRA","52W")-1&lt;/Q&gt;&lt;R&gt;1&lt;/R&gt;&lt;C&gt;1&lt;/C&gt;&lt;D xsi:type="xsd:double"&gt;0.122102976&lt;/D&gt;&lt;/FQL&gt;&lt;FQL&gt;&lt;Q&gt;EWJ^FMA_COS_UP("EPS","1M",+1,0,,,"PORTAGG","MEANR")&lt;/Q&gt;&lt;R&gt;1&lt;/R&gt;&lt;C&gt;1&lt;/C&gt;&lt;D xsi:type="xsd:double"&gt;103&lt;/D&gt;&lt;/FQL&gt;&lt;FQL&gt;&lt;Q&gt;EWN^SIZE(FG_CONSTITUENTS)&lt;/Q&gt;&lt;R&gt;1&lt;/R&gt;&lt;C&gt;1&lt;/C&gt;&lt;D xsi:type="xsd:long"&gt;54&lt;/D&gt;&lt;/FQL&gt;&lt;FQL&gt;&lt;Q&gt;EWL^FMA_COS_DOWN("EPS","1M",+1,0,,,"PORTAGG","MEANR")&lt;/Q&gt;&lt;R&gt;1&lt;/R&gt;&lt;C&gt;1&lt;/C&gt;&lt;D xsi:type="xsd:double"&gt;10&lt;/D&gt;&lt;/FQL&gt;&lt;FQL&gt;&lt;Q&gt;EWN^FMA_RBICS_REV_CURRENT(30, LOC, "PORTAGG")&lt;/Q&gt;&lt;R&gt;1&lt;/R&gt;&lt;C&gt;1&lt;/C&gt;&lt;D xsi:type="xsd:double"&gt;25.3332048466313&lt;/D&gt;&lt;/FQL&gt;&lt;FQL&gt;&lt;Q&gt;TRYJP10Y-FDS^FG_YIELD_NAME&lt;/Q&gt;&lt;R&gt;1&lt;/R&gt;&lt;C&gt;1&lt;/C&gt;&lt;D xsi:type="xsd:string"&gt;Japan Benchmark Bond - 10 Year&lt;/D&gt;&lt;/FQL&gt;&lt;FQL&gt;&lt;Q&gt;REFFFUND-FDS^PROPER_NAME(0,,,"SECURITY","NAME")&lt;/Q&gt;&lt;R&gt;1&lt;/R&gt;&lt;C&gt;1&lt;/C&gt;&lt;D xsi:type="xsd:string"&gt;US Federal Funds Target Rate&lt;/D&gt;&lt;/FQL&gt;&lt;FQL&gt;&lt;Q&gt;EWC^FMA_EVAL_EBIT(LTMA,NOW,NOW,M,"PORTAGG","MEANR")&lt;/Q&gt;&lt;R&gt;1&lt;/R&gt;&lt;C&gt;1&lt;/C&gt;&lt;D xsi:type="xsd:double"&gt;16.2526948234728&lt;/D&gt;&lt;/FQL&gt;&lt;FQL&gt;&lt;Q&gt;EWQ^FG_COMPANY_NAME&lt;/Q&gt;&lt;R&gt;1&lt;/R&gt;&lt;C&gt;1&lt;/C&gt;&lt;D xsi:type="xsd:string"&gt;iShares MSCI France ETF&lt;/D&gt;&lt;/FQL&gt;&lt;FQL&gt;&lt;Q&gt;VWO^FG_TOTAL_RETURNC(0,-3AM)&lt;/Q&gt;&lt;R&gt;1&lt;/R&gt;&lt;C&gt;1&lt;/C&gt;&lt;D xsi:type="xsd:double"&gt;4.025686&lt;/D&gt;&lt;/FQL&gt;&lt;FQL&gt;&lt;Q&gt;EWD^FG_PRICE_MAVG(0,,,,30)&lt;/Q&gt;&lt;R&gt;1&lt;/R&gt;&lt;C&gt;1&lt;/C&gt;&lt;D xsi:type="xsd:double"&gt;41.186&lt;/D&gt;&lt;/FQL&gt;&lt;FQL&gt;&lt;Q&gt;QQQ^FG_PRICE_MAVG(0,,,,30)&lt;/Q&gt;&lt;R&gt;1&lt;/R&gt;&lt;C&gt;1&lt;/C&gt;&lt;D xsi:type="xsd:double"&gt;452.97433&lt;/D&gt;&lt;/FQL&gt;&lt;FQL&gt;&lt;Q&gt;EWG^FG_PRICE_MAVG(0,,,,30)&lt;/Q&gt;&lt;R&gt;1&lt;/R&gt;&lt;C&gt;1&lt;/C&gt;&lt;D xsi:type="xsd:double"&gt;31.885334&lt;/D&gt;&lt;/FQL&gt;&lt;FQL&gt;&lt;Q&gt;EWJ^P_PRICE(0)/P_PRICE_HIGH_PR(0,,,,,,"PRICE","INTRA","52W")&lt;/Q&gt;&lt;R&gt;1&lt;/R&gt;&lt;C&gt;1&lt;/C&gt;&lt;D xsi:type="xsd:double"&gt;0.9317977&lt;/D&gt;&lt;/FQL&gt;&lt;FQL&gt;&lt;Q&gt;EWQ^FMA_ROE(NTMA,-20AY,NOW,FY,"PORTAGG","MEANR")&lt;/Q&gt;&lt;R&gt;20&lt;/R&gt;&lt;C&gt;1&lt;/C&gt;&lt;D xsi:type="xsd:double"&gt;15.3785109881273&lt;/D&gt;&lt;D xsi:type="xsd:double"&gt;16.6302131420813&lt;/D&gt;&lt;D xsi:type="xsd:double"&gt;15.4089673624266&lt;/D&gt;&lt;D xsi:type="xsd:double"&gt;15.0205314626708&lt;/D&gt;&lt;D xsi:type="xsd:double"&gt;11.8797489821456&lt;/D&gt;&lt;D xsi:type="xsd:double"&gt;10.9934091834566&lt;/D&gt;&lt;D xsi:type="xsd:double"&gt;12.0259375987481&lt;/D&gt;&lt;D xsi:type="xsd:double"&gt;10.8176655066299&lt;/D&gt;&lt;D xsi:type="xsd:double"&gt;10.4079638226552&lt;/D&gt;&lt;D xsi:type="xsd:double"&gt;10.3975296667646&lt;/D&gt;&lt;D xsi:type="xsd:double"&gt;9.87060023176551&lt;/D&gt;&lt;D xsi:type="xsd:double"&gt;9.82548245608185&lt;/D&gt;&lt;D xsi:type="xsd:double"&gt;9.88315391318072&lt;/D&gt;&lt;D xsi:type="xsd:double"&gt;10.4363064842242&lt;/D&gt;&lt;D xsi:type="xsd:double"&gt;11.3283895806005&lt;/D&gt;&lt;D xsi:type="xsd:double"&gt;10.9140096503084&lt;/D&gt;&lt;D xsi:type="xsd:double"&gt;8.94223448642103&lt;/D&gt;&lt;D xsi:type="xsd:double"&gt;12.2539555402015&lt;/D&gt;&lt;D xsi:type="xsd:double"&gt;13.1476341706846&lt;/D&gt;&lt;D xsi:type="xsd:double"&gt;13.2209624082426&lt;/D&gt;&lt;/FQL&gt;&lt;FQL&gt;&lt;Q&gt;TRYID10Y-FDS^FG_YIELD(-10AY,0,Y,,"YTM")&lt;/Q&gt;&lt;R&gt;10&lt;/R&gt;&lt;C&gt;1&lt;/C&gt;&lt;D xsi:type="xsd:double"&gt;7.922017&lt;/D&gt;&lt;D xsi:type="xsd:double"&gt;8.942368&lt;/D&gt;&lt;D xsi:type="xsd:double"&gt;7.89735&lt;/D&gt;&lt;D xsi:type="xsd:double"&gt;6.462641&lt;/D&gt;&lt;D xsi:type="xsd:double"&gt;8.148183&lt;/D&gt;&lt;D xsi:type="xsd:double"&gt;7.263584&lt;/D&gt;&lt;D xsi:type="xsd:double"&gt;5.902206&lt;/D&gt;&lt;D xsi:type="xsd:double"&gt;6.458283&lt;/D&gt;&lt;D xsi:type="xsd:double"&gt;6.936579&lt;/D&gt;&lt;D xsi:type="xsd:double"&gt;6.498571&lt;/D&gt;&lt;/FQL&gt;&lt;FQL&gt;&lt;Q&gt;TRY10Y-FDS^FG_YIELD(-10AY,0,Y,,"YTM")&lt;/Q&gt;&lt;R&gt;10&lt;/R&gt;&lt;C&gt;1&lt;/C&gt;&lt;D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xsi:type="xsd:string"&gt;@NA&lt;/D&gt;&lt;/FQL&gt;&lt;FQL&gt;&lt;Q&gt;TRYPL10Y-FDS^FG_YIELD(-10AY,0,Y,,"YTM")&lt;/Q&gt;&lt;R&gt;10&lt;/R&gt;&lt;C&gt;1&lt;/C&gt;&lt;D xsi:type="xsd:double"&gt;2.5048&lt;/D&gt;&lt;D xsi:type="xsd:double"&gt;2.9303&lt;/D&gt;&lt;D xsi:type="xsd:double"&gt;3.6245&lt;/D&gt;&lt;D xsi:type="xsd:double"&gt;3.292&lt;/D&gt;&lt;D xsi:type="xsd:double"&gt;2.8144&lt;/D&gt;&lt;D xsi:type="xsd:double"&gt;2.1086&lt;/D&gt;&lt;D xsi:type="xsd:double"&gt;1.235&lt;/D&gt;&lt;D xsi:type="xsd:double"&gt;3.6216&lt;/D&gt;&lt;D xsi:type="xsd:double"&gt;6.8411&lt;/D&gt;&lt;D xsi:type="xsd:double"&gt;5.1912&lt;/D&gt;&lt;/FQL&gt;&lt;FQL&gt;&lt;Q&gt;CAGDPY@NZ^EE_ACTUAL_ANNUAL(MED,0)&lt;/Q&gt;&lt;R&gt;1&lt;/R&gt;&lt;C&gt;1&lt;/C&gt;&lt;D xsi:type="xsd:double"&gt;-6.9&lt;/D&gt;&lt;/FQL&gt;&lt;FQL&gt;&lt;Q&gt;USDGBP^FG_PRICE(0)&lt;/Q&gt;&lt;R&gt;1&lt;/R&gt;&lt;C&gt;1&lt;/C&gt;&lt;D xsi:type="xsd:double"&gt;0.78330004&lt;/D&gt;&lt;/FQL&gt;&lt;FQL&gt;&lt;Q&gt;EWN^FG_TOTAL_RETURNC(-10AY,0,AM)&lt;/Q&gt;&lt;R&gt;121&lt;/R&gt;&lt;C&gt;1&lt;/C&gt;&lt;D xsi:type="xsd:double"&gt;1.1262178&lt;/D&gt;&lt;D xsi:type="xsd:double"&gt;-3.0897975&lt;/D&gt;&lt;D xsi:type="xsd:double"&gt;-3.8740933&lt;/D&gt;&lt;D xsi:type="xsd:double"&gt;3.4005046&lt;/D&gt;&lt;D xsi:type="xsd:double"&gt;-7.9171715&lt;/D&gt;&lt;D xsi:type="xsd:double"&gt;5.687821&lt;/D&gt;&lt;D xsi:type="xsd:double"&gt;-0.37546754&lt;/D&gt;&lt;D xsi:type="xsd:double"&gt;-2.2210956&lt;/D&gt;&lt;D xsi:type="xsd:double"&gt;7.047701&lt;/D&gt;&lt;D xsi:type="xsd:double"&gt;0.5620241&lt;/D&gt;&lt;D xsi:type="xsd:double"&gt;3.5129786&lt;/D&gt;&lt;D xsi:type="xsd:double"&gt;2.738142&lt;/D&gt;&lt;D xsi:type="xsd:double"&gt;-1.0510445&lt;/D&gt;&lt;D xsi:type="xsd:double"&gt;0.87087154&lt;/D&gt;&lt;D xsi:type="xsd:double"&gt;-1.4840245&lt;/D&gt;&lt;D xsi:type="xsd:double"&gt;-6.7207394&lt;/D&gt;&lt;D xsi:type="xsd:double"&gt;0.49690008&lt;/D&gt;&lt;D xsi:type="xsd:double"&gt;-0.16481876&lt;/D&gt;&lt;D xsi:type="xsd:double"&gt;-2.6826262&lt;/D&gt;&lt;D xsi:type="xsd:double"&gt;-4.1640043&lt;/D&gt;&lt;D xsi:type="xsd:double"&gt;-3.294748&lt;/D&gt;&lt;D xsi:type="xsd:double"&gt;11.924494&lt;/D&gt;&lt;D xsi:type="xsd:double"&gt;1.8922329&lt;/D&gt;&lt;D xsi:type="xsd:double"&gt;-3.0278563&lt;/D&gt;&lt;D xsi:type="xsd:double"&gt;-1.3738573&lt;/D&gt;&lt;D xsi:type="xsd:double"&gt;0.20403862&lt;/D&gt;&lt;D xsi:type="xsd:double"&gt;5.1709414&lt;/D&gt;&lt;D xsi:type="xsd:double"&gt;-1.053232&lt;/D&gt;&lt;D xsi:type="xsd:double"&gt;-0.3318131&lt;/D&gt;&lt;D xsi:type="xsd:double"&gt;-2.0189524&lt;/D&gt;&lt;D xsi:type="xsd:double"&gt;2.0184994&lt;/D&gt;&lt;D xsi:type="xsd:double"&gt;2.7498603&lt;/D&gt;&lt;D xsi:type="xsd:double"&gt;1.9910574&lt;/D&gt;&lt;D xsi:type="xsd:double"&gt;5.976093&lt;/D&gt;&lt;D xsi:type="xsd:double"&gt;0.48872232&lt;/D&gt;&lt;D xsi:type="xsd:double"&gt;8.380091&lt;/D&gt;&lt;D xsi:type="xsd:double"&gt;1.6223669&lt;/D&gt;&lt;D xsi:type="xsd:double"&gt;1.3635159&lt;/D&gt;&lt;D xsi:type="xsd:double"&gt;3.0529141&lt;/D&gt;&lt;D xsi:type="xsd:double"&gt;2.5016427&lt;/D&gt;&lt;D xsi:type="xsd:double"&gt;2.3763657&lt;/D&gt;&lt;D xsi:type="xsd:double"&gt;-2.132994&lt;/D&gt;&lt;D xsi:type="xsd:double"&gt;1.6987085&lt;/D&gt;&lt;D xsi:type="xsd:double"&gt;4.084003&lt;/D&gt;&lt;D xsi:type="xsd:double"&gt;-4.263091&lt;/D&gt;&lt;D xsi:type="xsd:double"&gt;2.7353644&lt;/D&gt;&lt;D xsi:type="xsd:double"&gt;1.2383938&lt;/D&gt;&lt;D xsi:type="xsd:double"&gt;-1.8042803&lt;/D&gt;&lt;D xsi:type="xsd:double"&gt;0.4048586&lt;/D&gt;&lt;D xsi:type="xsd:double"&gt;-1.9986928&lt;/D&gt;&lt;D xsi:type="xsd:double"&gt;-1.6082346&lt;/D&gt;&lt;D xsi:type="xsd:double"&gt;-0.8980036&lt;/D&gt;&lt;D xsi:type="xsd:double"&gt;-6.5158486&lt;/D&gt;&lt;D xsi:type="xsd:double"&gt;0.38814545&lt;/D&gt;&lt;D xsi:type="xsd:double"&gt;-3.0579984&lt;/D&gt;&lt;D xsi:type="xsd:double"&gt;-1.2307525&lt;/D&gt;&lt;D xsi:type="xsd:double"&gt;6.6027284&lt;/D&gt;&lt;D xsi:type="xsd:double"&gt;2.3875475&lt;/D&gt;&lt;D xsi:type="xsd:double"&gt;4.8665166&lt;/D&gt;&lt;D xsi:type="xsd:double"&gt;-3.2871425&lt;/D&gt;&lt;D xsi:type="xsd:double"&gt;3.3655405&lt;/D&gt;&lt;D xsi:type="xsd:double"&gt;2.2627711&lt;/D&gt;&lt;D xsi:type="xsd:double"&gt;-2.260977&lt;/D&gt;&lt;D xsi:type="xsd:double"&gt;5.684066&lt;/D&gt;&lt;D xsi:type="xsd:double"&gt;-1.0944366&lt;/D&gt;&lt;D xsi:type="xsd:double"&gt;3.0667067&lt;/D&gt;&lt;D xsi:type="xsd:double"&gt;2.9447913&lt;/D&gt;&lt;D xsi:type="xsd:double"&gt;1.458013&lt;/D&gt;&lt;D xsi:type="xsd:double"&gt;1.9610763&lt;/D&gt;&lt;D xsi:type="xsd:double"&gt;-25.350689&lt;/D&gt;&lt;D xsi:type="xsd:double"&gt;5.346763&lt;/D&gt;&lt;D xsi:type="xsd:double"&gt;3.3836007&lt;/D&gt;&lt;D xsi:type="xsd:double"&gt;12.877977&lt;/D&gt;&lt;D xsi:type="xsd:double"&gt;7.512307&lt;/D&gt;&lt;D xsi:type="xsd:double"&gt;4.777348&lt;/D&gt;&lt;D xsi:type="xsd:double"&gt;-0.8724928&lt;/D&gt;&lt;D xsi:type="xsd:double"&gt;4.5428634&lt;/D&gt;&lt;D xsi:type="xsd:double"&gt;4.3997765&lt;/D&gt;&lt;D xsi:type="xsd:double"&gt;4.2924047&lt;/D&gt;&lt;D xsi:type="xsd:double"&gt;6.6083074&lt;/D&gt;&lt;D xsi:type="xsd:double"&gt;7.9108&lt;/D&gt;&lt;D xsi:type="xsd:double"&gt;-2.4363756&lt;/D&gt;&lt;D xsi:type="xsd:double"&gt;6.57748&lt;/D&gt;&lt;D xsi:type="xsd:double"&gt;-1.2133837&lt;/D&gt;&lt;D xsi:type="xsd:double"&gt;6.0343146&lt;/D&gt;&lt;D xsi:type="xsd:double"&gt;-2.3723364&lt;/D&gt;&lt;D xsi:type="xsd:double"&gt;5.518949&lt;/D&gt;&lt;D xsi:type="xsd:double"&gt;3.649485&lt;/D&gt;&lt;D xsi:type="xsd:double"&gt;-6.1382055&lt;/D&gt;&lt;D xsi:type="xsd:double"&gt;6.3390136&lt;/D&gt;&lt;D xsi:type="xsd:double"&gt;-8.110416&lt;/D&gt;&lt;D xsi:type="xsd:double"&gt;1.5454412&lt;/D&gt;&lt;D xsi:type="xsd:double"&gt;-8.664775&lt;/D&gt;&lt;D xsi:type="xsd:double"&gt;-14.419013&lt;/D&gt;&lt;D xsi:type="xsd:double"&gt;5.996883&lt;/D&gt;&lt;D xsi:type="xsd:double"&gt;-8.93951&lt;/D&gt;&lt;D xsi:type="xsd:double"&gt;-5.2031937&lt;/D&gt;&lt;D xsi:type="xsd:double"&gt;-2.6731849&lt;/D&gt;&lt;D xsi:type="xsd:double"&gt;13.5853405&lt;/D&gt;&lt;D xsi:type="xsd:double"&gt;-11.54446&lt;/D&gt;&lt;D xsi:type="xsd:double"&gt;-10.052908&lt;/D&gt;&lt;D xsi:type="xsd:double"&gt;23.36601&lt;/D&gt;&lt;D xsi:type="xsd:double"&gt;5.818641&lt;/D&gt;&lt;D xsi:type="xsd:double"&gt;5.6675076&lt;/D&gt;&lt;D xsi:type="xsd:double"&gt;0.6674528&lt;/D&gt;&lt;D xsi:type="xsd:double"&gt;-5.991&lt;/D&gt;&lt;D xsi:type="xsd:double"&gt;7.25441&lt;/D&gt;&lt;D xsi:type="xsd:double"&gt;-1.996249&lt;/D&gt;&lt;D xsi:type="xsd:double"&gt;3.7858963&lt;/D&gt;&lt;D xsi:type="xsd:double"&gt;5.3700686&lt;/D&gt;&lt;D xsi:type="xsd:double"&gt;-5.096388&lt;/D&gt;&lt;D xsi:type="xsd:double"&gt;-7.996738&lt;/D&gt;&lt;D xsi:type="xsd:double"&gt;-4.7582808&lt;/D&gt;&lt;D xsi:type="xsd:double"&gt;7.1676016&lt;/D&gt;&lt;D xsi:type="xsd:double"&gt;9.796119&lt;/D&gt;&lt;D xsi:type="xsd:double"&gt;-0.5688429&lt;/D&gt;&lt;D xsi:type="xsd:double"&gt;5.575943&lt;/D&gt;&lt;D xsi:type="xsd:double"&gt;6.389916&lt;/D&gt;&lt;D xsi:type="xsd:double"&gt;-1.5117526&lt;/D&gt;&lt;D xsi:type="xsd:double"&gt;5.247879&lt;/D&gt;&lt;D xsi:type="xsd:double"&gt;1.9652009&lt;/D&gt;&lt;/FQL&gt;&lt;FQL&gt;&lt;Q&gt;SPY^FMA_DIV_YLD(NTMA,-10AY,0,AM,"PORTAGG","MEANR")&lt;/Q&gt;&lt;R&gt;121&lt;/R&gt;&lt;C&gt;1&lt;/C&gt;&lt;D xsi:type="xsd:double"&gt;2.1156816090426&lt;/D&gt;&lt;D xsi:type="xsd:double"&gt;2.09999318935238&lt;/D&gt;&lt;D xsi:type="xsd:double"&gt;2.13912612323729&lt;/D&gt;&lt;D xsi:type="xsd:double"&gt;2.11026912673755&lt;/D&gt;&lt;D xsi:type="xsd:double"&gt;2.24908557675713&lt;/D&gt;&lt;D xsi:type="xsd:double"&gt;2.09037704356061&lt;/D&gt;&lt;D xsi:type="xsd:double"&gt;2.14980447837433&lt;/D&gt;&lt;D xsi:type="xsd:double"&gt;2.14506927069527&lt;/D&gt;&lt;D xsi:type="xsd:double"&gt;2.10604062913922&lt;/D&gt;&lt;D xsi:type="xsd:double"&gt;2.19237359466593&lt;/D&gt;&lt;D xsi:type="xsd:double"&gt;2.15819447606483&lt;/D&gt;&lt;D xsi:type="xsd:double"&gt;2.1653065726601&lt;/D&gt;&lt;D xsi:type="xsd:double"&gt;2.17634430099422&lt;/D&gt;&lt;D xsi:type="xsd:double"&gt;2.17226613432488&lt;/D&gt;&lt;D xsi:type="xsd:double"&gt;2.21912106557447&lt;/D&gt;&lt;D xsi:type="xsd:double"&gt;2.3678583434001&lt;/D&gt;&lt;D xsi:type="xsd:double"&gt;2.32404216598056&lt;/D&gt;&lt;D xsi:type="xsd:double"&gt;2.33448330452586&lt;/D&gt;&lt;D xsi:type="xsd:double"&gt;2.34103294675335&lt;/D&gt;&lt;D xsi:type="xsd:double"&gt;2.51088632127853&lt;/D&gt;&lt;D xsi:type="xsd:double"&gt;2.45182025901469&lt;/D&gt;&lt;D xsi:type="xsd:double"&gt;2.47519773454617&lt;/D&gt;&lt;D xsi:type="xsd:double"&gt;2.29179874134034&lt;/D&gt;&lt;D xsi:type="xsd:double"&gt;2.29270141173246&lt;/D&gt;&lt;D xsi:type="xsd:double"&gt;2.29668982589615&lt;/D&gt;&lt;D xsi:type</t>
        </r>
      </text>
    </comment>
    <comment ref="A4" authorId="0" shapeId="0" xr:uid="{F3FD4061-2423-4514-B759-0332EAE25F0B}">
      <text>
        <r>
          <rPr>
            <b/>
            <sz val="9"/>
            <color indexed="81"/>
            <rFont val="Tahoma"/>
            <charset val="1"/>
          </rPr>
          <t>="xsd:double"&gt;2.22743228147714&lt;/D&gt;&lt;D xsi:type="xsd:double"&gt;2.20341664155043&lt;/D&gt;&lt;D xsi:type="xsd:double"&gt;2.26534279019436&lt;/D&gt;&lt;D xsi:type="xsd:double"&gt;2.25959891932686&lt;/D&gt;&lt;D xsi:type="xsd:double"&gt;2.23891481056996&lt;/D&gt;&lt;D xsi:type="xsd:double"&gt;2.15218139741852&lt;/D&gt;&lt;D xsi:type="xsd:double"&gt;2.1612069884052&lt;/D&gt;&lt;D xsi:type="xsd:double"&gt;2.13119339653493&lt;/D&gt;&lt;D xsi:type="xsd:double"&gt;2.10086397438693&lt;/D&gt;&lt;D xsi:type="xsd:double"&gt;2.15093950389525&lt;/D&gt;&lt;D xsi:type="xsd:double"&gt;2.10952993394301&lt;/D&gt;&lt;D xsi:type="xsd:double"&gt;2.07969317701584&lt;/D&gt;&lt;D xsi:type="xsd:double"&gt;2.09821557924266&lt;/D&gt;&lt;D xsi:type="xsd:double"&gt;2.11521825969821&lt;/D&gt;&lt;D xsi:type="xsd:double"&gt;2.07643834672002&lt;/D&gt;&lt;D xsi:type="xsd:double"&gt;2.03870731281238&lt;/D&gt;&lt;D xsi:type="xsd:double"&gt;2.01767195695952&lt;/D&gt;&lt;D xsi:type="xsd:double"&gt;1.96554197585356&lt;/D&gt;&lt;D xsi:type="xsd:double"&gt;1.89000774206863&lt;/D&gt;&lt;D xsi:type="xsd:double"&gt;2.01054143621513&lt;/D&gt;&lt;D xsi:type="xsd:double"&gt;1.95843017561762&lt;/D&gt;&lt;D xsi:type="xsd:double"&gt;2.05575943027115&lt;/D&gt;&lt;D xsi:type="xsd:double"&gt;2.02027602670771&lt;/D&gt;&lt;D xsi:type="xsd:double"&gt;1.99726061815355&lt;/D&gt;&lt;D xsi:type="xsd:double"&gt;2.00323932845769&lt;/D&gt;&lt;D xsi:type="xsd:double"&gt;2.00689971436239&lt;/D&gt;&lt;D xsi:type="xsd:double"&gt;1.95871880015685&lt;/D&gt;&lt;D xsi:type="xsd:double"&gt;2.06684288990431&lt;/D&gt;&lt;D xsi:type="xsd:double"&gt;2.10708545123778&lt;/D&gt;&lt;D xsi:type="xsd:double"&gt;2.18207498198797&lt;/D&gt;&lt;D xsi:type="xsd:double"&gt;2.24375147571903&lt;/D&gt;&lt;D xsi:type="xsd:double"&gt;2.13155736561017&lt;/D&gt;&lt;D xsi:type="xsd:double"&gt;2.09366184282584&lt;/D&gt;&lt;D xsi:type="xsd:double"&gt;2.04142467108021&lt;/D&gt;&lt;D xsi:type="xsd:double"&gt;2.1240531763447&lt;/D&gt;&lt;D xsi:type="xsd:double"&gt;2.08044330528164&lt;/D&gt;&lt;D xsi:type="xsd:double"&gt;2.00642321887985&lt;/D&gt;&lt;D xsi:type="xsd:double"&gt;2.07467502390283&lt;/D&gt;&lt;D xsi:type="xsd:double"&gt;2.02950472846538&lt;/D&gt;&lt;D xsi:type="xsd:double"&gt;2.06478356511096&lt;/D&gt;&lt;D xsi:type="xsd:double"&gt;1.99671772289655&lt;/D&gt;&lt;D xsi:type="xsd:double"&gt;1.96231167176912&lt;/D&gt;&lt;D xsi:type="xsd:double"&gt;1.90573949663748&lt;/D&gt;&lt;D xsi:type="xsd:double"&gt;1.87217060691564&lt;/D&gt;&lt;D xsi:type="xsd:double"&gt;2.33416209139675&lt;/D&gt;&lt;D xsi:type="xsd:double"&gt;2.24350500072908&lt;/D&gt;&lt;D xsi:type="xsd:double"&gt;2.15156783265489&lt;/D&gt;&lt;D xsi:type="xsd:double"&gt;1.98159846011006&lt;/D&gt;&lt;D xsi:type="xsd:double"&gt;1.89002705129976&lt;/D&gt;&lt;D xsi:type="xsd:double"&gt;1.7656406163289&lt;/D&gt;&lt;D xsi:type="xsd:double"&gt;1.78685498467693&lt;/D&gt;&lt;D xsi:type="xsd:double"&gt;1.70236574236798&lt;/D&gt;&lt;D xsi:type="xsd:double"&gt;1.66991381899266&lt;/D&gt;&lt;D xsi:type="xsd:double"&gt;1.64069499288334&lt;/D&gt;&lt;D xsi:type="xsd:double"&gt;1.55969306356427&lt;/D&gt;&lt;D xsi:type="xsd:double"&gt;1.52505351692165&lt;/D&gt;&lt;D xsi:type="xsd:double"&gt;1.53153744291914&lt;/D&gt;&lt;D xsi:type="xsd:double"&gt;1.46660315049112&lt;/D&gt;&lt;D xsi:type="xsd:double"&gt;1.48645613899748&lt;/D&gt;&lt;D xsi:type="xsd:double"&gt;1.4510659079588&lt;/D&gt;&lt;D xsi:type="xsd:double"&gt;1.42812648794376&lt;/D&gt;&lt;D xsi:type="xsd:double"&gt;1.41039247556718&lt;/D&gt;&lt;D xsi:type="xsd:double"&gt;1.4202122438822&lt;/D&gt;&lt;D xsi:type="xsd:double"&gt;1.46261215260073&lt;/D&gt;&lt;D xsi:type="xsd:double"&gt;1.36993187360092&lt;/D&gt;&lt;D xsi:type="xsd:double"&gt;1.38351919021116&lt;/D&gt;&lt;D xsi:type="xsd:double"&gt;1.38893541542865&lt;/D&gt;&lt;D xsi:type="xsd:double"&gt;1.48778686865678&lt;/D&gt;&lt;D xsi:type="xsd:double"&gt;1.57135822541424&lt;/D&gt;&lt;D xsi:type="xsd:double"&gt;1.481713632295&lt;/D&gt;&lt;D xsi:type="xsd:double"&gt;1.64737853577806&lt;/D&gt;&lt;D xsi:type="xsd:double"&gt;1.78170150036522&lt;/D&gt;&lt;D xsi:type="xsd:double"&gt;1.77021717084618&lt;/D&gt;&lt;D xsi:type="xsd:double"&gt;1.58623958918524&lt;/D&gt;&lt;D xsi:type="xsd:double"&gt;1.74090969242748&lt;/D&gt;&lt;D xsi:type="xsd:double"&gt;1.87235407572399&lt;/D&gt;&lt;D xsi:type="xsd:double"&gt;1.73184263173671&lt;/D&gt;&lt;D xsi:type="xsd:double"&gt;1.72402247752236&lt;/D&gt;&lt;D xsi:type="xsd:double"&gt;1.73957494130317&lt;/D&gt;&lt;D xsi:type="xsd:double"&gt;1.69282884317824&lt;/D&gt;&lt;D xsi:type="xsd:double"&gt;1.82488590783422&lt;/D&gt;&lt;D xsi:type="xsd:double"&gt;1.70379832843668&lt;/D&gt;&lt;D xsi:type="xsd:double"&gt;1.71057302112043&lt;/D&gt;&lt;D xsi:type="xsd:double"&gt;1.62653958684018&lt;/D&gt;&lt;D xsi:type="xsd:double"&gt;1.57809980246117&lt;/D&gt;&lt;D xsi:type="xsd:double"&gt;1.60613834910376&lt;/D&gt;&lt;D xsi:type="xsd:double"&gt;1.61213523172045&lt;/D&gt;&lt;D xsi:type="xsd:double"&gt;1.67867815097328&lt;/D&gt;&lt;D xsi:type="xsd:double"&gt;1.6519791811547&lt;/D&gt;&lt;D xsi:type="xsd:double"&gt;1.55424825780147&lt;/D&gt;&lt;D xsi:type="xsd:double"&gt;1.54010351852182&lt;/D&gt;&lt;D xsi:type="xsd:double"&gt;1.50961501015109&lt;/D&gt;&lt;D xsi:type="xsd:double"&gt;1.45397329606388&lt;/D&gt;&lt;D xsi:type="xsd:double"&gt;1.47021468873125&lt;/D&gt;&lt;D xsi:type="xsd:double"&gt;1.46232228813219&lt;/D&gt;&lt;D xsi:type="xsd:double"&gt;1.42946990030341&lt;/D&gt;&lt;/FQL&gt;&lt;FQL&gt;&lt;Q&gt;EWU^FMA_PE(NTMA,-10AY,0,AM,"PORTAGG","MEANR")&lt;/Q&gt;&lt;R&gt;121&lt;/R&gt;&lt;C&gt;1&lt;/C&gt;&lt;D xsi:type="xsd:double"&gt;13.6281941834329&lt;/D&gt;&lt;D xsi:type="xsd:double"&gt;13.4705476197054&lt;/D&gt;&lt;D xsi:type="xsd:double"&gt;13.301606863856&lt;/D&gt;&lt;D xsi:type="xsd:double"&gt;13.37645788891&lt;/D&gt;&lt;D xsi:type="xsd:double"&gt;12.5667276099915&lt;/D&gt;&lt;D xsi:type="xsd:double"&gt;13.3633703295638&lt;/D&gt;&lt;D xsi:type="xsd:double"&gt;13.2067531288074&lt;/D&gt;&lt;D xsi:type="xsd:double"&gt;13.8201665883999&lt;/D&gt;&lt;D xsi:type="xsd:double"&gt;15.5036702680426&lt;/D&gt;&lt;D xsi:type="xsd:double"&gt;15.161945669856&lt;/D&gt;&lt;D xsi:type="xsd:double"&gt;15.9992839919417&lt;/D&gt;&lt;D xsi:type="xsd:double"&gt;16.1181135730982&lt;/D&gt;&lt;D xsi:type="xsd:double"&gt;15.5874338361336&lt;/D&gt;&lt;D xsi:type="xsd:double"&gt;15.3798690630206&lt;/D&gt;&lt;D xsi:type="xsd:double"&gt;15.1533422188202&lt;/D&gt;&lt;D xsi:type="xsd:double"&gt;14.325634596936&lt;/D&gt;&lt;D xsi:type="xsd:double"&gt;15.0833044719642&lt;/D&gt;&lt;D xsi:type="xsd:double"&gt;14.8289045462216&lt;/D&gt;&lt;D xsi:type="xsd:double"&gt;14.5504639555129&lt;/D&gt;&lt;D xsi:type="xsd:double"&gt;15.0185294148567&lt;/D&gt;&lt;D xsi:type="xsd:double"&gt;14.8392059698641&lt;/D&gt;&lt;D xsi:type="xsd:double"&gt;16.020247807802&lt;/D&gt;&lt;D xsi:type="xsd:double"&gt;16.52423654255&lt;/D&gt;&lt;D xsi:type="xsd:double"&gt;15.6788972623022&lt;/D&gt;&lt;D xsi:type="xsd:double"&gt;15.2420542767305&lt;/D&gt;&lt;D xsi:type="xsd:double"&gt;16.0777523996552&lt;/D&gt;&lt;D xsi:type="xsd:double"&gt;16.325565105227&lt;/D&gt;&lt;D xsi:type="xsd:double"&gt;15.4156914270613&lt;/D&gt;&lt;D xsi:type="xsd:double"&gt;15.2475113740924&lt;/D&gt;&lt;D xsi:type="xsd:double"&gt;14.3743852810301&lt;/D&gt;&lt;D xsi:type="xsd:double"&gt;14.4539562543368&lt;/D&gt;&lt;D xsi:type="xsd:double"&gt;14.4966975516942&lt;/D&gt;&lt;D xsi:type="xsd:double"&gt;14.5531744012715&lt;/D&gt;&lt;D xsi:type="xsd:double"&gt;14.4076962399868&lt;/D&gt;&lt;D xsi:type="xsd:double"&gt;14.4367506231128&lt;/D&gt;&lt;D xsi:type="xsd:double"&gt;14.6808018038584&lt;/D&gt;&lt;D xsi:type="xsd:double"&gt;14.651711822219&lt;/D&gt;&lt;D xsi:type="xsd:double"&gt;14.6161260308024&lt;/D&gt;&lt;D xsi:type="xsd:double"&gt;14.4243020492942&lt;/D&gt;&lt;D xsi:type="xsd:double"&gt;14.599717865476&lt;/D&gt;&lt;D xsi:type="xsd:double"&gt;14.6816732470311&lt;/D&gt;&lt;D xsi:type="xsd:double"&gt;14.2799082340475&lt;/D&gt;&lt;D xsi:type="xsd:double"&gt;14.4515663010917&lt;/D&gt;&lt;D xsi:type="xsd:double"&gt;14.8397820257274&lt;/D&gt;&lt;D xsi:type="xsd:double"&gt;13.476627101045&lt;/D&gt;&lt;D xsi:type="xsd:double"&gt;13.4262006770087&lt;/D&gt;&lt;D xsi:type="xsd:double"&gt;13.5914747108807&lt;/D&gt;&lt;D xsi:type="xsd:double"&gt;13.9891439125936&lt;/D&gt;&lt;D xsi:type="xsd:double"&gt;13.5411372474713&lt;/D&gt;&lt;D xsi:type="xsd:double"&gt;13.2353429998222&lt;/D&gt;&lt;D xsi:type="xsd:double"&gt;12.9837428799903&lt;/D&gt;&lt;D xsi:type="xsd:double"&gt;12.4147256731397&lt;/D&gt;&lt;D xsi:type="xsd:double"&gt;11.8366036319624&lt;/D&gt;&lt;D xsi:type="xsd:double"&gt;11.8892279099673&lt;/D&gt;&lt;D xsi:type="xsd:double"&gt;11.5782725452687&lt;/D&gt;&lt;D xsi:type="xsd:double"&gt;11.8642334111706&lt;/D&gt;&lt;D xsi:type="xsd:double"&gt;12.4161727251229&lt;/D&gt;&lt;D xsi:type="xsd:double"&gt;12.4490443844869&lt;/D&gt;&lt;D xsi:type="xsd:double"&gt;12.7885761071576&lt;/D&gt;&lt;D xsi:type="xsd:double"&gt;12.1720078877387&lt;/D&gt;&lt;D xsi:type="xsd:double"&gt;12.4636191744842&lt;/D&gt;&lt;D xsi:type="xsd:double"&gt;12.6404035341792&lt;/D&gt;&lt;D xsi:type="xsd:double"&gt;11.9917213864487&lt;/D&gt;&lt;D xsi:type="xsd:double"&gt;12.4316986448491&lt;/D&gt;&lt;D xsi:type="xsd:double"&gt;12.4399017044762&lt;/D&gt;&lt;D xsi:type="xsd:double"&gt;12.870889868635&lt;/D&gt;&lt;D xsi:type="xsd:double"&gt;13.1988559192803&lt;/D&gt;&lt;D xsi:type="xsd:double"&gt;13.4720283809776&lt;/D&gt;&lt;D xsi:type="xsd:double"&gt;13.4003061504047&lt;/D&gt;&lt;D xsi:type="xsd:double"&gt;10.1416588327211&lt;/D&gt;&lt;D xsi:type="xsd:double"&gt;13.3054459145319&lt;/D&gt;&lt;D xsi:type="xsd:double"&gt;15.0444418609109&lt;/D&gt;&lt;D xsi:type="xsd:double"&gt;15.9019814225927&lt;/D&gt;&lt;D xsi:type="xsd:double"&gt;15.7812708229612&lt;/D&gt;&lt;D xsi:type="xsd:double"&gt;15.8538210812858&lt;/D&gt;&lt;D xsi:type="xsd:double"&gt;15.0329871236299&lt;/D&gt;&lt;D xsi:type="xsd:double"&gt;14.3710218849985&lt;/D&gt;&lt;D xsi:type="xsd:double"&gt;14.6973204693436&lt;/D&gt;&lt;D xsi:type="xsd:double"&gt;14.7996997701666&lt;/D&gt;&lt;D xsi:type="xsd:double"&gt;14.5650162191562&lt;/D&gt;&lt;D xsi:type="xsd:double"&gt;14.0836389003849&lt;/D&gt;&lt;D xsi:type="xsd:double"&gt;14.0751557248093&lt;/D&gt;&lt;D xsi:type="xsd:double"&gt;13.343523320388&lt;/D&gt;&lt;D xsi:type="xsd:double"&gt;13.1588867746246&lt;/D&gt;&lt;D xsi:type="xsd:double"&gt;13.2186602423752&lt;/D&gt;&lt;D xsi:type="xsd:double"&gt;12.6464703655401&lt;/D&gt;&lt;D xsi:type="xsd:double"&gt;12.4290976497705&lt;/D&gt;&lt;D xsi:type="xsd:double"&gt;12.0329452730269&lt;/D&gt;&lt;D xsi:type="xsd:double"&gt;12.1148485834403&lt;/D&gt;&lt;D xsi:type="xsd:double"&gt;12.1230139523591&lt;/D&gt;&lt;D xsi:type="xsd:double"&gt;11.9373582331542&lt;/D&gt;&lt;D xsi:type="xsd:double"&gt;12.4917404496407&lt;/D&gt;&lt;D xsi:type="xsd:double"&gt;12.4026246604778&lt;/D&gt;&lt;D xsi:type="xsd:double"&gt;11.3002413464471&lt;/D&gt;&lt;D xsi:type="xsd:double"&gt;11.1770451177592&lt;/D&gt;&lt;D xsi:type="xsd:double"&gt;10.2130343109544&lt;/D&gt;&lt;D xsi:type="xsd:double"&gt;9.7477676400155&lt;/D&gt;&lt;D xsi:type="xsd:double"&gt;9.49734711674211&lt;/D&gt;&lt;D xsi:type="xsd:double"&gt;9.81826625597988&lt;/D&gt;&lt;D xsi:type="xsd:double"&gt;9.34133586197806&lt;/D&gt;&lt;D xsi:type="xsd:double"&gt;8.56971902248786&lt;/D&gt;&lt;D xsi:type="xsd:double"&gt;9.39165873373761&lt;/D&gt;&lt;D xsi:type="xsd:double"&gt;9.98726905691435&lt;/D&gt;&lt;D xsi:type="xsd:double"&gt;10.4369494076572&lt;/D&gt;&lt;D xsi:type="xsd:double"&gt;10.6381050685843&lt;/D&gt;&lt;D xsi:type="xsd:double"&gt;10.0794290742351&lt;/D&gt;&lt;D xsi:type="xsd:double"&gt;10.8006807687964&lt;/D&gt;&lt;D xsi:type="xsd:double"&gt;10.5060933341202&lt;/D&gt;&lt;D xsi:type="xsd:double"&gt;10.3279688007433&lt;/D&gt;&lt;D xsi:type="xsd:double"&gt;10.4499348236045&lt;/D&gt;&lt;D xsi:type="xsd:double"&gt;10.503761804625&lt;/D&gt;&lt;D xsi:type="xsd:double"&gt;10.4042173283405&lt;/D&gt;&lt;D xsi:type="xsd:double"&gt;10.3452531340027&lt;/D&gt;&lt;D xsi:type="xsd:double"&gt;10.1892051290263&lt;/D&gt;&lt;D xsi:type="xsd:double"&gt;10.6055057930486&lt;/D&gt;&lt;D xsi:type="xsd:double"&gt;10.99522377176&lt;/D&gt;&lt;D xsi:type="xsd:double"&gt;10.9123177541986&lt;/D&gt;&lt;D xsi:type="xsd:double"&gt;11.3924683472154&lt;/D&gt;&lt;D xsi:type="xsd:double"&gt;11.5034990791076&lt;/D&gt;&lt;D xsi:type="xsd:double"&gt;11.9011990693443&lt;/D&gt;&lt;D xsi:type="xsd:double"&gt;11.5536772783788&lt;/D&gt;&lt;/FQL&gt;&lt;FQL&gt;&lt;Q&gt;EWJ^FMA_PE(LTMA,-10AY,0,AM,"PORTAGG","MEANR")&lt;/Q&gt;&lt;R&gt;121&lt;/R&gt;&lt;C&gt;1&lt;/C&gt;&lt;D xsi:type="xsd:double"&gt;15.3231129784518&lt;/D&gt;&lt;D xsi:type="xsd:double"&gt;15.1876667938493&lt;/D&gt;&lt;D xsi:type="xsd:double"&gt;15.0198896292049&lt;/D&gt;&lt;D xsi:type="xsd:double"&gt;15.2585615979241&lt;/D&gt;&lt;D xsi:type="xsd:double"&gt;14.6677555453729&lt;/D&gt;&lt;D xsi:type="xsd:double"&gt;15.8994241445046&lt;/D&gt;&lt;D xsi:type="xsd:double"&gt;15.6711940372779&lt;/D&gt;&lt;D xsi:type="xsd:double"&gt;15.4824404845503&lt;/D&gt;&lt;D xsi:type="xsd:double"&gt;16.0616306388166&lt;/D&gt;&lt;D xsi:type="xsd:double"&gt;16.932912698453&lt;/D&gt;&lt;D xsi:type="xsd:double"&gt;16.897886422739&lt;/D&gt;&lt;D xsi:type="xsd:double"&gt;16.955045908153&lt;/D&gt;&lt;D xsi:type="xsd:double"&gt;17.0182069184101&lt;/D&gt;&lt;D xsi:type="xsd:double"&gt;16.6240038179955&lt;/D&gt;&lt;D xsi:type="xsd:double"&gt;16.8258777364241&lt;/D&gt;&lt;D xsi:type="xsd:double"&gt;15.4554872071275&lt;/D&gt;&lt;D xsi:type="xsd:double"&gt;15.4558570640475&lt;/D&gt;&lt;D xsi:type="xsd:double"&gt;16.1374401491894&lt;/D&gt;&lt;D xsi:type="xsd:double"&gt;15.7344265555179&lt;/D&gt;&lt;D xsi:type="xsd:double"&gt;14.7187240337656&lt;/D&gt;&lt;D xsi:type="xsd:double"&gt;12.4005548182792&lt;/D&gt;&lt;D xsi:type="xsd:double"&gt;13.8980621957561&lt;/D&gt;&lt;D xsi:type="xsd:double"&gt;13.7821664064796&lt;/D&gt;&lt;D xsi:type="xsd:double"&gt;13.8150023298499&lt;/D&gt;&lt;D xsi:type="xsd:double"&gt;13.8059799282254&lt;/D&gt;&lt;D xsi:type="xsd:double"&gt;14.0323917871213&lt;/D&gt;&lt;D xsi:type="xsd:double"&gt;14.1438707735123&lt;/D&gt;&lt;D xsi:type="xsd:double"&gt;14.2424809255706&lt;/D&gt;&lt;D xsi:type="xsd:double"&gt;14.3220392236251&lt;/D&gt;&lt;D xsi:type="xsd:double"&gt;14.726368354767&lt;/D&gt;&lt;D xsi:type="xsd:double"&gt;16.5316023317927&lt;/D&gt;&lt;D xsi:type="xsd:double"&gt;16.6314603625066&lt;/D&gt;&lt;D xsi:type="xsd:double"&gt;16.439621818134&lt;/D&gt;&lt;D xsi:type="xsd:double"&gt;15.9471994908653&lt;/D&gt;&lt;D xsi:type="xsd:double"&gt;15.5214720725998&lt;/D&gt;&lt;D xsi:type="xsd:double"&gt;15.6974544801761&lt;/D&gt;&lt;D xsi:type="xsd:double"&gt;15.6207340714556&lt;/D&gt;&lt;D xsi:type="xsd:double"&gt;15.4866938423682&lt;/D&gt;&lt;D xsi:type="xsd:double"&gt;15.1952121941301&lt;/D&gt;&lt;D xsi:type="xsd:double"&gt;14.8407603772546&lt;/D&gt;&lt;D xsi:type="xsd:double"&gt;15.1285208372042&lt;/D&gt;&lt;D xsi:type="xsd:double"&gt;15.717403814778&lt;/D&gt;&lt;D xsi:type="xsd:double"&gt;16.2215182385451&lt;/D&gt;&lt;D xsi:type="xsd:double"&gt;16.8554473808461&lt;/D&gt;&lt;D xsi:type="xsd:double"&gt;15.0228583656402&lt;/D&gt;&lt;D xsi:type="xsd:double"&gt;14.4161681823747&lt;/D&gt;&lt;D xsi:type="xsd:double"&gt;14.2381202740088&lt;/D&gt;&lt;D xsi:type="xsd:double"&gt;14.3065771505919&lt;/D&gt;&lt;D xsi:type="xsd:double"&gt;14.2048346028656&lt;/D&gt;&lt;D xsi:type="xsd:double"&gt;13.8786754005506&lt;/D&gt;&lt;D xsi:type="xsd:double"&gt;13.512540098574&lt;/D&gt;&lt;D xsi:type="xsd:double"&gt;13.4579545883964&lt;/D&gt;&lt;D xsi:type="xsd:double"&gt;13.2519175787343&lt;/D&gt;&lt;D xsi:type="xsd:double"&gt;12.6924279903707&lt;/D&gt;&lt;D xsi:type="xsd:double"&gt;12.4589556838932&lt;/D&gt;&lt;D xsi:type="xsd:double"&gt;11.7916340124008&lt;/D&gt;&lt;D xsi:type="xsd:double"&gt;12.4655639381955&lt;/D&gt;&lt;D xsi:type="xsd:double"&gt;12.680047825754&lt;/D&gt;&lt;D xsi:type="xsd:double"&gt;12.7270650621839&lt;/D&gt;&lt;D xsi:type="xsd:double"&gt;12.6021186584093&lt;/D&gt;&lt;D xsi:type="xsd:double"&gt;12.7548885304622&lt;/D&gt;&lt;D xsi:type="xsd:double"&gt;12.9844538691513&lt;/D&gt;&lt;D xsi:type="xsd:double"&gt;12.6594022904562&lt;/D&gt;&lt;D xsi:type="xsd:double"&gt;13.5142273934765&lt;/D&gt;&lt;D xsi:type="xsd:double"&gt;13.5026267323471&lt;/D&gt;&lt;D xsi:type="xsd:double"&gt;14.4663843551294&lt;/D&gt;&lt;D xsi:type="xsd:double"&gt;15.3019185915254&lt;/D&gt;&lt;D xsi:type="xsd:double"&gt;15.4539187111327&lt;/D&gt;&lt;D xsi:type="xsd:double"&gt;15.4200647467762&lt;/D&gt;&lt;D xsi:type="xsd:double"&gt;13.5416684257252&lt;/D&gt;&lt;D xsi:type="xsd:double"&gt;13.8716230321811&lt;/D&gt;&lt;D xsi:type="xsd:double"&gt;14.5083024960276&lt;/D&gt;&lt;D xsi:type="xsd:double"&gt;16.3134710553222&lt;/D&gt;&lt;D xsi:type="xsd:double"&gt;17.4224365884533&lt;/D&gt;&lt;D xsi:type="xsd:double"&gt;18.146048489477&lt;/D&gt;&lt;D xsi:type="xsd:double"&gt;19.5249453821875&lt;/D&gt;&lt;D xsi:type="xsd:double"&gt;20.6075184079326&lt;/D&gt;&lt;D xsi:type="xsd:double"&gt;21.715572196722&lt;/D&gt;&lt;D xsi:type="xsd:double"&gt;22.7323813412554&lt;/D&gt;&lt;D xsi:type="xsd:double"&gt;24.0371448188486&lt;/D&gt;&lt;D xsi:type="xsd:double"&gt;23.7008482682245&lt;/D&gt;&lt;D xsi:type="xsd:double"&gt;21.592602997539&lt;/D&gt;&lt;D xsi:type="xsd:double"&gt;21.1473882480134&lt;/D&gt;&lt;D xsi:type="xsd:double"&gt;20.2634470588467&lt;/D&gt;&lt;D xsi:type="xsd:double"&gt;20.1178244133301&lt;/D&gt;&lt;D xsi:type="xsd:double"&gt;19.6504144526528&lt;/D&gt;&lt;D xsi:type="xsd:double"&gt;18.8983753430726&lt;/D&gt;&lt;D xsi:type="xsd:double"&gt;18.7991831470875&lt;/D&gt;&lt;D xsi:type="xsd:double"&gt;17.569633775442&lt;/D&gt;&lt;D xsi:type="xsd:double"&gt;17.5921173301574&lt;/D&gt;&lt;D xsi:type="xsd:double"&gt;16.4080912690371&lt;/D&gt;&lt;D xsi:type="xsd:double"&gt;16.1074246157997&lt;/D&gt;&lt;D xsi:type="xsd:double"&gt;15.4117521931391&lt;/D&gt;&lt;D xsi:type="xsd:double"&gt;14.5151456089611&lt;/D&gt;&lt;D xsi:type="xsd:double"&gt;14.4575699434698&lt;/D&gt;&lt;D xsi:type="xsd:double"&gt;14.215028982755&lt;/D&gt;&lt;D xsi:type="xsd:double"&gt;14.073946345936&lt;/D&gt;&lt;D xsi:type="xsd:double"&gt;13.8266915766038&lt;/D&gt;&lt;D xsi:type="xsd:double"&gt;14.0392784969186&lt;/D&gt;&lt;D xsi:type="xsd:double"&gt;13.8159569376338&lt;/D&gt;&lt;D xsi:type="xsd:double"&gt;12.9683441807967&lt;/D&gt;&lt;D xsi:type="xsd:double"&gt;13.5397537492169&lt;/D&gt;&lt;D xsi:type="xsd:double"&gt;13.390033738667&lt;/D&gt;&lt;D xsi:type="xsd:double"&gt;12.8891003587554&lt;/D&gt;&lt;D xsi:type="xsd:double"&gt;13.5029757757118&lt;/D&gt;&lt;D xsi:type="xsd:double"&gt;13.6554141381607&lt;/D&gt;&lt;D xsi:type="xsd:double"&gt;13.6726534210385&lt;/D&gt;&lt;D xsi:type="xsd:double"&gt;13.876641707318&lt;/D&gt;&lt;D xsi:type="xsd:double"&gt;14.438724389169&lt;/D&gt;&lt;D xsi:type="xsd:double"&gt;14.468097536048&lt;/D&gt;&lt;D xsi:type="xsd:double"&gt;14.6602819293284&lt;/D&gt;&lt;D xsi:type="xsd:double"&gt;15.0227963302764&lt;/D&gt;&lt;D xsi:type="xsd:double"&gt;14.7955166788368&lt;/D&gt;&lt;D xsi:type="xsd:double"&gt;14.9880806603912&lt;/D&gt;&lt;D xsi:type="xsd:double"&gt;15.1654293494821&lt;/D&gt;&lt;D xsi:type="xsd:double"&gt;16.2149168370899&lt;/D&gt;&lt;D xsi:type="xsd:double"&gt;16.7532867523127&lt;/D&gt;&lt;D xsi:type="xsd:double"&gt;16.9336644131697&lt;/D&gt;&lt;D xsi:type="xsd:double"&gt;16.9482636239835&lt;/D&gt;&lt;D xsi:type="xsd:double"&gt;16.7141715758182&lt;/D&gt;&lt;D xsi:type="xsd:double"&gt;16.8101082814224&lt;/D&gt;&lt;/FQL&gt;&lt;FQL&gt;&lt;Q&gt;WL-FDS^FG_PRICE_CHANGE(0,-1AY)&lt;/Q&gt;&lt;R&gt;1&lt;/R&gt;&lt;C&gt;1&lt;/C&gt;&lt;D xsi:type="xsd:double"&gt;-16.5588235294118&lt;/D&gt;&lt;/FQL&gt;&lt;FQL&gt;&lt;Q&gt;EWN^FG_COMPANY_NAME&lt;/Q&gt;&lt;R&gt;1&lt;/R&gt;&lt;C&gt;1&lt;/C&gt;&lt;D xsi:type="xsd:string"&gt;iShares MSCI Netherlands ETF&lt;/D&gt;&lt;/FQL&gt;&lt;FQL&gt;&lt;Q&gt;VWO^FG_TOTAL_RETURNC(0,-12AM)&lt;/Q&gt;&lt;R&gt;1&lt;/R&gt;&lt;C&gt;1&lt;/C&gt;&lt;D xsi:type="xsd:double"&gt;9.523106&lt;/D&gt;&lt;/FQL&gt;&lt;FQL&gt;&lt;Q&gt;CAGDPY@US^EE_ACTUAL_ANNUAL(MED,0)&lt;/Q&gt;&lt;R&gt;1&lt;/R&gt;&lt;C&gt;1&lt;/C&gt;&lt;D xsi:type="xsd:double"&gt;-2.99561673751749&lt;/D&gt;&lt;/FQL&gt;&lt;FQL&gt;&lt;Q&gt;USDITL^FG_PRICE(0)&lt;/Q&gt;&lt;R&gt;1&lt;/R&gt;&lt;C&gt;1&lt;/C&gt;&lt;D xsi:type="xsd:double"&gt;1797.5862&lt;/D&gt;&lt;/FQL&gt;&lt;FQL&gt;&lt;Q&gt;USDANG^FG_PRICE(0)&lt;/Q&gt;&lt;R&gt;1&lt;/R&gt;&lt;C&gt;1&lt;/C&gt;&lt;D xsi:type="xsd:double"&gt;1.79&lt;/D&gt;&lt;/FQL&gt;&lt;FQL&gt;&lt;Q&gt;USDUSD^FG_PRICE(0)&lt;/Q&gt;&lt;R&gt;1&lt;/R&gt;&lt;C&gt;1&lt;/C&gt;&lt;D xsi:type="xsd:double"&gt;1&lt;/D&gt;&lt;/FQL&gt;&lt;FQL&gt;&lt;Q&gt;USDJPY^FG_PRICE(0)&lt;/Q&gt;&lt;R&gt;1&lt;/R&gt;&lt;C&gt;1&lt;/C&gt;&lt;D xsi:type="xsd:double"&gt;156.925&lt;/D&gt;&lt;/FQL&gt;&lt;FQL&gt;&lt;Q&gt;USDCAD^FG_PRICE(0)&lt;/Q&gt;&lt;R&gt;1&lt;/R&gt;&lt;C&gt;1&lt;/C&gt;&lt;D xsi:type="xsd:double"&gt;1.37555&lt;/D&gt;&lt;/FQL&gt;&lt;FQL&gt;&lt;Q&gt;USDNZD^FG_PRICE(0)&lt;/Q&gt;&lt;R&gt;1&lt;/R&gt;&lt;C&gt;1&lt;/C&gt;&lt;D xsi:type="xsd:double"&gt;1.6208769&lt;/D&gt;&lt;/FQL&gt;&lt;FQL&gt;&lt;Q&gt;EWI^P_PRICE_RETURNS_PR('52W',2,-10AY,0,AM)&lt;/Q&gt;&lt;R&gt;121&lt;/R&gt;&lt;C&gt;1&lt;/C&gt;&lt;D xsi:type="xsd:double"&gt;41.03261&lt;/D&gt;&lt;D xsi:type="xsd:double"&gt;39.275753&lt;/D&gt;&lt;D xsi:type="xsd:double"&gt;14.482856&lt;/D&gt;&lt;D xsi:type="xsd:double"&gt;19.685268&lt;/D&gt;&lt;D xsi:type="xsd:double"&gt;-4.1614475&lt;/D&gt;&lt;D xsi:type="xsd:double"&gt;-5.2651167&lt;/D&gt;&lt;D xsi:type="xsd:double"&gt;-3.3575594&lt;/D&gt;&lt;D xsi:type="xsd:double"&gt;-15.541583&lt;/D&gt;&lt;D xsi:type="xsd:double"&gt;-10.152167&lt;/D&gt;&lt;D xsi:type="xsd:double"&gt;-12.726188&lt;/D&gt;&lt;D xsi:type="xsd:double"&gt;-11.986142&lt;/D&gt;&lt;D xsi:type="xsd:double"&gt;-7.5315895&lt;/D&gt;&lt;D xsi:type="xsd:double"&gt;-11.595768&lt;/D&gt;&lt;D xsi:type="xsd:double"&gt;-7.753557&lt;/D&gt;&lt;D xsi:type="xsd:double"&gt;3.4619331&lt;/D&gt;&lt;D xsi:type="xsd:double"&gt;-6.054282&lt;/D&gt;&lt;D xsi:type="xsd:double"&gt;7.545972&lt;/D&gt;&lt;D xsi:type="xsd:double"&gt;1.8876314&lt;/D&gt;&lt;D xsi:type="xsd:double"&gt;-0.07815957&lt;/D&gt;&lt;D xsi:type="xsd:double"&gt;0.88882446&lt;/D&gt;&lt;D xsi:type="xsd:double"&gt;-21.479733&lt;/D&gt;&lt;D xsi:type="xsd:double"&gt;-9.896982&lt;/D&gt;&lt;D xsi:type="xsd:double"&gt;-17.541105&lt;/D&gt;&lt;D xsi:type="xsd:double"&gt;-22.59965&lt;/D&gt;&lt;D xsi:type="xsd:double"&gt;-25.56492&lt;/D&gt;&lt;D xsi:type="xsd:double"&gt;-25.488031&lt;/D&gt;&lt;D xsi:type="xsd:double"&gt;-25.645733&lt;/D&gt;&lt;D xsi:type="xsd:double"&gt;-22.907347&lt;/D&gt;&lt;D xsi:type="xsd:double"&gt;-26.059555&lt;/D&gt;&lt;D xsi:type="xsd:double"&gt;-20.764833&lt;/D&gt;&lt;D xsi:type="xsd:double"&gt;-9.312409&lt;/D&gt;&lt;D xsi:type="xsd:double"&gt;-0.61445236&lt;/D&gt;&lt;D xsi:type="xsd:double"&gt;11.674476&lt;/D&gt;&lt;D xsi:type="xsd:double"&gt;1.6647935&lt;/D&gt;&lt;D xsi:type="xsd:double"&gt;6.0695767&lt;/D&gt;&lt;D xsi:type="xsd:double"&gt;20.464611&lt;/D&gt;&lt;D xsi:type="xsd:double"&gt;29.656197&lt;/D&gt;&lt;D xsi:type="xsd:double"&gt;35.135902&lt;/D&gt;&lt;D xsi:type="xsd:double"&gt;35.031963&lt;/D&gt;&lt;D xsi:type="xsd:double"&gt;42.680584&lt;/D&gt;&lt;D xsi:type="xsd:double"&gt;47.657333&lt;/D&gt;&lt;D xsi:type="xsd:double"&gt;42.253876&lt;/D&gt;&lt;D xsi:type="xsd:double"&gt;31.493114&lt;/D&gt;&lt;D xsi:type="xsd:double"&gt;38.575745&lt;/D&gt;&lt;D xsi:type="xsd:double"&gt;36.380184&lt;/D&gt;&lt;D xsi:type="xsd:double"&gt;34.03013&lt;/D&gt;&lt;D xsi:type="xsd:double"&gt;38.32923&lt;/D&gt;&lt;D xsi:type="xsd:double"&gt;24.101437&lt;/D&gt;&lt;D xsi:type="xsd:double"&gt;10.874498&lt;/D&gt;&lt;D xsi:type="xsd:double"&gt;5.1639557&lt;/D&gt;&lt;D xsi:type="xsd:double"&gt;-3.4542918&lt;/D&gt;&lt;D xsi:type="xsd:double"&gt;-6.070471&lt;/D&gt;&lt;D xsi:type="xsd:double"&gt;-13.808846&lt;/D&gt;&lt;D xsi:type="xsd:double"&gt;-15.256065&lt;/D&gt;&lt;D xsi:type="xsd:double"&gt;-15.336859&lt;/D&gt;&lt;D xsi:type="xsd:double"&gt;-18.651522&lt;/D&gt;&lt;D xsi:type="xsd:double"&gt;-14.521986&lt;/D&gt;&lt;D xsi:type="xsd:double"&gt;-12.637699&lt;/D&gt;&lt;D xsi:type="xsd:double"&gt;-11.217367&lt;/D&gt;&lt;D xsi:type="xsd:double"&gt;-16.868752&lt;/D&gt;&lt;D xsi:type="xsd:double"&gt;-7.0830765&lt;/D&gt;&lt;D xsi:type="xsd:double"&gt;2.6831865&lt;/D&gt;&lt;D xsi:type="xsd:double"&gt;-0.43979287&lt;/D&gt;&lt;D xsi:type="xsd:double"&gt;4.6154737&lt;/D&gt;&lt;D xsi:type="xsd:double"&gt;12.832737&lt;/D&gt;&lt;D xsi:type="xsd:double"&gt;22.77788&lt;/D&gt;&lt;D xsi:type="xsd:double"&gt;21.16462&lt;/D&gt;&lt;D xsi:type="xsd:double"&gt;21.567095&lt;/D&gt;&lt;D xsi:type="xsd:double"&gt;19.760418&lt;/D&gt;&lt;D xsi:type="xsd:double"&gt;-20.33763&lt;/D&gt;&lt;D xsi:type="xsd:double"&gt;-22.66522&lt;/D&gt;&lt;D xsi:type="xsd:double"&gt;-21.090984&lt;/D&gt;&lt;D xsi:type="xsd:double"&gt;-8.738285&lt;/D&gt;&lt;D xsi:type="xsd:double"&gt;-12.414813&lt;/D&gt;&lt;D xsi:type="xsd:double"&gt;2.0214677&lt;/D&gt;&lt;D xsi:type="xsd:double"&gt;-5.02373&lt;/D&gt;&lt;D xsi:type="xsd:double"&gt;-8.527666&lt;/D&gt;&lt;D xsi:type="xsd:double"&gt;-5.456257&lt;/D&gt;&lt;D xsi:type="xsd:double"&gt;1.8901587&lt;/D&gt;&lt;D xsi:type="xsd:double"&gt;2.9105663&lt;/D&gt;&lt;D xsi:type="xsd:double"&gt;4.34345&lt;/D&gt;&lt;D xsi:type="xsd:double"&gt;72.124626&lt;/D&gt;&lt;D xsi:type="xsd:double"&gt;54.800842&lt;/D&gt;&lt;D xsi:type="xsd:double"&gt;62.516914&lt;/D&gt;&lt;D xsi:type="xsd:double"&gt;49.77491&lt;/D&gt;&lt;D xsi:type="xsd:double"&gt;32.908237&lt;/D&gt;&lt;D xsi:type="xsd:double"&gt;31.801987&lt;/D&gt;&lt;D xsi:type="xsd:double"&gt;30.253733&lt;/D&gt;&lt;D xsi:type="xsd:double"&gt;32.088352&lt;/D&gt;&lt;D xsi:type="xsd:double"&gt;29.993069&lt;/D&gt;&lt;D xsi:type="xsd:double"&gt;13.174475&lt;/D&gt;&lt;D xsi:type="xsd:double"&gt;15.090752&lt;/D&gt;&lt;D xsi:type="xsd:double"&gt;7.3375583&lt;/D&gt;&lt;D xsi:type="xsd:double"&gt;-12.605101&lt;/D&gt;&lt;D xsi:type="xsd:double"&gt;-6.4975796&lt;/D&gt;&lt;D xsi:type="xsd:double"&gt;-13.968247&lt;/D&gt;&lt;D xsi:type="xsd:double"&gt;-24.457937&lt;/D&gt;&lt;D xsi:type="xsd:double"&gt;-24.850727&lt;/D&gt;&lt;D xsi:type="xsd:double"&gt;-21.155035&lt;/D&gt;&lt;D xsi:type="xsd:double"&gt;-24.477959&lt;/D&gt;&lt;D xsi:type="xsd:double"&gt;-28.95226&lt;/D&gt;&lt;D xsi:type="xsd:double"&gt;-15.555531&lt;/D&gt;&lt;D xsi:type="xsd:double"&gt;-8.800197&lt;/D&gt;&lt;D xsi:type="xsd:double"&gt;-7.8005433&lt;/D&gt;&lt;D xsi:type="xsd:double"&gt;-0.39514303&lt;/D&gt;&lt;D xsi:type="xsd:double"&gt;13.386273&lt;/D&gt;&lt;D xsi:type="xsd:double"&gt;13.6122465&lt;/D&gt;&lt;D xsi:type="xsd:double"&gt;24.116528&lt;/D&gt;&lt;D xsi:type="xsd:double"&gt;31.145525&lt;/D&gt;&lt;D xsi:type="xsd:double"&gt;49.7175&lt;/D&gt;&lt;D xsi:type="xsd:double"&gt;31.808674&lt;/D&gt;&lt;D xsi:type="xsd:double"&gt;37.574886&lt;/D&gt;&lt;D xsi:type="xsd:double"&gt;42.14132&lt;/D&gt;&lt;D xsi:type="xsd:double"&gt;19.274176&lt;/D&gt;&lt;D xsi:type="xsd:double"&gt;25.492847&lt;/D&gt;&lt;D xsi:type="xsd:double"&gt;18.622185&lt;/D&gt;&lt;D xsi:type="xsd:double"&gt;13.378167&lt;/D&gt;&lt;D xsi:type="xsd:double"&gt;32.80237&lt;/D&gt;&lt;D xsi:type="xsd:double"&gt;18.468369&lt;/D&gt;&lt;D xsi:type="xsd:double"&gt;26.933516&lt;/D&gt;&lt;D xsi:type="xsd:double"&gt;22.68567&lt;/D&gt;&lt;/FQL&gt;&lt;FQL&gt;&lt;Q&gt;NI-FDS^FG_PRICE_CHANGE(0,-1AY)&lt;/Q&gt;&lt;R&gt;1&lt;/R&gt;&lt;C&gt;1&lt;/C&gt;&lt;D xsi:type="xsd:double"&gt;-17.4117647058823&lt;/D&gt;&lt;/FQL&gt;&lt;FQL&gt;&lt;Q&gt;CPALM-FDS^FG_PRICE_CHANGE(0,-1AY)&lt;/Q&gt;&lt;R&gt;1&lt;/R&gt;&lt;C&gt;1&lt;/C&gt;&lt;D xsi:type="xsd:double"&gt;14.3272304562627&lt;/D&gt;&lt;/FQL&gt;&lt;FQL&gt;&lt;Q&gt;BRENT-FDS^FG_PRICE_CHANGE(0,-1AY)&lt;/Q&gt;&lt;R&gt;1&lt;/R&gt;&lt;C&gt;1&lt;/C&gt;&lt;D xsi:type="xsd:double"&gt;16.1525974025974&lt;/D&gt;&lt;/FQL&gt;&lt;FQL&gt;&lt;Q&gt;TIOS-FDS^FG_PRICE_CHANGE(0,-1AY)&lt;/Q&gt;&lt;R&gt;1&lt;/R&gt;&lt;C&gt;1&lt;/C&gt;&lt;D xsi:type="xsd:double"&gt;-4.73988439306359&lt;/D&gt;&lt;/FQL&gt;&lt;FQL&gt;&lt;Q&gt;SPY^FMA_ROE(NTMA,-20AY,NOW,FY,"PORTAGG","MEANR")&lt;/Q&gt;&lt;R&gt;20&lt;/R&gt;&lt;C&gt;1&lt;/C&gt;&lt;D xsi:type="xsd:double"&gt;15.5861790200459&lt;/D&gt;&lt;D xsi:type="xsd:double"&gt;16.7322038566819&lt;/D&gt;&lt;D xsi:type="xsd:double"&gt;17.3873562088184&lt;/D&gt;&lt;D xsi:type="xsd:double"&gt;17.7935626477889&lt;/D&gt;&lt;D xsi:type="xsd:double"&gt;13.9384597707689&lt;/D&gt;&lt;D xsi:type="xsd:double"&gt;14.004346429543&lt;/D&gt;&lt;D xsi:type="xsd:double"&gt;15.0399433453936&lt;/D&gt;&lt;D xsi:type="xsd:double"&gt;15.5262408812809&lt;/D&gt;&lt;D xsi:type="xsd:double"&gt;15.3796547722071&lt;/D&gt;&lt;D xsi:type="xsd:double"&gt;15.8702437846916&lt;/D&gt;&lt;D xsi:type="xsd:double"&gt;15.8106739007597&lt;/D&gt;&lt;D xsi:type="xsd:double"&gt;15.8580313128215&lt;/D&gt;&lt;D xsi:type="xsd:double"&gt;16.0499124928518&lt;/D&gt;&lt;D xsi:type="xsd:double"&gt;16.907948658911&lt;/D&gt;&lt;D xsi:type="xsd:double"&gt;18.8923615036562&lt;/D&gt;&lt;D xsi:type="xsd:double"&gt;18.2929292642344&lt;/D&gt;&lt;D xsi:type="xsd:double"&gt;17.2298191446197&lt;/D&gt;&lt;D xsi:type="xsd:double"&gt;20.6862902761839&lt;/D&gt;&lt;D xsi:type="xsd:double"&gt;20.5983105929019&lt;/D&gt;&lt;D xsi:type="xsd:double"&gt;20.3505037761569&lt;/D&gt;&lt;/FQL&gt;&lt;FQL&gt;&lt;Q&gt;TRYAE10Y-FDS^FG_YIELD(-10AY,0,Y,,"YTM")&lt;/Q&gt;&lt;R&gt;10&lt;/R&gt;&lt;C&gt;1&lt;/C&gt;&lt;D xsi:type="xsd:string"&gt;@NA&lt;/D&gt;&lt;D xsi:type="xsd:string"&gt;@NA&lt;/D&gt;&lt;D xsi:type="xsd:string"&gt;@NA&lt;/D&gt;&lt;D xsi:type="xsd:double"&gt;3.371059&lt;/D&gt;&lt;D xsi:type="xsd:double"&gt;3.6940188&lt;/D&gt;&lt;D xsi:type="xsd:double"&gt;2.542721&lt;/D&gt;&lt;D xsi:type="xsd:double"&gt;1.7060698&lt;/D&gt;&lt;D xsi:type="xsd:double"&gt;2.0444937&lt;/D&gt;&lt;D xsi:type="xsd:double"&gt;4.2739367&lt;/D&gt;&lt;D xsi:type="xsd:string"&gt;@NA&lt;/D&gt;&lt;/FQL&gt;&lt;FQL&gt;&lt;Q&gt;TRYJP10Y-FDS^FG_YIELD(-10AY,0,Y,,"YTM")&lt;/Q&gt;&lt;R&gt;10&lt;/R&gt;&lt;C&gt;1&lt;/C&gt;&lt;D xsi:type="xsd:double"&gt;0.3138&lt;/D&gt;&lt;D xsi:type="xsd:double"&gt;0.2604&lt;/D&gt;&lt;D xsi:type="xsd:double"&gt;0.0315&lt;/D&gt;&lt;D xsi:type="xsd:double"&gt;0.0465&lt;/D&gt;&lt;D xsi:type="xsd:double"&gt;-0.0051&lt;/D&gt;&lt;D xsi:type="xsd:double"&gt;-0.0208&lt;/D&gt;&lt;D xsi:type="xsd:double"&gt;0.0201&lt;/D&gt;&lt;D xsi:type="xsd:double"&gt;0.0672&lt;/D&gt;&lt;D xsi:type="xsd:double"&gt;0.4224&lt;/D&gt;&lt;D xsi:type="xsd:double"&gt;0.6127&lt;/D&gt;&lt;/FQL&gt;&lt;FQL&gt;&lt;Q&gt;TRYZA10Y-FDS^FG_YIELD(-10AY,0,Y,,"YTM")&lt;/Q&gt;&lt;R&gt;10&lt;/R&gt;&lt;C&gt;1&lt;/C&gt;&lt;D xsi:type="xsd:double"&gt;7.9537&lt;/D&gt;&lt;D xsi:type="xsd:double"&gt;9.7513&lt;/D&gt;&lt;D xsi:type="xsd:double"&gt;8.9047&lt;/D&gt;&lt;D xsi:type="xsd:double"&gt;8.58389&lt;/D&gt;&lt;D xsi:type="xsd:double"&gt;9.37766&lt;/D&gt;&lt;D xsi:type="xsd:double"&gt;9.011772&lt;/D&gt;&lt;D xsi:type="xsd:double"&gt;9.179499&lt;/D&gt;&lt;D xsi:type="xsd:double"&gt;9.791837&lt;/D&gt;&lt;D xsi:type="xsd:double"&gt;10.764477&lt;/D&gt;&lt;D xsi:type="xsd:double"&gt;11.358896&lt;/D&gt;&lt;/FQL&gt;&lt;FQL&gt;&lt;Q&gt;EWG^FMA_PE(LTMA,-10AY,0,AM,"PORTAGG","MEANR")&lt;/Q&gt;&lt;R&gt;121&lt;/R&gt;&lt;C&gt;1&lt;/C&gt;&lt;D xsi:type="xsd:double"&gt;14.6801581144297&lt;/D&gt;&lt;D xsi:type="xsd:double"&gt;14.4068300416694&lt;/D&gt;&lt;D xsi:type="xsd:double"&gt;13.9888732032318&lt;/D&gt;&lt;D xsi:type="xsd:double"&gt;14.2773260602564&lt;/D&gt;&lt;D xsi:type="xsd:double"&gt;13.2735121244735&lt;/D&gt;&lt;D xsi:type="xsd:double"&gt;13.6318654120916&lt;/D&gt;&lt;D xsi:type="xsd:double"&gt;14.0426136947858&lt;/D&gt;&lt;D xsi:type="xsd:double"&gt;14.4702867803735&lt;/D&gt;&lt;D xsi:type="xsd:double"&gt;15.8521558227276&lt;/D&gt;&lt;D xsi:type="xsd:double"&gt;16.5565247450152&lt;/D&gt;&lt;D xsi:type="xsd:double"&gt;16.6320700376243&lt;/D&gt;&lt;D xsi:type="xsd:double"&gt;16.0269524165077&lt;/D&gt;&lt;D xsi:type="xsd:double"&gt;15.6856312016131&lt;/D&gt;&lt;D xsi:type="xsd:double"&gt;15.6468000748393&lt;/D&gt;&lt;D xsi:type="xsd:double"&gt;15.0669784451428&lt;/D&gt;&lt;D xsi:type="xsd:double"&gt;14.1879545370979&lt;/D&gt;&lt;D xsi:type="xsd:double"&gt;13.818017950639&lt;/D&gt;&lt;D xsi:type="xsd:double"&gt;14.3772036149549&lt;/D&gt;&lt;D xsi:type="xsd:double"&gt;13.7111668565447&lt;/D&gt;&lt;D xsi:type="xsd:double"&gt;12.9808547862912&lt;/D&gt;&lt;D xsi:type="xsd:double"&gt;11.8821369605081&lt;/D&gt;&lt;D xsi:type="xsd:double"&gt;12.7194321345345&lt;/D&gt;&lt;D xsi:type="xsd:double"&gt;12.8211988526383&lt;/D&gt;&lt;D xsi:type="xsd:double"&gt;12.7834179318133&lt;/D&gt;&lt;D xsi:type="xsd:double"&gt;12.6174632973649&lt;/D&gt;&lt;D xsi:type="xsd:double"&gt;12.82532462693&lt;/D&gt;&lt;D xsi:type="xsd:double"&gt;13.4364864067603&lt;/D&gt;&lt;D xsi:type="xsd:double"&gt;13.3908528684512&lt;/D&gt;&lt;D xsi:type="xsd:double"&gt;13.5086331501282&lt;/D&gt;&lt;D xsi:type="xsd:double"&gt;13.7021570143689&lt;/D&gt;&lt;D xsi:type="xsd:double"&gt;14.4631366243547&lt;/D&gt;&lt;D xsi:type="xsd:double"&gt;14.9405384559455&lt;/D&gt;&lt;D xsi:type="xsd:double"&gt;15.046812639456&lt;/D&gt;&lt;D xsi:type="xsd:double"&gt;14.9678295162378&lt;/D&gt;&lt;D xsi:type="xsd:double"&gt;14.88237161468&lt;/D&gt;&lt;D xsi:type="xsd:double"&gt;14.9118486583776&lt;/D&gt;&lt;D xsi:type="xsd:double"&gt;14.7778541475363&lt;/D&gt;&lt;D xsi:type="xsd:double"&gt;14.6546489953627&lt;/D&gt;&lt;D xsi:type="xsd:double"&gt;14.1397285354081&lt;/D&gt;&lt;D xsi:type="xsd:double"&gt;14.3874738401328&lt;/D&gt;&lt;D xsi:type="xsd:double"&gt;14.7957171222489&lt;/D&gt;&lt;D xsi:type="xsd:double"&gt;15.225482041872&lt;/D&gt;&lt;D xsi:type="xsd:double"&gt;15.4843513945666&lt;/D&gt;&lt;D xsi:type="xsd:double"&gt;15.5807821514817&lt;/D&gt;&lt;D xsi:type="xsd:double"&gt;14.1674723422873&lt;/D&gt;&lt;D xsi:type="xsd:double"&gt;14.1883483694528&lt;/D&gt;&lt;D xsi:type="xsd:double"&gt;14.1430577168787&lt;/D&gt;&lt;D xsi:type="xsd:double"&gt;14.2223580899837&lt;/D&gt;&lt;D xsi:type="xsd:double"&gt;14.1807687047069&lt;/D&gt;&lt;D xsi:type="xsd:double"&gt;14.0322196984777&lt;/D&gt;&lt;D xsi:type="xsd:double"&gt;13.9493816145777&lt;/D&gt;&lt;D xsi:type="xsd:double"&gt;13.7918104760047&lt;/D&gt;&lt;D xsi:type="xsd:double"&gt;13.2492303707181&lt;/D&gt;&lt;D xsi:type="xsd:double"&gt;13.1043732244307&lt;/D&gt;&lt;D xsi:type="xsd:double"&gt;12.5649197945265&lt;/D&gt;&lt;D xsi:type="xsd:double"&gt;12.4286019601991&lt;/D&gt;&lt;D xsi:type="xsd:double"&gt;12.8833079364791&lt;/D&gt;&lt;D xsi:type="xsd:double"&gt;13.2067134777946&lt;/D&gt;&lt;D xsi:type="xsd:double"&gt;13.2891373410779&lt;/D&gt;&lt;D xsi:type="xsd:double"&gt;13.1992217919352&lt;/D&gt;&lt;D xsi:type="xsd:double"&gt;13.236905413469&lt;/D&gt;&lt;D xsi:type="xsd:double"&gt;13.4989856607263&lt;/D&gt;&lt;D xsi:type="xsd:double"&gt;13.3279089748493&lt;/D&gt;&lt;D xsi:type="xsd:double"&gt;14.0684475231483&lt;/D&gt;&lt;D xsi:type="xsd:double"&gt;14.2074658759574&lt;/D&gt;&lt;D xsi:type="xsd:double"&gt;15.1302869925974&lt;/D&gt;&lt;D xsi:type="xsd:double"&gt;15.4104144504806&lt;/D&gt;&lt;D xsi:type="xsd:double"&gt;15.7232959940034&lt;/D&gt;&lt;D xsi:type="xsd:double"&gt;16.2701624529362&lt;/D&gt;&lt;D xsi:type="xsd:double"&gt;13.4496531080948&lt;/D&gt;&lt;D xsi:type="xsd:double"&gt;14.2793709568494&lt;/D&gt;&lt;D xsi:type="xsd:double"&gt;15.1771881096776&lt;/D&gt;&lt;D xsi:type="xsd:double"&gt;16.8837185007981&lt;/D&gt;&lt;D xsi:type="xsd:double"&gt;18.6733890413011&lt;/D&gt;&lt;D xsi:type="xsd:double"&gt;19.5850610286922&lt;/D&gt;&lt;D xsi:type="xsd:double"&gt;20.4414630495581&lt;/D&gt;&lt;D xsi:type="xsd:double"&gt;20.7369241107972&lt;/D&gt;&lt;D xsi:type="xsd:double"&gt;20.5346440571437&lt;/D&gt;&lt;D xsi:type="xsd:double"&gt;20.7392148199832&lt;/D&gt;&lt;D xsi:type="xsd:double"&gt;22.1809063715795&lt;/D&gt;&lt;D xsi:type="xsd:double"&gt;21.4635791605094&lt;/D&gt;&lt;D xsi:type="xsd:double"&gt;20.2176521756913&lt;/D&gt;&lt;D xsi:type="xsd:double"&gt;19.9291359523044&lt;/D&gt;&lt;D xsi:type="xsd:double"&gt;19.0180127261744&lt;/D&gt;&lt;D xsi:type="xsd:double"&gt;18.7485671370333&lt;/D&gt;&lt;D xsi:type="xsd:double"&gt;18.1895708917139&lt;/D&gt;&lt;D xsi:type="xsd:double"&gt;17.348984166244&lt;/D&gt;&lt;D xsi:type="xsd:double"&gt;16.5864580369809&lt;/D&gt;&lt;D xsi:type="xsd:double"&gt;15.8073664846358&lt;/D&gt;&lt;D xsi:type="xsd:double"&gt;15.379874329784&lt;/D&gt;&lt;D xsi:type="xsd:double"&gt;14.3821211134293&lt;/D&gt;&lt;D xsi:type="xsd:double"&gt;14.2053572544034&lt;/D&gt;&lt;D xsi:type="xsd:double"&gt;13.3543936908569&lt;/D&gt;&lt;D xsi:type="xsd:double"&gt;12.3681779584845&lt;/D&gt;&lt;D xsi:type="xsd:double"&gt;12.3319656208387&lt;/D&gt;&lt;D xsi:type="xsd:double"&gt;12.0748773171004&lt;/D&gt;&lt;D xsi:type="xsd:double"&gt;11.7371349004283&lt;/D&gt;&lt;D xsi:type="xsd:double"&gt;11.2777157254033&lt;/D&gt;&lt;D xsi:type="xsd:double"&gt;11.3225522616112&lt;/D&gt;&lt;D xsi:type="xsd:double"&gt;10.8990774394755&lt;/D&gt;&lt;D xsi:type="xsd:double"&gt;10.0832786138601&lt;/D&gt;&lt;D xsi:type="xsd:double"&gt;11.0081201475376&lt;/D&gt;&lt;D xsi:type="xsd:double"&gt;10.8828342851946&lt;/D&gt;&lt;D xsi:type="xsd:double"&gt;11.3918455050471&lt;/D&gt;&lt;D xsi:type="xsd:double"&gt;11.5981030261432&lt;/D&gt;&lt;D xsi:type="xsd:double"&gt;11.2887812382696&lt;/D&gt;&lt;D xsi:type="xsd:double"&gt;11.4051350004889&lt;/D&gt;&lt;D xsi:type="xsd:double"&gt;11.3301790308254&lt;/D&gt;&lt;D xsi:type="xsd:double"&gt;11.3180754731439&lt;/D&gt;&lt;D xsi:type="xsd:double"&gt;11.2860310206711&lt;/D&gt;&lt;D xsi:type="xsd:double"&gt;11.1961324924858&lt;/D&gt;&lt;D xsi:type="xsd:double"&gt;11.1769003278701&lt;/D&gt;&lt;D xsi:type="xsd:double"&gt;10.9290077790697&lt;/D&gt;&lt;D xsi:type="xsd:double"&gt;11.0402410205239&lt;/D&gt;&lt;D xsi:type="xsd:double"&gt;11.9266159665166&lt;/D&gt;&lt;D xsi:type="xsd:double"&gt;11.8873157908649&lt;/D&gt;&lt;D xsi:type="xsd:double"&gt;11.9930104354702&lt;/D&gt;&lt;D xsi:type="xsd:double"&gt;12.5478860533936&lt;/D&gt;&lt;D xsi:type="xsd:double"&gt;12.5078892828866&lt;/D&gt;&lt;D xsi:type="xsd:double"&gt;12.624721216526&lt;/D&gt;&lt;D xsi:type="xsd:double"&gt;12.5434251689608&lt;/D&gt;&lt;/FQL&gt;&lt;FQL&gt;&lt;Q&gt;CC_US^FG_COMPANY_NAME&lt;/Q&gt;&lt;R&gt;1&lt;/R&gt;&lt;C&gt;1&lt;/C&gt;&lt;D xsi:type="xsd:string"&gt;United States&lt;/D&gt;&lt;/FQL&gt;&lt;FQL&gt;&lt;Q&gt;USDITL^FG_COMPANY_NAME&lt;/Q&gt;&lt;R&gt;1&lt;/R&gt;&lt;C&gt;1&lt;/C&gt;&lt;D xsi:type="xsd:string"&gt;Italian Lira per U.S. Dollar&lt;/D&gt;&lt;/FQL&gt;&lt;FQL&gt;&lt;Q&gt;USDANG^FG_COMPANY_NAME&lt;/Q&gt;&lt;R&gt;1&lt;/R&gt;&lt;C&gt;1&lt;/C&gt;&lt;D xsi:type="xsd:string"&gt;Netherlands Antilles Guilder per U.S. Dollar&lt;/D&gt;&lt;/FQL&gt;&lt;FQL&gt;&lt;Q&gt;USDUSD^FG_COMPANY_NAME&lt;/Q&gt;&lt;R&gt;1&lt;/R&gt;&lt;C&gt;1&lt;/C&gt;&lt;D xsi:type="xsd:string"&gt;U.S. Dollar per U.S. Dollar&lt;/D&gt;&lt;/FQL&gt;&lt;FQL&gt;&lt;Q&gt;USDGBP^FG_COMPANY_NAME&lt;/Q&gt;&lt;R&gt;1&lt;/R&gt;&lt;C&gt;1&lt;/C&gt;&lt;D xsi:type="xsd:string"&gt;British Pounds per U.S. Dollar&lt;/D&gt;&lt;/FQL&gt;&lt;FQL&gt;&lt;Q&gt;USDJPY^FG_COMPANY_NAME&lt;/Q&gt;&lt;R&gt;1&lt;/R&gt;&lt;C&gt;1&lt;/C&gt;&lt;D xsi:type="xsd:string"&gt;Japanese Yen per U.S. Dollar&lt;/D&gt;&lt;/FQL&gt;&lt;FQL&gt;&lt;Q&gt;USDCAD^FG_COMPANY_NAME&lt;/Q&gt;&lt;R&gt;1&lt;/R&gt;&lt;C&gt;1&lt;/C&gt;&lt;D xsi:type="xsd:string"&gt;Canadian Dollar per U.S. Dollar&lt;/D&gt;&lt;/FQL&gt;&lt;FQL&gt;&lt;Q&gt;USDNZD^FG_COMPANY_NAME&lt;/Q&gt;&lt;R&gt;1&lt;/R&gt;&lt;C&gt;1&lt;/C&gt;&lt;D xsi:type="xsd:string"&gt;New Zealand Dollar per U.S. Dollar&lt;/D&gt;&lt;/FQL&gt;&lt;FQL&gt;&lt;Q&gt;EWD^P_PRICE_RETURNS_PR('52W',2,-10AY,0,AM)&lt;/Q&gt;&lt;R&gt;121&lt;/R&gt;&lt;C&gt;1&lt;/C&gt;&lt;D xsi:type="xsd:double"&gt;16.727638&lt;/D&gt;&lt;D xsi:type="xsd:double"&gt;11.52178&lt;/D&gt;&lt;D xsi:type="xsd:double"&gt;4.028535&lt;/D&gt;&lt;D xsi:type="xsd:double"&gt;0.95881224&lt;/D&gt;&lt;D xsi:type="xsd:double"&gt;-7.0561466&lt;/D&gt;&lt;D xsi:type="xsd:double"&gt;1.8980861&lt;/D&gt;&lt;D xsi:type="xsd:double"&gt;1.7658949&lt;/D&gt;&lt;D xsi:type="xsd:double"&gt;-8.892738&lt;/D&gt;&lt;D xsi:type="xsd:double"&gt;-2.353245&lt;/D&gt;&lt;D xsi:type="xsd:double"&gt;-4.430312&lt;/D&gt;&lt;D xsi:type="xsd:double"&gt;-3.1850994&lt;/D&gt;&lt;D xsi:type="xsd:double"&gt;-4.932475&lt;/D&gt;&lt;D xsi:type="xsd:double"&gt;-2.5297105&lt;/D&gt;&lt;D xsi:type="xsd:double"&gt;-1.305598&lt;/D&gt;&lt;D xsi:type="xsd:double"&gt;-1.1676431&lt;/D&gt;&lt;D xsi:type="xsd:double"&gt;-2.4409533&lt;/D&gt;&lt;D xsi:type="xsd:double"&gt;4.5850873&lt;/D&gt;&lt;D xsi:type="xsd:double"&gt;-7.3185086&lt;/D&gt;&lt;D xsi:type="xsd:double"&gt;-10.114515&lt;/D&gt;&lt;D xsi:type="xsd:double"&gt;-8.831024&lt;/D&gt;&lt;D xsi:type="xsd:double"&gt;-17.59193&lt;/D&gt;&lt;D xsi:type="xsd:double"&gt;-7.5143695&lt;/D&gt;&lt;D xsi:type="xsd:double"&gt;-6.0257015&lt;/D&gt;&lt;D xsi:type="xsd:double"&gt;-12.988061&lt;/D&gt;&lt;D xsi:type="xsd:double"&gt;-15.606779&lt;/D&gt;&lt;D xsi:type="xsd:double"&gt;-11.658752&lt;/D&gt;&lt;D xsi:type="xsd:double"&gt;-5.1750603&lt;/D&gt;&lt;D xsi:type="xsd:double"&gt;-4.287505&lt;/D&gt;&lt;D xsi:type="xsd:double"&gt;-4.7579584&lt;/D&gt;&lt;D xsi:type="xsd:double"&gt;-4.1375694&lt;/D&gt;&lt;D xsi:type="xsd:double"&gt;6.8466306&lt;/D&gt;&lt;D xsi:type="xsd:double"&gt;13.513124&lt;/D&gt;&lt;D xsi:type="xsd:double"&gt;20.460451&lt;/D&gt;&lt;D xsi:type="xsd:double"&gt;10.159599&lt;/D&gt;&lt;D xsi:type="xsd:double"&gt;6.8221807&lt;/D&gt;&lt;D xsi:type="xsd:double"&gt;21.64818&lt;/D&gt;&lt;D xsi:type="xsd:double"&gt;26.877546&lt;/D&gt;&lt;D xsi:type="xsd:double"&gt;29.666828&lt;/D&gt;&lt;D xsi:type="xsd:double"&gt;19.425034&lt;/D&gt;&lt;D xsi:type="xsd:double"&gt;25.588072&lt;/D&gt;&lt;D xsi:type="xsd:double"&gt;31.035662&lt;/D&gt;&lt;D xsi:type="xsd:double"&gt;29.09708&lt;/D&gt;&lt;D xsi:type="xsd:double"&gt;20.246338&lt;/D&gt;&lt;D xsi:type="xsd:double"&gt;27.023363&lt;/D&gt;&lt;D xsi:type="xsd:double"&gt;14.056182&lt;/D&gt;&lt;D xsi:type="xsd:double"&gt;13.134074&lt;/D&gt;&lt;D xsi:type="xsd:double"&gt;9.129262&lt;/D&gt;&lt;D xsi:type="xsd:double"&gt;5.013907&lt;/D&gt;&lt;D xsi:type="xsd:double"&gt;0.829041&lt;/D&gt;&lt;D xsi:type="xsd:double"&gt;-6.9775343&lt;/D&gt;&lt;D xsi:type="xsd:double"&gt;-3.049463&lt;/D&gt;&lt;D xsi:type="xsd:double"&gt;-3.9325297&lt;/D&gt;&lt;D xsi:type="xsd:double"&gt;-11.000281&lt;/D&gt;&lt;D xsi:type="xsd:double"&gt;-10.794199&lt;/D&gt;&lt;D xsi:type="xsd:double"&gt;-11.069637&lt;/D&gt;&lt;D xsi:type="xsd:double"&gt;-14.31014&lt;/D&gt;&lt;D xsi:type="xsd:double"&gt;-7.2955728&lt;/D&gt;&lt;D xsi:type="xsd:double"&gt;-7.7892303&lt;/D&gt;&lt;D xsi:type="xsd:double"&gt;2.6551485&lt;/D&gt;&lt;D xsi:type="xsd:double"&gt;-8.563173&lt;/D&gt;&lt;D xsi:type="xsd:double"&gt;-3.8354218&lt;/D&gt;&lt;D xsi:type="xsd:double"&gt;3.4644961&lt;/D&gt;&lt;D xsi:type="xsd:double"&gt;-5.264342&lt;/D&gt;&lt;D xsi:type="xsd:double"&gt;-1.3996661&lt;/D&gt;&lt;D xsi:type="xsd:double"&gt;1.0428548&lt;/D&gt;&lt;D xsi:type="xsd:double"&gt;12.355995&lt;/D&gt;&lt;D xsi:type="xsd:double"&gt;19.40144</t>
        </r>
      </text>
    </comment>
    <comment ref="A5" authorId="0" shapeId="0" xr:uid="{E168C8EA-1D2F-43CF-9018-536BCF411430}">
      <text>
        <r>
          <rPr>
            <b/>
            <sz val="9"/>
            <color indexed="81"/>
            <rFont val="Tahoma"/>
            <charset val="1"/>
          </rPr>
          <t>3&lt;/D&gt;&lt;D xsi:type="xsd:double"&gt;18.485296&lt;/D&gt;&lt;D xsi:type="xsd:double"&gt;18.355751&lt;/D&gt;&lt;D xsi:type="xsd:double"&gt;-9.926313&lt;/D&gt;&lt;D xsi:type="xsd:double"&gt;-15.154296&lt;/D&gt;&lt;D xsi:type="xsd:double"&gt;-6.454575&lt;/D&gt;&lt;D xsi:type="xsd:double"&gt;2.8613925&lt;/D&gt;&lt;D xsi:type="xsd:double"&gt;7.3684573&lt;/D&gt;&lt;D xsi:type="xsd:double"&gt;27.857708&lt;/D&gt;&lt;D xsi:type="xsd:double"&gt;20.548702&lt;/D&gt;&lt;D xsi:type="xsd:double"&gt;24.20063&lt;/D&gt;&lt;D xsi:type="xsd:double"&gt;22.026455&lt;/D&gt;&lt;D xsi:type="xsd:double"&gt;23.47343&lt;/D&gt;&lt;D xsi:type="xsd:double"&gt;26.400316&lt;/D&gt;&lt;D xsi:type="xsd:double"&gt;26.515984&lt;/D&gt;&lt;D xsi:type="xsd:double"&gt;90.48357&lt;/D&gt;&lt;D xsi:type="xsd:double"&gt;81.50086&lt;/D&gt;&lt;D xsi:type="xsd:double"&gt;78.47036&lt;/D&gt;&lt;D xsi:type="xsd:double"&gt;68.848274&lt;/D&gt;&lt;D xsi:type="xsd:double"&gt;50.30931&lt;/D&gt;&lt;D xsi:type="xsd:double"&gt;41.020668&lt;/D&gt;&lt;D xsi:type="xsd:double"&gt;38.456177&lt;/D&gt;&lt;D xsi:type="xsd:double"&gt;31.597317&lt;/D&gt;&lt;D xsi:type="xsd:double"&gt;32.46068&lt;/D&gt;&lt;D xsi:type="xsd:double"&gt;19.722414&lt;/D&gt;&lt;D xsi:type="xsd:double"&gt;17.247831&lt;/D&gt;&lt;D xsi:type="xsd:double"&gt;1.357913&lt;/D&gt;&lt;D xsi:type="xsd:double"&gt;-15.792447&lt;/D&gt;&lt;D xsi:type="xsd:double"&gt;-13.22217&lt;/D&gt;&lt;D xsi:type="xsd:double"&gt;-22.57275&lt;/D&gt;&lt;D xsi:type="xsd:double"&gt;-29.092693&lt;/D&gt;&lt;D xsi:type="xsd:double"&gt;-31.784946&lt;/D&gt;&lt;D xsi:type="xsd:double"&gt;-26.184887&lt;/D&gt;&lt;D xsi:type="xsd:double"&gt;-32.570152&lt;/D&gt;&lt;D xsi:type="xsd:double"&gt;-36.487698&lt;/D&gt;&lt;D xsi:type="xsd:double"&gt;-25.26018&lt;/D&gt;&lt;D xsi:type="xsd:double"&gt;-19.483858&lt;/D&gt;&lt;D xsi:type="xsd:double"&gt;-20.239998&lt;/D&gt;&lt;D xsi:type="xsd:double"&gt;-9.420931&lt;/D&gt;&lt;D xsi:type="xsd:double"&gt;-3.763014&lt;/D&gt;&lt;D xsi:type="xsd:double"&gt;-2.6673377&lt;/D&gt;&lt;D xsi:type="xsd:double"&gt;11.43111&lt;/D&gt;&lt;D xsi:type="xsd:double"&gt;12.56907&lt;/D&gt;&lt;D xsi:type="xsd:double"&gt;21.377373&lt;/D&gt;&lt;D xsi:type="xsd:double"&gt;0.9869218&lt;/D&gt;&lt;D xsi:type="xsd:double"&gt;7.575214&lt;/D&gt;&lt;D xsi:type="xsd:double"&gt;21.1738&lt;/D&gt;&lt;D xsi:type="xsd:double"&gt;-2.4643123&lt;/D&gt;&lt;D xsi:type="xsd:double"&gt;10.745239&lt;/D&gt;&lt;D xsi:type="xsd:double"&gt;9.420431&lt;/D&gt;&lt;D xsi:type="xsd:double"&gt;5.6179404&lt;/D&gt;&lt;D xsi:type="xsd:double"&gt;26.83922&lt;/D&gt;&lt;D xsi:type="xsd:double"&gt;10.763062&lt;/D&gt;&lt;D xsi:type="xsd:double"&gt;15.750944&lt;/D&gt;&lt;D xsi:type="xsd:double"&gt;18.425226&lt;/D&gt;&lt;/FQL&gt;&lt;FQL&gt;&lt;Q&gt;EWQ^FG_TOTAL_RETURNC(-10AY,0,AM)&lt;/Q&gt;&lt;R&gt;121&lt;/R&gt;&lt;C&gt;1&lt;/C&gt;&lt;D xsi:type="xsd:double"&gt;0.06651878&lt;/D&gt;&lt;D xsi:type="xsd:double"&gt;-3.9799094&lt;/D&gt;&lt;D xsi:type="xsd:double"&gt;-5.088335&lt;/D&gt;&lt;D xsi:type="xsd:double"&gt;2.4199486&lt;/D&gt;&lt;D xsi:type="xsd:double"&gt;-10.687023&lt;/D&gt;&lt;D xsi:type="xsd:double"&gt;2.5641084&lt;/D&gt;&lt;D xsi:type="xsd:double"&gt;-2.2619128&lt;/D&gt;&lt;D xsi:type="xsd:double"&gt;-1.4055431&lt;/D&gt;&lt;D xsi:type="xsd:double"&gt;8.766103&lt;/D&gt;&lt;D xsi:type="xsd:double"&gt;-3.2085538&lt;/D&gt;&lt;D xsi:type="xsd:double"&gt;5.051303&lt;/D&gt;&lt;D xsi:type="xsd:double"&gt;2.4417758&lt;/D&gt;&lt;D xsi:type="xsd:double"&gt;-1.100117&lt;/D&gt;&lt;D xsi:type="xsd:double"&gt;-0.57049394&lt;/D&gt;&lt;D xsi:type="xsd:double"&gt;1.0997295&lt;/D&gt;&lt;D xsi:type="xsd:double"&gt;-6.414098&lt;/D&gt;&lt;D xsi:type="xsd:double"&gt;1.7635226&lt;/D&gt;&lt;D xsi:type="xsd:double"&gt;-2.3237526&lt;/D&gt;&lt;D xsi:type="xsd:double"&gt;-2.9435456&lt;/D&gt;&lt;D xsi:type="xsd:double"&gt;-5.6827307&lt;/D&gt;&lt;D xsi:type="xsd:double"&gt;-3.2714486&lt;/D&gt;&lt;D xsi:type="xsd:double"&gt;11.106038&lt;/D&gt;&lt;D xsi:type="xsd:double"&gt;0.9049773&lt;/D&gt;&lt;D xsi:type="xsd:double"&gt;-2.4867535&lt;/D&gt;&lt;D xsi:type="xsd:double"&gt;-1.546824&lt;/D&gt;&lt;D xsi:type="xsd:double"&gt;1.1844516&lt;/D&gt;&lt;D xsi:type="xsd:double"&gt;4.2186856&lt;/D&gt;&lt;D xsi:type="xsd:double"&gt;-1.4869809&lt;/D&gt;&lt;D xsi:type="xsd:double"&gt;-0.83857775&lt;/D&gt;&lt;D xsi:type="xsd:double"&gt;-0.12684464&lt;/D&gt;&lt;D xsi:type="xsd:double"&gt;4.403043&lt;/D&gt;&lt;D xsi:type="xsd:double"&gt;2.7198434&lt;/D&gt;&lt;D xsi:type="xsd:double"&gt;-0.71315765&lt;/D&gt;&lt;D xsi:type="xsd:double"&gt;2.9529095&lt;/D&gt;&lt;D xsi:type="xsd:double"&gt;1.2015581&lt;/D&gt;&lt;D xsi:type="xsd:double"&gt;10.953653&lt;/D&gt;&lt;D xsi:type="xsd:double"&gt;1.4152527&lt;/D&gt;&lt;D xsi:type="xsd:double"&gt;1.2095332&lt;/D&gt;&lt;D xsi:type="xsd:double"&gt;0.06842613&lt;/D&gt;&lt;D xsi:type="xsd:double"&gt;3.8632393&lt;/D&gt;&lt;D xsi:type="xsd:double"&gt;2.271235&lt;/D&gt;&lt;D xsi:type="xsd:double"&gt;-1.6736388&lt;/D&gt;&lt;D xsi:type="xsd:double"&gt;2.2913337&lt;/D&gt;&lt;D xsi:type="xsd:double"&gt;5.246961&lt;/D&gt;&lt;D xsi:type="xsd:double"&gt;-5.0625267&lt;/D&gt;&lt;D xsi:type="xsd:double"&gt;2.152264&lt;/D&gt;&lt;D xsi:type="xsd:double"&gt;1.6352177&lt;/D&gt;&lt;D xsi:type="xsd:double"&gt;1.6089082&lt;/D&gt;&lt;D xsi:type="xsd:double"&gt;-1.6747832&lt;/D&gt;&lt;D xsi:type="xsd:double"&gt;-0.8196771&lt;/D&gt;&lt;D xsi:type="xsd:double"&gt;-3.092128&lt;/D&gt;&lt;D xsi:type="xsd:double"&gt;1.6118407&lt;/D&gt;&lt;D xsi:type="xsd:double"&gt;-5.503398&lt;/D&gt;&lt;D xsi:type="xsd:double"&gt;-3.0147374&lt;/D&gt;&lt;D xsi:type="xsd:double"&gt;-3.0377924&lt;/D&gt;&lt;D xsi:type="xsd:double"&gt;-1.1138022&lt;/D&gt;&lt;D xsi:type="xsd:double"&gt;3.8860083&lt;/D&gt;&lt;D xsi:type="xsd:double"&gt;5.308163&lt;/D&gt;&lt;D xsi:type="xsd:double"&gt;3.382945&lt;/D&gt;&lt;D xsi:type="xsd:double"&gt;-4.31937&lt;/D&gt;&lt;D xsi:type="xsd:double"&gt;3.522575&lt;/D&gt;&lt;D xsi:type="xsd:double"&gt;3.6645055&lt;/D&gt;&lt;D xsi:type="xsd:double"&gt;-4.0822983&lt;/D&gt;&lt;D xsi:type="xsd:double"&gt;3.881514&lt;/D&gt;&lt;D xsi:type="xsd:double"&gt;-0.55719614&lt;/D&gt;&lt;D xsi:type="xsd:double"&gt;4.3177247&lt;/D&gt;&lt;D xsi:type="xsd:double"&gt;1.4849901&lt;/D&gt;&lt;D xsi:type="xsd:double"&gt;2.0225406&lt;/D&gt;&lt;D xsi:type="xsd:double"&gt;-1.0703444&lt;/D&gt;&lt;D xsi:type="xsd:double"&gt;-26.955175&lt;/D&gt;&lt;D xsi:type="xsd:double"&gt;1.6927719&lt;/D&gt;&lt;D xsi:type="xsd:double"&gt;-3.4124076&lt;/D&gt;&lt;D xsi:type="xsd:double"&gt;16.372263&lt;/D&gt;&lt;D xsi:type="xsd:double"&gt;3.858173&lt;/D&gt;&lt;D xsi:type="xsd:double"&gt;6.0279846&lt;/D&gt;&lt;D xsi:type="xsd:double"&gt;-0.50761104&lt;/D&gt;&lt;D xsi:type="xsd:double"&gt;-1.9727886&lt;/D&gt;&lt;D xsi:type="xsd:double"&gt;10.097158&lt;/D&gt;&lt;D xsi:type="xsd:double"&gt;4.412234&lt;/D&gt;&lt;D xsi:type="xsd:double"&gt;3.1340122&lt;/D&gt;&lt;D xsi:type="xsd:double"&gt;0.52940845&lt;/D&gt;&lt;D xsi:type="xsd:double"&gt;4.0959716&lt;/D&gt;&lt;D xsi:type="xsd:double"&gt;2.3046613&lt;/D&gt;&lt;D xsi:type="xsd:double"&gt;3.1318665&lt;/D&gt;&lt;D xsi:type="xsd:double"&gt;5.372882&lt;/D&gt;&lt;D xsi:type="xsd:double"&gt;-3.55317&lt;/D&gt;&lt;D xsi:type="xsd:double"&gt;4.8502564&lt;/D&gt;&lt;D xsi:type="xsd:double"&gt;-1.8958569&lt;/D&gt;&lt;D xsi:type="xsd:double"&gt;-2.2159278&lt;/D&gt;&lt;D xsi:type="xsd:double"&gt;5.559945&lt;/D&gt;&lt;D xsi:type="xsd:double"&gt;-3.826481&lt;/D&gt;&lt;D xsi:type="xsd:double"&gt;4.7745943&lt;/D&gt;&lt;D xsi:type="xsd:double"&gt;-4.8879805&lt;/D&gt;&lt;D xsi:type="xsd:double"&gt;-12.981802&lt;/D&gt;&lt;D xsi:type="xsd:double"&gt;5.8136106&lt;/D&gt;&lt;D xsi:type="xsd:double"&gt;-5.7267485&lt;/D&gt;&lt;D xsi:type="xsd:double"&gt;-4.288268&lt;/D&gt;&lt;D xsi:type="xsd:double"&gt;-2.9850721&lt;/D&gt;&lt;D xsi:type="xsd:double"&gt;11.487186&lt;/D&gt;&lt;D xsi:type="xsd:double"&gt;-8.739651&lt;/D&gt;&lt;D xsi:type="xsd:double"&gt;-6.518817&lt;/D&gt;&lt;D xsi:type="xsd:double"&gt;18.296194&lt;/D&gt;&lt;D xsi:type="xsd:double"&gt;4.0506363&lt;/D&gt;&lt;D xsi:type="xsd:double"&gt;6.858146&lt;/D&gt;&lt;D xsi:type="xsd:double"&gt;1.3439417&lt;/D&gt;&lt;D xsi:type="xsd:double"&gt;-3.382951&lt;/D&gt;&lt;D xsi:type="xsd:double"&gt;10.504198&lt;/D&gt;&lt;D xsi:type="xsd:double"&gt;-1.8504441&lt;/D&gt;&lt;D xsi:type="xsd:double"&gt;-1.1176467&lt;/D&gt;&lt;D xsi:type="xsd:double"&gt;5.6608796&lt;/D&gt;&lt;D xsi:type="xsd:double"&gt;-3.3864021&lt;/D&gt;&lt;D xsi:type="xsd:double"&gt;-4.2898235&lt;/D&gt;&lt;D xsi:type="xsd:double"&gt;-5.1380215&lt;/D&gt;&lt;D xsi:type="xsd:double"&gt;3.0250669&lt;/D&gt;&lt;D xsi:type="xsd:double"&gt;9.004474&lt;/D&gt;&lt;D xsi:type="xsd:double"&gt;-0.84632635&lt;/D&gt;&lt;D xsi:type="xsd:double"&gt;-0.7031262&lt;/D&gt;&lt;D xsi:type="xsd:double"&gt;9.152889&lt;/D&gt;&lt;D xsi:type="xsd:double"&gt;-4.8294067&lt;/D&gt;&lt;D xsi:type="xsd:double"&gt;6.1095595&lt;/D&gt;&lt;D xsi:type="xsd:double"&gt;-5.175245&lt;/D&gt;&lt;/FQL&gt;&lt;FQL&gt;&lt;Q&gt;QQQ^FMA_DIV_YLD(NTMA,-10AY,0,AM,"PORTAGG","MEANR")&lt;/Q&gt;&lt;R&gt;121&lt;/R&gt;&lt;C&gt;1&lt;/C&gt;&lt;D xsi:type="xsd:double"&gt;1.30244503276166&lt;/D&gt;&lt;D xsi:type="xsd:double"&gt;1.25295638039516&lt;/D&gt;&lt;D xsi:type="xsd:double"&gt;1.25109047619058&lt;/D&gt;&lt;D xsi:type="xsd:double"&gt;1.21899396306363&lt;/D&gt;&lt;D xsi:type="xsd:double"&gt;1.32100979673513&lt;/D&gt;&lt;D xsi:type="xsd:double"&gt;1.2145675251637&lt;/D&gt;&lt;D xsi:type="xsd:double"&gt;1.2343405232945&lt;/D&gt;&lt;D xsi:type="xsd:double"&gt;1.22730443220211&lt;/D&gt;&lt;D xsi:type="xsd:double"&gt;1.22393974869272&lt;/D&gt;&lt;D xsi:type="xsd:double"&gt;1.2770310211224&lt;/D&gt;&lt;D xsi:type="xsd:double"&gt;1.2572274054031&lt;/D&gt;&lt;D xsi:type="xsd:double"&gt;1.25679301017019&lt;/D&gt;&lt;D xsi:type="xsd:double"&gt;1.25645393428369&lt;/D&gt;&lt;D xsi:type="xsd:double"&gt;1.24777643389527&lt;/D&gt;&lt;D xsi:type="xsd:double"&gt;1.28270929892008&lt;/D&gt;&lt;D xsi:type="xsd:double"&gt;1.34946956388827&lt;/D&gt;&lt;D xsi:type="xsd:double"&gt;1.3438738434801&lt;/D&gt;&lt;D xsi:type="xsd:double"&gt;1.31674365074279&lt;/D&gt;&lt;D xsi:type="xsd:double"&gt;1.31058183502697&lt;/D&gt;&lt;D xsi:type="xsd:double"&gt;1.38532546822325&lt;/D&gt;&lt;D xsi:type="xsd:double"&gt;1.4698693982285&lt;/D&gt;&lt;D xsi:type="xsd:double"&gt;1.36792810606793&lt;/D&gt;&lt;D xsi:type="xsd:double"&gt;1.31592133682235&lt;/D&gt;&lt;D xsi:type="xsd:double"&gt;1.39899173975275&lt;/D&gt;&lt;D xsi:type="xsd:double"&gt;1.37463674186681&lt;/D&gt;&lt;D xsi:type="xsd:double"&gt;1.32496257792833&lt;/D&gt;&lt;D xsi:type="xsd:double"&gt;1.27553203786919&lt;/D&gt;&lt;D xsi:type="xsd:double"&gt;1.30562636329844&lt;/D&gt;&lt;D xsi:type="xsd:double"&gt;1.28164417277931&lt;/D&gt;&lt;D xsi:type="xsd:double"&gt;1.30955856276947&lt;/D&gt;&lt;D xsi:type="xsd:double"&gt;1.27729906621974&lt;/D&gt;&lt;D xsi:type="xsd:double"&gt;1.25394655088973&lt;/D&gt;&lt;D xsi:type="xsd:double"&gt;1.23376321072552&lt;/D&gt;&lt;D xsi:type="xsd:double"&gt;1.2139450017184&lt;/D&gt;&lt;D xsi:type="xsd:double"&gt;1.23117429046041&lt;/D&gt;&lt;D xsi:type="xsd:double"&gt;1.17332644505465&lt;/D&gt;&lt;D xsi:type="xsd:double"&gt;1.17032530897151&lt;/D&gt;&lt;D xsi:type="xsd:double"&gt;1.18719120171483&lt;/D&gt;&lt;D xsi:type="xsd:double"&gt;1.18881283492331&lt;/D&gt;&lt;D xsi:type="xsd:double"&gt;1.15867247870187&lt;/D&gt;&lt;D xsi:type="xsd:double"&gt;1.14403636962419&lt;/D&gt;&lt;D xsi:type="xsd:double"&gt;1.11272545264067&lt;/D&gt;&lt;D xsi:type="xsd:double"&gt;1.10761951953795&lt;/D&gt;&lt;D xsi:type="xsd:double"&gt;1.04544876277119&lt;/D&gt;&lt;D xsi:type="xsd:double"&gt;1.10291331116669&lt;/D&gt;&lt;D xsi:type="xsd:double"&gt;1.04129402483161&lt;/D&gt;&lt;D xsi:type="xsd:double"&gt;1.11865661543598&lt;/D&gt;&lt;D xsi:type="xsd:double"&gt;1.08179633413312&lt;/D&gt;&lt;D xsi:type="xsd:double"&gt;1.05174669070435&lt;/D&gt;&lt;D xsi:type="xsd:double"&gt;1.03205641056176&lt;/D&gt;&lt;D xsi:type="xsd:double"&gt;1.07951215167455&lt;/D&gt;&lt;D xsi:type="xsd:double"&gt;1.06761375382907&lt;/D&gt;&lt;D xsi:type="xsd:double"&gt;1.1354286671093&lt;/D&gt;&lt;D xsi:type="xsd:double"&gt;1.20750331371688&lt;/D&gt;&lt;D xsi:type="xsd:double"&gt;1.23572174071203&lt;/D&gt;&lt;D xsi:type="xsd:double"&gt;1.26893623605216&lt;/D&gt;&lt;D xsi:type="xsd:double"&gt;1.20677797372898&lt;/D&gt;&lt;D xsi:type="xsd:double"&gt;1.15495909533607&lt;/D&gt;&lt;D xsi:type="xsd:double"&gt;1.10470758827079&lt;/D&gt;&lt;D xsi:type="xsd:double"&gt;1.16131797812843&lt;/D&gt;&lt;D xsi:type="xsd:double"&gt;1.14215138652176&lt;/D&gt;&lt;D xsi:type="xsd:double"&gt;1.0787266771886&lt;/D&gt;&lt;D xsi:type="xsd:double"&gt;1.11484169633773&lt;/D&gt;&lt;D xsi:type="xsd:double"&gt;1.09216343096593&lt;/D&gt;&lt;D xsi:type="xsd:double"&gt;1.10539224339597&lt;/D&gt;&lt;D xsi:type="xsd:double"&gt;1.06476325793819&lt;/D&gt;&lt;D xsi:type="xsd:double"&gt;1.06922344500458&lt;/D&gt;&lt;D xsi:type="xsd:double"&gt;1.01103947203099&lt;/D&gt;&lt;D xsi:type="xsd:double"&gt;0.961224117296642&lt;/D&gt;&lt;D xsi:type="xsd:double"&gt;1.16086598624648&lt;/D&gt;&lt;D xsi:type="xsd:double"&gt;1.11448754792927&lt;/D&gt;&lt;D xsi:type="xsd:double"&gt;1.015049932328&lt;/D&gt;&lt;D xsi:type="xsd:double"&gt;0.939960940167681&lt;/D&gt;&lt;D xsi:type="xsd:double"&gt;0.859322875465578&lt;/D&gt;&lt;D xsi:type="xsd:double"&gt;0.817338799537418&lt;/D&gt;&lt;D xsi:type="xsd:double"&gt;0.825129872969276&lt;/D&gt;&lt;D xsi:type="xsd:double"&gt;0.759806258260241&lt;/D&gt;&lt;D xsi:type="xsd:double"&gt;0.775451368216124&lt;/D&gt;&lt;D xsi:type="xsd:double"&gt;0.753044145720861&lt;/D&gt;&lt;D xsi:type="xsd:double"&gt;0.759967592269928&lt;/D&gt;&lt;D xsi:type="xsd:double"&gt;0.721027809118542&lt;/D&gt;&lt;D xsi:type="xsd:double"&gt;0.775199106347858&lt;/D&gt;&lt;D xsi:type="xsd:double"&gt;0.719733171966849&lt;/D&gt;&lt;D xsi:type="xsd:double"&gt;0.771648148412461&lt;/D&gt;&lt;D xsi:type="xsd:double"&gt;0.729243330776988&lt;/D&gt;&lt;D xsi:type="xsd:double"&gt;0.690369815358683&lt;/D&gt;&lt;D xsi:type="xsd:double"&gt;0.698512348971834&lt;/D&gt;&lt;D xsi:type="xsd:double"&gt;0.688295238785283&lt;/D&gt;&lt;D xsi:type="xsd:double"&gt;0.725540286722476&lt;/D&gt;&lt;D xsi:type="xsd:double"&gt;0.66544005352602&lt;/D&gt;&lt;D xsi:type="xsd:double"&gt;0.676485042985885&lt;/D&gt;&lt;D xsi:type="xsd:double"&gt;0.705508115300016&lt;/D&gt;&lt;D xsi:type="xsd:double"&gt;0.778889564216713&lt;/D&gt;&lt;D xsi:type="xsd:double"&gt;0.845466163150408&lt;/D&gt;&lt;D xsi:type="xsd:double"&gt;0.793641913475308&lt;/D&gt;&lt;D xsi:type="xsd:double"&gt;0.915841215757212&lt;/D&gt;&lt;D xsi:type="xsd:double"&gt;1.01217363962016&lt;/D&gt;&lt;D xsi:type="xsd:double"&gt;0.982824660000964&lt;/D&gt;&lt;D xsi:type="xsd:double"&gt;0.853200765541202&lt;/D&gt;&lt;D xsi:type="xsd:double"&gt;0.969713301156673&lt;/D&gt;&lt;D xsi:type="xsd:double"&gt;1.0664828128925&lt;/D&gt;&lt;D xsi:type="xsd:double"&gt;1.00380449202661&lt;/D&gt;&lt;D xsi:type="xsd:double"&gt;0.999038447984705&lt;/D&gt;&lt;D xsi:type="xsd:double"&gt;0.987446699478789&lt;/D&gt;&lt;D xsi:type="xsd:double"&gt;0.923117000887362&lt;/D&gt;&lt;D xsi:type="xsd:double"&gt;0.973294029845615&lt;/D&gt;&lt;D xsi:type="xsd:double"&gt;0.889629506065696&lt;/D&gt;&lt;D xsi:type="xsd:double"&gt;0.859842342455212&lt;/D&gt;&lt;D xsi:type="xsd:double"&gt;0.776435912018878&lt;/D&gt;&lt;D xsi:type="xsd:double"&gt;0.74659449964867&lt;/D&gt;&lt;D xsi:type="xsd:double"&gt;0.898413038778294&lt;/D&gt;&lt;D xsi:type="xsd:double"&gt;0.883352775717144&lt;/D&gt;&lt;D xsi:type="xsd:double"&gt;0.931517465258051&lt;/D&gt;&lt;D xsi:type="xsd:double"&gt;0.913246000538389&lt;/D&gt;&lt;D xsi:type="xsd:double"&gt;0.862063805119553&lt;/D&gt;&lt;D xsi:type="xsd:double"&gt;0.913721282027064&lt;/D&gt;&lt;D xsi:type="xsd:double"&gt;0.897407050804406&lt;/D&gt;&lt;D xsi:type="xsd:double"&gt;0.882344081816873&lt;/D&gt;&lt;D xsi:type="xsd:double"&gt;0.898253083882641&lt;/D&gt;&lt;D xsi:type="xsd:double"&gt;0.909639352447627&lt;/D&gt;&lt;D xsi:type="xsd:double"&gt;0.855224105702383&lt;/D&gt;&lt;/FQL&gt;&lt;FQL&gt;&lt;Q&gt;EWL^FMA_PE(NTMA,-10AY,0,AM,"PORTAGG","MEANR")&lt;/Q&gt;&lt;R&gt;121&lt;/R&gt;&lt;C&gt;1&lt;/C&gt;&lt;D xsi:type="xsd:double"&gt;16.2469404220411&lt;/D&gt;&lt;D xsi:type="xsd:double"&gt;15.8759194942779&lt;/D&gt;&lt;D xsi:type="xsd:double"&gt;15.780132908521&lt;/D&gt;&lt;D xsi:type="xsd:double"&gt;16.1418752325687&lt;/D&gt;&lt;D xsi:type="xsd:double"&gt;15.054899624823&lt;/D&gt;&lt;D xsi:type="xsd:double"&gt;16.1001915846021&lt;/D&gt;&lt;D xsi:type="xsd:double"&gt;15.6489850724165&lt;/D&gt;&lt;D xsi:type="xsd:double"&gt;15.9963527577887&lt;/D&gt;&lt;D xsi:type="xsd:double"&gt;17.0092735242894&lt;/D&gt;&lt;D xsi:type="xsd:double"&gt;17.5406999845865&lt;/D&gt;&lt;D xsi:type="xsd:double"&gt;18.2086989668853&lt;/D&gt;&lt;D xsi:type="xsd:double"&gt;17.5525480700947&lt;/D&gt;&lt;D xsi:type="xsd:double"&gt;17.3256641821199&lt;/D&gt;&lt;D xsi:type="xsd:double"&gt;17.4801878848919&lt;/D&gt;&lt;D xsi:type="xsd:double"&gt;17.3565372763972&lt;/D&gt;&lt;D xsi:type="xsd:double"&gt;16.4383634756011&lt;/D&gt;&lt;D xsi:type="xsd:double"&gt;16.416745417321&lt;/D&gt;&lt;D xsi:type="xsd:double"&gt;16.6495905761574&lt;/D&gt;&lt;D xsi:type="xsd:double"&gt;16.3629039781085&lt;/D&gt;&lt;D xsi:type="xsd:double"&gt;16.1559663191244&lt;/D&gt;&lt;D xsi:type="xsd:double"&gt;15.6779693546216&lt;/D&gt;&lt;D xsi:type="xsd:double"&gt;16.6850509645926&lt;/D&gt;&lt;D xsi:type="xsd:double"&gt;16.7258263826535&lt;/D&gt;&lt;D xsi:type="xsd:double"&gt;16.6291498538371&lt;/D&gt;&lt;D xsi:type="xsd:double"&gt;16.3488334557028&lt;/D&gt;&lt;D xsi:type="xsd:double"&gt;16.9626522306106&lt;/D&gt;&lt;D xsi:type="xsd:double"&gt;17.6160580413198&lt;/D&gt;&lt;D xsi:type="xsd:double"&gt;17.1712707674338&lt;/D&gt;&lt;D xsi:type="xsd:double"&gt;16.6884494904653&lt;/D&gt;&lt;D xsi:type="xsd:double"&gt;16.4589581239384&lt;/D&gt;&lt;D xsi:type="xsd:double"&gt;16.7564061989647&lt;/D&gt;&lt;D xsi:type="xsd:double"&gt;17.2527591954783&lt;/D&gt;&lt;D xsi:type="xsd:double"&gt;17.3668374536645&lt;/D&gt;&lt;D xsi:type="xsd:double"&gt;17.66708250042&lt;/D&gt;&lt;D xsi:type="xsd:double"&gt;17.3892783728153&lt;/D&gt;&lt;D xsi:type="xsd:double"&gt;18.0923990885338&lt;/D&gt;&lt;D xsi:type="xsd:double"&gt;17.8713490757536&lt;/D&gt;&lt;D xsi:type="xsd:double"&gt;17.8508869532176&lt;/D&gt;&lt;D xsi:type="xsd:double"&gt;17.4298361216625&lt;/D&gt;&lt;D xsi:type="xsd:double"&gt;17.6647191405819&lt;/D&gt;&lt;D xsi:type="xsd:double"&gt;18.0385061798631&lt;/D&gt;&lt;D xsi:type="xsd:double"&gt;17.6115902112006&lt;/D&gt;&lt;D xsi:type="xsd:double"&gt;17.6830837511253&lt;/D&gt;&lt;D xsi:type="xsd:double"&gt;17.8993111783041&lt;/D&gt;&lt;D xsi:type="xsd:double"&gt;16.4109382394089&lt;/D&gt;&lt;D xsi:type="xsd:double"&gt;16.401478618772&lt;/D&gt;&lt;D xsi:type="xsd:double"&gt;16.0816321124181&lt;/D&gt;&lt;D xsi:type="xsd:double"&gt;16.3319589528541&lt;/D&gt;&lt;D xsi:type="xsd:double"&gt;15.7531475037279&lt;/D&gt;&lt;D xsi:type="xsd:double"&gt;15.9640795564181&lt;/D&gt;&lt;D xsi:type="xsd:double"&gt;15.9830352451556&lt;/D&gt;&lt;D xsi:type="xsd:double"&gt;15.9681586538937&lt;/D&gt;&lt;D xsi:type="xsd:double"&gt;15.1319977221845&lt;/D&gt;&lt;D xsi:type="xsd:double"&gt;15.637360818597&lt;/D&gt;&lt;D xsi:type="xsd:double"&gt;15.2355908794092&lt;/D&gt;&lt;D xsi:type="xsd:double"&gt;15.2151961802266&lt;/D&gt;&lt;D xsi:type="xsd:double"&gt;15.7685473956124&lt;/D&gt;&lt;D xsi:type="xsd:double"&gt;16.3573754072213&lt;/D&gt;&lt;D xsi:type="xsd:double"&gt;16.7920948899664&lt;/D&gt;&lt;D xsi:type="xsd:double"&gt;16.263858664528&lt;/D&gt;&lt;D xsi:type="xsd:double"&gt;17.0278816202932&lt;/D&gt;&lt;D xsi:type="xsd:double"&gt;16.9318110130903&lt;/D&gt;&lt;D xsi:type="xsd:double"&gt;16.8866679887893&lt;/D&gt;&lt;D xsi:type="xsd:double"&gt;17.190042058638&lt;/D&gt;&lt;D xsi:type="xsd:double"&gt;17.0625929798254&lt;/D&gt;&lt;D xsi:type="xsd:double"&gt;17.3890781413719&lt;/D&gt;&lt;D xsi:type="xsd:double"&gt;17.5061231896488&lt;/D&gt;&lt;D xsi:type="xsd:double"&gt;17.8016025833769&lt;/D&gt;&lt;D xsi:type="xsd:double"&gt;18.3979245331025&lt;/D&gt;&lt;D xsi:type="xsd:double"&gt;14.1564919315447&lt;/D&gt;&lt;D xsi:type="xsd:double"&gt;17.1880797765855&lt;/D&gt;&lt;D xsi:type="xsd:double"&gt;18.5062640710173&lt;/D&gt;&lt;D xsi:type="xsd:double"&gt;18.7766596875593&lt;/D&gt;&lt;D xsi:type="xsd:double"&gt;19.7291301648517&lt;/D&gt;&lt;D xsi:type="xsd:double"&gt;19.6692928429659&lt;/D&gt;&lt;D xsi:type="xsd:double"&gt;19.5541471928664&lt;/D&gt;&lt;D xsi:type="xsd:double"&gt;19.1824497845932&lt;/D&gt;&lt;D xsi:type="xsd:double"&gt;18.977057114399&lt;/D&gt;&lt;D xsi:type="xsd:double"&gt;18.4091986008489&lt;/D&gt;&lt;D xsi:type="xsd:double"&gt;19.0293073823947&lt;/D&gt;&lt;D xsi:type="xsd:double"&gt;19.000922289717&lt;/D&gt;&lt;D xsi:type="xsd:double"&gt;18.53647495722&lt;/D&gt;&lt;D xsi:type="xsd:double"&gt;19.2480721829162&lt;/D&gt;&lt;D xsi:type="xsd:double"&gt;18.7501550205251&lt;/D&gt;&lt;D xsi:type="xsd:double"&gt;19.8934381358954&lt;/D&gt;&lt;D xsi:type="xsd:double"&gt;19.9349309435939&lt;/D&gt;&lt;D xsi:type="xsd:double"&gt;20.0525721432916&lt;/D&gt;&lt;D xsi:type="xsd:double"&gt;19.2279437415399&lt;/D&gt;&lt;D xsi:type="xsd:double"&gt;18.521026674607&lt;/D&gt;&lt;D xsi:type="xsd:double"&gt;19.4462035681926&lt;/D&gt;&lt;D xsi:type="xsd:double"&gt;19.3398855423122&lt;/D&gt;&lt;D xsi:type="xsd:double"&gt;19.1355206903275&lt;/D&gt;&lt;D xsi:type="xsd:double"&gt;18.345573487205&lt;/D&gt;&lt;D xsi:type="xsd:double"&gt;17.2783782289093&lt;/D&gt;&lt;D xsi:type="xsd:double"&gt;18.4685911049293&lt;/D&gt;&lt;D xsi:type="xsd:double"&gt;16.8835129230028&lt;/D&gt;&lt;D xsi:type="xsd:double"&gt;15.6124661572855&lt;/D&gt;&lt;D xsi:type="xsd:double"&gt;15.984628931675&lt;/D&gt;&lt;D xsi:type="xsd:double"&gt;16.9119963160218&lt;/D&gt;&lt;D xsi:type="xsd:double"&gt;16.1586569719802&lt;/D&gt;&lt;D xsi:type="xsd:double"&gt;14.8203729415534&lt;/D&gt;&lt;D xsi:type="xsd:double"&gt;16.9796219447775&lt;/D&gt;&lt;D xsi:type="xsd:double"&gt;16.9224034188222&lt;/D&gt;&lt;D xsi:type="xsd:double"&gt;17.2338498684833&lt;/D&gt;&lt;D xsi:type="xsd:double"&gt;17.212179261984&lt;/D&gt;&lt;D xsi:type="xsd:double"&gt;16.5148033032831&lt;/D&gt;&lt;D xsi:type="xsd:double"&gt;17.3965604345799&lt;/D&gt;&lt;D xsi:type="xsd:double"&gt;17.5272074274308&lt;/D&gt;&lt;D xsi:type="xsd:double"&gt;16.568951116666&lt;/D&gt;&lt;D xsi:type="xsd:double"&gt;16.5349872875196&lt;/D&gt;&lt;D xsi:type="xsd:double"&gt;16.5933964586186&lt;/D&gt;&lt;D xsi:type="xsd:double"&gt;16.3840256876623&lt;/D&gt;&lt;D xsi:type="xsd:double"&gt;16.1190760988368&lt;/D&gt;&lt;D xsi:type="xsd:double"&gt;15.7515788549192&lt;/D&gt;&lt;D xsi:type="xsd:double"&gt;16.7153272574115&lt;/D&gt;&lt;D xsi:type="xsd:double"&gt;17.0253220949818&lt;/D&gt;&lt;D xsi:type="xsd:double"&gt;17.0883682236581&lt;/D&gt;&lt;D xsi:type="xsd:double"&gt;17.9261889048796&lt;/D&gt;&lt;D xsi:type="xsd:double"&gt;17.021068542227&lt;/D&gt;&lt;D xsi:type="xsd:double"&gt;17.1697086072457&lt;/D&gt;&lt;D xsi:type="xsd:double"&gt;17.3747150332983&lt;/D&gt;&lt;/FQL&gt;&lt;FQL&gt;&lt;Q&gt;QQQ^FMA_ROE(NTMA,-20AY,NOW,FY,"PORTAGG","MEANR")&lt;/Q&gt;&lt;R&gt;20&lt;/R&gt;&lt;C&gt;1&lt;/C&gt;&lt;D xsi:type="xsd:double"&gt;14.817843581598&lt;/D&gt;&lt;D xsi:type="xsd:double"&gt;15.4866947775921&lt;/D&gt;&lt;D xsi:type="xsd:double"&gt;16.8339704998129&lt;/D&gt;&lt;D xsi:type="xsd:double"&gt;17.9560593685279&lt;/D&gt;&lt;D xsi:type="xsd:double"&gt;16.5654843697708&lt;/D&gt;&lt;D xsi:type="xsd:double"&gt;17.5965741262714&lt;/D&gt;&lt;D xsi:type="xsd:double"&gt;20.0003742371644&lt;/D&gt;&lt;D xsi:type="xsd:double"&gt;20.9591568938239&lt;/D&gt;&lt;D xsi:type="xsd:double"&gt;20.7921963775154&lt;/D&gt;&lt;D xsi:type="xsd:double"&gt;20.047298915306&lt;/D&gt;&lt;D xsi:type="xsd:double"&gt;22.0568276514703&lt;/D&gt;&lt;D xsi:type="xsd:double"&gt;21.8504635786249&lt;/D&gt;&lt;D xsi:type="xsd:double"&gt;21.1146076459691&lt;/D&gt;&lt;D xsi:type="xsd:double"&gt;22.0784263508941&lt;/D&gt;&lt;D xsi:type="xsd:double"&gt;26.4902293367872&lt;/D&gt;&lt;D xsi:type="xsd:double"&gt;25.011729152832&lt;/D&gt;&lt;D xsi:type="xsd:double"&gt;24.534442850509&lt;/D&gt;&lt;D xsi:type="xsd:double"&gt;26.6372021642568&lt;/D&gt;&lt;D xsi:type="xsd:double"&gt;24.0483215722889&lt;/D&gt;&lt;D xsi:type="xsd:double"&gt;25.3199155966171&lt;/D&gt;&lt;/FQL&gt;&lt;FQL&gt;&lt;Q&gt;TRYMY10Y-FDS^FG_YIELD(-10AY,0,Y,,"YTM")&lt;/Q&gt;&lt;R&gt;10&lt;/R&gt;&lt;C&gt;1&lt;/C&gt;&lt;D xsi:type="xsd:double"&gt;4.131911&lt;/D&gt;&lt;D xsi:type="xsd:double"&gt;4.345605&lt;/D&gt;&lt;D xsi:type="xsd:double"&gt;4.195897&lt;/D&gt;&lt;D xsi:type="xsd:double"&gt;3.902544&lt;/D&gt;&lt;D xsi:type="xsd:double"&gt;4.235642&lt;/D&gt;&lt;D xsi:type="xsd:double"&gt;3.300551&lt;/D&gt;&lt;D xsi:type="xsd:double"&gt;2.804181&lt;/D&gt;&lt;D xsi:type="xsd:double"&gt;3.573893&lt;/D&gt;&lt;D xsi:type="xsd:double"&gt;4.131847&lt;/D&gt;&lt;D xsi:type="xsd:double"&gt;3.727505&lt;/D&gt;&lt;/FQL&gt;&lt;FQL&gt;&lt;Q&gt;TRYAU10Y-FDS^FG_YIELD(-10AY,0,Y,,"YTM")&lt;/Q&gt;&lt;R&gt;10&lt;/R&gt;&lt;C&gt;1&lt;/C&gt;&lt;D xsi:type="xsd:double"&gt;2.81&lt;/D&gt;&lt;D xsi:type="xsd:double"&gt;2.88&lt;/D&gt;&lt;D xsi:type="xsd:double"&gt;2.76&lt;/D&gt;&lt;D xsi:type="xsd:double"&gt;2.63&lt;/D&gt;&lt;D xsi:type="xsd:double"&gt;2.315&lt;/D&gt;&lt;D xsi:type="xsd:double"&gt;1.375&lt;/D&gt;&lt;D xsi:type="xsd:double"&gt;0.972&lt;/D&gt;&lt;D xsi:type="xsd:double"&gt;1.671&lt;/D&gt;&lt;D xsi:type="xsd:double"&gt;4.051&lt;/D&gt;&lt;D xsi:type="xsd:double"&gt;3.955&lt;/D&gt;&lt;/FQL&gt;&lt;FQL&gt;&lt;Q&gt;USDCHF^STD(FG_PRICE_CHANGE(0,-3AY,M))&lt;/Q&gt;&lt;R&gt;1&lt;/R&gt;&lt;C&gt;1&lt;/C&gt;&lt;D xsi:type="xsd:double"&gt;2.45992337040698&lt;/D&gt;&lt;/FQL&gt;&lt;FQL&gt;&lt;Q&gt;USDEUR^STD(FG_PRICE_CHANGE(0,-3AY,M))&lt;/Q&gt;&lt;R&gt;1&lt;/R&gt;&lt;C&gt;1&lt;/C&gt;&lt;D xsi:type="xsd:double"&gt;2.17865114035896&lt;/D&gt;&lt;/FQL&gt;&lt;FQL&gt;&lt;Q&gt;USDAUD^STD(FG_PRICE_CHANGE(0,-3AY,M))&lt;/Q&gt;&lt;R&gt;1&lt;/R&gt;&lt;C&gt;1&lt;/C&gt;&lt;D xsi:type="xsd:double"&gt;3.09147426487896&lt;/D&gt;&lt;/FQL&gt;&lt;FQL&gt;&lt;Q&gt;EWI^FMA_EPS(NTMA,-20AY,0,CY,,"PORTAGG","MEANR")&lt;/Q&gt;&lt;R&gt;20&lt;/R&gt;&lt;C&gt;1&lt;/C&gt;&lt;D xsi:type="xsd:double"&gt;3.169168339117&lt;/D&gt;&lt;D xsi:type="xsd:double"&gt;3.12405993279458&lt;/D&gt;&lt;D xsi:type="xsd:double"&gt;5.04981282066684&lt;/D&gt;&lt;D xsi:type="xsd:double"&gt;5.56224784875388&lt;/D&gt;&lt;D xsi:type="xsd:double"&gt;4.17624790880873&lt;/D&gt;&lt;D xsi:type="xsd:double"&gt;3.08892808052067&lt;/D&gt;&lt;D xsi:type="xsd:double"&gt;3.32359348097665&lt;/D&gt;&lt;D xsi:type="xsd:double"&gt;2.98712765861625&lt;/D&gt;&lt;D xsi:type="xsd:double"&gt;2.83099275676073&lt;/D&gt;&lt;D xsi:type="xsd:double"&gt;2.51709042577162&lt;/D&gt;&lt;D xsi:type="xsd:double"&gt;2.20451072320163&lt;/D&gt;&lt;D xsi:type="xsd:double"&gt;1.95489186317479&lt;/D&gt;&lt;D xsi:type="xsd:double"&gt;1.78844259381098&lt;/D&gt;&lt;D xsi:type="xsd:double"&gt;2.35129536081733&lt;/D&gt;&lt;D xsi:type="xsd:double"&gt;2.64924756496654&lt;/D&gt;&lt;D xsi:type="xsd:double"&gt;2.59251661571796&lt;/D&gt;&lt;D xsi:type="xsd:double"&gt;1.99711745729498&lt;/D&gt;&lt;D xsi:type="xsd:double"&gt;2.96400297596909&lt;/D&gt;&lt;D xsi:type="xsd:double"&gt;3.54736708862932&lt;/D&gt;&lt;D xsi:type="xsd:double"&gt;3.81180271683843&lt;/D&gt;&lt;/FQL&gt;&lt;FQL&gt;&lt;Q&gt;EWN^P_PRICE_RETURNS_PR('52W',2,-10AY,0,AM)&lt;/Q&gt;&lt;R&gt;121&lt;/R&gt;&lt;C&gt;1&lt;/C&gt;&lt;D xsi:type="xsd:double"&gt;20.833588&lt;/D&gt;&lt;D xsi:type="xsd:double"&gt;14.053869&lt;/D&gt;&lt;D xsi:type="xsd:double"&gt;3.0005932&lt;/D&gt;&lt;D xsi:type="xsd:double"&gt;6.683719&lt;/D&gt;&lt;D xsi:type="xsd:double"&gt;-3.6014915&lt;/D&gt;&lt;D xsi:type="xsd:double"&gt;-1.8344343&lt;/D&gt;&lt;D xsi:type="xsd:double"&gt;0.66150427&lt;/D&gt;&lt;D xsi:type="xsd:double"&gt;-7.4036956&lt;/D&gt;&lt;D xsi:type="xsd:double"&gt;-0.060522556&lt;/D&gt;&lt;D xsi:type="xsd:double"&gt;2.349639&lt;/D&gt;&lt;D xsi:type="xsd:double"&gt;3.7872434&lt;/D&gt;&lt;D xsi:type="xsd:double"&gt;5.718076&lt;/D&gt;&lt;D xsi:type="xsd:double"&gt;3.0856729&lt;/D&gt;&lt;D xsi:type="xsd:double"&gt;7.669568&lt;/D&gt;&lt;D xsi:type="xsd:double"&gt;10.3466625&lt;/D&gt;&lt;D xsi:type="xsd:double"&gt;-0.25199652&lt;/D&gt;&lt;D xsi:type="xsd:double"&gt;8.64147&lt;/D&gt;&lt;D xsi:type="xsd:double"&gt;2.6252747&lt;/D&gt;&lt;D xsi:type="xsd:double"&gt;-1.7267227&lt;/D&gt;&lt;D xsi:type="xsd:double"&gt;-1.7433643&lt;/D&gt;&lt;D xsi:type="xsd:double"&gt;-10.950476&lt;/D&gt;&lt;D xsi:type="xsd:double"&gt;-0.7315695&lt;/D&gt;&lt;D xsi:type="xsd:double"&gt;-2.7539372&lt;/D&gt;&lt;D xsi:type="xsd:double"&gt;-8.211702&lt;/D&gt;&lt;D xsi:type="xsd:double"&gt;-8.511156&lt;/D&gt;&lt;D xsi:type="xsd:double"&gt;-9.115964&lt;/D&gt;&lt;D xsi:type="xsd:double"&gt;-3.9779365&lt;/D&gt;&lt;D xsi:type="xsd:double"&gt;2.918446&lt;/D&gt;&lt;D xsi:type="xsd:double"&gt;2.0697594&lt;/D&gt;&lt;D xsi:type="xsd:double"&gt;-2.7945817&lt;/D&gt;&lt;D xsi:type="xsd:double"&gt;5.013263&lt;/D&gt;&lt;D xsi:type="xsd:double"&gt;12.589192&lt;/D&gt;&lt;D xsi:type="xsd:double"&gt;18.743206&lt;/D&gt;&lt;D xsi:type="xsd:double"&gt;12.432421&lt;/D&gt;&lt;D xsi:type="xsd:double"&gt;10.883724&lt;/D&gt;&lt;D xsi:type="xsd:double"&gt;22.563326&lt;/D&gt;&lt;D xsi:type="xsd:double"&gt;27.693153&lt;/D&gt;&lt;D xsi:type="xsd:double"&gt;29.170715&lt;/D&gt;&lt;D xsi:type="xsd:double"&gt;26.312721&lt;/D&gt;&lt;D xsi:type="xsd:double"&gt;31.116629&lt;/D&gt;&lt;D xsi:type="xsd:double"&gt;34.67933&lt;/D&gt;&lt;D xsi:type="xsd:double"&gt;34.522568&lt;/D&gt;&lt;D xsi:type="xsd:double"&gt;34.100914&lt;/D&gt;&lt;D xsi:type="xsd:double"&gt;36.563503&lt;/D&gt;&lt;D xsi:type="xsd:double"&gt;27.512192&lt;/D&gt;&lt;D xsi:type="xsd:double"&gt;23.612904&lt;/D&gt;&lt;D xsi:type="xsd:double"&gt;24.535084&lt;/D&gt;&lt;D xsi:type="xsd:double"&gt;13.57752&lt;/D&gt;&lt;D xsi:type="xsd:double"&gt;11.48082&lt;/D&gt;&lt;D xsi:type="xsd:double"&gt;7.7830195&lt;/D&gt;&lt;D xsi:type="xsd:double"&gt;2.9079318&lt;/D&gt;&lt;D xsi:type="xsd:double"&gt;-0.505203&lt;/D&gt;&lt;D xsi:type="xsd:double"&gt;-8.832574&lt;/D&gt;&lt;D xsi:type="xsd:double"&gt;-6.806678&lt;/D&gt;&lt;D xsi:type="xsd:double"&gt;-11.165577&lt;/D&gt;&lt;D xsi:type="xsd:double"&gt;-14.714802&lt;/D&gt;&lt;D xsi:type="xsd:double"&gt;-6.134081&lt;/D&gt;&lt;D xsi:type="xsd:double"&gt;-6.4518633&lt;/D&gt;&lt;D xsi:type="xsd:double"&gt;-3.0400455&lt;/D&gt;&lt;D xsi:type="xsd:double"&gt;-4.562652&lt;/D&gt;&lt;D xsi:type="xsd:double"&gt;-1.7484546&lt;/D&gt;&lt;D xsi:type="xsd:double"&gt;2.8215408&lt;/D&gt;&lt;D xsi:type="xsd:double"&gt;1.8437386&lt;/D&gt;&lt;D xsi:type="xsd:double"&gt;8.607912&lt;/D&gt;&lt;D xsi:type="xsd:double"&gt;15.723062&lt;/D&gt;&lt;D xsi:type="xsd:double"&gt;17.972326&lt;/D&gt;&lt;D xsi:type="xsd:double"&gt;25.277351&lt;/D&gt;&lt;D xsi:type="xsd:double"&gt;28.687752&lt;/D&gt;&lt;D xsi:type="xsd:double"&gt;23.084497&lt;/D&gt;&lt;D xsi:type="xsd:double"&gt;-10.26085&lt;/D&gt;&lt;D xsi:type="xsd:double"&gt;-9.849864&lt;/D&gt;&lt;D xsi:type="xsd:double"&gt;-3.6317825&lt;/D&gt;&lt;D xsi:type="xsd:double"&gt;5.304599&lt;/D&gt;&lt;D xsi:type="xsd:double"&gt;10.638905&lt;/D&gt;&lt;D xsi:type="xsd:double"&gt;18.606174&lt;/D&gt;&lt;D xsi:type="xsd:double"&gt;12.407864&lt;/D&gt;&lt;D xsi:type="xsd:double"&gt;17.58871&lt;/D&gt;&lt;D xsi:type="xsd:double"&gt;19.109608&lt;/D&gt;&lt;D xsi:type="xsd:double"&gt;22.198141&lt;/D&gt;&lt;D xsi:type="xsd:double"&gt;26.794315&lt;/D&gt;&lt;D xsi:type="xsd:double"&gt;33.864044&lt;/D&gt;&lt;D xsi:type="xsd:double"&gt;82.08716&lt;/D&gt;&lt;D xsi:type="xsd:double"&gt;77.433945&lt;/D&gt;&lt;D xsi:type="xsd:double"&gt;69.54428&lt;/D&gt;&lt;D xsi:type="xsd:double"&gt;62.91033&lt;/D&gt;&lt;D xsi:type="xsd:double"&gt;44.622242&lt;/D&gt;&lt;D xsi:type="xsd:double"&gt;45.645844&lt;/D&gt;&lt;D xsi:type="xsd:double"&gt;52.2899&lt;/D&gt;&lt;D xsi:type="xsd:double"&gt;36.730553&lt;/D&gt;&lt;D xsi:type="xsd:double"&gt;41.18017&lt;/D&gt;&lt;D xsi:type="xsd:double"&gt;22.707808&lt;/D&gt;&lt;D xsi:type="xsd:double"&gt;16.880358&lt;/D&gt;&lt;D xsi:type="xsd:double"&gt;0.08087158&lt;/D&gt;&lt;D xsi:type="xsd:double"&gt;-14.104062&lt;/D&gt;&lt;D xsi:type="xsd:double"&gt;-13.695801&lt;/D&gt;&lt;D xsi:type="xsd:double"&gt;-20.445663&lt;/D&gt;&lt;D xsi:type="xsd:double"&gt;-28.876835&lt;/D&gt;&lt;D xsi:type="xsd:double"&gt;-29.096&lt;/D&gt;&lt;D xsi:type="xsd:double"&gt;-23.105484&lt;/D&gt;&lt;D xsi:type="xsd:double"&gt;-34.86409&lt;/D&gt;&lt;D xsi:type="xsd:double"&gt;-37.580723&lt;/D&gt;&lt;D xsi:type="xsd:double"&gt;-26.896626&lt;/D&gt;&lt;D xsi:type="xsd:double"&gt;-16.609324&lt;/D&gt;&lt;D xsi:type="xsd:double"&gt;-13.224215&lt;/D&gt;&lt;D xsi:type="xsd:double"&gt;-4.3578386&lt;/D&gt;&lt;D xsi:type="xsd:double"&gt;5.0609946&lt;/D&gt;&lt;D xsi:type="xsd:double"&gt;6.307411&lt;/D&gt;&lt;D xsi:type="xsd:double"&gt;18.641317&lt;/D&gt;&lt;D xsi:type="xsd:double"&gt;25.26244&lt;/D&gt;&lt;D xsi:type="xsd:double"&gt;35.614334&lt;/D&gt;&lt;D xsi:type="xsd:double"&gt;14.380062&lt;/D&gt;&lt;D xsi:type="xsd:double"&gt;17.853975&lt;/D&gt;&lt;D xsi:type="xsd:double"&gt;24.7913&lt;/D&gt;&lt;D xsi:type="xsd:double"&gt;8.405757&lt;/D&gt;&lt;D xsi:type="xsd:double"&gt;12.4804735&lt;/D&gt;&lt;D xsi:type="xsd:double"&gt;6.6300154&lt;/D&gt;&lt;D xsi:type="xsd:double"&gt;11.002838&lt;/D&gt;&lt;D xsi:type="xsd:double"&gt;25.621819&lt;/D&gt;&lt;D xsi:type="xsd:double"&gt;16.752863&lt;/D&gt;&lt;D xsi:type="xsd:double"&gt;23.881102&lt;/D&gt;&lt;D xsi:type="xsd:double"&gt;21.70788&lt;/D&gt;&lt;/FQL&gt;&lt;FQL&gt;&lt;Q&gt;SPY^FG_TOTAL_RETURNC(-10AY,0,AM)&lt;/Q&gt;&lt;R&gt;121&lt;/R&gt;&lt;C&gt;1&lt;/C&gt;&lt;D xsi:type="xsd:double"&gt;2.1952033&lt;/D&gt;&lt;D xsi:type="xsd:double"&gt;1.7616391&lt;/D&gt;&lt;D xsi:type="xsd:double"&gt;-0.9002626&lt;/D&gt;&lt;D xsi:type="xsd:double"&gt;2.2018075&lt;/D&gt;&lt;D xsi:type="xsd:double"&gt;-5.445242&lt;/D&gt;&lt;D xsi:type="xsd:double"&gt;8.953691&lt;/D&gt;&lt;D xsi:type="xsd:double"&gt;-1.6161442&lt;/D&gt;&lt;D xsi:type="xsd:double"&gt;1.1451602&lt;/D&gt;&lt;D xsi:type="xsd:double"&gt;3.81037&lt;/D&gt;&lt;D xsi:type="xsd:double"&gt;-1.8842638&lt;/D&gt;&lt;D xsi:type="xsd:double"&gt;2.0346045&lt;/D&gt;&lt;D xsi:type="xsd:double"&gt;0.4447937&lt;/D&gt;&lt;D xsi:type="xsd:double"&gt;-0.0047683716&lt;/D&gt;&lt;D xsi:type="xsd:double"&gt;0.37379265&lt;/D&gt;&lt;D xsi:type="xsd:double"&gt;-0.52915215&lt;/D&gt;&lt;D xsi:type="xsd:double"&gt;-5.7126403&lt;/D&gt;&lt;D xsi:type="xsd:double"&gt;2.3222566&lt;/D&gt;&lt;D xsi:type="xsd:double"&gt;1.1435628&lt;/D&gt;&lt;D xsi:type="xsd:double"&gt;-0.3258586&lt;/D&gt;&lt;D xsi:type="xsd:double"&gt;-5.897677&lt;/D&gt;&lt;D xsi:type="xsd:double"&gt;-1.1650681&lt;/D&gt;&lt;D xsi:type="xsd:double"&gt;8.642769&lt;/D&gt;&lt;D xsi:type="xsd:double"&gt;3.1115532&lt;/D&gt;&lt;D xsi:type="xsd:double"&gt;-1.5580714&lt;/D&gt;&lt;D xsi:type="xsd:double"&gt;1.8017292&lt;/D&gt;&lt;D xsi:type="xsd:double"&gt;3.6426663&lt;/D&gt;&lt;D xsi:type="xsd:double"&gt;1.6471267&lt;/D&gt;&lt;D xsi:type="xsd:double"&gt;-2.3940384&lt;/D&gt;&lt;D xsi:type="xsd:double"&gt;0.40344&lt;/D&gt;&lt;D xsi:type="xsd:double"&gt;1.6008615&lt;/D&gt;&lt;D xsi:type="xsd:double"&gt;5.2398086&lt;/D&gt;&lt;D xsi:type="xsd:double"&gt;0.27695894&lt;/D&gt;&lt;D xsi:type="xsd:double"&gt;2.5192738&lt;/D&gt;&lt;D xsi:type="xsd:double"&gt;2.1652222&lt;/D&gt;&lt;D xsi:type="xsd:double"&gt;-1.802522&lt;/D&gt;&lt;D xsi:type="xsd:double"&gt;2.7826786&lt;/D&gt;&lt;D xsi:type="xsd:double"&gt;2.3307443&lt;/D&gt;&lt;D xsi:type="xsd:double"&gt;0.43418407&lt;/D&gt;&lt;D xsi:type="xsd:double"&gt;-0.122737885&lt;/D&gt;&lt;D xsi:type="xsd:double"&gt;2.4782896&lt;/D&gt;&lt;D xsi:type="xsd:double"&gt;2.4156094&lt;/D&gt;&lt;D xsi:type="xsd:double"&gt;1.3257504&lt;/D&gt;&lt;D xsi:type="xsd:double"&gt;3.2593966&lt;/D&gt;&lt;D xsi:type="xsd:double"&gt;4.7157288&lt;/D&gt;&lt;D xsi:type="xsd:double"&gt;-4.289007&lt;/D&gt;&lt;D xsi:type="xsd:double"&gt;4.0300727&lt;/D&gt;&lt;D xsi:type="xsd:double"&gt;-3.797859&lt;/D&gt;&lt;D xsi:type="xsd:double"&gt;2.9040217&lt;/D&gt;&lt;D xsi:type="xsd:double"&gt;1.8984795&lt;/D&gt;&lt;D xsi:type="xsd:double"&gt;1.0130644&lt;/D&gt;&lt;D xsi:type="xsd:double"&gt;0.8977413&lt;/D&gt;&lt;D xsi:type="xsd:double"&gt;3.0946374&lt;/D&gt;&lt;D xsi:type="xsd:double"&gt;-4.6865883&lt;/D&gt;&lt;D xsi:type="xsd:double"&gt;-1.4096797&lt;/D&gt;&lt;D xsi:type="xsd:double"&gt;-2.4590194&lt;/D&gt;&lt;D xsi:type="xsd:double"&gt;-1.8259525&lt;/D&gt;&lt;D xsi:type="xsd:double"&gt;6.1819315&lt;/D&gt;&lt;D xsi:type="xsd:double"&gt;2.3091793&lt;/D&gt;&lt;D xsi:type="xsd:double"&gt;3.587091&lt;/D&gt;&lt;D xsi:type="xsd:double"&gt;-3.2051325&lt;/D&gt;&lt;D xsi:type="xsd:double"&gt;3.1047463&lt;/D&gt;&lt;D xsi:type="xsd:double"&gt;4.3283463&lt;/D&gt;&lt;D xsi:type="xsd:double"&gt;-2.6941657&lt;/D&gt;&lt;D xsi:type="xsd:double"&gt;2.9191613&lt;/D&gt;&lt;D xsi:type="xsd:double"&gt;-1.1410773&lt;/D&gt;&lt;D xsi:type="xsd:double"&gt;4.3269873&lt;/D&gt;&lt;D xsi:type="xsd:double"&gt;2.6593328&lt;/D&gt;&lt;D xsi:type="xsd:double"&gt;3.8558364&lt;/D&gt;&lt;D xsi:type="xsd:double"&gt;2.7778625&lt;/D&gt;&lt;D xsi:type="xsd:double"&gt;-20.09731&lt;/D&gt;&lt;D xsi:type="xsd:double"&gt;2.982843&lt;/D&gt;&lt;D xsi:type="xsd:double"&gt;2.154827&lt;/D&gt;&lt;D xsi:type="xsd:double"&gt;8.029116&lt;/D&gt;&lt;D xsi:type="xsd:double"&gt;3.9524317&lt;/D&gt;&lt;D xsi:type="xsd:double"&gt;6.984496&lt;/D&gt;&lt;D xsi:type="xsd:double"&gt;-0.82237124&lt;/D&gt;&lt;D xsi:type="xsd:double"&gt;5.2350283&lt;/D&gt;&lt;D xsi:type="xsd:double"&gt;2.2763014&lt;/D&gt;&lt;D xsi:type="xsd:double"&gt;2.2898555&lt;/D&gt;&lt;D xsi:type="xsd:double"&gt;4.126525&lt;/D&gt;&lt;D xsi:type="xsd:double"&gt;3.3834456999999998&lt;/D&gt;&lt;D xsi:type="xsd:double"&gt;0.36164522&lt;/D&gt;&lt;D xsi:type="xsd:double"&gt;5.1145673&lt;/D&gt;&lt;D xsi:type="xsd:double"&gt;-0.624907&lt;/D&gt;&lt;D xsi:type="xsd:double"&gt;3.4196138&lt;/D&gt;&lt;D xsi:type="xsd:double"&gt;2.9988527&lt;/D&gt;&lt;D xsi:type="xsd:double"&gt;2.371502&lt;/D&gt;&lt;D xsi:type="xsd:double"&gt;0.14799833&lt;/D&gt;&lt;D xsi:type="xsd:double"&gt;-2.237451&lt;/D&gt;&lt;D xsi:type="xsd:double"&gt;7.373965&lt;/D&gt;&lt;D xsi:type="xsd:double"&gt;-0.14980435&lt;/D&gt;&lt;D xsi:type="xsd:double"&gt;-0.08294582&lt;/D&gt;&lt;D xsi:type="xsd:double"&gt;-5.1815805&lt;/D&gt;&lt;D xsi:type="xsd:double"&gt;-4.6292486&lt;/D&gt;&lt;D xsi:type="xsd:double"&gt;5.8567047&lt;/D&gt;&lt;D xsi:type="xsd:double"&gt;-9.381694&lt;/D&gt;&lt;D xsi:type="xsd:double"&gt;-6.6514015&lt;/D&gt;&lt;D xsi:type="xsd:double"&gt;1.4567375&lt;/D&gt;&lt;D xsi:type="xsd:double"&gt;12.741863&lt;/D&gt;&lt;D xsi:type="xsd:double"&gt;-7.960665&lt;/D&gt;&lt;D xsi:type="xsd:double"&gt;-6.516081&lt;/D&gt;&lt;D xsi:type="xsd:double"&gt;8.891439&lt;/D&gt;&lt;D xsi:type="xsd:double"&gt;0.868237&lt;/D&gt;&lt;D xsi:type="xsd:double"&gt;-0.4024744&lt;/D&gt;&lt;D xsi:type="xsd:double"&gt;3.595984&lt;/D&gt;&lt;D xsi:type="xsd:double"&gt;-6.654072&lt;/D&gt;&lt;D xsi:type="xsd:double"&gt;7.7088594&lt;/D&gt;&lt;D xsi:type="xsd:double"&gt;-0.45468807&lt;/D&gt;&lt;D xsi:type="xsd:double"&gt;6.0910106&lt;/D&gt;&lt;D xsi:type="xsd:double"&gt;3.3380628&lt;/D&gt;&lt;D xsi:type="xsd:double"&gt;-0.86973906&lt;/D&gt;&lt;D xsi:type="xsd:double"&gt;0.192976&lt;/D&gt;&lt;D xsi:type="xsd:double"&gt;-3.0165553&lt;/D&gt;&lt;D xsi:type="xsd:double"&gt;2.0139098&lt;/D&gt;&lt;D xsi:type="xsd:double"&gt;6.8856597&lt;/D&gt;&lt;D xsi:type="xsd:double"&gt;1.7249584&lt;/D&gt;&lt;D xsi:type="xsd:double"&gt;3.650248&lt;/D&gt;&lt;D xsi:type="xsd:double"&gt;4.430449&lt;/D&gt;&lt;D xsi:type="xsd:double"&gt;-0.68256855&lt;/D&gt;&lt;D xsi:type="xsd:double"&gt;1.9692659&lt;/D&gt;&lt;D xsi:type="xsd:double"&gt;4.135084&lt;/D&gt;&lt;/FQL&gt;&lt;FQL&gt;&lt;Q&gt;USDSEK^STD(FG_PRICE_CHANGE(0,-3AY,M))&lt;/Q&gt;&lt;R&gt;1&lt;/R&gt;&lt;C&gt;1&lt;/C&gt;&lt;D xsi:type="xsd:double"&gt;2.99737222103518&lt;/D&gt;&lt;/FQL&gt;&lt;FQL&gt;&lt;Q&gt;USDUSD^STD(FG_PRICE_CHANGE(0,-3AY,M))&lt;/Q&gt;&lt;R&gt;1&lt;/R&gt;&lt;C&gt;1&lt;/C&gt;&lt;D xsi:type="xsd:double"&gt;0&lt;/D&gt;&lt;/FQL&gt;&lt;FQL&gt;&lt;Q&gt;EWU^FMA_DIV_YLD(NTMA,-10AY,0,AM,"PORTAGG","MEANR")&lt;/Q&gt;&lt;R&gt;121&lt;/R&gt;&lt;C&gt;1&lt;/C&gt;&lt;D xsi:type="xsd:double"&gt;3.85984902929679&lt;/D&gt;&lt;D xsi:type="xsd:double"&gt;3.9071045523781&lt;/D&gt;&lt;D xsi:type="xsd:double"&gt;3.98030838680288&lt;/D&gt;&lt;D xsi:type="xsd:double"&gt;3.92980686965837&lt;/D&gt;&lt;D xsi:type="xsd:double"&gt;4.22542625357369&lt;/D&gt;&lt;D xsi:type="xsd:double"&gt;4.06351445907626&lt;/D&gt;&lt;D xsi:type="xsd:double"&gt;4.29163473287798&lt;/D&gt;&lt;D xsi:type="xsd:double"&gt;4.19389374609069&lt;/D&gt;&lt;D xsi:type="xsd:double"&gt;3.96921039819391&lt;/D&gt;&lt;D xsi:type="xsd:double"&gt;4.06917449986335&lt;/D&gt;&lt;D xsi:type="xsd:double"&gt;3.91070763247883&lt;/D&gt;&lt;D xsi:type="xsd:double"&gt;3.88397466218959&lt;/D&gt;&lt;D xsi:type="xsd:double"&gt;4.01767392468039&lt;/D&gt;&lt;D xsi:type="xsd:double"&gt;4.09213445390017&lt;/D&gt;&lt;D xsi:type="xsd:double"&gt;4.15215977010275&lt;/D&gt;&lt;D xsi:type="xsd:double"&gt;4.48866255992631&lt;/D&gt;&lt;D xsi:type="xsd:double"&gt;4.28012352910766&lt;/D&gt;&lt;D xsi:type="xsd:double"&gt;4.39711418117795&lt;/D&gt;&lt;D xsi:type="xsd:double"&gt;4.47156315389068&lt;/D&gt;&lt;D xsi:type="xsd:double"&gt;4.50324856915863&lt;/D&gt;&lt;D xsi:type="xsd:double"&gt;4.65940023851053&lt;/D&gt;&lt;D xsi:type="xsd:double"&gt;4.37186829960877&lt;/D&gt;&lt;D xsi:type="xsd:double"&gt;4.23453783235757&lt;/D&gt;&lt;D xsi:type="xsd:double"&gt;4.38282741137914&lt;/D&gt;&lt;D xsi:type="xsd:double"&gt;4.44737907042384&lt;/D&gt;&lt;D xsi:type="xsd:double"&gt;4.1680299562905&lt;/D&gt;&lt;D xsi:type="xsd:double"&gt;4.06085857639101&lt;/D&gt;&lt;D xsi:type="xsd:double"&gt;4.24421496541911&lt;/D&gt;&lt;D xsi:type="xsd:double"&gt;4.28867351022781&lt;/D&gt;&lt;D xsi:type="xsd:double"&gt;4.44036754672159&lt;/D&gt;&lt;D xsi:type="xsd:double"&gt;4.31759784447588&lt;/D&gt;&lt;D xsi:type="xsd:double"&gt;4.22318648939383&lt;/D&gt;&lt;D xsi:type="xsd:double"&gt;4.24570260123534&lt;/D&gt;&lt;D xsi:type="xsd:double"&gt;4.30980903435956&lt;/D&gt;&lt;D xsi:type="xsd:double"&gt;4.34263509161154&lt;/D&gt;&lt;D xsi:type="xsd:double"&gt;4.25799264108268&lt;/D&gt;&lt;D xsi:type="xsd:double"&gt;4.27564130448031&lt;/D&gt;&lt;D xsi:type="xsd:double"&gt;4.29377347676979&lt;/D&gt;&lt;D xsi:type="xsd:double"&gt;4.36570533902133&lt;/D&gt;&lt;D xsi:type="xsd:double"&gt;4.32210150358923&lt;/D&gt;&lt;D xsi:type="xsd:double"&gt;4.2509955131102&lt;/D&gt;&lt;D xsi:type="xsd:double"&gt;4.3730296513339&lt;/D&gt;&lt;D xsi:type="xsd:double"&gt;4.31120465820417&lt;/D&gt;&lt;D xsi:type="xsd:double"&gt;4.137597051683&lt;/D&gt;&lt;D xsi:type="xsd:double"&gt;4.47785845043472&lt;/D&gt;&lt;D xsi:type="xsd:double"&gt;4.51066524463035&lt;/D&gt;&lt;D xsi:type="xsd:double"&gt;4.4222</t>
        </r>
      </text>
    </comment>
    <comment ref="A6" authorId="0" shapeId="0" xr:uid="{B659713E-A085-497B-8302-897EDECEAE6B}">
      <text>
        <r>
          <rPr>
            <b/>
            <sz val="9"/>
            <color indexed="81"/>
            <rFont val="Tahoma"/>
            <charset val="1"/>
          </rPr>
          <t>1295537622&lt;/D&gt;&lt;D xsi:type="xsd:double"&gt;4.2620540999122&lt;/D&gt;&lt;D xsi:type="xsd:double"&gt;4.33860009878677&lt;/D&gt;&lt;D xsi:type="xsd:double"&gt;4.39811235034254&lt;/D&gt;&lt;D xsi:type="xsd:double"&gt;4.4707911584304&lt;/D&gt;&lt;D xsi:type="xsd:double"&gt;4.6480670652562&lt;/D&gt;&lt;D xsi:type="xsd:double"&gt;4.85521550953691&lt;/D&gt;&lt;D xsi:type="xsd:double"&gt;4.86475278031624&lt;/D&gt;&lt;D xsi:type="xsd:double"&gt;5.09567907230357&lt;/D&gt;&lt;D xsi:type="xsd:double"&gt;5.17625245358321&lt;/D&gt;&lt;D xsi:type="xsd:double"&gt;4.96783816193874&lt;/D&gt;&lt;D xsi:type="xsd:double"&gt;4.95693452634589&lt;/D&gt;&lt;D xsi:type="xsd:double"&gt;4.81619065104957&lt;/D&gt;&lt;D xsi:type="xsd:double"&gt;5.02637128633923&lt;/D&gt;&lt;D xsi:type="xsd:double"&gt;4.81267372985113&lt;/D&gt;&lt;D xsi:type="xsd:double"&gt;4.78301237754297&lt;/D&gt;&lt;D xsi:type="xsd:double"&gt;5.0833460636097&lt;/D&gt;&lt;D xsi:type="xsd:double"&gt;4.90812995118534&lt;/D&gt;&lt;D xsi:type="xsd:double"&gt;4.91666690379973&lt;/D&gt;&lt;D xsi:type="xsd:double"&gt;4.79515621170465&lt;/D&gt;&lt;D xsi:type="xsd:double"&gt;4.67015390346899&lt;/D&gt;&lt;D xsi:type="xsd:double"&gt;4.57177203793083&lt;/D&gt;&lt;D xsi:type="xsd:double"&gt;4.66888270046709&lt;/D&gt;&lt;D xsi:type="xsd:double"&gt;6.64820306649573&lt;/D&gt;&lt;D xsi:type="xsd:double"&gt;5.73265796071139&lt;/D&gt;&lt;D xsi:type="xsd:double"&gt;4.49729498625126&lt;/D&gt;&lt;D xsi:type="xsd:double"&gt;4.15143676028155&lt;/D&gt;&lt;D xsi:type="xsd:double"&gt;4.10589630915173&lt;/D&gt;&lt;D xsi:type="xsd:double"&gt;3.91557254217119&lt;/D&gt;&lt;D xsi:type="xsd:double"&gt;4.11042161433814&lt;/D&gt;&lt;D xsi:type="xsd:double"&gt;4.23511855198527&lt;/D&gt;&lt;D xsi:type="xsd:double"&gt;4.03996569212022&lt;/D&gt;&lt;D xsi:type="xsd:double"&gt;3.91345421092467&lt;/D&gt;&lt;D xsi:type="xsd:double"&gt;3.84985170469854&lt;/D&gt;&lt;D xsi:type="xsd:double"&gt;3.98490795425713&lt;/D&gt;&lt;D xsi:type="xsd:double"&gt;3.96184287709847&lt;/D&gt;&lt;D xsi:type="xsd:double"&gt;4.01074762685507&lt;/D&gt;&lt;D xsi:type="xsd:double"&gt;3.95245966901668&lt;/D&gt;&lt;D xsi:type="xsd:double"&gt;3.88337557890241&lt;/D&gt;&lt;D xsi:type="xsd:double"&gt;4.00549584290456&lt;/D&gt;&lt;D xsi:type="xsd:double"&gt;4.12219732073417&lt;/D&gt;&lt;D xsi:type="xsd:double"&gt;4.21140433227933&lt;/D&gt;&lt;D xsi:type="xsd:double"&gt;4.12761717227333&lt;/D&gt;&lt;D xsi:type="xsd:double"&gt;4.01891917699804&lt;/D&gt;&lt;D xsi:type="xsd:double"&gt;4.02122919390466&lt;/D&gt;&lt;D xsi:type="xsd:double"&gt;3.80059773458136&lt;/D&gt;&lt;D xsi:type="xsd:double"&gt;3.76214169445237&lt;/D&gt;&lt;D xsi:type="xsd:double"&gt;4.16608307017141&lt;/D&gt;&lt;D xsi:type="xsd:double"&gt;3.95632222599554&lt;/D&gt;&lt;D xsi:type="xsd:double"&gt;4.17832329886968&lt;/D&gt;&lt;D xsi:type="xsd:double"&gt;4.31553239305534&lt;/D&gt;&lt;D xsi:type="xsd:double"&gt;4.37013072631176&lt;/D&gt;&lt;D xsi:type="xsd:double"&gt;4.18285711377286&lt;/D&gt;&lt;D xsi:type="xsd:double"&gt;4.38852571971094&lt;/D&gt;&lt;D xsi:type="xsd:double"&gt;4.69881483736908&lt;/D&gt;&lt;D xsi:type="xsd:double"&gt;4.38093656749228&lt;/D&gt;&lt;D xsi:type="xsd:double"&gt;4.19859751620386&lt;/D&gt;&lt;D xsi:type="xsd:double"&gt;4.05017056911156&lt;/D&gt;&lt;D xsi:type="xsd:double"&gt;4.05629627242246&lt;/D&gt;&lt;D xsi:type="xsd:double"&gt;4.31604195243747&lt;/D&gt;&lt;D xsi:type="xsd:double"&gt;4.09419636853704&lt;/D&gt;&lt;D xsi:type="xsd:double"&gt;4.2731009809116&lt;/D&gt;&lt;D xsi:type="xsd:double"&gt;4.3493494955404&lt;/D&gt;&lt;D xsi:type="xsd:double"&gt;4.37181903848481&lt;/D&gt;&lt;D xsi:type="xsd:double"&gt;4.42687625577262&lt;/D&gt;&lt;D xsi:type="xsd:double"&gt;4.46394949219196&lt;/D&gt;&lt;D xsi:type="xsd:double"&gt;4.47333744460498&lt;/D&gt;&lt;D xsi:type="xsd:double"&gt;4.56798001169764&lt;/D&gt;&lt;D xsi:type="xsd:double"&gt;4.40072752332694&lt;/D&gt;&lt;D xsi:type="xsd:double"&gt;4.32363993244216&lt;/D&gt;&lt;D xsi:type="xsd:double"&gt;4.35150173160256&lt;/D&gt;&lt;D xsi:type="xsd:double"&gt;4.09675280596695&lt;/D&gt;&lt;D xsi:type="xsd:double"&gt;4.01726668590963&lt;/D&gt;&lt;D xsi:type="xsd:double"&gt;3.82705107240532&lt;/D&gt;&lt;D xsi:type="xsd:double"&gt;3.92344867656482&lt;/D&gt;&lt;/FQL&gt;&lt;FQL&gt;&lt;Q&gt;EWJ^FMA_PE(NTMA,-10AY,0,AM,"PORTAGG","MEANR")&lt;/Q&gt;&lt;R&gt;121&lt;/R&gt;&lt;C&gt;1&lt;/C&gt;&lt;D xsi:type="xsd:double"&gt;13.6718209818312&lt;/D&gt;&lt;D xsi:type="xsd:double"&gt;13.6263013982414&lt;/D&gt;&lt;D xsi:type="xsd:double"&gt;13.5329040347114&lt;/D&gt;&lt;D xsi:type="xsd:double"&gt;13.9407136115072&lt;/D&gt;&lt;D xsi:type="xsd:double"&gt;13.1357226959151&lt;/D&gt;&lt;D xsi:type="xsd:double"&gt;14.5511881646789&lt;/D&gt;&lt;D xsi:type="xsd:double"&gt;14.2531287900094&lt;/D&gt;&lt;D xsi:type="xsd:double"&gt;13.8502112553513&lt;/D&gt;&lt;D xsi:type="xsd:double"&gt;14.4092456046216&lt;/D&gt;&lt;D xsi:type="xsd:double"&gt;15.4135775920773&lt;/D&gt;&lt;D xsi:type="xsd:double"&gt;15.5982904794474&lt;/D&gt;&lt;D xsi:type="xsd:double"&gt;15.85564361343&lt;/D&gt;&lt;D xsi:type="xsd:double"&gt;15.9038899955519&lt;/D&gt;&lt;D xsi:type="xsd:double"&gt;15.1793161644762&lt;/D&gt;&lt;D xsi:type="xsd:double"&gt;15.4934630523172&lt;/D&gt;&lt;D xsi:type="xsd:double"&gt;13.6481190642019&lt;/D&gt;&lt;D xsi:type="xsd:double"&gt;13.8409709336778&lt;/D&gt;&lt;D xsi:type="xsd:double"&gt;14.6459822527216&lt;/D&gt;&lt;D xsi:type="xsd:double"&gt;14.1751031803682&lt;/D&gt;&lt;D xsi:type="xsd:double"&gt;13.0923666734639&lt;/D&gt;&lt;D xsi:type="xsd:double"&gt;11.0013808009965&lt;/D&gt;&lt;D xsi:type="xsd:double"&gt;12.9482155711046&lt;/D&gt;&lt;D xsi:type="xsd:double"&gt;12.7408683820814&lt;/D&gt;&lt;D xsi:type="xsd:double"&gt;12.8965821603457&lt;/D&gt;&lt;D xsi:type="xsd:double"&gt;12.8868155197019&lt;/D&gt;&lt;D xsi:type="xsd:double"&gt;13.2836306879284&lt;/D&gt;&lt;D xsi:type="xsd:double"&gt;13.4356193501105&lt;/D&gt;&lt;D xsi:type="xsd:double"&gt;13.3948651469751&lt;/D&gt;&lt;D xsi:type="xsd:double"&gt;13.3914597679175&lt;/D&gt;&lt;D xsi:type="xsd:double"&gt;13.6887554780824&lt;/D&gt;&lt;D xsi:type="xsd:double"&gt;15.0367385156023&lt;/D&gt;&lt;D xsi:type="xsd:double"&gt;14.8336948170236&lt;/D&gt;&lt;D xsi:type="xsd:double"&gt;14.5460981568319&lt;/D&gt;&lt;D xsi:type="xsd:double"&gt;14.4207879642293&lt;/D&gt;&lt;D xsi:type="xsd:double"&gt;13.3281886615521&lt;/D&gt;&lt;D xsi:type="xsd:double"&gt;14.3116276988095&lt;/D&gt;&lt;D xsi:type="xsd:double"&gt;14.3232958071027&lt;/D&gt;&lt;D xsi:type="xsd:double"&gt;14.2621266344128&lt;/D&gt;&lt;D xsi:type="xsd:double"&gt;13.9592770856528&lt;/D&gt;&lt;D xsi:type="xsd:double"&gt;13.7224394205167&lt;/D&gt;&lt;D xsi:type="xsd:double"&gt;14.1903557112306&lt;/D&gt;&lt;D xsi:type="xsd:double"&gt;14.6937971696064&lt;/D&gt;&lt;D xsi:type="xsd:double"&gt;14.7004475652942&lt;/D&gt;&lt;D xsi:type="xsd:double"&gt;15.2294733698464&lt;/D&gt;&lt;D xsi:type="xsd:double"&gt;13.5901267212946&lt;/D&gt;&lt;D xsi:type="xsd:double"&gt;13.0993027473332&lt;/D&gt;&lt;D xsi:type="xsd:double"&gt;12.8753621804691&lt;/D&gt;&lt;D xsi:type="xsd:double"&gt;13.3479615239113&lt;/D&gt;&lt;D xsi:type="xsd:double"&gt;13.2925290402908&lt;/D&gt;&lt;D xsi:type="xsd:double"&gt;12.8050528997419&lt;/D&gt;&lt;D xsi:type="xsd:double"&gt;12.3861846458701&lt;/D&gt;&lt;D xsi:type="xsd:double"&gt;12.5099531550318&lt;/D&gt;&lt;D xsi:type="xsd:double"&gt;12.421521541262&lt;/D&gt;&lt;D xsi:type="xsd:double"&gt;11.95668846254&lt;/D&gt;&lt;D xsi:type="xsd:double"&gt;11.9392656229836&lt;/D&gt;&lt;D xsi:type="xsd:double"&gt;11.4645766704021&lt;/D&gt;&lt;D xsi:type="xsd:double"&gt;12.1939766511177&lt;/D&gt;&lt;D xsi:type="xsd:double"&gt;12.4474090193771&lt;/D&gt;&lt;D xsi:type="xsd:double"&gt;12.6040049477169&lt;/D&gt;&lt;D xsi:type="xsd:double"&gt;12.1790802730184&lt;/D&gt;&lt;D xsi:type="xsd:double"&gt;12.5417692239424&lt;/D&gt;&lt;D xsi:type="xsd:double"&gt;12.9252039909403&lt;/D&gt;&lt;D xsi:type="xsd:double"&gt;12.268034930029&lt;/D&gt;&lt;D xsi:type="xsd:double"&gt;13.4384650221798&lt;/D&gt;&lt;D xsi:type="xsd:double"&gt;13.2674939400206&lt;/D&gt;&lt;D xsi:type="xsd:double"&gt;14.1502722809929&lt;/D&gt;&lt;D xsi:type="xsd:double"&gt;14.7145606081421&lt;/D&gt;&lt;D xsi:type="xsd:double"&gt;14.6432435296825&lt;/D&gt;&lt;D xsi:type="xsd:double"&gt;14.4467073329917&lt;/D&gt;&lt;D xsi:type="xsd:double"&gt;10.9717308261822&lt;/D&gt;&lt;D xsi:type="xsd:double"&gt;12.819831892946&lt;/D&gt;&lt;D xsi:type="xsd:double"&gt;14.3794760695947&lt;/D&gt;&lt;D xsi:type="xsd:double"&gt;17.2579852597822&lt;/D&gt;&lt;D xsi:type="xsd:double"&gt;17.8783583323037&lt;/D&gt;&lt;D xsi:type="xsd:double"&gt;17.9930338127877&lt;/D&gt;&lt;D xsi:type="xsd:double"&gt;18.3689634808634&lt;/D&gt;&lt;D xsi:type="xsd:double"&gt;18.1902928849567&lt;/D&gt;&lt;D xsi:type="xsd:double"&gt;18.2440394916343&lt;/D&gt;&lt;D xsi:type="xsd:double"&gt;18.4829222083748&lt;/D&gt;&lt;D xsi:type="xsd:double"&gt;18.7823716461648&lt;/D&gt;&lt;D xsi:type="xsd:double"&gt;18.9153675496674&lt;/D&gt;&lt;D xsi:type="xsd:double"&gt;17.9626793651948&lt;/D&gt;&lt;D xsi:type="xsd:double"&gt;17.4057581250793&lt;/D&gt;&lt;D xsi:type="xsd:double"&gt;15.9440400381486&lt;/D&gt;&lt;D xsi:type="xsd:double"&gt;16.4803933562981&lt;/D&gt;&lt;D xsi:type="xsd:double"&gt;16.2911492076733&lt;/D&gt;&lt;D xsi:type="xsd:double"&gt;15.6944561171095&lt;/D&gt;&lt;D xsi:type="xsd:double"&gt;16.1388947949121&lt;/D&gt;&lt;D xsi:type="xsd:double"&gt;15.0131216127297&lt;/D&gt;&lt;D xsi:type="xsd:double"&gt;15.4044342063269&lt;/D&gt;&lt;D xsi:type="xsd:double"&gt;14.5322843047632&lt;/D&gt;&lt;D xsi:type="xsd:double"&gt;14.5345639579475&lt;/D&gt;&lt;D xsi:type="xsd:double"&gt;13.9109997001789&lt;/D&gt;&lt;D xsi:type="xsd:double"&gt;12.3255869581283&lt;/D&gt;&lt;D xsi:type="xsd:double"&gt;12.8840961492871&lt;/D&gt;&lt;D xsi:type="xsd:double"&gt;12.5939107116688&lt;/D&gt;&lt;D xsi:type="xsd:double"&gt;12.6321102164766&lt;/D&gt;&lt;D xsi:type="xsd:double"&gt;12.4245762101439&lt;/D&gt;&lt;D xsi:type="xsd:double"&gt;12.963529437688&lt;/D&gt;&lt;D xsi:type="xsd:double"&gt;12.9413172609699&lt;/D&gt;&lt;D xsi:type="xsd:double"&gt;12.0086994859578&lt;/D&gt;&lt;D xsi:type="xsd:double"&gt;12.881688610306&lt;/D&gt;&lt;D xsi:type="xsd:double"&gt;12.7688885567288&lt;/D&gt;&lt;D xsi:type="xsd:double"&gt;12.3663690576801&lt;/D&gt;&lt;D xsi:type="xsd:double"&gt;12.9996591233268&lt;/D&gt;&lt;D xsi:type="xsd:double"&gt;13.1362788176558&lt;/D&gt;&lt;D xsi:type="xsd:double"&gt;13.2239626640068&lt;/D&gt;&lt;D xsi:type="xsd:double"&gt;13.7481712266717&lt;/D&gt;&lt;D xsi:type="xsd:double"&gt;14.8005291618753&lt;/D&gt;&lt;D xsi:type="xsd:double"&gt;14.5028010974994&lt;/D&gt;&lt;D xsi:type="xsd:double"&gt;14.5312546806313&lt;/D&gt;&lt;D xsi:type="xsd:double"&gt;14.7880406698967&lt;/D&gt;&lt;D xsi:type="xsd:double"&gt;14.2665248340334&lt;/D&gt;&lt;D xsi:type="xsd:double"&gt;14.1872676997058&lt;/D&gt;&lt;D xsi:type="xsd:double"&gt;14.0871273955101&lt;/D&gt;&lt;D xsi:type="xsd:double"&gt;14.8100779759283&lt;/D&gt;&lt;D xsi:type="xsd:double"&gt;15.2742674868701&lt;/D&gt;&lt;D xsi:type="xsd:double"&gt;15.222404538663&lt;/D&gt;&lt;D xsi:type="xsd:double"&gt;15.7071419333269&lt;/D&gt;&lt;D xsi:type="xsd:double"&gt;15.2766834052553&lt;/D&gt;&lt;D xsi:type="xsd:double"&gt;15.6247245899874&lt;/D&gt;&lt;/FQL&gt;&lt;FQL&gt;&lt;Q&gt;EWC^FMA_PE(LTMA,-10AY,0,AM,"PORTAGG","MEANR")&lt;/Q&gt;&lt;R&gt;121&lt;/R&gt;&lt;C&gt;1&lt;/C&gt;&lt;D xsi:type="xsd:double"&gt;16.2574871176846&lt;/D&gt;&lt;D xsi:type="xsd:double"&gt;16.266517579643&lt;/D&gt;&lt;D xsi:type="xsd:double"&gt;16.277794114582&lt;/D&gt;&lt;D xsi:type="xsd:double"&gt;16.4250048759668&lt;/D&gt;&lt;D xsi:type="xsd:double"&gt;15.3254694060965&lt;/D&gt;&lt;D xsi:type="xsd:double"&gt;15.7720392194064&lt;/D&gt;&lt;D xsi:type="xsd:double"&gt;14.8072666396075&lt;/D&gt;&lt;D xsi:type="xsd:double"&gt;15.1347703555332&lt;/D&gt;&lt;D xsi:type="xsd:double"&gt;16.6524746640292&lt;/D&gt;&lt;D xsi:type="xsd:double"&gt;16.9688255904431&lt;/D&gt;&lt;D xsi:type="xsd:double"&gt;17.2146386473457&lt;/D&gt;&lt;D xsi:type="xsd:double"&gt;17.1819807477526&lt;/D&gt;&lt;D xsi:type="xsd:double"&gt;17.1208002137&lt;/D&gt;&lt;D xsi:type="xsd:double"&gt;17.0111221465262&lt;/D&gt;&lt;D xsi:type="xsd:double"&gt;16.9214268060618&lt;/D&gt;&lt;D xsi:type="xsd:double"&gt;16.4451589072329&lt;/D&gt;&lt;D xsi:type="xsd:double"&gt;16.9453230586472&lt;/D&gt;&lt;D xsi:type="xsd:double"&gt;16.3304639807208&lt;/D&gt;&lt;D xsi:type="xsd:double"&gt;15.8825064152861&lt;/D&gt;&lt;D xsi:type="xsd:double"&gt;14.7498952020458&lt;/D&gt;&lt;D xsi:type="xsd:double"&gt;14.9497150856927&lt;/D&gt;&lt;D xsi:type="xsd:double"&gt;15.9050554668237&lt;/D&gt;&lt;D xsi:type="xsd:double"&gt;16.1397856265466&lt;/D&gt;&lt;D xsi:type="xsd:double"&gt;16.4473021211926&lt;/D&gt;&lt;D xsi:type="xsd:double"&gt;16.7171105865973&lt;/D&gt;&lt;D xsi:type="xsd:double"&gt;17.1164617932067&lt;/D&gt;&lt;D xsi:type="xsd:double"&gt;17.4514686515311&lt;/D&gt;&lt;D xsi:type="xsd:double"&gt;17.3733140514384&lt;/D&gt;&lt;D xsi:type="xsd:double"&gt;17.9314964669953&lt;/D&gt;&lt;D xsi:type="xsd:double"&gt;18.267031202304&lt;/D&gt;&lt;D xsi:type="xsd:double"&gt;19.2795750685049&lt;/D&gt;&lt;D xsi:type="xsd:double"&gt;19.5543775533161&lt;/D&gt;&lt;D xsi:type="xsd:double"&gt;19.8191172354275&lt;/D&gt;&lt;D xsi:type="xsd:double"&gt;19.2852323781468&lt;/D&gt;&lt;D xsi:type="xsd:double"&gt;18.9603326297772&lt;/D&gt;&lt;D xsi:type="xsd:double"&gt;18.6533510647507&lt;/D&gt;&lt;D xsi:type="xsd:double"&gt;18.2754664192189&lt;/D&gt;&lt;D xsi:type="xsd:double"&gt;17.9717994551006&lt;/D&gt;&lt;D xsi:type="xsd:double"&gt;17.7475737700226&lt;/D&gt;&lt;D xsi:type="xsd:double"&gt;17.3592360442104&lt;/D&gt;&lt;D xsi:type="xsd:double"&gt;17.5562818092178&lt;/D&gt;&lt;D xsi:type="xsd:double"&gt;17.3953670650977&lt;/D&gt;&lt;D xsi:type="xsd:double"&gt;17.2918546549736&lt;/D&gt;&lt;D xsi:type="xsd:double"&gt;17.271454816987&lt;/D&gt;&lt;D xsi:type="xsd:double"&gt;15.8710847298456&lt;/D&gt;&lt;D xsi:type="xsd:double"&gt;15.8147204487877&lt;/D&gt;&lt;D xsi:type="xsd:double"&gt;15.5799164297714&lt;/D&gt;&lt;D xsi:type="xsd:double"&gt;15.6290746823206&lt;/D&gt;&lt;D xsi:type="xsd:double"&gt;15.5965017740533&lt;/D&gt;&lt;D xsi:type="xsd:double"&gt;15.5761536672732&lt;/D&gt;&lt;D xsi:type="xsd:double"&gt;15.3515777796484&lt;/D&gt;&lt;D xsi:type="xsd:double"&gt;15.0177035989532&lt;/D&gt;&lt;D xsi:type="xsd:double"&gt;14.5102549502659&lt;/D&gt;&lt;D xsi:type="xsd:double"&gt;14.0830488325443&lt;/D&gt;&lt;D xsi:type="xsd:double"&gt;13.6290651006058&lt;/D&gt;&lt;D xsi:type="xsd:double"&gt;13.7305129754452&lt;/D&gt;&lt;D xsi:type="xsd:double"&gt;14.7513196584053&lt;/D&gt;&lt;D xsi:type="xsd:double"&gt;14.736011706985&lt;/D&gt;&lt;D xsi:type="xsd:double"&gt;14.7010571244936&lt;/D&gt;&lt;D xsi:type="xsd:double"&gt;14.4594168582115&lt;/D&gt;&lt;D xsi:type="xsd:double"&gt;14.4238110738301&lt;/D&gt;&lt;D xsi:type="xsd:double"&gt;14.4831957247194&lt;/D&gt;&lt;D xsi:type="xsd:double"&gt;14.4003788802069&lt;/D&gt;&lt;D xsi:type="xsd:double"&gt;14.6400822436633&lt;/D&gt;&lt;D xsi:type="xsd:double"&gt;14.5619943785231&lt;/D&gt;&lt;D xsi:type="xsd:double"&gt;15.0838116324771&lt;/D&gt;&lt;D xsi:type="xsd:double"&gt;15.158617801813&lt;/D&gt;&lt;D xsi:type="xsd:double"&gt;15.4174572400345&lt;/D&gt;&lt;D xsi:type="xsd:double"&gt;15.7564579014322&lt;/D&gt;&lt;D xsi:type="xsd:double"&gt;14.0171229787097&lt;/D&gt;&lt;D xsi:type="xsd:double"&gt;14.7190051471851&lt;/D&gt;&lt;D xsi:type="xsd:double"&gt;16.2618981693648&lt;/D&gt;&lt;D xsi:type="xsd:double"&gt;17.0070582743184&lt;/D&gt;&lt;D xsi:type="xsd:double"&gt;17.5266682905442&lt;/D&gt;&lt;D xsi:type="xsd:double"&gt;18.191367149845&lt;/D&gt;&lt;D xsi:type="xsd:double"&gt;18.2152915262953&lt;/D&gt;&lt;D xsi:type="xsd:double"&gt;18.8540171618699&lt;/D&gt;&lt;D xsi:type="xsd:double"&gt;19.1834456162841&lt;/D&gt;&lt;D xsi:type="xsd:double"&gt;20.21175959142&lt;/D&gt;&lt;D xsi:type="xsd:double"&gt;21.1869679386802&lt;/D&gt;&lt;D xsi:type="xsd:double"&gt;20.9761429933679&lt;/D&gt;&lt;D xsi:type="xsd:double"&gt;19.8566267002582&lt;/D&gt;&lt;D xsi:type="xsd:double"&gt;19.4657749735764&lt;/D&gt;&lt;D xsi:type="xsd:double"&gt;18.9828560280149&lt;/D&gt;&lt;D xsi:type="xsd:double"&gt;18.6776812581821&lt;/D&gt;&lt;D xsi:type="xsd:double"&gt;18.2181702467549&lt;/D&gt;&lt;D xsi:type="xsd:double"&gt;17.5551770236694&lt;/D&gt;&lt;D xsi:type="xsd:double"&gt;16.9779500559651&lt;/D&gt;&lt;D xsi:type="xsd:double"&gt;16.5438002558164&lt;/D&gt;&lt;D xsi:type="xsd:double"&gt;16.6119244869799&lt;/D&gt;&lt;D xsi:type="xsd:double"&gt;15.5465493038929&lt;/D&gt;&lt;D xsi:type="xsd:double"&gt;15.4991987685435&lt;/D&gt;&lt;D xsi:type="xsd:double"&gt;15.7028059969481&lt;/D&gt;&lt;D xsi:type="xsd:double"&gt;15.1225456270506&lt;/D&gt;&lt;D xsi:type="xsd:double"&gt;14.9314046125198&lt;/D&gt;&lt;D xsi:type="xsd:double"&gt;14.3108687395819&lt;/D&gt;&lt;D xsi:type="xsd:double"&gt;13.8783288414719&lt;/D&gt;&lt;D xsi:type="xsd:double"&gt;13.1189485133625&lt;/D&gt;&lt;D xsi:type="xsd:double"&gt;13.3467989073145&lt;/D&gt;&lt;D xsi:type="xsd:double"&gt;12.8108054712851&lt;/D&gt;&lt;D xsi:type="xsd:double"&gt;12.1173322321697&lt;/D&gt;&lt;D xsi:type="xsd:double"&gt;12.704139651641&lt;/D&gt;&lt;D xsi:type="xsd:double"&gt;12.5745645253393&lt;/D&gt;&lt;D xsi:type="xsd:double"&gt;12.632659695047&lt;/D&gt;&lt;D xsi:type="xsd:double"&gt;12.9118727587828&lt;/D&gt;&lt;D xsi:type="xsd:double"&gt;12.524192901702&lt;/D&gt;&lt;D xsi:type="xsd:double"&gt;12.7337898828182&lt;/D&gt;&lt;D xsi:type="xsd:double"&gt;12.8459512623024&lt;/D&gt;&lt;D xsi:type="xsd:double"&gt;12.9174038925264&lt;/D&gt;&lt;D xsi:type="xsd:double"&gt;13.2363371629726&lt;/D&gt;&lt;D xsi:type="xsd:double"&gt;13.48258250372&lt;/D&gt;&lt;D xsi:type="xsd:double"&gt;13.5996673828233&lt;/D&gt;&lt;D xsi:type="xsd:double"&gt;13.2483908993354&lt;/D&gt;&lt;D xsi:type="xsd:double"&gt;13.4380380216607&lt;/D&gt;&lt;D xsi:type="xsd:double"&gt;14.2192669149866&lt;/D&gt;&lt;D xsi:type="xsd:double"&gt;14.9493836991622&lt;/D&gt;&lt;D xsi:type="xsd:double"&gt;14.6580171723233&lt;/D&gt;&lt;D xsi:type="xsd:double"&gt;15.3108601520707&lt;/D&gt;&lt;D xsi:type="xsd:double"&gt;15.2664334043967&lt;/D&gt;&lt;D xsi:type="xsd:double"&gt;15.3330309642312&lt;/D&gt;&lt;D xsi:type="xsd:double"&gt;15.0328125963509&lt;/D&gt;&lt;/FQL&gt;&lt;FQL&gt;&lt;Q&gt;WL-FDS^FG_PRICE_CHANGE(0,-3AM)&lt;/Q&gt;&lt;R&gt;1&lt;/R&gt;&lt;C&gt;1&lt;/C&gt;&lt;D xsi:type="xsd:double"&gt;-7.67979173446145&lt;/D&gt;&lt;/FQL&gt;&lt;FQL&gt;&lt;Q&gt;NI-FDS^FG_PRICE_CHANGE(0,-3AM)&lt;/Q&gt;&lt;R&gt;1&lt;/R&gt;&lt;C&gt;1&lt;/C&gt;&lt;D xsi:type="xsd:double"&gt;-3.38563170933113&lt;/D&gt;&lt;/FQL&gt;&lt;FQL&gt;&lt;Q&gt;CPALM-FDS^FG_PRICE_CHANGE(0,-3AM)&lt;/Q&gt;&lt;R&gt;1&lt;/R&gt;&lt;C&gt;1&lt;/C&gt;&lt;D xsi:type="xsd:double"&gt;-7.32626619552414&lt;/D&gt;&lt;/FQL&gt;&lt;FQL&gt;&lt;Q&gt;BRENT-FDS^FG_PRICE_CHANGE(0,-3AM)&lt;/Q&gt;&lt;R&gt;1&lt;/R&gt;&lt;C&gt;1&lt;/C&gt;&lt;D xsi:type="xsd:double"&gt;0&lt;/D&gt;&lt;/FQL&gt;&lt;FQL&gt;&lt;Q&gt;EWU^FMA_ROE(NTMA,-20AY,NOW,FY,"PORTAGG","MEANR")&lt;/Q&gt;&lt;R&gt;20&lt;/R&gt;&lt;C&gt;1&lt;/C&gt;&lt;D xsi:type="xsd:double"&gt;17.0013743335587&lt;/D&gt;&lt;D xsi:type="xsd:double"&gt;17.4840740170497&lt;/D&gt;&lt;D xsi:type="xsd:double"&gt;19.4425742504053&lt;/D&gt;&lt;D xsi:type="xsd:double"&gt;18.9225481633064&lt;/D&gt;&lt;D xsi:type="xsd:double"&gt;14.9735451636047&lt;/D&gt;&lt;D xsi:type="xsd:double"&gt;14.6457818658238&lt;/D&gt;&lt;D xsi:type="xsd:double"&gt;16.1542964974398&lt;/D&gt;&lt;D xsi:type="xsd:double"&gt;15.1996078376158&lt;/D&gt;&lt;D xsi:type="xsd:double"&gt;14.4781479669762&lt;/D&gt;&lt;D xsi:type="xsd:double"&gt;13.3640315886099&lt;/D&gt;&lt;D xsi:type="xsd:double"&gt;12.2326503305714&lt;/D&gt;&lt;D xsi:type="xsd:double"&gt;11.1900784012713&lt;/D&gt;&lt;D xsi:type="xsd:double"&gt;12.1967915012023&lt;/D&gt;&lt;D xsi:type="xsd:double"&gt;12.7329318595365&lt;/D&gt;&lt;D xsi:type="xsd:double"&gt;13.1887832891224&lt;/D&gt;&lt;D xsi:type="xsd:double"&gt;12.8710545059328&lt;/D&gt;&lt;D xsi:type="xsd:double"&gt;11.2050609778507&lt;/D&gt;&lt;D xsi:type="xsd:double"&gt;13.9227699516468&lt;/D&gt;&lt;D xsi:type="xsd:double"&gt;15.8587443966116&lt;/D&gt;&lt;D xsi:type="xsd:double"&gt;14.7207288829902&lt;/D&gt;&lt;/FQL&gt;&lt;FQL&gt;&lt;Q&gt;TRYMX10Y-FDS^FG_YIELD(-10AY,0,Y,,"YTM")&lt;/Q&gt;&lt;R&gt;10&lt;/R&gt;&lt;C&gt;1&lt;/C&gt;&lt;D xsi:type="xsd:double"&gt;5.8237&lt;/D&gt;&lt;D xsi:type="xsd:double"&gt;6.2537&lt;/D&gt;&lt;D xsi:type="xsd:double"&gt;7.5651&lt;/D&gt;&lt;D xsi:type="xsd:double"&gt;7.6401&lt;/D&gt;&lt;D xsi:type="xsd:double"&gt;8.7069&lt;/D&gt;&lt;D xsi:type="xsd:double"&gt;6.8373&lt;/D&gt;&lt;D xsi:type="xsd:double"&gt;5.552&lt;/D&gt;&lt;D xsi:type="xsd:double"&gt;7.558&lt;/D&gt;&lt;D xsi:type="xsd:double"&gt;9.0223&lt;/D&gt;&lt;D xsi:type="xsd:double"&gt;8.95&lt;/D&gt;&lt;/FQL&gt;&lt;FQL&gt;&lt;Q&gt;TRYPE10Y-FDS^FG_YIELD(-10AY,0,Y,,"YTM")&lt;/Q&gt;&lt;R&gt;10&lt;/R&gt;&lt;C&gt;1&lt;/C&gt;&lt;D xsi:type="xsd:double"&gt;5.681629&lt;/D&gt;&lt;D xsi:type="xsd:double"&gt;7.426917&lt;/D&gt;&lt;D xsi:type="xsd:double"&gt;6.415413&lt;/D&gt;&lt;D xsi:type="xsd:double"&gt;5.167133&lt;/D&gt;&lt;D xsi:type="xsd:double"&gt;5.645114&lt;/D&gt;&lt;D xsi:type="xsd:double"&gt;4.243226&lt;/D&gt;&lt;D xsi:type="xsd:double"&gt;3.535983&lt;/D&gt;&lt;D xsi:type="xsd:double"&gt;5.889906&lt;/D&gt;&lt;D xsi:type="xsd:double"&gt;7.923381&lt;/D&gt;&lt;D xsi:type="xsd:double"&gt;6.6087&lt;/D&gt;&lt;/FQL&gt;&lt;FQL&gt;&lt;Q&gt;CAGDPY@GB^EE_ACTUAL_ANNUAL(MED,+1)&lt;/Q&gt;&lt;R&gt;1&lt;/R&gt;&lt;C&gt;1&lt;/C&gt;&lt;D xsi:type="xsd:double"&gt;-2.8&lt;/D&gt;&lt;/FQL&gt;&lt;FQL&gt;&lt;Q&gt;CC_GB^FG_COMPANY_NAME&lt;/Q&gt;&lt;R&gt;1&lt;/R&gt;&lt;C&gt;1&lt;/C&gt;&lt;D xsi:type="xsd:string"&gt;United Kingdom&lt;/D&gt;&lt;/FQL&gt;&lt;FQL&gt;&lt;Q&gt;USDSEK^STD(FG_PRICE_CHANGE(0,-1AY,AM))&lt;/Q&gt;&lt;R&gt;1&lt;/R&gt;&lt;C&gt;1&lt;/C&gt;&lt;D xsi:type="xsd:double"&gt;3.81592728248721&lt;/D&gt;&lt;/FQL&gt;&lt;FQL&gt;&lt;Q&gt;USDCHF^STD(FG_PRICE_CHANGE(0,-1AY,AM))&lt;/Q&gt;&lt;R&gt;1&lt;/R&gt;&lt;C&gt;1&lt;/C&gt;&lt;D xsi:type="xsd:double"&gt;2.69958631793985&lt;/D&gt;&lt;/FQL&gt;&lt;FQL&gt;&lt;Q&gt;USDUSD^STD(FG_PRICE_CHANGE(0,-1AY,AM))&lt;/Q&gt;&lt;R&gt;1&lt;/R&gt;&lt;C&gt;1&lt;/C&gt;&lt;D xsi:type="xsd:double"&gt;0&lt;/D&gt;&lt;/FQL&gt;&lt;FQL&gt;&lt;Q&gt;USDEUR^STD(FG_PRICE_CHANGE(0,-1AY,AM))&lt;/Q&gt;&lt;R&gt;1&lt;/R&gt;&lt;C&gt;1&lt;/C&gt;&lt;D xsi:type="xsd:double"&gt;2.1150803678562&lt;/D&gt;&lt;/FQL&gt;&lt;FQL&gt;&lt;Q&gt;USDAUD^STD(FG_PRICE_CHANGE(0,-1AY,AM))&lt;/Q&gt;&lt;R&gt;1&lt;/R&gt;&lt;C&gt;1&lt;/C&gt;&lt;D xsi:type="xsd:double"&gt;2.75263672023715&lt;/D&gt;&lt;/FQL&gt;&lt;FQL&gt;&lt;Q&gt;EWD^FMA_EPS(NTMA,-20AY,0,CY,,"PORTAGG","MEANR")&lt;/Q&gt;&lt;R&gt;20&lt;/R&gt;&lt;C&gt;1&lt;/C&gt;&lt;D xsi:type="xsd:double"&gt;1.55275820794805&lt;/D&gt;&lt;D xsi:type="xsd:double"&gt;1.54581744522321&lt;/D&gt;&lt;D xsi:type="xsd:double"&gt;2.18886161040082&lt;/D&gt;&lt;D xsi:type="xsd:double"&gt;2.54439610565031&lt;/D&gt;&lt;D xsi:type="xsd:double"&gt;1.55027933568846&lt;/D&gt;&lt;D xsi:type="xsd:double"&gt;1.36361799599867&lt;/D&gt;&lt;D xsi:type="xsd:double"&gt;2.27207932583515&lt;/D&gt;&lt;D xsi:type="xsd:double"&gt;2.18253517023992&lt;/D&gt;&lt;D xsi:type="xsd:double"&gt;2.32063293486455&lt;/D&gt;&lt;D xsi:type="xsd:double"&gt;2.31545066006368&lt;/D&gt;&lt;D xsi:type="xsd:double"&gt;2.02872425818202&lt;/D&gt;&lt;D xsi:type="xsd:double"&gt;1.94857888922314&lt;/D&gt;&lt;D xsi:type="xsd:double"&gt;1.75138174890933&lt;/D&gt;&lt;D xsi:type="xsd:double"&gt;2.10390186893761&lt;/D&gt;&lt;D xsi:type="xsd:double"&gt;2.115438961001&lt;/D&gt;&lt;D xsi:type="xsd:double"&gt;2.04039298067199&lt;/D&gt;&lt;D xsi:type="xsd:double"&gt;2.20793118453467&lt;/D&gt;&lt;D xsi:type="xsd:double"&gt;2.4827867979632&lt;/D&gt;&lt;D xsi:type="xsd:double"&gt;2.558848337072&lt;/D&gt;&lt;D xsi:type="xsd:double"&gt;2.51009258677616&lt;/D&gt;&lt;/FQL&gt;&lt;FQL&gt;&lt;Q&gt;EWQ^P_PRICE_RETURNS_PR('52W',2,-10AY,0,AM)&lt;/Q&gt;&lt;R&gt;121&lt;/R&gt;&lt;C&gt;1&lt;/C&gt;&lt;D xsi:type="xsd:double"&gt;23.036062&lt;/D&gt;&lt;D xsi:type="xsd:double"&gt;18.745577&lt;/D&gt;&lt;D xsi:type="xsd:double"&gt;5.4141283&lt;/D&gt;&lt;D xsi:type="xsd:double"&gt;7.7589035&lt;/D&gt;&lt;D xsi:type="xsd:double"&gt;-8.143145&lt;/D&gt;&lt;D xsi:type="xsd:double"&gt;-6.164151&lt;/D&gt;&lt;D xsi:type="xsd:double"&gt;-6.2788067&lt;/D&gt;&lt;D xsi:type="xsd:double"&gt;-10.819477&lt;/D&gt;&lt;D xsi:type="xsd:double"&gt;-5.017638&lt;/D&gt;&lt;D xsi:type="xsd:double"&gt;-7.412946&lt;/D&gt;&lt;D xsi:type="xsd:double"&gt;-5.6479874&lt;/D&gt;&lt;D xsi:type="xsd:double"&gt;-6.5906286&lt;/D&gt;&lt;D xsi:type="xsd:double"&gt;-7.9854546&lt;/D&gt;&lt;D xsi:type="xsd:double"&gt;-4.4016004&lt;/D&gt;&lt;D xsi:type="xsd:double"&gt;1.8312335&lt;/D&gt;&lt;D xsi:type="xsd:double"&gt;-6.918204&lt;/D&gt;&lt;D xsi:type="xsd:double"&gt;6.019175&lt;/D&gt;&lt;D xsi:type="xsd:double"&gt;0.9666681&lt;/D&gt;&lt;D xsi:type="xsd:double"&gt;-1.6541004&lt;/D&gt;&lt;D xsi:type="xsd:double"&gt;-4.0870485&lt;/D&gt;&lt;D xsi:type="xsd:double"&gt;-14.604235&lt;/D&gt;&lt;D xsi:type="xsd:double"&gt;-2.125913&lt;/D&gt;&lt;D xsi:type="xsd:double"&gt;-5.951852&lt;/D&gt;&lt;D xsi:type="xsd:double"&gt;-10.476565&lt;/D&gt;&lt;D xsi:type="xsd:double"&gt;-10.880923&lt;/D&gt;&lt;D xsi:type="xsd:double"&gt;-9.307945&lt;/D&gt;&lt;D xsi:type="xsd:double"&gt;-6.85944&lt;/D&gt;&lt;D xsi:type="xsd:double"&gt;-1.5880167&lt;/D&gt;&lt;D xsi:type="xsd:double"&gt;-4.104418&lt;/D&gt;&lt;D xsi:type="xsd:double"&gt;-4.5268774&lt;/D&gt;&lt;D xsi:type="xsd:double"&gt;5.4744244&lt;/D&gt;&lt;D xsi:type="xsd:double"&gt;14.870989&lt;/D&gt;&lt;D xsi:type="xsd:double"&gt;17.909122&lt;/D&gt;&lt;D xsi:type="xsd:double"&gt;9.256768&lt;/D&gt;&lt;D xsi:type="xsd:double"&gt;9.577894&lt;/D&gt;&lt;D xsi:type="xsd:double"&gt;22.933805&lt;/D&gt;&lt;D xsi:type="xsd:double"&gt;28.43237&lt;/D&gt;&lt;D xsi:type="xsd:double"&gt;28.4642&lt;/D&gt;&lt;D xsi:type="xsd:double"&gt;23.501469&lt;/D&gt;&lt;D xsi:type="xsd:double"&gt;30.047453&lt;/D&gt;&lt;D xsi:type="xsd:double"&gt;34.1259&lt;/D&gt;&lt;D xsi:type="xsd:double"&gt;32.048607&lt;/D&gt;&lt;D xsi:type="xsd:double"&gt;29.37771&lt;/D&gt;&lt;D xsi:type="xsd:double"&gt;33.193897&lt;/D&gt;&lt;D xsi:type="xsd:double"&gt;26.753675&lt;/D&gt;&lt;D xsi:type="xsd:double"&gt;25.767946&lt;/D&gt;&lt;D xsi:type="xsd:double"&gt;26.306879&lt;/D&gt;&lt;D xsi:type="xsd:double"&gt;16.838657&lt;/D&gt;&lt;D xsi:type="xsd:double"&gt;12.144709&lt;/D&gt;&lt;D xsi:type="xsd:double"&gt;9.896255&lt;/D&gt;&lt;D xsi:type="xsd:double"&gt;6.4252853&lt;/D&gt;&lt;D xsi:type="xsd:double"&gt;4.118347&lt;/D&gt;&lt;D xsi:type="xsd:double"&gt;-4.043764&lt;/D&gt;&lt;D xsi:type="xsd:double"&gt;-5.1088276&lt;/D&gt;&lt;D xsi:type="xsd:double"&gt;-10.052413&lt;/D&gt;&lt;D xsi:type="xsd:double"&gt;-14.339071&lt;/D&gt;&lt;D xsi:type="xsd:double"&gt;-7.522726&lt;/D&gt;&lt;D xsi:type="xsd:double"&gt;-4.6657443&lt;/D&gt;&lt;D xsi:type="xsd:double"&gt;-2.9061913&lt;/D&gt;&lt;D xsi:type="xsd:double"&gt;-8.684206&lt;/D&gt;&lt;D xsi:type="xsd:double"&gt;-3.8573503&lt;/D&gt;&lt;D xsi:type="xsd:double"&gt;0.93997717&lt;/D&gt;&lt;D xsi:type="xsd:double"&gt;-0.53727627&lt;/D&gt;&lt;D xsi:type="xsd:double"&gt;1.6843796&lt;/D&gt;&lt;D xsi:type="xsd:double"&gt;7.264042&lt;/D&gt;&lt;D xsi:type="xsd:double"&gt;15.096939&lt;/D&gt;&lt;D xsi:type="xsd:double"&gt;20.465624&lt;/D&gt;&lt;D xsi:type="xsd:double"&gt;24.286402&lt;/D&gt;&lt;D xsi:type="xsd:double"&gt;18.356752&lt;/D&gt;&lt;D xsi:type="xsd:double"&gt;-17.904293&lt;/D&gt;&lt;D xsi:type="xsd:double"&gt;-19.246452&lt;/D&gt;&lt;D xsi:type="xsd:double"&gt;-18.48098&lt;/D&gt;&lt;D xsi:type="xsd:double"&gt;-8.392745&lt;/D&gt;&lt;D xsi:type="xsd:double"&gt;-8.19127&lt;/D&gt;&lt;D xsi:type="xsd:double"&gt;1.485908&lt;/D&gt;&lt;D xsi:type="xsd:double"&gt;-1.7392039&lt;/D&gt;&lt;D xsi:type="xsd:double"&gt;-4.1856527&lt;/D&gt;&lt;D xsi:type="xsd:double"&gt;1.1226773&lt;/D&gt;&lt;D xsi:type="xsd:double"&gt;5.1525354&lt;/D&gt;&lt;D xsi:type="xsd:double"&gt;5.1729083&lt;/D&gt;&lt;D xsi:type="xsd:double"&gt;6.151724&lt;/D&gt;&lt;D xsi:type="xsd:double"&gt;63.366936&lt;/D&gt;&lt;D xsi:type="xsd:double"&gt;53.221714&lt;/D&gt;&lt;D xsi:type="xsd:double"&gt;63.60322&lt;/D&gt;&lt;D xsi:type="xsd:double"&gt;51.161755&lt;/D&gt;&lt;D xsi:type="xsd:double"&gt;37.568367&lt;/D&gt;&lt;D xsi:type="xsd:double"&gt;36.040306&lt;/D&gt;&lt;D xsi:type="xsd:double"&gt;34.1421&lt;/D&gt;&lt;D xsi:type="xsd:double"&gt;33.809387&lt;/D&gt;&lt;D xsi:type="xsd:double"&gt;30.47434&lt;/D&gt;&lt;D xsi:type="xsd:double"&gt;18.171776&lt;/D&gt;&lt;D xsi:type="xsd:double"&gt;20.051575&lt;/D&gt;&lt;D xsi:type="xsd:double"&gt;14.217067&lt;/D&gt;&lt;D xsi:type="xsd:double"&gt;-4.5960546&lt;/D&gt;&lt;D xsi:type="xsd:double"&gt;-1.795268&lt;/D&gt;&lt;D xsi:type="xsd:double"&gt;-10.230666&lt;/D&gt;&lt;D xsi:type="xsd:double"&gt;-18.461205&lt;/D&gt;&lt;D xsi:type="xsd:double"&gt;-17.98092&lt;/D&gt;&lt;D xsi:type="xsd:double"&gt;-12.212217&lt;/D&gt;&lt;D xsi:type="xsd:double"&gt;-18.87306&lt;/D&gt;&lt;D xsi:type="xsd:double"&gt;-22.442972&lt;/D&gt;&lt;D xsi:type="xsd:double"&gt;-12.714994&lt;/D&gt;&lt;D xsi:type="xsd:double"&gt;-5.9666214&lt;/D&gt;&lt;D xsi:type="xsd:double"&gt;-4.096675&lt;/D&gt;&lt;D xsi:type="xsd:double"&gt;2.187097&lt;/D&gt;&lt;D xsi:type="xsd:double"&gt;13.459217&lt;/D&gt;&lt;D xsi:type="xsd:double"&gt;18.48873&lt;/D&gt;&lt;D xsi:type="xsd:double"&gt;27.204704&lt;/D&gt;&lt;D xsi:type="xsd:double"&gt;27.447247&lt;/D&gt;&lt;D xsi:type="xsd:double"&gt;38.80533&lt;/D&gt;&lt;D xsi:type="xsd:double"&gt;20.992172&lt;/D&gt;&lt;D xsi:type="xsd:double"&gt;26.152372&lt;/D&gt;&lt;D xsi:type="xsd:double"&gt;28.015757&lt;/D&gt;&lt;D xsi:type="xsd:double"&gt;11.489904&lt;/D&gt;&lt;D xsi:type="xsd:double"&gt;16.797935&lt;/D&gt;&lt;D xsi:type="xsd:double"&gt;9.004629&lt;/D&gt;&lt;D xsi:type="xsd:double"&gt;6.1876774&lt;/D&gt;&lt;D xsi:type="xsd:double"&gt;19.96529&lt;/D&gt;&lt;D xsi:type="xsd:double"&gt;4.914522&lt;/D&gt;&lt;D xsi:type="xsd:double"&gt;11.6980915&lt;/D&gt;&lt;D xsi:type="xsd:double"&gt;7.114589&lt;/D&gt;&lt;/FQL&gt;&lt;FQL&gt;&lt;Q&gt;QQQ^FG_TOTAL_RETURNC(-10AY,0,AM)&lt;/Q&gt;&lt;R&gt;121&lt;/R&gt;&lt;C&gt;1&lt;/C&gt;&lt;D xsi:type="xsd:double"&gt;4.5645&lt;/D&gt;&lt;D xsi:type="xsd:double"&gt;3.472495&lt;/D&gt;&lt;D xsi:type="xsd:double"&gt;1.2175918&lt;/D&gt;&lt;D xsi:type="xsd:double"&gt;3.1629205&lt;/D&gt;&lt;D xsi:type="xsd:double"&gt;-6.331831&lt;/D&gt;&lt;D xsi:type="xsd:double"&gt;10.692776&lt;/D&gt;&lt;D xsi:type="xsd:double"&gt;-0.22352338&lt;/D&gt;&lt;D xsi:type="xsd:double"&gt;-0.7534504&lt;/D&gt;&lt;D xsi:type="xsd:double"&gt;5.3093076&lt;/D&gt;&lt;D xsi:type="xsd:double"&gt;-1.4685333&lt;/D&gt;&lt;D xsi:type="xsd:double"&gt;2.264738&lt;/D&gt;&lt;D xsi:type="xsd:double"&gt;0.4838109&lt;/D&gt;&lt;D xsi:type="xsd:double"&gt;0.6944418&lt;/D&gt;&lt;D xsi:type="xsd:double"&gt;0.9594083&lt;/D&gt;&lt;D xsi:type="xsd:double"&gt;0.7303238&lt;/D&gt;&lt;D xsi:type="xsd:double"&gt;-4.323&lt;/D&gt;&lt;D xsi:type="xsd:double"&gt;0.7500887&lt;/D&gt;&lt;D xsi:type="xsd:double"&gt;3.524971&lt;/D&gt;&lt;D xsi:type="xsd:double"&gt;0.86489916&lt;/D&gt;&lt;D xsi:type="xsd:double"&gt;-7.7375116&lt;/D&gt;&lt;D xsi:type="xsd:double"&gt;-3.807658&lt;/D&gt;&lt;D xsi:type="xsd:double"&gt;8.6411&lt;/D&gt;&lt;D xsi:type="xsd:double"&gt;4.4588923&lt;/D&gt;&lt;D xsi:type="xsd:double"&gt;-4.8778296&lt;/D&gt;&lt;D xsi:type="xsd:double"&gt;2.3980975&lt;/D&gt;&lt;D xsi:type="xsd:double"&gt;3.2300234&lt;/D&gt;&lt;D xsi:type="xsd:double"&gt;5.3767323&lt;/D&gt;&lt;D xsi:type="xsd:double"&gt;-1.6296923&lt;/D&gt;&lt;D xsi:type="xsd:double"&gt;1.7374873&lt;/D&gt;&lt;D xsi:type="xsd:double"&gt;-1.025641&lt;/D&gt;&lt;D xsi:type="xsd:double"&gt;4.024172&lt;/D&gt;&lt;D xsi:type="xsd:double"&gt;2.5448322&lt;/D&gt;&lt;D xsi:type="xsd:double"&gt;4.011047&lt;/D&gt;&lt;D xsi:type="xsd:double"&gt;2.7400374&lt;/D&gt;&lt;D xsi:type="xsd:double"&gt;-0.7131219&lt;/D&gt;&lt;D xsi:type="xsd:double"&gt;6.2883496&lt;/D&gt;&lt;D xsi:type="xsd:double"&gt;1.2698412&lt;/D&gt;&lt;D xsi:type="xsd:double"&gt;0.73827505&lt;/D&gt;&lt;D xsi:type="xsd:double"&gt;0.7730007&lt;/D&gt;&lt;D xsi:type="xsd:double"&gt;3.040111&lt;/D&gt;&lt;D xsi:type="xsd:double"&gt;1.5336037&lt;/D&gt;&lt;D xsi:type="xsd:double"&gt;3.7279248&lt;/D&gt;&lt;D xsi:type="xsd:double"&gt;1.3777971&lt;/D&gt;&lt;D xsi:type="xsd:double"&gt;5.668032&lt;/D&gt;&lt;D xsi:type="xsd:double"&gt;-2.9181123&lt;/D&gt;&lt;D xsi:type="xsd:double"&gt;7.527089&lt;/D&gt;&lt;D xsi:type="xsd:double"&gt;-5.8662534&lt;/D&gt;&lt;D xsi:type="xsd:double"&gt;5.0133348&lt;/D&gt;&lt;D xsi:type="xsd:double"&gt;3.7531018&lt;/D&gt;&lt;D xsi:type="xsd:double"&gt;2.3746014&lt;/D&gt;&lt;D xsi:type="xsd:double"&gt;0.39530993&lt;/D&gt;&lt;D xsi:type="xsd:double"&gt;2.3347378&lt;/D&gt;&lt;D xsi:type="xsd:double"&gt;-5.363578&lt;/D&gt;&lt;D xsi:type="xsd:double"&gt;-4.5032144&lt;/D&gt;&lt;D xsi:type="xsd:double"&gt;-0.8229673&lt;/D&gt;&lt;D xsi:type="xsd:double"&gt;-2.3858309&lt;/D&gt;&lt;D xsi:type="xsd:double"&gt;6.422293&lt;/D&gt;&lt;D xsi:type="xsd:double"&gt;3.5085678&lt;/D&gt;&lt;D xsi:type="xsd:double"&gt;5.1735163&lt;/D&gt;&lt;D xsi:type="xsd:double"&gt;-3.901416&lt;/D&gt;&lt;D xsi:type="xsd:double"&gt;2.710271&lt;/D&gt;&lt;D xsi:type="xsd:double"&gt;5.744982&lt;/D&gt;&lt;D xsi:type="xsd:double"&gt;-2.6559174&lt;/D&gt;&lt;D xsi:type="xsd:double"&gt;2.2028685&lt;/D&gt;&lt;D xsi:type="xsd:double"&gt;-0.5425453&lt;/D&gt;&lt;D xsi:type="xsd:double"&gt;5.4837465&lt;/D&gt;&lt;D xsi:type="xsd:double"&gt;2.7779222&lt;/D&gt;&lt;D xsi:type="xsd:double"&gt;6.8716526&lt;/D&gt;&lt;D xsi:type="xsd:double"&gt;5.8927417&lt;/D&gt;&lt;D xsi:type="xsd:double"&gt;-17.792881&lt;/D&gt;&lt;D xsi:type="xsd:double"&gt;5.782461&lt;/D&gt;&lt;D xsi:type="xsd:double"&gt;8.033299&lt;/D&gt;&lt;D xsi:type="xsd:double"&gt;7.54081&lt;/D&gt;&lt;D xsi:type="xsd:double"&gt;9.795057&lt;/D&gt;&lt;D xsi:type="xsd:double"&gt;5.3918123&lt;/D&gt;&lt;D xsi:type="xsd:double"&gt;-0.7450104&lt;/D&gt;&lt;D xsi:type="xsd:double"&gt;9.0580225&lt;/D&gt;&lt;D xsi:type="xsd:double"&gt;-1.2189329&lt;/D&gt;&lt;D xsi:type="xsd:double"&gt;3.7534833&lt;/D&gt;&lt;D xsi:type="xsd:double"&gt;4.8912644&lt;/D&gt;&lt;D xsi:type="xsd:double"&gt;6.458044&lt;/D&gt;&lt;D xsi:type="xsd:double"&gt;-6.238675&lt;/D&gt;&lt;D xsi:type="xsd:double"&gt;8.103073&lt;/D&gt;&lt;D xsi:type="xsd:double"&gt;-6.2419295&lt;/D&gt;&lt;D xsi:type="xsd:double"&gt;6.857896&lt;/D&gt;&lt;D xsi:type="xsd:double"&gt;6.329155&lt;/D&gt;&lt;D xsi:type="xsd:double"&gt;1.7659068&lt;/D&gt;&lt;D xsi:type="xsd:double"&gt;2.0362139&lt;/D&gt;&lt;D xsi:type="xsd:double"&gt;-4.231&lt;/D&gt;&lt;D xsi:type="xsd:double"&gt;9.638893&lt;/D&gt;&lt;D xsi:type="xsd:double"&gt;-0.6181896&lt;/D&gt;&lt;D xsi:type="xsd:double"&gt;-3.5977483&lt;/D&gt;&lt;D xsi:type="xsd:double"&gt;-8.1025305&lt;/D&gt;&lt;D xsi:type="xsd:double"&gt;-6.5291286&lt;/D&gt;&lt;D xsi:type="xsd:double"&gt;6.898606&lt;/D&gt;&lt;D xsi:type="xsd:double"&gt;-12.8222885&lt;/D&gt;&lt;D xsi:type="xsd:double"&gt;-8.786511&lt;/D&gt;&lt;D xsi:type="xsd:double"&gt;3.9126992&lt;/D&gt;&lt;D xsi:type="xsd:double"&gt;15.662527&lt;/D&gt;&lt;D xsi:type="xsd:double"&gt;-11.105061&lt;/D&gt;&lt;D xsi:type="xsd:double"&gt;-8.308154&lt;/D&gt;&lt;D xsi:type="xsd:double"&gt;7.1200013&lt;/D&gt;&lt;D xsi:type="xsd:double"&gt;0.2396226&lt;/D&gt;&lt;D xsi:type="xsd:double"&gt;-2.4241567&lt;/D&gt;&lt;D xsi:type="xsd:double"&gt;8.374559&lt;/D&gt;&lt;D xsi:type="xsd:double"&gt;-4.5353055&lt;/D&gt;&lt;D xsi:type="xsd:double"&gt;9.966839&lt;/D&gt;&lt;D xsi:type="xsd:double"&gt;1.8360019&lt;/D&gt;&lt;D xsi:type="xsd:double"&gt;11.761999&lt;/D&gt;&lt;D xsi:type="xsd:double"&gt;4.5176506&lt;/D&gt;&lt;D xsi:type="xsd:double"&gt;-3.4049869&lt;/D&gt;&lt;D xsi:type="xsd:double"&gt;2.1761656&lt;/D&gt;&lt;D xsi:type="xsd:double"&gt;-2.2453249&lt;/D&gt;&lt;D xsi:type="xsd:double"&gt;3.2659888&lt;/D&gt;&lt;D xsi:type="xsd:double"&gt;7.033217&lt;/D&gt;&lt;D xsi:type="xsd:double"&gt;1.6962409&lt;/D&gt;&lt;D xsi:type="xsd:double"&gt;4.636681&lt;/D&gt;&lt;D xsi:type="xsd:double"&gt;2.730143&lt;/D&gt;&lt;D xsi:type="xsd:double"&gt;-0.3192544&lt;/D&gt;&lt;D xsi:type="xsd:double"&gt;1.0975003&lt;/D&gt;&lt;D xsi:type="xsd:double"&gt;7.5923085&lt;/D&gt;&lt;/FQL&gt;&lt;FQL&gt;&lt;Q&gt;EWL^FMA_DIV_YLD(NTMA,-10AY,0,AM,"PORTAGG","MEANR")&lt;/Q&gt;&lt;R&gt;121&lt;/R&gt;&lt;C&gt;1&lt;/C&gt;&lt;D xsi:type="xsd:double"&gt;3.23382354955647&lt;/D&gt;&lt;D xsi:type="xsd:double"&gt;3.36141895138386&lt;/D&gt;&lt;D xsi:type="xsd:double"&gt;3.40893880741159&lt;/D&gt;&lt;D xsi:type="xsd:double"&gt;3.29357269738732&lt;/D&gt;&lt;D xsi:type="xsd:double"&gt;3.52108780063019&lt;/D&gt;&lt;D xsi:type="xsd:double"&gt;3.26112223676955&lt;/D&gt;&lt;D xsi:type="xsd:double"&gt;3.32257632241545&lt;/D&gt;&lt;D xsi:type="xsd:double"&gt;3.24494408550853&lt;/D&gt;&lt;D xsi:type="xsd:double"&gt;3.27185207080714&lt;/D&gt;&lt;D xsi:type="xsd:double"&gt;3.15842228343829&lt;/D&gt;&lt;D xsi:type="xsd:double"&gt;3.03288578148061&lt;/D&gt;&lt;D xsi:type="xsd:double"&gt;3.12696497916667&lt;/D&gt;&lt;D xsi:type="xsd:double"&gt;3.17743579390929&lt;/D&gt;&lt;D xsi:type="xsd:double"&gt;3.16057122453224&lt;/D&gt;&lt;D xsi:type="xsd:double"&gt;3.15519452479835&lt;/D&gt;&lt;D xsi:type="xsd:double"&gt;3.35073926683314&lt;/D&gt;&lt;D xsi:type="xsd:double"&gt;3.35823706455441&lt;/D&gt;&lt;D xsi:type="xsd:double"&gt;3.30946987018078&lt;/D&gt;&lt;D xsi:type="xsd:double"&gt;3.38242276260618&lt;/D&gt;&lt;D xsi:type="xsd:double"&gt;3.4428672349751&lt;/D&gt;&lt;D xsi:type="xsd:double"&gt;3.6480781466079&lt;/D&gt;&lt;D xsi:type="xsd:double"&gt;3.46838611723425&lt;/D&gt;&lt;D xsi:type="xsd:double"&gt;3.50230211345803&lt;/D&gt;&lt;D xsi:type="xsd:double"&gt;3.55533808979782&lt;/D&gt;&lt;D xsi:type="xsd:double"&gt;3.61762782251653&lt;/D&gt;&lt;D xsi:type="xsd:double"&gt;3.50535851885687&lt;/D&gt;&lt;D xsi:type="xsd:double"&gt;3.41297798451788&lt;/D&gt;&lt;D xsi:type="xsd:double"&gt;3.48228173357002&lt;/D&gt;&lt;D xsi:type="xsd:double"&gt;3.57894514056166&lt;/D&gt;&lt;D xsi:type="xsd:double"&gt;3.63136955205799&lt;/D&gt;&lt;D xsi:type="xsd:double"&gt;3.56959346510691&lt;/D&gt;&lt;D xsi:type="xsd:double"&gt;3.45879132170879&lt;/D&gt;&lt;D xsi:type="xsd:double"&gt;3.41862161475025&lt;/D&gt;&lt;D xsi:type="xsd:double"&gt;3.34274851973776&lt;/D&gt;&lt;D xsi:type="xsd:double"&gt;3.42841148640405&lt;/D&gt;&lt;D xsi:type="xsd:double"&gt;3.28749648857413&lt;/D&gt;&lt;D xsi:type="xsd:double"&gt;3.3484461406632&lt;/D&gt;&lt;D xsi:type="xsd:double"&gt;3.27274880549204&lt;/D&gt;&lt;D xsi:type="xsd:double"&gt;3.33824926094887&lt;/D&gt;&lt;D xsi:type="xsd:double"&gt;3.28081698924648&lt;/D&gt;&lt;D xsi:type="xsd:double"&gt;3.21961293608313&lt;/D&gt;&lt;D xsi:type="xsd:double"&gt;3.28462258469973&lt;/D&gt;&lt;D xsi:type="xsd:double"&gt;3.21623464769205&lt;/D&gt;&lt;D xsi:type="xsd:double"&gt;3.16540207840941&lt;/D&gt;&lt;D xsi:type="xsd:double"&gt;3.43651184649439&lt;/D&gt;&lt;D xsi:type="xsd:double"&gt;3.4304004861899&lt;/D&gt;&lt;D xsi:type="xsd:double"&gt;3.4875735385117&lt;/D&gt;&lt;D xsi:type="xsd:double"&gt;3.42151360552011&lt;/D&gt;&lt;D xsi:type="xsd:double"&gt;3.53465319082625&lt;/D&gt;&lt;D xsi:type="xsd:double"&gt;3.47283507290576&lt;/D&gt;&lt;D xsi:type="xsd:double"&gt;3.43387255112803&lt;/D&gt;&lt;D xsi:type="xsd:double"&gt;3.42202671667377&lt;/D&gt;&lt;D xsi:type="xsd:double"&gt;3.63205222229507&lt;/D&gt;&lt;D xsi:type="xsd:double"&gt;3.52680632233229&lt;/D&gt;&lt;D xsi:type="xsd:double"&gt;3.58678662293759&lt;/D&gt;&lt;D xsi:type="xsd:double"&gt;3.53945959907157&lt;/D&gt;&lt;D xsi:type="xsd:double"&gt;3.42242720882071&lt;/D&gt;&lt;D xsi:type="xsd:double"&gt;3.35426838465193&lt;/D&gt;&lt;D xsi:type="xsd:double"&gt;3.27446593401154&lt;/D&gt;&lt;D xsi:type="xsd:double"&gt;3.38277357399435&lt;/D&gt;&lt;D xsi:type="xsd:double"&gt;3.24118025679265&lt;/D&gt;&lt;D xsi:type="xsd:double"&gt;3.26441827039413&lt;/D&gt;&lt;D xsi:type="xsd:double"&gt;3.25937844986806&lt;/D&gt;&lt;D xsi:type="xsd:double"&gt;3.18947284758149&lt;/D&gt;&lt;D xsi:type="xsd:double"&gt;3.21834761065463&lt;/D&gt;&lt;D xsi:type="xsd:double"&gt;3.13558320868398&lt;/D&gt;&lt;D xsi:type="xsd:double"&gt;3.10462021890715&lt;/D&gt;&lt;D xsi:type="xsd:double"&gt;3.04459704878604&lt;/D&gt;&lt;D xsi:type="xsd:double"&gt;2.94169049434643&lt;/D&gt;&lt;D xsi:type="xsd:double"&gt;3.8644203878979&lt;/D&gt;&lt;D xsi:type="xsd:double"&gt;3.40624572688513&lt;/D&gt;&lt;D xsi:type="xsd:double"&gt;3.27625958782419&lt;/D&gt;&lt;D xsi:type="xsd:double"&gt;3.17601842030721&lt;/D&gt;&lt;D xsi:type="xsd:double"&gt;3.03672339425945&lt;/D&gt;&lt;D xsi:type="xsd:double"&gt;2.92959697906761&lt;/D&gt;&lt;D xsi:type="xsd:double"&gt;2.89918818250058&lt;/D&gt;&lt;D xsi:type="xsd:double"&gt;2.9220868907864&lt;/D&gt;&lt;D xsi:type="xsd:double"&gt;2.89148987521942&lt;/D&gt;&lt;D xsi:type="xsd:double"&gt;2.91314693195398&lt;/D&gt;&lt;D xsi:type="xsd:double"&gt;2.81310684955147&lt;/D&gt;&lt;D xsi:type="xsd:double"&gt;2.80591910359979&lt;/D&gt;&lt;D xsi:type="xsd:double"&gt;2.85211612839531&lt;/D&gt;&lt;D xsi:type="xsd:double"&gt;2.7673242729802&lt;/D&gt;&lt;D xsi:type="xsd:double"&gt;2.79752238268063&lt;/D&gt;&lt;D xsi:type="xsd:double"&gt;2.6223880357757&lt;/D&gt;&lt;D xsi:type="xsd:double"&gt;2.60342645308139&lt;/D&gt;&lt;D xsi:type="xsd:double"&gt;2.54745794229308&lt;/D&gt;&lt;D xsi:type="xsd:double"&gt;2.63420220886938&lt;/D&gt;&lt;D xsi:type="xsd:double"&gt;2.72578103160315&lt;/D&gt;&lt;D xsi:type="xsd:double"&gt;2.56947660468959&lt;/D&gt;&lt;D xsi:type="xsd:double"&gt;2.58037771128618&lt;/D&gt;&lt;D xsi:type="xsd:double"&gt;2.59914688717595&lt;/D&gt;&lt;D xsi:type="xsd:double"&gt;2.74675653096951&lt;/D&gt;&lt;D xsi:type="xsd:double"&gt;2.9374052576004&lt;/D&gt;&lt;D xsi:type="xsd:double"&gt;2.76078121090079&lt;/D&gt;&lt;D xsi:type="xsd:double"&gt;2.97746865915342&lt;/D&gt;&lt;D xsi:type="xsd:double"&gt;3.19802129040707&lt;/D&gt;&lt;D xsi:type="xsd:double"&gt;3.16863523760687&lt;/D&gt;&lt;D xsi:type="xsd:double"&gt;3.06429911257959&lt;/D&gt;&lt;D xsi:type="xsd:double"&gt;3.18937446232146&lt;/D&gt;&lt;D xsi:type="xsd:double"&gt;3.46279847923876&lt;/D&gt;&lt;D xsi:type="xsd:double"&gt;3.09084637929833&lt;/D&gt;&lt;D xsi:type="xsd:double"&gt;3.10022137975118&lt;/D&gt;&lt;D xsi:type="xsd:double"&gt;3.06506108755898&lt;/D&gt;&lt;D xsi:type="xsd:double"&gt;3.06728710326905&lt;/D&gt;&lt;D xsi:type="xsd:double"&gt;3.27307606884126&lt;/D&gt;&lt;D xsi:type="xsd:double"&gt;3.11079231455823&lt;/D&gt;&lt;D xsi:type="xsd:double"&gt;3.06762147093331&lt;/D&gt;&lt;D xsi:type="xsd:double"&gt;3.1579115860394&lt;/D&gt;&lt;D xsi:type="xsd:double"&gt;3.18363888684982&lt;/D&gt;&lt;D xsi:type="x</t>
        </r>
      </text>
    </comment>
    <comment ref="A7" authorId="0" shapeId="0" xr:uid="{23113972-FC76-4450-BEB2-780915B63131}">
      <text>
        <r>
          <rPr>
            <b/>
            <sz val="9"/>
            <color indexed="81"/>
            <rFont val="Tahoma"/>
            <charset val="1"/>
          </rPr>
          <t>sd:double"&gt;3.21438809099203&lt;/D&gt;&lt;D xsi:type="xsd:double"&gt;3.30157220150138&lt;/D&gt;&lt;D xsi:type="xsd:double"&gt;3.36741551234152&lt;/D&gt;&lt;D xsi:type="xsd:double"&gt;3.48167472697244&lt;/D&gt;&lt;D xsi:type="xsd:double"&gt;3.30158140387024&lt;/D&gt;&lt;D xsi:type="xsd:double"&gt;3.27644494083802&lt;/D&gt;&lt;D xsi:type="xsd:double"&gt;3.39652986662703&lt;/D&gt;&lt;D xsi:type="xsd:double"&gt;3.20860515155914&lt;/D&gt;&lt;D xsi:type="xsd:double"&gt;3.3569118581579&lt;/D&gt;&lt;D xsi:type="xsd:double"&gt;3.26781326136475&lt;/D&gt;&lt;D xsi:type="xsd:double"&gt;3.19066010058001&lt;/D&gt;&lt;/FQL&gt;&lt;FQL&gt;&lt;Q&gt;EWG^FMA_PE(NTMA,-10AY,0,AM,"PORTAGG","MEANR")&lt;/Q&gt;&lt;R&gt;121&lt;/R&gt;&lt;C&gt;1&lt;/C&gt;&lt;D xsi:type="xsd:double"&gt;13.2939779082844&lt;/D&gt;&lt;D xsi:type="xsd:double"&gt;12.842789239977&lt;/D&gt;&lt;D xsi:type="xsd:double"&gt;12.276151973326&lt;/D&gt;&lt;D xsi:type="xsd:double"&gt;12.7640312246931&lt;/D&gt;&lt;D xsi:type="xsd:double"&gt;11.6216993951635&lt;/D&gt;&lt;D xsi:type="xsd:double"&gt;12.2045775511523&lt;/D&gt;&lt;D xsi:type="xsd:double"&gt;12.6140545513023&lt;/D&gt;&lt;D xsi:type="xsd:double"&gt;13.0391081585999&lt;/D&gt;&lt;D xsi:type="xsd:double"&gt;14.2886855812265&lt;/D&gt;&lt;D xsi:type="xsd:double"&gt;15.4349626366232&lt;/D&gt;&lt;D xsi:type="xsd:double"&gt;15.8513037207656&lt;/D&gt;&lt;D xsi:type="xsd:double"&gt;14.1885512343222&lt;/D&gt;&lt;D xsi:type="xsd:double"&gt;13.7275961497461&lt;/D&gt;&lt;D xsi:type="xsd:double"&gt;13.938136543276&lt;/D&gt;&lt;D xsi:type="xsd:double"&gt;13.3050242377125&lt;/D&gt;&lt;D xsi:type="xsd:double"&gt;12.2720804956214&lt;/D&gt;&lt;D xsi:type="xsd:double"&gt;12.3332474221168&lt;/D&gt;&lt;D xsi:type="xsd:double"&gt;13.3288568991972&lt;/D&gt;&lt;D xsi:type="xsd:double"&gt;12.9023751221756&lt;/D&gt;&lt;D xsi:type="xsd:double"&gt;12.3681566821467&lt;/D&gt;&lt;D xsi:type="xsd:double"&gt;11.3732567940769&lt;/D&gt;&lt;D xsi:type="xsd:double"&gt;12.5412986546212&lt;/D&gt;&lt;D xsi:type="xsd:double"&gt;12.7629956117659&lt;/D&gt;&lt;D xsi:type="xsd:double"&gt;12.4370012438733&lt;/D&gt;&lt;D xsi:type="xsd:double"&gt;11.9242712494259&lt;/D&gt;&lt;D xsi:type="xsd:double"&gt;12.2548287528067&lt;/D&gt;&lt;D xsi:type="xsd:double"&gt;13.1512439580967&lt;/D&gt;&lt;D xsi:type="xsd:double"&gt;12.752921242417&lt;/D&gt;&lt;D xsi:type="xsd:double"&gt;12.721847054736&lt;/D&gt;&lt;D xsi:type="xsd:double"&gt;12.8149234703325&lt;/D&gt;&lt;D xsi:type="xsd:double"&gt;13.4703138846275&lt;/D&gt;&lt;D xsi:type="xsd:double"&gt;13.7707020331007&lt;/D&gt;&lt;D xsi:type="xsd:double"&gt;13.7528572373677&lt;/D&gt;&lt;D xsi:type="xsd:double"&gt;13.8831538673516&lt;/D&gt;&lt;D xsi:type="xsd:double"&gt;13.804441353196&lt;/D&gt;&lt;D xsi:type="xsd:double"&gt;14.0443225095291&lt;/D&gt;&lt;D xsi:type="xsd:double"&gt;13.806626215438&lt;/D&gt;&lt;D xsi:type="xsd:double"&gt;13.6273518932152&lt;/D&gt;&lt;D xsi:type="xsd:double"&gt;12.9152603873323&lt;/D&gt;&lt;D xsi:type="xsd:double"&gt;13.40231529663&lt;/D&gt;&lt;D xsi:type="xsd:double"&gt;13.8209267650486&lt;/D&gt;&lt;D xsi:type="xsd:double"&gt;13.8995062582199&lt;/D&gt;&lt;D xsi:type="xsd:double"&gt;14.0068203487844&lt;/D&gt;&lt;D xsi:type="xsd:double"&gt;14.0563175615472&lt;/D&gt;&lt;D xsi:type="xsd:double"&gt;12.9066768630476&lt;/D&gt;&lt;D xsi:type="xsd:double"&gt;12.9377083431511&lt;/D&gt;&lt;D xsi:type="xsd:double"&gt;13.0612487600414&lt;/D&gt;&lt;D xsi:type="xsd:double"&gt;13.4341788607517&lt;/D&gt;&lt;D xsi:type="xsd:double"&gt;13.3353932170361&lt;/D&gt;&lt;D xsi:type="xsd:double"&gt;12.9864254568374&lt;/D&gt;&lt;D xsi:type="xsd:double"&gt;12.7967765427821&lt;/D&gt;&lt;D xsi:type="xsd:double"&gt;12.5085878480786&lt;/D&gt;&lt;D xsi:type="xsd:double"&gt;11.8801994813437&lt;/D&gt;&lt;D xsi:type="xsd:double"&gt;11.7553954357993&lt;/D&gt;&lt;D xsi:type="xsd:double"&gt;11.3411407792207&lt;/D&gt;&lt;D xsi:type="xsd:double"&gt;11.3205128750578&lt;/D&gt;&lt;D xsi:type="xsd:double"&gt;11.7595908426657&lt;/D&gt;&lt;D xsi:type="xsd:double"&gt;12.2030184818375&lt;/D&gt;&lt;D xsi:type="xsd:double"&gt;12.6627812798449&lt;/D&gt;&lt;D xsi:type="xsd:double"&gt;12.366926237581&lt;/D&gt;&lt;D xsi:type="xsd:double"&gt;12.4356890649291&lt;/D&gt;&lt;D xsi:type="xsd:double"&gt;12.8080491134829&lt;/D&gt;&lt;D xsi:type="xsd:double"&gt;12.3792900789786&lt;/D&gt;&lt;D xsi:type="xsd:double"&gt;13.1471170088523&lt;/D&gt;&lt;D xsi:type="xsd:double"&gt;13.1175008100439&lt;/D&gt;&lt;D xsi:type="xsd:double"&gt;13.8870510853754&lt;/D&gt;&lt;D xsi:type="xsd:double"&gt;14.1713357375567&lt;/D&gt;&lt;D xsi:type="xsd:double"&gt;14.3110063656471&lt;/D&gt;&lt;D xsi:type="xsd:double"&gt;14.548490512091&lt;/D&gt;&lt;D xsi:type="xsd:double"&gt;9.97865038780621&lt;/D&gt;&lt;D xsi:type="xsd:double"&gt;13.4760929638703&lt;/D&gt;&lt;D xsi:type="xsd:double"&gt;15.0235897039623&lt;/D&gt;&lt;D xsi:type="xsd:double"&gt;17.3288670006862&lt;/D&gt;&lt;D xsi:type="xsd:double"&gt;18.5118039216338&lt;/D&gt;&lt;D xsi:type="xsd:double"&gt;18.1527838314084&lt;/D&gt;&lt;D xsi:type="xsd:double"&gt;17.7496713341572&lt;/D&gt;&lt;D xsi:type="xsd:double"&gt;16.8897228687665&lt;/D&gt;&lt;D xsi:type="xsd:double"&gt;16.10004981814&lt;/D&gt;&lt;D xsi:type="xsd:double"&gt;15.7093616352893&lt;/D&gt;&lt;D xsi:type="xsd:double"&gt;16.1457992332235&lt;/D&gt;&lt;D xsi:type="xsd:double"&gt;15.8623852203609&lt;/D&gt;&lt;D xsi:type="xsd:double"&gt;15.8912871550136&lt;/D&gt;&lt;D xsi:type="xsd:double"&gt;16.1426178405066&lt;/D&gt;&lt;D xsi:type="xsd:double"&gt;14.6905643466465&lt;/D&gt;&lt;D xsi:type="xsd:double"&gt;15.0185377861553&lt;/D&gt;&lt;D xsi:type="xsd:double"&gt;14.7927119863594&lt;/D&gt;&lt;D xsi:type="xsd:double"&gt;14.4279584480642&lt;/D&gt;&lt;D xsi:type="xsd:double"&gt;14.05365663544&lt;/D&gt;&lt;D xsi:type="xsd:double"&gt;13.5007758282953&lt;/D&gt;&lt;D xsi:type="xsd:double"&gt;13.8013981351481&lt;/D&gt;&lt;D xsi:type="xsd:double"&gt;13.2990535981244&lt;/D&gt;&lt;D xsi:type="xsd:double"&gt;13.4402662734328&lt;/D&gt;&lt;D xsi:type="xsd:double"&gt;12.8248312926141&lt;/D&gt;&lt;D xsi:type="xsd:double"&gt;11.0770534048936&lt;/D&gt;&lt;D xsi:type="xsd:double"&gt;11.2735587067365&lt;/D&gt;&lt;D xsi:type="xsd:double"&gt;10.7558756782235&lt;/D&gt;&lt;D xsi:type="xsd:double"&gt;10.2335164453711&lt;/D&gt;&lt;D xsi:type="xsd:double"&gt;9.72012696197874&lt;/D&gt;&lt;D xsi:type="xsd:double"&gt;10.3435591734168&lt;/D&gt;&lt;D xsi:type="xsd:double"&gt;9.85740925110591&lt;/D&gt;&lt;D xsi:type="xsd:double"&gt;9.15472107390242&lt;/D&gt;&lt;D xsi:type="xsd:double"&gt;10.7045980218153&lt;/D&gt;&lt;D xsi:type="xsd:double"&gt;10.8005587012726&lt;/D&gt;&lt;D xsi:type="xsd:double"&gt;11.4050094727&lt;/D&gt;&lt;D xsi:type="xsd:double"&gt;11.6718028056019&lt;/D&gt;&lt;D xsi:type="xsd:double"&gt;11.1258295307037&lt;/D&gt;&lt;D xsi:type="xsd:double"&gt;11.3968110065384&lt;/D&gt;&lt;D xsi:type="xsd:double"&gt;11.0469310197081&lt;/D&gt;&lt;D xsi:type="xsd:double"&gt;10.9431904000138&lt;/D&gt;&lt;D xsi:type="xsd:double"&gt;10.7953140192922&lt;/D&gt;&lt;D xsi:type="xsd:double"&gt;10.6329017311486&lt;/D&gt;&lt;D xsi:type="xsd:double"&gt;10.5148807651167&lt;/D&gt;&lt;D xsi:type="xsd:double"&gt;10.1590332224886&lt;/D&gt;&lt;D xsi:type="xsd:double"&gt;10.3377721577047&lt;/D&gt;&lt;D xsi:type="xsd:double"&gt;11.2124926976365&lt;/D&gt;&lt;D xsi:type="xsd:double"&gt;11.1140155919587&lt;/D&gt;&lt;D xsi:type="xsd:double"&gt;11.4700375278302&lt;/D&gt;&lt;D xsi:type="xsd:double"&gt;12.1868956855802&lt;/D&gt;&lt;D xsi:type="xsd:double"&gt;11.9669821214855&lt;/D&gt;&lt;D xsi:type="xsd:double"&gt;12.2141454735562&lt;/D&gt;&lt;D xsi:type="xsd:double"&gt;11.9196932818141&lt;/D&gt;&lt;/FQL&gt;&lt;FQL&gt;&lt;Q&gt;EWA^FMA_PE(LTMA,-10AY,0,AM,"PORTAGG","MEANR")&lt;/Q&gt;&lt;R&gt;121&lt;/R&gt;&lt;C&gt;1&lt;/C&gt;&lt;D xsi:type="xsd:double"&gt;15.1298565139047&lt;/D&gt;&lt;D xsi:type="xsd:double"&gt;15.2998893822455&lt;/D&gt;&lt;D xsi:type="xsd:double"&gt;15.2998025723277&lt;/D&gt;&lt;D xsi:type="xsd:double"&gt;15.2487152257446&lt;/D&gt;&lt;D xsi:type="xsd:double"&gt;14.5002296710014&lt;/D&gt;&lt;D xsi:type="xsd:double"&gt;15.0867808107576&lt;/D&gt;&lt;D xsi:type="xsd:double"&gt;14.1659501262923&lt;/D&gt;&lt;D xsi:type="xsd:double"&gt;14.7773756914232&lt;/D&gt;&lt;D xsi:type="xsd:double"&gt;15.992758416721&lt;/D&gt;&lt;D xsi:type="xsd:double"&gt;16.146771947462&lt;/D&gt;&lt;D xsi:type="xsd:double"&gt;16.3614575580153&lt;/D&gt;&lt;D xsi:type="xsd:double"&gt;16.2973134716784&lt;/D&gt;&lt;D xsi:type="xsd:double"&gt;15.9774469485795&lt;/D&gt;&lt;D xsi:type="xsd:double"&gt;15.8179265839181&lt;/D&gt;&lt;D xsi:type="xsd:double"&gt;15.7857736277013&lt;/D&gt;&lt;D xsi:type="xsd:double"&gt;15.2345937139231&lt;/D&gt;&lt;D xsi:type="xsd:double"&gt;15.5664984814587&lt;/D&gt;&lt;D xsi:type="xsd:double"&gt;15.1281328575469&lt;/D&gt;&lt;D xsi:type="xsd:double"&gt;15.1460539267285&lt;/D&gt;&lt;D xsi:type="xsd:double"&gt;15.0130574853666&lt;/D&gt;&lt;D xsi:type="xsd:double"&gt;14.5687737263046&lt;/D&gt;&lt;D xsi:type="xsd:double"&gt;15.1551611205159&lt;/D&gt;&lt;D xsi:type="xsd:double"&gt;15.1830360379131&lt;/D&gt;&lt;D xsi:type="xsd:double"&gt;15.6158153964433&lt;/D&gt;&lt;D xsi:type="xsd:double"&gt;15.7706415591343&lt;/D&gt;&lt;D xsi:type="xsd:double"&gt;16.0530401424549&lt;/D&gt;&lt;D xsi:type="xsd:double"&gt;16.609676108332&lt;/D&gt;&lt;D xsi:type="xsd:double"&gt;16.0447129877352&lt;/D&gt;&lt;D xsi:type="xsd:double"&gt;16.7649155569083&lt;/D&gt;&lt;D xsi:type="xsd:double"&gt;16.9991673123515&lt;/D&gt;&lt;D xsi:type="xsd:double"&gt;17.4439704209265&lt;/D&gt;&lt;D xsi:type="xsd:double"&gt;17.8994780160689&lt;/D&gt;&lt;D xsi:type="xsd:double"&gt;17.8120213062352&lt;/D&gt;&lt;D xsi:type="xsd:double"&gt;17.4528392985212&lt;/D&gt;&lt;D xsi:type="xsd:double"&gt;17.3439459848615&lt;/D&gt;&lt;D xsi:type="xsd:double"&gt;17.1268254270935&lt;/D&gt;&lt;D xsi:type="xsd:double"&gt;16.8748332716225&lt;/D&gt;&lt;D xsi:type="xsd:double"&gt;16.7725904715355&lt;/D&gt;&lt;D xsi:type="xsd:double"&gt;16.6679885377975&lt;/D&gt;&lt;D xsi:type="xsd:double"&gt;16.6066000794137&lt;/D&gt;&lt;D xsi:type="xsd:double"&gt;16.5366616559205&lt;/D&gt;&lt;D xsi:type="xsd:double"&gt;16.83898554702&lt;/D&gt;&lt;D xsi:type="xsd:double"&gt;16.681849087212&lt;/D&gt;&lt;D xsi:type="xsd:double"&gt;16.7844566738707&lt;/D&gt;&lt;D xsi:type="xsd:double"&gt;16.1742746387279&lt;/D&gt;&lt;D xsi:type="xsd:double"&gt;16.5004993606249&lt;/D&gt;&lt;D xsi:type="xsd:double"&gt;16.2718284249743&lt;/D&gt;&lt;D xsi:type="xsd:double"&gt;16.3708513830814&lt;/D&gt;&lt;D xsi:type="xsd:double"&gt;16.1190025406918&lt;/D&gt;&lt;D xsi:type="xsd:double"&gt;16.324867049336&lt;/D&gt;&lt;D xsi:type="xsd:double"&gt;16.2626889938992&lt;/D&gt;&lt;D xsi:type="xsd:double"&gt;15.9492070614026&lt;/D&gt;&lt;D xsi:type="xsd:double"&gt;15.414780971712&lt;/D&gt;&lt;D xsi:type="xsd:double"&gt;15.2767577831374&lt;/D&gt;&lt;D xsi:type="xsd:double"&gt;14.7802990434887&lt;/D&gt;&lt;D xsi:type="xsd:double"&gt;14.9955251256875&lt;/D&gt;&lt;D xsi:type="xsd:double"&gt;15.6559801755776&lt;/D&gt;&lt;D xsi:type="xsd:double"&gt;15.8626453341995&lt;/D&gt;&lt;D xsi:type="xsd:double"&gt;15.8579386987641&lt;/D&gt;&lt;D xsi:type="xsd:double"&gt;15.8463466714089&lt;/D&gt;&lt;D xsi:type="xsd:double"&gt;16.0933713044586&lt;/D&gt;&lt;D xsi:type="xsd:double"&gt;16.2652980835206&lt;/D&gt;&lt;D xsi:type="xsd:double"&gt;16.2559269745746&lt;/D&gt;&lt;D xsi:type="xsd:double"&gt;16.7062563116354&lt;/D&gt;&lt;D xsi:type="xsd:double"&gt;16.8178855295161&lt;/D&gt;&lt;D xsi:type="xsd:double"&gt;17.3943677981836&lt;/D&gt;&lt;D xsi:type="xsd:double"&gt;17.691391181435&lt;/D&gt;&lt;D xsi:type="xsd:double"&gt;18.2146149418453&lt;/D&gt;&lt;D xsi:type="xsd:double"&gt;18.8072143050708&lt;/D&gt;&lt;D xsi:type="xsd:double"&gt;16.5009586256373&lt;/D&gt;&lt;D xsi:type="xsd:double"&gt;16.7823258493276&lt;/D&gt;&lt;D xsi:type="xsd:double"&gt;17.3996677701008&lt;/D&gt;&lt;D xsi:type="xsd:double"&gt;18.2982321148561&lt;/D&gt;&lt;D xsi:type="xsd:double"&gt;18.6872092996504&lt;/D&gt;&lt;D xsi:type="xsd:double"&gt;19.5482356561855&lt;/D&gt;&lt;D xsi:type="xsd:double"&gt;19.2094278903286&lt;/D&gt;&lt;D xsi:type="xsd:double"&gt;20.1262259411476&lt;/D&gt;&lt;D xsi:type="xsd:double"&gt;21.1583679077484&lt;/D&gt;&lt;D xsi:type="xsd:double"&gt;22.528460991956&lt;/D&gt;&lt;D xsi:type="xsd:double"&gt;23.2826760368674&lt;/D&gt;&lt;D xsi:type="xsd:double"&gt;22.9374277053511&lt;/D&gt;&lt;D xsi:type="xsd:double"&gt;21.6524389955929&lt;/D&gt;&lt;D xsi:type="xsd:double"&gt;21.2202522352833&lt;/D&gt;&lt;D xsi:type="xsd:double"&gt;20.748708055069&lt;/D&gt;&lt;D xsi:type="xsd:double"&gt;20.5733404174323&lt;/D&gt;&lt;D xsi:type="xsd:double"&gt;19.5842035121632&lt;/D&gt;&lt;D xsi:type="xsd:double"&gt;19.328353597446&lt;/D&gt;&lt;D xsi:type="xsd:double"&gt;18.7654269340136&lt;/D&gt;&lt;D xsi:type="xsd:double"&gt;18.5101913387429&lt;/D&gt;&lt;D xsi:type="xsd:double"&gt;18.4226841181656&lt;/D&gt;&lt;D xsi:type="xsd:double"&gt;17.788655147071&lt;/D&gt;&lt;D xsi:type="xsd:double"&gt;17.9778918851769&lt;/D&gt;&lt;D xsi:type="xsd:double"&gt;16.1147456180129&lt;/D&gt;&lt;D xsi:type="xsd:double"&gt;15.6568677021589&lt;/D&gt;&lt;D xsi:type="xsd:double"&gt;15.6402491741832&lt;/D&gt;&lt;D xsi:type="xsd:double"&gt;15.0694966852221&lt;/D&gt;&lt;D xsi:type="xsd:double"&gt;14.6100733181597&lt;/D&gt;&lt;D xsi:type="xsd:double"&gt;14.0512804507477&lt;/D&gt;&lt;D xsi:type="xsd:double"&gt;14.6190928816561&lt;/D&gt;&lt;D xsi:type="xsd:double"&gt;14.2470842354409&lt;/D&gt;&lt;D xsi:type="xsd:double"&gt;13.1640242985524&lt;/D&gt;&lt;D xsi:type="xsd:double"&gt;14.1967677109023&lt;/D&gt;&lt;D xsi:type="xsd:double"&gt;14.306169324007&lt;/D&gt;&lt;D xsi:type="xsd:double"&gt;14.5110175390165&lt;/D&gt;&lt;D xsi:type="xsd:double"&gt;14.6973276816431&lt;/D&gt;&lt;D xsi:type="xsd:double"&gt;14.2055700000532&lt;/D&gt;&lt;D xsi:type="xsd:double"&gt;14.3563969485025&lt;/D&gt;&lt;D xsi:type="xsd:double"&gt;14.3444266458699&lt;/D&gt;&lt;D xsi:type="xsd:double"&gt;14.4450220294625&lt;/D&gt;&lt;D xsi:type="xsd:double"&gt;14.8097100707253&lt;/D&gt;&lt;D xsi:type="xsd:double"&gt;15.0102017999146&lt;/D&gt;&lt;D xsi:type="xsd:double"&gt;14.9687360880603&lt;/D&gt;&lt;D xsi:type="xsd:double"&gt;14.6812870456116&lt;/D&gt;&lt;D xsi:type="xsd:double"&gt;14.7285739003071&lt;/D&gt;&lt;D xsi:type="xsd:double"&gt;15.5445352046589&lt;/D&gt;&lt;D xsi:type="xsd:double"&gt;16.26735961798&lt;/D&gt;&lt;D xsi:type="xsd:double"&gt;16.3489400321978&lt;/D&gt;&lt;D xsi:type="xsd:double"&gt;16.621185864292&lt;/D&gt;&lt;D xsi:type="xsd:double"&gt;16.6272764321085&lt;/D&gt;&lt;D xsi:type="xsd:double"&gt;16.6922418169927&lt;/D&gt;&lt;D xsi:type="xsd:double"&gt;16.7646377487099&lt;/D&gt;&lt;/FQL&gt;&lt;FQL&gt;&lt;Q&gt;WL-FDS^FG_PRICE_CHANGE(0,-1AM)&lt;/Q&gt;&lt;R&gt;1&lt;/R&gt;&lt;C&gt;1&lt;/C&gt;&lt;D xsi:type="xsd:double"&gt;3.16363636363637&lt;/D&gt;&lt;/FQL&gt;&lt;FQL&gt;&lt;Q&gt;SPY^FG_COMPANY_NAME&lt;/Q&gt;&lt;R&gt;1&lt;/R&gt;&lt;C&gt;1&lt;/C&gt;&lt;D xsi:type="xsd:string"&gt;SPDR S&amp;amp;P 500 ETF Trust&lt;/D&gt;&lt;/FQL&gt;&lt;FQL&gt;&lt;Q&gt;EWL^FMA_ROE(NTMA,-20AY,NOW,FY,"PORTAGG","MEANR")&lt;/Q&gt;&lt;R&gt;20&lt;/R&gt;&lt;C&gt;1&lt;/C&gt;&lt;D xsi:type="xsd:double"&gt;15.9587717941353&lt;/D&gt;&lt;D xsi:type="xsd:double"&gt;16.6709442456462&lt;/D&gt;&lt;D xsi:type="xsd:double"&gt;17.3190561042513&lt;/D&gt;&lt;D xsi:type="xsd:double"&gt;18.194046530629&lt;/D&gt;&lt;D xsi:type="xsd:double"&gt;15.5136874283454&lt;/D&gt;&lt;D xsi:type="xsd:double"&gt;17.2258858021045&lt;/D&gt;&lt;D xsi:type="xsd:double"&gt;16.663378494352&lt;/D&gt;&lt;D xsi:type="xsd:double"&gt;15.1353221205521&lt;/D&gt;&lt;D xsi:type="xsd:double"&gt;15.5882414428409&lt;/D&gt;&lt;D xsi:type="xsd:double"&gt;15.2483951449653&lt;/D&gt;&lt;D xsi:type="xsd:double"&gt;14.5028009204846&lt;/D&gt;&lt;D xsi:type="xsd:double"&gt;13.2798091113486&lt;/D&gt;&lt;D xsi:type="xsd:double"&gt;13.3994953105419&lt;/D&gt;&lt;D xsi:type="xsd:double"&gt;13.9322208239423&lt;/D&gt;&lt;D xsi:type="xsd:double"&gt;14.6457996836392&lt;/D&gt;&lt;D xsi:type="xsd:double"&gt;14.5388198691271&lt;/D&gt;&lt;D xsi:type="xsd:double"&gt;14.667779515581&lt;/D&gt;&lt;D xsi:type="xsd:double"&gt;16.3837417700753&lt;/D&gt;&lt;D xsi:type="xsd:double"&gt;16.6906517335277&lt;/D&gt;&lt;D xsi:type="xsd:double"&gt;19.2996868127809&lt;/D&gt;&lt;/FQL&gt;&lt;FQL&gt;&lt;Q&gt;TRYIN10Y-FDS^FG_YIELD(-10AY,0,Y,,"YTM")&lt;/Q&gt;&lt;R&gt;10&lt;/R&gt;&lt;C&gt;1&lt;/C&gt;&lt;D xsi:type="xsd:double"&gt;7.86&lt;/D&gt;&lt;D xsi:type="xsd:double"&gt;7.89&lt;/D&gt;&lt;D xsi:type="xsd:double"&gt;6.63&lt;/D&gt;&lt;D xsi:type="xsd:double"&gt;7.35&lt;/D&gt;&lt;D xsi:type="xsd:double"&gt;7.35&lt;/D&gt;&lt;D xsi:type="xsd:double"&gt;6.55&lt;/D&gt;&lt;D xsi:type="xsd:double"&gt;5.9&lt;/D&gt;&lt;D xsi:type="xsd:double"&gt;6.45&lt;/D&gt;&lt;D xsi:type="xsd:double"&gt;7.33&lt;/D&gt;&lt;D xsi:type="xsd:double"&gt;7.19&lt;/D&gt;&lt;/FQL&gt;&lt;FQL&gt;&lt;Q&gt;TRYGR10Y-FDS^FG_YIELD(-10AY,0,Y,,"YTM")&lt;/Q&gt;&lt;R&gt;10&lt;/R&gt;&lt;C&gt;1&lt;/C&gt;&lt;D xsi:type="xsd:double"&gt;9.61&lt;/D&gt;&lt;D xsi:type="xsd:double"&gt;8.24&lt;/D&gt;&lt;D xsi:type="xsd:double"&gt;7.15&lt;/D&gt;&lt;D xsi:type="xsd:double"&gt;4.14&lt;/D&gt;&lt;D xsi:type="xsd:double"&gt;4.37&lt;/D&gt;&lt;D xsi:type="xsd:double"&gt;1.45&lt;/D&gt;&lt;D xsi:type="xsd:double"&gt;0.618&lt;/D&gt;&lt;D xsi:type="xsd:double"&gt;1.315&lt;/D&gt;&lt;D xsi:type="xsd:double"&gt;4.585&lt;/D&gt;&lt;D xsi:type="xsd:double"&gt;3.099&lt;/D&gt;&lt;/FQL&gt;&lt;FQL&gt;&lt;Q&gt;CAGDPY@GB^EE_ACTUAL_ANNUAL(MED,0)&lt;/Q&gt;&lt;R&gt;1&lt;/R&gt;&lt;C&gt;1&lt;/C&gt;&lt;D xsi:type="xsd:double"&gt;-3.3&lt;/D&gt;&lt;/FQL&gt;&lt;FQL&gt;&lt;Q&gt;CC_CH^FG_COMPANY_NAME&lt;/Q&gt;&lt;R&gt;1&lt;/R&gt;&lt;C&gt;1&lt;/C&gt;&lt;D xsi:type="xsd:string"&gt;Switzerland&lt;/D&gt;&lt;/FQL&gt;&lt;FQL&gt;&lt;Q&gt;USDSEK^FG_PRICE_CHANGE(0,-6AM)&lt;/Q&gt;&lt;R&gt;1&lt;/R&gt;&lt;C&gt;1&lt;/C&gt;&lt;D xsi:type="xsd:double"&gt;0.1603961&lt;/D&gt;&lt;/FQL&gt;&lt;FQL&gt;&lt;Q&gt;USDCHF^FG_PRICE_CHANGE(0,-6AM)&lt;/Q&gt;&lt;R&gt;1&lt;/R&gt;&lt;C&gt;1&lt;/C&gt;&lt;D xsi:type="xsd:double"&gt;2.083218&lt;/D&gt;&lt;/FQL&gt;&lt;FQL&gt;&lt;Q&gt;USDUSD^FG_PRICE_CHANGE(0,-6AM)&lt;/Q&gt;&lt;R&gt;1&lt;/R&gt;&lt;C&gt;1&lt;/C&gt;&lt;D xsi:type="xsd:double"&gt;0&lt;/D&gt;&lt;/FQL&gt;&lt;FQL&gt;&lt;Q&gt;USDEUR^FG_PRICE_CHANGE(0,-6AM)&lt;/Q&gt;&lt;R&gt;1&lt;/R&gt;&lt;C&gt;1&lt;/C&gt;&lt;D xsi:type="xsd:double"&gt;0.21352768&lt;/D&gt;&lt;/FQL&gt;&lt;FQL&gt;&lt;Q&gt;USDAUD^FG_PRICE_CHANGE(0,-6AM)&lt;/Q&gt;&lt;R&gt;1&lt;/R&gt;&lt;C&gt;1&lt;/C&gt;&lt;D xsi:type="xsd:double"&gt;-0.8358419&lt;/D&gt;&lt;/FQL&gt;&lt;FQL&gt;&lt;Q&gt;EWN^FMA_EPS(NTMA,-20AY,0,CY,,"PORTAGG","MEANR")&lt;/Q&gt;&lt;R&gt;20&lt;/R&gt;&lt;C&gt;1&lt;/C&gt;&lt;D xsi:type="xsd:double"&gt;1.49109929215903&lt;/D&gt;&lt;D xsi:type="xsd:double"&gt;1.5900517234348&lt;/D&gt;&lt;D xsi:type="xsd:double"&gt;2.15625739003115&lt;/D&gt;&lt;D xsi:type="xsd:double"&gt;2.62697068480407&lt;/D&gt;&lt;D xsi:type="xsd:double"&gt;1.79921066251297&lt;/D&gt;&lt;D xsi:type="xsd:double"&gt;1.65442974417331&lt;/D&gt;&lt;D xsi:type="xsd:double"&gt;2.1135843669069&lt;/D&gt;&lt;D xsi:type="xsd:double"&gt;1.84050659390711&lt;/D&gt;&lt;D xsi:type="xsd:double"&gt;1.84155905202006&lt;/D&gt;&lt;D xsi:type="xsd:double"&gt;1.85694784607263&lt;/D&gt;&lt;D xsi:type="xsd:double"&gt;1.61003576125895&lt;/D&gt;&lt;D xsi:type="xsd:double"&gt;1.5506283745409&lt;/D&gt;&lt;D xsi:type="xsd:double"&gt;1.60511092021475&lt;/D&gt;&lt;D xsi:type="xsd:double"&gt;1.99467947715871&lt;/D&gt;&lt;D xsi:type="xsd:double"&gt;2.00955458235889&lt;/D&gt;&lt;D xsi:type="xsd:double"&gt;1.99085799541384&lt;/D&gt;&lt;D xsi:type="xsd:double"&gt;2.00892946055423&lt;/D&gt;&lt;D xsi:type="xsd:double"&gt;2.43601807945448&lt;/D&gt;&lt;D xsi:type="xsd:double"&gt;2.4294142632387&lt;/D&gt;&lt;D xsi:type="xsd:double"&gt;2.95560750497075&lt;/D&gt;&lt;/FQL&gt;&lt;FQL&gt;&lt;Q&gt;SPY^P_PRICE_RETURNS_PR('52W',2,-10AY,0,AM)&lt;/Q&gt;&lt;R&gt;121&lt;/R&gt;&lt;C&gt;1&lt;/C&gt;&lt;D xsi:type="xsd:double"&gt;20.604086&lt;/D&gt;&lt;D xsi:type="xsd:double"&gt;19.729614&lt;/D&gt;&lt;D xsi:type="xsd:double"&gt;17.133713&lt;/D&gt;&lt;D xsi:type="xsd:double"&gt;20.180428&lt;/D&gt;&lt;D xsi:type="xsd:double"&gt;12.211204&lt;/D&gt;&lt;D xsi:type="xsd:double"&gt;16.692947&lt;/D&gt;&lt;D xsi:type="xsd:double"&gt;14.968145&lt;/D&gt;&lt;D xsi:type="xsd:double"&gt;13.397169&lt;/D&gt;&lt;D xsi:type="xsd:double"&gt;16.86573&lt;/D&gt;&lt;D xsi:type="xsd:double"&gt;13.320017&lt;/D&gt;&lt;D xsi:type="xsd:double"&gt;17.443382&lt;/D&gt;&lt;D xsi:type="xsd:double"&gt;12.71826&lt;/D&gt;&lt;D xsi:type="xsd:double"&gt;10.627996&lt;/D&gt;&lt;D xsi:type="xsd:double"&gt;8.787584&lt;/D&gt;&lt;D xsi:type="xsd:double"&gt;9.19497&lt;/D&gt;&lt;D xsi:type="xsd:double"&gt;0.15053749&lt;/D&gt;&lt;D xsi:type="xsd:double"&gt;9.0145&lt;/D&gt;&lt;D xsi:type="xsd:double"&gt;1.2000084&lt;/D&gt;&lt;D xsi:type="xsd:double"&gt;0.87023973&lt;/D&gt;&lt;D xsi:type="xsd:double"&gt;-4.61185&lt;/D&gt;&lt;D xsi:type="xsd:double"&gt;-8.809787&lt;/D&gt;&lt;D xsi:type="xsd:double"&gt;1.2128592&lt;/D&gt;&lt;D xsi:type="xsd:double"&gt;1.6216159&lt;/D&gt;&lt;D xsi:type="xsd:double"&gt;-0.40470362&lt;/D&gt;&lt;D xsi:type="xsd:double"&gt;1.394558&lt;/D&gt;&lt;D xsi:type="xsd:double"&gt;4.696691&lt;/D&gt;&lt;D xsi:type="xsd:double"&gt;6.8541527&lt;/D&gt;&lt;D xsi:type="xsd:double"&gt;10.7528925&lt;/D&gt;&lt;D xsi:type="xsd:double"&gt;8.675981&lt;/D&gt;&lt;D xsi:type="xsd:double"&gt;6.4347386&lt;/D&gt;&lt;D xsi:type="xsd:double"&gt;15.263104&lt;/D&gt;&lt;D xsi:type="xsd:double"&gt;22.826218&lt;/D&gt;&lt;D xsi:type="xsd:double"&gt;27.404892&lt;/D&gt;&lt;D xsi:type="xsd:double"&gt;19.808733&lt;/D&gt;&lt;D xsi:type="xsd:double"&gt;14.098871&lt;/D&gt;&lt;D xsi:type="xsd:double"&gt;18.09188&lt;/D&gt;&lt;D xsi:type="xsd:double"&gt;19.74908&lt;/D&gt;&lt;D xsi:type="xsd:double"&gt;16.041994&lt;/D&gt;&lt;D xsi:type="xsd:double"&gt;13.922405&lt;/D&gt;&lt;D xsi:type="xsd:double"&gt;19.713234&lt;/D&gt;&lt;D xsi:type="xsd:double"&gt;22.112392&lt;/D&gt;&lt;D xsi:type="xsd:double"&gt;21.78173&lt;/D&gt;&lt;D xsi:type="xsd:double"&gt;19.490028&lt;/D&gt;&lt;D xsi:type="xsd:double"&gt;25.065697&lt;/D&gt;&lt;D xsi:type="xsd:double"&gt;16.4927&lt;/D&gt;&lt;D xsi:type="xsd:double"&gt;18.619072&lt;/D&gt;&lt;D xsi:type="xsd:double"&gt;16.208792&lt;/D&gt;&lt;D xsi:type="xsd:double"&gt;16.15156&lt;/D&gt;&lt;D xsi:type="xsd:double"&gt;15.854513&lt;/D&gt;&lt;D xsi:type="xsd:double"&gt;16.52229&lt;/D&gt;&lt;D xsi:type="xsd:double"&gt;17.712843&lt;/D&gt;&lt;D xsi:type="xsd:double"&gt;18.420815&lt;/D&gt;&lt;D xsi:type="xsd:double"&gt;10.342873&lt;/D&gt;&lt;D xsi:type="xsd:double"&gt;7.2334647&lt;/D&gt;&lt;D xsi:type="xsd:double"&gt;1.2949705&lt;/D&gt;&lt;D xsi:type="xsd:double"&gt;-4.4139266&lt;/D&gt;&lt;D xsi:type="xsd:double"&gt;5.3565383&lt;/D&gt;&lt;D xsi:type="xsd:double"&gt;3.6136866&lt;/D&gt;&lt;D xsi:type="xsd:double"&gt;11.240339&lt;/D&gt;&lt;D xsi:type="xsd:double"&gt;4.944098&lt;/D&gt;&lt;D xsi:type="xsd:double"&gt;6.1864257&lt;/D&gt;&lt;D xsi:type="xsd:double"&gt;9.757864&lt;/D&gt;&lt;D xsi:type="xsd:double"&gt;5.76725&lt;/D&gt;&lt;D xsi:type="xsd:double"&gt;5.587232&lt;/D&gt;&lt;D xsi:type="xsd:double"&gt;11.035895&lt;/D&gt;&lt;D xsi:type="xsd:double"&gt;15.887249&lt;/D&gt;&lt;D xsi:type="xsd:double"&gt;21.968306&lt;/D&gt;&lt;D xsi:type="xsd:double"&gt;29.027187&lt;/D&gt;&lt;D xsi:type="xsd:double"&gt;24.89072&lt;/D&gt;&lt;D xsi:type="xsd:double"&gt;-2.4612963&lt;/D&gt;&lt;D xsi:type="xsd:double"&gt;-3.0302584&lt;/D&gt;&lt;D xsi:type="xsd:double"&gt;2.3393989&lt;/D&gt;&lt;D xsi:type="xsd:double"&gt;7.6696634&lt;/D&gt;&lt;D xsi:type="xsd:double"&gt;6.840849&lt;/D&gt;&lt;D xsi:type="xsd:double"&gt;17.467928&lt;/D&gt;&lt;D xsi:type="xsd:double"&gt;13.514161&lt;/D&gt;&lt;D xsi:type="xsd:double"&gt;20.498371&lt;/D&gt;&lt;D xsi:type="xsd:double"&gt;18.129803&lt;/D&gt;&lt;D xsi:type="xsd:double"&gt;18.790268&lt;/D&gt;&lt;D xsi:type="xsd:double"&gt;18.011427&lt;/D&gt;&lt;D xsi:type="xsd:double"&gt;18.580128&lt;/D&gt;&lt;D xsi:type="xsd:double"&gt;61.84759&lt;/D&gt;&lt;D xsi:type="xsd:double"&gt;52.187836&lt;/D&gt;&lt;D xsi:type="xsd:double"&gt;48.04664&lt;/D&gt;&lt;D xsi:type="xsd:double"&gt;43.42694&lt;/D&gt;&lt;D xsi:type="xsd:double"&gt;40.42952&lt;/D&gt;&lt;D xsi:type="xsd:double"&gt;34.374428&lt;/D&gt;&lt;D xsi:type="xsd:double"&gt;35.689175&lt;/D&gt;&lt;D xsi:type="xsd:double"&gt;26.054228&lt;/D&gt;&lt;D xsi:type="xsd:double"&gt;34.169186&lt;/D&gt;&lt;D xsi:type="xsd:double"&gt;29.18074&lt;/D&gt;&lt;D xsi:type="xsd:double"&gt;23.958408&lt;/D&gt;&lt;D xsi:type="xsd:double"&gt;14.250398&lt;/D&gt;&lt;D xsi:type="xsd:double"&gt;8.180655&lt;/D&gt;&lt;D xsi:type="xsd:double"&gt;8.797908&lt;/D&gt;&lt;D xsi:type="xsd:double"&gt;-0.78920126&lt;/D&gt;&lt;D xsi:type="xsd:double"&gt;-10.450363&lt;/D&gt;&lt;D xsi:type="xsd:double"&gt;-11.791116&lt;/D&gt;&lt;D xsi:type="xsd:double"&gt;-2.6786447&lt;/D&gt;&lt;D xsi:type="xsd:double"&gt;-10.720926&lt;/D&gt;&lt;D xsi:type="xsd:double"&gt;-14.628273&lt;/D&gt;&lt;D xsi:type="xsd:double"&gt;-12.768346&lt;/D&gt;&lt;D xsi:type="xsd:double"&gt;-12.539017&lt;/D&gt;&lt;D xsi:type="xsd:double"&gt;-12.818718&lt;/D&gt;&lt;D xsi:type="xsd:double"&gt;-4.748142&lt;/D&gt;&lt;D xsi:type="xsd:double"&gt;-6.770438&lt;/D&gt;&lt;D xsi:type="xsd:double"&gt;-5.139226&lt;/D&gt;&lt;D xsi:type="xsd:double"&gt;6.6970587&lt;/D&gt;&lt;D xsi:type="xsd:double"&gt;18.430185&lt;/D&gt;&lt;D xsi:type="xsd:double"&gt;20.626247&lt;/D&gt;&lt;D xsi:type="xsd:double"&gt;7.8582883&lt;/D&gt;&lt;D xsi:type="xsd:double"&gt;15.458703&lt;/D&gt;&lt;D xsi:type="xsd:double"&gt;19.78085&lt;/D&gt;&lt;D xsi:type="xsd:double"&gt;12.21553&lt;/D&gt;&lt;D xsi:type="xsd:double"&gt;18.90992&lt;/D&gt;&lt;D xsi:type="xsd:double"&gt;21.921026&lt;/D&gt;&lt;D xsi:type="xsd:double"&gt;21.513474&lt;/D&gt;&lt;D xsi:type="xsd:double"&gt;35.942806&lt;/D&gt;&lt;D xsi:type="xsd:double"&gt;27.016699&lt;/D&gt;&lt;D xsi:type="xsd:double"&gt;28.404045&lt;/D&gt;&lt;D xsi:type="xsd:double"&gt;26.036728&lt;/D&gt;&lt;/FQL&gt;&lt;FQL&gt;&lt;Q&gt;EWU^FG_TOTAL_RETURNC(-10AY,0,AM)&lt;/Q&gt;&lt;R&gt;121&lt;/R&gt;&lt;C&gt;1&lt;/C&gt;&lt;D xsi:type="xsd:double"&gt;-0.18331409&lt;/D&gt;&lt;D xsi:type="xsd:double"&gt;-0.23601055&lt;/D&gt;&lt;D xsi:type="xsd:double"&gt;-2.8005779&lt;/D&gt;&lt;D xsi:type="xsd:double"&gt;-0.496763&lt;/D&gt;&lt;D xsi:type="xsd:double"&gt;-8.287567&lt;/D&gt;&lt;D xsi:type="xsd:double"&gt;3.3206224&lt;/D&gt;&lt;D xsi:type="xsd:double"&gt;-6.269753&lt;/D&gt;&lt;D xsi:type="xsd:double"&gt;0.71269274&lt;/D&gt;&lt;D xsi:type="xsd:double"&gt;7.626641&lt;/D&gt;&lt;D xsi:type="xsd:double"&gt;-5.393976&lt;/D&gt;&lt;D xsi:type="xsd:double"&gt;3.801012&lt;/D&gt;&lt;D xsi:type="xsd:double"&gt;6.1389327&lt;/D&gt;&lt;D xsi:type="xsd:double"&gt;-2.9426694&lt;/D&gt;&lt;D xsi:type="xsd:double"&gt;-1.3710678&lt;/D&gt;&lt;D xsi:type="xsd:double"&gt;-1.2412369&lt;/D&gt;&lt;D xsi:type="xsd:double"&gt;-7.3770404&lt;/D&gt;&lt;D xsi:type="xsd:double"&gt;1.4749289&lt;/D&gt;&lt;D xsi:type="xsd:double"&gt;-3.372091&lt;/D&gt;&lt;D xsi:type="xsd:double"&gt;-2.6474178&lt;/D&gt;&lt;D xsi:type="xsd:double"&gt;-6.5764904&lt;/D&gt;&lt;D xsi:type="xsd:double"&gt;-1.2145698&lt;/D&gt;&lt;D xsi:type="xsd:double"&gt;7.1721315&lt;/D&gt;&lt;D xsi:type="xsd:double"&gt;2.3581862&lt;/D&gt;&lt;D xsi:type="xsd:double"&gt;-2.6151896&lt;/D&gt;&lt;D xsi:type="xsd:double"&gt;-1.3427138&lt;/D&gt;&lt;D xsi:type="xsd:double"&gt;2.53402&lt;/D&gt;&lt;D xsi:type="xsd:double"&gt;2.0077705&lt;/D&gt;&lt;D xsi:type="xsd:double"&gt;-1.2698412&lt;/D&gt;&lt;D xsi:type="xsd:double"&gt;-2.5723517&lt;/D&gt;&lt;D xsi:type="xsd:double"&gt;-0.66006184&lt;/D&gt;&lt;D xsi:type="xsd:double"&gt;4.119599&lt;/D&gt;&lt;D xsi:type="xsd:double"&gt;1.3524055&lt;/D&gt;&lt;D xsi:type="xsd:double"&gt;2.1385312&lt;/D&gt;&lt;D xsi:type="xsd:double"&gt;-0.031250715&lt;/D&gt;&lt;D xsi:type="xsd:double"&gt;1.3441682&lt;/D&gt;&lt;D xsi:type="xsd:double"&gt;5.089462&lt;/D&gt;&lt;D xsi:type="xsd:double"&gt;0.469625&lt;/D&gt;&lt;D xsi:type="xsd:double"&gt;0.36125183&lt;/D&gt;&lt;D xsi:type="xsd:double"&gt;-0.41666627&lt;/D&gt;&lt;D xsi:type="xsd:double"&gt;2.6897788&lt;/D&gt;&lt;D xsi:type="xsd:double"&gt;2.8812528&lt;/D&gt;&lt;D xsi:type="xsd:double"&gt;-2.7439833&lt;/D&gt;&lt;D xsi:type="xsd:double"&gt;3.1704426&lt;/D&gt;&lt;D xsi:type="xsd:double"&gt;6.600511&lt;/D&gt;&lt;D xsi:type="xsd:double"&gt;-6.41337&lt;/D&gt;&lt;D xsi:type="xsd:double"&gt;0&lt;/D&gt;&lt;D xsi:type="xsd:double"&gt;4.462993&lt;/D&gt;&lt;D xsi:type="xsd:double"&gt;1.3506055&lt;/D&gt;&lt;D xsi:type="xsd:double"&gt;-1.1966228&lt;/D&gt;&lt;D xsi:type="xsd:double"&gt;-1.2284815&lt;/D&gt;&lt;D xsi:type="xsd:double"&gt;-3.3951461&lt;/D&gt;&lt;D xsi:type="xsd:double"&gt;-1.7129421&lt;/D&gt;&lt;D xsi:type="xsd:double"&gt;-2.8846145&lt;/D&gt;&lt;D xsi:type="xsd:double"&gt;-1.0210395&lt;/D&gt;&lt;D xsi:type="xsd:double"&gt;-4.5326653&lt;/D&gt;&lt;D xsi:type="xsd:double"&gt;2.28647&lt;/D&gt;&lt;D xsi:type="xsd:double"&gt;4.023552&lt;/D&gt;&lt;D xsi:type="xsd:double"&gt;3.6478043&lt;/D&gt;&lt;D xsi:type="xsd:double"&gt;2.9732943&lt;/D&gt;&lt;D xsi:type="xsd:double"&gt;-4.655266&lt;/D&gt;&lt;D xsi:type="xsd:double"&gt;1.2360811&lt;/D&gt;&lt;D xsi:type="xsd:double"&gt;1.0008335&lt;/D&gt;&lt;D xsi:type="xsd:double"&gt;-6.6955924&lt;/D&gt;&lt;D xsi:type="xsd:double"&gt;5.0830483&lt;/D&gt;&lt;D xsi:type="xsd:double"&gt;0.031614304&lt;/D&gt;&lt;D xsi:type="xsd:double"&gt;3.0973434&lt;/D&gt;&lt;D xsi:type="xsd:double"&gt;4.5370936&lt;/D&gt;&lt;D xsi:type="xsd:double"&gt;0.6169319&lt;/D&gt;&lt;D xsi:type="xsd:double"&gt;-1.927644&lt;/D&gt;&lt;D xsi:type="xsd:double"&gt;-27.366192&lt;/D&gt;&lt;D xsi:type="xsd:double"&gt;2.8725982&lt;/D&gt;&lt;D xsi:type="xsd:double"&gt;-0.8903265&lt;/D&gt;&lt;D xsi:type="xsd:double"&gt;7.1457744&lt;/D&gt;&lt;D xsi:type="xsd:double"&gt;-0.37986636&lt;/D&gt;&lt;D xsi:type="xsd:double"&gt;5.3592205&lt;/D&gt;&lt;D xsi:type="xsd:double"&gt;-4.20199&lt;/D&gt;&lt;D xsi:type="xsd:double"&gt;0&lt;/D&gt;&lt;D xsi:type="xsd:double"&gt;8.926511&lt;/D&gt;&lt;D xsi:type="xsd:double"&gt;3.7442684&lt;/D&gt;&lt;D xsi:type="xsd:double"&gt;5.7949424&lt;/D&gt;&lt;D xsi:type="xsd:double"&gt;-0.58593154&lt;/D&gt;&lt;D xsi:type="xsd:double"&gt;4.354942&lt;/D&gt;&lt;D xsi:type="xsd:double"&gt;0.47066212&lt;/D&gt;&lt;D xsi:type="xsd:double"&gt;4.153645&lt;/D&gt;&lt;D xsi:type="xsd:double"&gt;2.8788686&lt;/D&gt;&lt;D xsi:type="xsd:double"&gt;-1.9857764&lt;/D&gt;&lt;D xsi:type="xsd:double"&gt;1.9655347&lt;/D&gt;&lt;D xsi:type="xsd:double"&gt;-2.0759225&lt;/D&gt;&lt;D xsi:type="xsd:double"&gt;0.63596964&lt;/D&gt;&lt;D xsi:type="xsd:double"&gt;0.842607&lt;/D&gt;&lt;D xsi:type="xsd:double"&gt;-2.4598598&lt;/D&gt;&lt;D xsi:type="xsd:double"&gt;8.425034&lt;/D&gt;&lt;D xsi:type="xsd:double"&gt;-0.08698702&lt;/D&gt;&lt;D xsi:type="xsd:double"&gt;-8.589667&lt;/D&gt;&lt;D xsi:type="xsd:double"&gt;8.190477&lt;/D&gt;&lt;D xsi:type="xsd:double"&gt;-7.4823976&lt;/D&gt;&lt;D xsi:type="xsd:double"&gt;-3.2671452&lt;/D&gt;&lt;D xsi:type="xsd:double"&gt;-2.8046727&lt;/D&gt;&lt;D xsi:type="xsd:double"&gt;7.4201345&lt;/D&gt;&lt;D xsi:type="xsd:double"&gt;-7.6750875&lt;/D&gt;&lt;D xsi:type="xsd:double"&gt;-6.962246&lt;/D&gt;&lt;D xsi:type="xsd:double"&gt;11.206257&lt;/D&gt;&lt;D xsi:type="xsd:double"&gt;6.831038&lt;/D&gt;&lt;D xsi:type="xsd:double"&gt;3.7531734&lt;/D&gt;&lt;D xsi:type="xsd:double"&gt;0.64378977&lt;/D&gt;&lt;D xsi:type="xsd:double"&gt;-4.447156&lt;/D&gt;&lt;D xsi:type="xsd:double"&gt;7.6824903&lt;/D&gt;&lt;D xsi:type="xsd:double"&gt;-1.657778&lt;/D&gt;&lt;D xsi:type="xsd:double"&gt;-0.7886052&lt;/D&gt;&lt;D xsi:type="xsd:double"&gt;1.886785&lt;/D&gt;&lt;D xsi:type="xsd:double"&gt;-1.335758&lt;/D&gt;&lt;D xsi:type="xsd:double"&gt;-1.5076995&lt;/D&gt;&lt;D xsi:type="xsd:double"&gt;-1.0621607&lt;/D&gt;&lt;D xsi:type="xsd:double"&gt;-1.2630224&lt;/D&gt;&lt;D xsi:type="xsd:double"&gt;5.4684997&lt;/D&gt;&lt;D xsi:type="xsd:double"&gt;1.6197205&lt;/D&gt;&lt;D xsi:type="xsd:double"&gt;-3.2966971&lt;/D&gt;&lt;D xsi:type="xsd:double"&gt;6.5656543&lt;/D&gt;&lt;D xsi:type="xsd:double"&gt;-0.11847615&lt;/D&gt;&lt;D xsi:type="xsd:double"&gt;7.265711&lt;/D&gt;&lt;D xsi:type="xsd:double"&gt;-1.0860205&lt;/D&gt;&lt;/FQL&gt;&lt;FQL&gt;&lt;Q&gt;EWJ^FMA_DIV_YLD(NTMA,-10AY,0,AM,"PORTAGG","MEANR")&lt;/Q&gt;&lt;R&gt;121&lt;/R&gt;&lt;C&gt;1&lt;/C&gt;&lt;D xsi:type="xsd:double"&gt;2.09275198343229&lt;/D&gt;&lt;D xsi:type="xsd:double"&gt;2.09376186010652&lt;/D&gt;&lt;D xsi:type="xsd:double"&gt;2.09662962782922&lt;/D&gt;&lt;D xsi:type="xsd:double"&gt;2.03087911859775&lt;/D&gt;&lt;D xsi:type="xsd:double"&gt;2.1639994340859&lt;/D&gt;&lt;D xsi:type="xsd:double"&gt;1.94567613347326&lt;/D&gt;&lt;D xsi:type="xsd:double"&gt;1.98230305646273&lt;/D&gt;&lt;D xsi:type="xsd:double"&gt;2.03632781494883&lt;/D&gt;&lt;D xsi:type="xsd:double"&gt;1.9646430271835&lt;/D&gt;&lt;D xsi:type="xsd:double"&gt;1.8498009923156&lt;/D&gt;&lt;D xsi:type="xsd:double"&gt;1.84665129154845&lt;/D&gt;&lt;D xsi:type="xsd:double"&gt;1.87829439688547&lt;/D&gt;&lt;D xsi:type="xsd:double"&gt;1.88186802131432&lt;/D&gt;&lt;D xsi:type="xsd:double"&gt;1.94642836369547&lt;/D&gt;&lt;D xsi:type="xsd:double"&gt;1.89916568057802&lt;/D&gt;&lt;D xsi:type="xsd:double"&gt;2.15276343281783&lt;/D&gt;&lt;D xsi:type="xsd:double"&gt;2.12467432530249&lt;/D&gt;&lt;D xsi:type="xsd:double"&gt;2.02257399959464&lt;/D&gt;&lt;D xsi:type="xsd:double"&gt;2.07737373551735&lt;/D&gt;&lt;D xsi:type="xsd:double"&gt;2.26061939708488&lt;/D&gt;&lt;D xsi:type="xsd:double"&gt;2.72611818648658&lt;/D&gt;&lt;D xsi:type="xsd:double"&gt;2.36690275269492&lt;/D&gt;&lt;D xsi:type="xsd:double"&gt;2.41278442712358&lt;/D&gt;&lt;D xsi:type="xsd:double"&gt;2.43054599167972&lt;/D&gt;&lt;D xsi:type="xsd:double"&gt;2.46320943686843&lt;/D&gt;&lt;D xsi:type="xsd:double"&gt;2.42068861295412&lt;/D&gt;&lt;D xsi:type="xsd:double"&gt;2.38061433558784&lt;/D&gt;&lt;D xsi:type="xsd:double"&gt;2.38541274185245&lt;/D&gt;&lt;D xsi:type="xsd:double"&gt;2.37802821617411&lt;/D&gt;&lt;D xsi:type="xsd:double"&gt;2.32742917500156&lt;/D&gt;&lt;D xsi:type="xsd:double"&gt;2.08613218619568&lt;/D&gt;&lt;D xsi:type="xsd:double"&gt;2.0992942701875&lt;/D&gt;&lt;D xsi:type="xsd:double"&gt;2.11606169976065&lt;/D&gt;&lt;D xsi:type="xsd:double"&gt;2.11673553649264&lt;/D&gt;&lt;D xsi:type="xsd:double"&gt;2.29404287345227&lt;/D&gt;&lt;D xsi:type="xsd:double"&gt;2.1557088412763&lt;/D&gt;&lt;D xsi:type="xsd:double"&gt;2.17927164021719&lt;/D&gt;&lt;D xsi:type="xsd:double"&gt;2.16460656561645&lt;/D&gt;&lt;D xsi:type="xsd:double"&gt;2.18696468023619&lt;/D&gt;&lt;D xsi:type="xsd:double"&gt;2.19446270235801&lt;/D&gt;&lt;D xsi:type="xsd:double"&gt;2.12405738967706&lt;/D&gt;&lt;D xsi:type="xsd:double"&gt;2.06229171440626&lt;/D&gt;&lt;D xsi:type="xsd:double"&gt;2.05631814802024&lt;/D&gt;&lt;D xsi:type="xsd:double"&gt;1.99754769207599&lt;/D&gt;&lt;D xsi:type="xsd:double"&gt;2.220782870301&lt;/D&gt;&lt;D xsi:type="xsd:double"&gt;2.21333444311236&lt;/D&gt;&lt;D xsi:type="xsd:double"&gt;2.25800327933796&lt;/D&gt;&lt;D xsi:type="xsd:double"&gt;2.19318180309022&lt;/D&gt;&lt;D xsi:type="xsd:double"&gt;2.21118790417377&lt;/D&gt;&lt;D xsi:type="xsd:double"&gt;2.29955192372787&lt;/D&gt;&lt;D xsi:type="xsd:double"&gt;2.37877834961279&lt;/D&gt;&lt;D xsi:type="xsd:double"&gt;2.34948366700499&lt;/D&gt;&lt;D xsi:type="xsd:double"&gt;2.3726804706327&lt;/D&gt;&lt;D xsi:type="xsd:double"&gt;2.48321123909355&lt;/D&gt;&lt;D xsi:type="xsd:double"&gt;2.52831954894327&lt;/D&gt;&lt;D xsi:type="xsd:double"&gt;2.69154535046905&lt;/D&gt;&lt;D xsi:type="xsd:double"&gt;2.59793084364098&lt;/D&gt;&lt;D xsi:type="xsd:double"&gt;2.58757087771525&lt;/D&gt;&lt;D xsi:type="xsd:double"&gt;2.58356196883387&lt;/D&gt;&lt;D xsi:type="xsd:double"&gt;2.68809513142825&lt;/D&gt;&lt;D xsi:type="xsd:double"&gt;2.70415301576782&lt;/D&gt;&lt;D xsi:type="xsd:double"&gt;2.64662366261939&lt;/D&gt;&lt;D xsi:type="xsd:double"&gt;2.80519682133709&lt;/D&gt;&lt;D xsi:type="xsd:double"&gt;2.57818344947752&lt;/D&gt;&lt;D xsi:type="xsd:double"&gt;2.61505757434187&lt;/D&gt;&lt;D xsi:type="xsd:double"&gt;2.46632642291133&lt;/D&gt;&lt;D xsi:type="xsd:double"&gt;2.41241539765511&lt;/D&gt;&lt;D xsi:type="xsd:double"&gt;2.43070800842809&lt;/D&gt;&lt;D xsi:type="xsd:double"&gt;2.45492760404959&lt;/D&gt;&lt;D xsi:type="xsd:double"&gt;3.29129253596066&lt;/D&gt;&lt;D xsi:type="xsd:double"&gt;2.94397224731239&lt;/D&gt;&lt;D xsi:type="xsd:double"&gt;2.77702339752959&lt;/D&gt;&lt;D xsi:type="xsd:double"&gt;2.5086080546618&lt;/D&gt;&lt;D xsi:type="xsd:double"&gt;2.48450945958523&lt;/D&gt;&lt;D xsi:type="xsd:double"&gt;2.38790134960434&lt;/D&gt;&lt;D xsi:type="xsd:double"&gt;2.3623667193667&lt;/D&gt;&lt;D xsi:type="xsd:double"&gt;2.35543846329375&lt;/D&gt;&lt;D xsi:type="xsd:double"&gt;2.28235482513153&lt;/D&gt;&lt;D xsi:type="xsd:double"&gt;2.16157404850999&lt;/D&gt;&lt;D xsi:type="xsd:double"&gt;2.07802388790746&lt;/D&gt;&lt;D xsi:type="xsd:double"&gt;2.02971241420767&lt;/D&gt;&lt;D xsi:type="xsd:double"&gt;2.0545321834033&lt;/D&gt;&lt;D xsi:type="xsd:double"&gt;2.0736260749494&lt;/D&gt;&lt;D xsi:type="xsd:double"&gt;2.23930604697373&lt;/D&gt;&lt;D xsi:type="xsd:double"&gt;2.16490572070782&lt;/D&gt;&lt;D xsi:type="xsd:double"&gt;2.18132106686765&lt;/D&gt;&lt;D xsi:type="xsd:double"&gt;2.21960550297136&lt;/D&gt;&lt;D xsi:type="xsd:double"&gt;2.12698821045198&lt;/D&gt;&lt;D xsi:type="xsd:double"&gt;2.26931755622134&lt;/D&gt;&lt;D xsi:type="xsd:double"&gt;2.21599921579603&lt;/D&gt;&lt;D xsi:type="xsd:double"&gt;2.31946217840483&lt;/D&gt;&lt;D xsi:type="xsd:double"&gt;2.31579628432933&lt;/D&gt;&lt;D xsi:type="xsd:double"&gt;2.41809457537003&lt;/D&gt;&lt;D xsi:type="xsd:double"&gt;2.70573520467102&lt;/D&gt;&lt;D xsi:type="xsd:double"&gt;2.59022662765537&lt;/D&gt;&lt;D xsi:type="xsd:double"&gt;2.65636633553598&lt;/D&gt;&lt;D xsi:type="xsd:double"&gt;2.6507323457762&lt;/D&gt;&lt;D xsi:type="xsd:double"&gt;2.68236250249059&lt;/D&gt;&lt;D xsi:type="xsd:double"&gt;2.5720348000852&lt;/D&gt;&lt;D xsi:type="xsd:double"&gt;2.58463848672169&lt;/D&gt;&lt;D xsi:type="xsd:double"&gt;2.78100942441523&lt;/D&gt;&lt;D xsi:type="xsd:double"&gt;2.59856581885832&lt;/D&gt;&lt;D xsi:type="xsd:double"&gt;2.63541835362737&lt;/D&gt;&lt;D xsi:type="xsd:double"&gt;2.72701553258591&lt;/D&gt;&lt;D xsi:type="xsd:double"&gt;2.61747470741402&lt;/D&gt;&lt;D xsi:type="xsd:double"&gt;2.61338084648549&lt;/D&gt;&lt;D xsi:type="xsd:double"&gt;2.61096865623034&lt;/D&gt;&lt;D xsi:type="xsd:double"&gt;2.53162841040017&lt;/D&gt;&lt;D xsi:type="xsd:double"&gt;2.34027285979379&lt;/D&gt;&lt;D xsi:type="xsd:double"&gt;2.38877835548944&lt;/D&gt;&lt;D xsi:type="xsd:double"&gt;2.36540008457289&lt;/D&gt;&lt;D xsi:type="xsd:double"&gt;2.31309254251935&lt;/D&gt;&lt;D xsi:type="xsd:double"&gt;2.3958408501973&lt;/D&gt;&lt;D xsi:type="xsd:double"&gt;2.40779844779854&lt;/D&gt;&lt;D xsi:type="xsd:double"&gt;2.4258488914706&lt;/D&gt;&lt;D xsi:type="xsd:double"&gt;2.29752108534399&lt;/D&gt;&lt;D xsi:type="xsd:double"&gt;2.2360355606343&lt;/D&gt;&lt;D xsi:type="xsd:double"&gt;2.23498261116316&lt;/D&gt;&lt;D xsi:type="xsd:double"&gt;2.176254535898&lt;/D&gt;&lt;D xsi:type="xsd:double"&gt;2.24033138566999&lt;/D&gt;&lt;D xsi:type="xsd:double"&gt;2.22170148101999&lt;/D&gt;&lt;/FQL&gt;&lt;FQL&gt;&lt;Q&gt;EWC^FMA_PE(NTMA,-10AY,0,AM,"PORTAGG","MEANR")&lt;/Q&gt;&lt;R&gt;121&lt;/R&gt;&lt;C&gt;1&lt;/C&gt;&lt;D xsi:type="xsd:double"&gt;14.9419446970441&lt;/D&gt;&lt;D xsi:type="xsd:double"&gt;14.9990897095961&lt;/D&gt;&lt;D xsi:type="xsd:double"&gt;14.9391621901103&lt;/D&gt;&lt;D xsi:type="xsd:double"&gt;15.1331289476547&lt;/D&gt;&lt;D xsi:type="xsd:double"&gt;13.725420255169&lt;/D&gt;&lt;D xsi:type="xsd:double"&gt;14.5812974257576&lt;/D&gt;&lt;D xsi:type="xsd:double"&gt;14.4756396890698&lt;/D&gt;&lt;D xsi:type="xsd:double"&gt;15.2455441189781&lt;/D&gt;&lt;D xsi:type="xsd:double"&gt;17.4078061118425&lt;/D&gt;&lt;D xsi:type="xsd:double"&gt;16.8889986361693&lt;/D&gt;&lt;D xsi:type="xsd:double"&gt;17.3537763405399&lt;/D&gt;&lt;D xsi:type="xsd:double"&gt;16.6860081166481&lt;/D&gt;&lt;D xsi:type="xsd:double"&gt;16.2098284864258&lt;/D&gt;&lt;D xsi:type="xsd:double"&gt;15.75106421151&lt;/D&gt;&lt;D xsi:type="xsd:double"&gt;15.3906465369742&lt;/D&gt;&lt;D xsi:type="xsd:double"&gt;14.6495285211832&lt;/D&gt;&lt;D xsi:type="xsd:double"&gt;15.0889753677022&lt;/D&gt;&lt;D xsi:type="xsd:double"&gt;14.2643654664393&lt;/D&gt;&lt;D xsi:type="xsd:double"&gt;13.9753990109654&lt;/D&gt;&lt;D xsi:type="xsd:double"&gt;13.4126021946093&lt;/D&gt;&lt;D xsi:type="xsd:double"&gt;14.2089876539957&lt;/D&gt;&lt;D xsi:type="xsd:double"&gt;15.764855796024&lt;/D&gt;&lt;D xsi:type="xsd:double"&gt;16.1937384784058&lt;/D&gt;&lt;D xsi:type="xsd:double"&gt;16.4751897592953&lt;/D&gt;&lt;D xsi:type="xsd:double"&gt;16.485766319701&lt;/D&gt;&lt;D xsi:type="xsd:double"&gt;16.5883072831732&lt;/D&gt;&lt;D xsi:type="xsd:double"&gt;16.5464967313097&lt;/D&gt;&lt;D xsi:type="xsd:double"&gt;15.8374322697327&lt;/D&gt;&lt;D xsi:type="xsd:double"&gt;15.9671135716175&lt;/D&gt;&lt;D xsi:type="xsd:double"&gt;15.6758626920737&lt;/D&gt;&lt;D xsi:type="xsd:double"&gt;16.0167807332234&lt;/D&gt;&lt;D xsi:type="xsd:double"&gt;15.9586827809231&lt;/D&gt;&lt;D xsi:type="xsd:double"&gt;16.2633973096534&lt;/D&gt;&lt;D xsi:type="xsd:double"&gt;15.924783042634&lt;/D&gt;&lt;D xsi:type="xsd:double"&gt;15.7418719508532&lt;/D&gt;&lt;D xsi:type="xsd:double"&gt;15.6157592980341&lt;/D&gt;&lt;D xsi:type="xsd:double"&gt;15.3963740659967&lt;/D&gt;&lt;D xsi:type="xsd:double"&gt;15.2673618711012&lt;/D&gt;&lt;D xsi:type="xsd:double"&gt;15.4348748627939&lt;/D&gt;&lt;D xsi:type="xsd:double"&gt;15.2617643007059&lt;/D&gt;&lt;D xsi:type="xsd:double"&gt;15.7554105015151&lt;/D&gt;&lt;D xsi:type="xsd:double"&gt;15.9110606789953&lt;/D&gt;&lt;D xsi:type="xsd:double"&gt;15.9933672432543&lt;/D&gt;&lt;D xsi:type="xsd:double"&gt;15.8605221565807&lt;/D&gt;&lt;D xsi:type="xsd:double"&gt;14.4162165090862&lt;/D&gt;&lt;D xsi:type="xsd:double"&gt;14.4990401977598&lt;/D&gt;&lt;D xsi:type="xsd:double"&gt;13.9519023587795&lt;/D&gt;&lt;D xsi:type="xsd:double"&gt;14.3439645129227&lt;/D&gt;&lt;D xsi:type="xsd:double"&gt;14.3778707816372&lt;/D&gt;&lt;D xsi:type="xsd:double"&gt;14.3758713952182&lt;/D&gt;&lt;D xsi:type="xsd:double"&gt;13.9580076968251&lt;/D&gt;&lt;D xsi:type="xsd:double"&gt;13.5204855317619&lt;/D&gt;&lt;D xsi:type="xsd:double"&gt;12.8759536274433&lt;/D&gt;&lt;D xsi:type="xsd:double"&gt;12.5834913282579&lt;/D&gt;&lt;D xsi:type="xsd:double"&gt;12.4847131636745&lt;/D&gt;&lt;D xsi:type="xsd:double"&gt;12.9128227284111&lt;/D&gt;&lt;D xsi:type="xsd:double"&gt;13.7965918234432&lt;/D&gt;&lt;D xsi:type="xsd:double"&gt;14.2176707600971&lt;/D&gt;&lt;D xsi:type="xsd:double"&gt;14.0674127514822</t>
        </r>
      </text>
    </comment>
    <comment ref="A8" authorId="0" shapeId="0" xr:uid="{7A895C86-00D7-4224-8EA4-B8DFAEE72C14}">
      <text>
        <r>
          <rPr>
            <b/>
            <sz val="9"/>
            <color indexed="81"/>
            <rFont val="Tahoma"/>
            <charset val="1"/>
          </rPr>
          <t>&lt;/D&gt;&lt;D xsi:type="xsd:double"&gt;13.4727893994194&lt;/D&gt;&lt;D xsi:type="xsd:double"&gt;13.5019688592823&lt;/D&gt;&lt;D xsi:type="xsd:double"&gt;13.6863297284055&lt;/D&gt;&lt;D xsi:type="xsd:double"&gt;13.6040822110636&lt;/D&gt;&lt;D xsi:type="xsd:double"&gt;13.9564269021485&lt;/D&gt;&lt;D xsi:type="xsd:double"&gt;13.769537392674&lt;/D&gt;&lt;D xsi:type="xsd:double"&gt;14.34493646084&lt;/D&gt;&lt;D xsi:type="xsd:double"&gt;14.3742179183141&lt;/D&gt;&lt;D xsi:type="xsd:double"&gt;14.5098101508883&lt;/D&gt;&lt;D xsi:type="xsd:double"&gt;14.9897557272527&lt;/D&gt;&lt;D xsi:type="xsd:double"&gt;12.1382675883925&lt;/D&gt;&lt;D xsi:type="xsd:double"&gt;14.6562363639567&lt;/D&gt;&lt;D xsi:type="xsd:double"&gt;17.4105358741666&lt;/D&gt;&lt;D xsi:type="xsd:double"&gt;17.698490819762&lt;/D&gt;&lt;D xsi:type="xsd:double"&gt;17.4279094218549&lt;/D&gt;&lt;D xsi:type="xsd:double"&gt;17.4998385306417&lt;/D&gt;&lt;D xsi:type="xsd:double"&gt;16.747630176199&lt;/D&gt;&lt;D xsi:type="xsd:double"&gt;16.3854754004786&lt;/D&gt;&lt;D xsi:type="xsd:double"&gt;15.9816436076636&lt;/D&gt;&lt;D xsi:type="xsd:double"&gt;16.1704747839626&lt;/D&gt;&lt;D xsi:type="xsd:double"&gt;16.1223346147106&lt;/D&gt;&lt;D xsi:type="xsd:double"&gt;16.2879756623633&lt;/D&gt;&lt;D xsi:type="xsd:double"&gt;15.4849233659695&lt;/D&gt;&lt;D xsi:type="xsd:double"&gt;15.5450343466162&lt;/D&gt;&lt;D xsi:type="xsd:double"&gt;15.271938880119&lt;/D&gt;&lt;D xsi:type="xsd:double"&gt;15.5821467785511&lt;/D&gt;&lt;D xsi:type="xsd:double"&gt;15.4202177626693&lt;/D&gt;&lt;D xsi:type="xsd:double"&gt;15.070826504876&lt;/D&gt;&lt;D xsi:type="xsd:double"&gt;14.8703695172058&lt;/D&gt;&lt;D xsi:type="xsd:double"&gt;14.6892171025618&lt;/D&gt;&lt;D xsi:type="xsd:double"&gt;15.0832653452175&lt;/D&gt;&lt;D xsi:type="xsd:double"&gt;14.2121602392571&lt;/D&gt;&lt;D xsi:type="xsd:double"&gt;14.3989790802271&lt;/D&gt;&lt;D xsi:type="xsd:double"&gt;14.3682561642342&lt;/D&gt;&lt;D xsi:type="xsd:double"&gt;13.5264539735141&lt;/D&gt;&lt;D xsi:type="xsd:double"&gt;13.3818264738679&lt;/D&gt;&lt;D xsi:type="xsd:double"&gt;12.1170865169325&lt;/D&gt;&lt;D xsi:type="xsd:double"&gt;11.7522931777312&lt;/D&gt;&lt;D xsi:type="xsd:double"&gt;10.8618406810513&lt;/D&gt;&lt;D xsi:type="xsd:double"&gt;11.8424093117307&lt;/D&gt;&lt;D xsi:type="xsd:double"&gt;11.5012593506848&lt;/D&gt;&lt;D xsi:type="xsd:double"&gt;10.8988544073951&lt;/D&gt;&lt;D xsi:type="xsd:double"&gt;11.9564720952585&lt;/D&gt;&lt;D xsi:type="xsd:double"&gt;12.2045881574325&lt;/D&gt;&lt;D xsi:type="xsd:double"&gt;12.6686151277673&lt;/D&gt;&lt;D xsi:type="xsd:double"&gt;12.9538085312067&lt;/D&gt;&lt;D xsi:type="xsd:double"&gt;12.345202345514&lt;/D&gt;&lt;D xsi:type="xsd:double"&gt;12.9824133070998&lt;/D&gt;&lt;D xsi:type="xsd:double"&gt;13.0549092090132&lt;/D&gt;&lt;D xsi:type="xsd:double"&gt;12.9157168339873&lt;/D&gt;&lt;D xsi:type="xsd:double"&gt;13.208341873311&lt;/D&gt;&lt;D xsi:type="xsd:double"&gt;13.2612575674658&lt;/D&gt;&lt;D xsi:type="xsd:double"&gt;13.1170857701732&lt;/D&gt;&lt;D xsi:type="xsd:double"&gt;12.5129370194488&lt;/D&gt;&lt;D xsi:type="xsd:double"&gt;12.5337954167832&lt;/D&gt;&lt;D xsi:type="xsd:double"&gt;13.3429695834736&lt;/D&gt;&lt;D xsi:type="xsd:double"&gt;13.9590769250466&lt;/D&gt;&lt;D xsi:type="xsd:double"&gt;13.9255285891966&lt;/D&gt;&lt;D xsi:type="xsd:double"&gt;14.9655931842351&lt;/D&gt;&lt;D xsi:type="xsd:double"&gt;14.6935024869981&lt;/D&gt;&lt;D xsi:type="xsd:double"&gt;14.7723067334025&lt;/D&gt;&lt;D xsi:type="xsd:double"&gt;13.9988174459701&lt;/D&gt;&lt;/FQL&gt;&lt;FQL&gt;&lt;Q&gt;ENZL^FMA_PE(LTMA,-10AY,0,AM,"PORTAGG","MEANR")&lt;/Q&gt;&lt;R&gt;121&lt;/R&gt;&lt;C&gt;1&lt;/C&gt;&lt;D xsi:type="xsd:double"&gt;17.9694723488328&lt;/D&gt;&lt;D xsi:type="xsd:double"&gt;17.9096378356181&lt;/D&gt;&lt;D xsi:type="xsd:double"&gt;17.8256814244648&lt;/D&gt;&lt;D xsi:type="xsd:double"&gt;17.9183637763083&lt;/D&gt;&lt;D xsi:type="xsd:double"&gt;17.7074310414407&lt;/D&gt;&lt;D xsi:type="xsd:double"&gt;18.7147168779829&lt;/D&gt;&lt;D xsi:type="xsd:double"&gt;18.9364000454241&lt;/D&gt;&lt;D xsi:type="xsd:double"&gt;19.4951732465757&lt;/D&gt;&lt;D xsi:type="xsd:double"&gt;20.0170029440265&lt;/D&gt;&lt;D xsi:type="xsd:double"&gt;20.459712180041&lt;/D&gt;&lt;D xsi:type="xsd:double"&gt;20.1962277808419&lt;/D&gt;&lt;D xsi:type="xsd:double"&gt;20.0363899192999&lt;/D&gt;&lt;D xsi:type="xsd:double"&gt;19.9608641740254&lt;/D&gt;&lt;D xsi:type="xsd:double"&gt;19.5647061246624&lt;/D&gt;&lt;D xsi:type="xsd:double"&gt;19.4392605913674&lt;/D&gt;&lt;D xsi:type="xsd:double"&gt;19.0525039041733&lt;/D&gt;&lt;D xsi:type="xsd:double"&gt;18.8205944143256&lt;/D&gt;&lt;D xsi:type="xsd:double"&gt;19.3736745263038&lt;/D&gt;&lt;D xsi:type="xsd:double"&gt;19.4732059544712&lt;/D&gt;&lt;D xsi:type="xsd:double"&gt;19.2214774563727&lt;/D&gt;&lt;D xsi:type="xsd:double"&gt;18.4106846123147&lt;/D&gt;&lt;D xsi:type="xsd:double"&gt;19.3356460295648&lt;/D&gt;&lt;D xsi:type="xsd:double"&gt;19.3315292605761&lt;/D&gt;&lt;D xsi:type="xsd:double"&gt;19.6297764744358&lt;/D&gt;&lt;D xsi:type="xsd:double"&gt;19.6954652915803&lt;/D&gt;&lt;D xsi:type="xsd:double"&gt;19.9723247121541&lt;/D&gt;&lt;D xsi:type="xsd:double"&gt;20.6738365589074&lt;/D&gt;&lt;D xsi:type="xsd:double"&gt;20.7899363677752&lt;/D&gt;&lt;D xsi:type="xsd:double"&gt;20.4398896859487&lt;/D&gt;&lt;D xsi:type="xsd:double"&gt;19.5124372077911&lt;/D&gt;&lt;D xsi:type="xsd:double"&gt;19.7622577747892&lt;/D&gt;&lt;D xsi:type="xsd:double"&gt;20.4151542588447&lt;/D&gt;&lt;D xsi:type="xsd:double"&gt;20.6331399685053&lt;/D&gt;&lt;D xsi:type="xsd:double"&gt;19.7920189947747&lt;/D&gt;&lt;D xsi:type="xsd:double"&gt;19.8158037117437&lt;/D&gt;&lt;D xsi:type="xsd:double"&gt;20.0152583091748&lt;/D&gt;&lt;D xsi:type="xsd:double"&gt;19.9546421773666&lt;/D&gt;&lt;D xsi:type="xsd:double"&gt;20.0943161337835&lt;/D&gt;&lt;D xsi:type="xsd:double"&gt;20.4946706374448&lt;/D&gt;&lt;D xsi:type="xsd:double"&gt;20.5717983249532&lt;/D&gt;&lt;D xsi:type="xsd:double"&gt;20.9045520888902&lt;/D&gt;&lt;D xsi:type="xsd:double"&gt;21.0491944150414&lt;/D&gt;&lt;D xsi:type="xsd:double"&gt;21.985063180124&lt;/D&gt;&lt;D xsi:type="xsd:double"&gt;21.8488627491897&lt;/D&gt;&lt;D xsi:type="xsd:double"&gt;20.6262746160719&lt;/D&gt;&lt;D xsi:type="xsd:double"&gt;22.5836223053219&lt;/D&gt;&lt;D xsi:type="xsd:double"&gt;22.3788953397548&lt;/D&gt;&lt;D xsi:type="xsd:double"&gt;22.4615906030511&lt;/D&gt;&lt;D xsi:type="xsd:double"&gt;22.782088710484&lt;/D&gt;&lt;D xsi:type="xsd:double"&gt;22.9221282452391&lt;/D&gt;&lt;D xsi:type="xsd:double"&gt;22.9884954892708&lt;/D&gt;&lt;D xsi:type="xsd:double"&gt;23.5363230357291&lt;/D&gt;&lt;D xsi:type="xsd:double"&gt;22.730182309972&lt;/D&gt;&lt;D xsi:type="xsd:double"&gt;22.9650495925175&lt;/D&gt;&lt;D xsi:type="xsd:double"&gt;22.8673381654254&lt;/D&gt;&lt;D xsi:type="xsd:double"&gt;23.2702327107766&lt;/D&gt;&lt;D xsi:type="xsd:double"&gt;24.1621774130004&lt;/D&gt;&lt;D xsi:type="xsd:double"&gt;24.07815155579&lt;/D&gt;&lt;D xsi:type="xsd:double"&gt;24.0774912388268&lt;/D&gt;&lt;D xsi:type="xsd:double"&gt;24.2714798880156&lt;/D&gt;&lt;D xsi:type="xsd:double"&gt;24.3166220233186&lt;/D&gt;&lt;D xsi:type="xsd:double"&gt;25.0577862933579&lt;/D&gt;&lt;D xsi:type="xsd:double"&gt;25.4249217558567&lt;/D&gt;&lt;D xsi:type="xsd:double"&gt;28.5598213671919&lt;/D&gt;&lt;D xsi:type="xsd:double"&gt;28.7125919732495&lt;/D&gt;&lt;D xsi:type="xsd:double"&gt;28.9071096550953&lt;/D&gt;&lt;D xsi:type="xsd:double"&gt;31.3729911298711&lt;/D&gt;&lt;D xsi:type="xsd:double"&gt;32.2672528691842&lt;/D&gt;&lt;D xsi:type="xsd:double"&gt;33.48955191211&lt;/D&gt;&lt;D xsi:type="xsd:double"&gt;30.2237769179724&lt;/D&gt;&lt;D xsi:type="xsd:double"&gt;30.7407358287059&lt;/D&gt;&lt;D xsi:type="xsd:double"&gt;32.2013933703718&lt;/D&gt;&lt;D xsi:type="xsd:double"&gt;32.0777544676088&lt;/D&gt;&lt;D xsi:type="xsd:double"&gt;33.3097973260319&lt;/D&gt;&lt;D xsi:type="xsd:double"&gt;33.7645518273545&lt;/D&gt;&lt;D xsi:type="xsd:double"&gt;33.7593155996043&lt;/D&gt;&lt;D xsi:type="xsd:double"&gt;35.4227440561232&lt;/D&gt;&lt;D xsi:type="xsd:double"&gt;36.065183193669&lt;/D&gt;&lt;D xsi:type="xsd:double"&gt;37.1212536720626&lt;/D&gt;&lt;D xsi:type="xsd:double"&gt;37.8568208313231&lt;/D&gt;&lt;D xsi:type="xsd:double"&gt;34.9563876207825&lt;/D&gt;&lt;D xsi:type="xsd:double"&gt;34.4423549580636&lt;/D&gt;&lt;D xsi:type="xsd:double"&gt;34.5079162143619&lt;/D&gt;&lt;D xsi:type="xsd:double"&gt;34.7574548808754&lt;/D&gt;&lt;D xsi:type="xsd:double"&gt;35.3670873351657&lt;/D&gt;&lt;D xsi:type="xsd:double"&gt;36.6173132394434&lt;/D&gt;&lt;D xsi:type="xsd:double"&gt;36.9693838698734&lt;/D&gt;&lt;D xsi:type="xsd:double"&gt;38.6433202672553&lt;/D&gt;&lt;D xsi:type="xsd:double"&gt;38.5560806647369&lt;/D&gt;&lt;D xsi:type="xsd:double"&gt;38.7604880513004&lt;/D&gt;&lt;D xsi:type="xsd:double"&gt;39.3060316456823&lt;/D&gt;&lt;D xsi:type="xsd:double"&gt;38.6032416101094&lt;/D&gt;&lt;D xsi:type="xsd:double"&gt;36.833960226324&lt;/D&gt;&lt;D xsi:type="xsd:double"&gt;35.072985904635&lt;/D&gt;&lt;D xsi:type="xsd:double"&gt;34.5064765713296&lt;/D&gt;&lt;D xsi:type="xsd:double"&gt;34.065085494555&lt;/D&gt;&lt;D xsi:type="xsd:double"&gt;32.9619324751312&lt;/D&gt;&lt;D xsi:type="xsd:double"&gt;33.0851941804768&lt;/D&gt;&lt;D xsi:type="xsd:double"&gt;33.3462320873665&lt;/D&gt;&lt;D xsi:type="xsd:double"&gt;34.2184067712643&lt;/D&gt;&lt;D xsi:type="xsd:double"&gt;31.0513809820993&lt;/D&gt;&lt;D xsi:type="xsd:double"&gt;31.2948009576031&lt;/D&gt;&lt;D xsi:type="xsd:double"&gt;29.4660220686702&lt;/D&gt;&lt;D xsi:type="xsd:double"&gt;29.6400465486256&lt;/D&gt;&lt;D xsi:type="xsd:double"&gt;29.7206267066944&lt;/D&gt;&lt;D xsi:type="xsd:double"&gt;29.1817236773082&lt;/D&gt;&lt;D xsi:type="xsd:double"&gt;28.7277596189854&lt;/D&gt;&lt;D xsi:type="xsd:double"&gt;28.2728400774899&lt;/D&gt;&lt;D xsi:type="xsd:double"&gt;26.3274486395928&lt;/D&gt;&lt;D xsi:type="xsd:double"&gt;25.8615947991424&lt;/D&gt;&lt;D xsi:type="xsd:double"&gt;24.8749917649049&lt;/D&gt;&lt;D xsi:type="xsd:double"&gt;24.093327626821&lt;/D&gt;&lt;D xsi:type="xsd:double"&gt;23.3600010527978&lt;/D&gt;&lt;D xsi:type="xsd:double"&gt;22.5392548498262&lt;/D&gt;&lt;D xsi:type="xsd:double"&gt;23.9200835637246&lt;/D&gt;&lt;D xsi:type="xsd:double"&gt;24.0566025420845&lt;/D&gt;&lt;D xsi:type="xsd:double"&gt;22.8616124631801&lt;/D&gt;&lt;D xsi:type="xsd:double"&gt;23.784117262134&lt;/D&gt;&lt;D xsi:type="xsd:double"&gt;24.0945513504803&lt;/D&gt;&lt;D xsi:type="xsd:double"&gt;24.5576831281289&lt;/D&gt;&lt;D xsi:type="xsd:double"&gt;24.1988131096092&lt;/D&gt;&lt;/FQL&gt;&lt;FQL&gt;&lt;Q&gt;WL-FDS^FG_PRICE_MAVG(0,,,,30)&lt;/Q&gt;&lt;R&gt;1&lt;/R&gt;&lt;C&gt;1&lt;/C&gt;&lt;D xsi:type="xsd:double"&gt;554.35333&lt;/D&gt;&lt;/FQL&gt;&lt;FQL&gt;&lt;Q&gt;NI-FDS^FG_PRICE_MAVG(0,,,,30)&lt;/Q&gt;&lt;R&gt;1&lt;/R&gt;&lt;C&gt;1&lt;/C&gt;&lt;D xsi:type="xsd:double"&gt;19108.834&lt;/D&gt;&lt;/FQL&gt;&lt;FQL&gt;&lt;Q&gt;CPALM-FDS^FG_PRICE_MAVG(0,,,,30)&lt;/Q&gt;&lt;R&gt;1&lt;/R&gt;&lt;C&gt;1&lt;/C&gt;&lt;D xsi:type="xsd:double"&gt;3913.8333&lt;/D&gt;&lt;/FQL&gt;&lt;FQL&gt;&lt;Q&gt;BRENT-FDS^FG_PRICE_MAVG(0,,,,30)&lt;/Q&gt;&lt;R&gt;1&lt;/R&gt;&lt;C&gt;1&lt;/C&gt;&lt;D xsi:type="xsd:double"&gt;85.86&lt;/D&gt;&lt;/FQL&gt;&lt;FQL&gt;&lt;Q&gt;TIOS-FDS^FG_PRICE_MAVG(0,,,,30)&lt;/Q&gt;&lt;R&gt;1&lt;/R&gt;&lt;C&gt;1&lt;/C&gt;&lt;D xsi:type="xsd:double"&gt;114.53833&lt;/D&gt;&lt;/FQL&gt;&lt;FQL&gt;&lt;Q&gt;FC0000CH^FG_PRICE(0)&lt;/Q&gt;&lt;R&gt;1&lt;/R&gt;&lt;C&gt;1&lt;/C&gt;&lt;D xsi:type="xsd:double"&gt;333.19852&lt;/D&gt;&lt;/FQL&gt;&lt;FQL&gt;&lt;Q&gt;FC0000AU^FG_PRICE(0)&lt;/Q&gt;&lt;R&gt;1&lt;/R&gt;&lt;C&gt;1&lt;/C&gt;&lt;D xsi:type="xsd:double"&gt;359.88345&lt;/D&gt;&lt;/FQL&gt;&lt;FQL&gt;&lt;Q&gt;EWN^FG_PRICE_MAVG(0,,,,30)&lt;/Q&gt;&lt;R&gt;1&lt;/R&gt;&lt;C&gt;1&lt;/C&gt;&lt;D xsi:type="xsd:double"&gt;51.092667&lt;/D&gt;&lt;/FQL&gt;&lt;FQL&gt;&lt;Q&gt;EWU^FG_PRICE_MAVG(0,,,,30)&lt;/Q&gt;&lt;R&gt;1&lt;/R&gt;&lt;C&gt;1&lt;/C&gt;&lt;D xsi:type="xsd:double"&gt;36.028&lt;/D&gt;&lt;/FQL&gt;&lt;FQL&gt;&lt;Q&gt;EWC^FG_PRICE_MAVG(0,,,,30)&lt;/Q&gt;&lt;R&gt;1&lt;/R&gt;&lt;C&gt;1&lt;/C&gt;&lt;D xsi:type="xsd:double"&gt;37.887&lt;/D&gt;&lt;/FQL&gt;&lt;FQL&gt;&lt;Q&gt;QQQ^FG_COMPANY_NAME&lt;/Q&gt;&lt;R&gt;1&lt;/R&gt;&lt;C&gt;1&lt;/C&gt;&lt;D xsi:type="xsd:string"&gt;Invesco QQQ Trust Series I&lt;/D&gt;&lt;/FQL&gt;&lt;FQL&gt;&lt;Q&gt;EWJ^FMA_ROE(NTMA,-20AY,NOW,FY,"PORTAGG","MEANR")&lt;/Q&gt;&lt;R&gt;20&lt;/R&gt;&lt;C&gt;1&lt;/C&gt;&lt;D xsi:type="xsd:double"&gt;9.47226395470966&lt;/D&gt;&lt;D xsi:type="xsd:double"&gt;9.71080928595139&lt;/D&gt;&lt;D xsi:type="xsd:double"&gt;9.94594902069009&lt;/D&gt;&lt;D xsi:type="xsd:double"&gt;9.91062584648368&lt;/D&gt;&lt;D xsi:type="xsd:double"&gt;6.32645011325218&lt;/D&gt;&lt;D xsi:type="xsd:double"&gt;5.71374560341251&lt;/D&gt;&lt;D xsi:type="xsd:double"&gt;7.77608846456594&lt;/D&gt;&lt;D xsi:type="xsd:double"&gt;7.29309511734397&lt;/D&gt;&lt;D xsi:type="xsd:double"&gt;7.60463906390222&lt;/D&gt;&lt;D xsi:type="xsd:double"&gt;8.908847583029&lt;/D&gt;&lt;D xsi:type="xsd:double"&gt;9.08038865449702&lt;/D&gt;&lt;D xsi:type="xsd:double"&gt;8.77889818317635&lt;/D&gt;&lt;D xsi:type="xsd:double"&gt;8.62096827520989&lt;/D&gt;&lt;D xsi:type="xsd:double"&gt;9.23986519100434&lt;/D&gt;&lt;D xsi:type="xsd:double"&gt;9.49570678525962&lt;/D&gt;&lt;D xsi:type="xsd:double"&gt;8.35596278131311&lt;/D&gt;&lt;D xsi:type="xsd:double"&gt;7.43859928704762&lt;/D&gt;&lt;D xsi:type="xsd:double"&gt;9.22076567652677&lt;/D&gt;&lt;D xsi:type="xsd:double"&gt;9.22544557398871&lt;/D&gt;&lt;D xsi:type="xsd:double"&gt;9.29937608846777&lt;/D&gt;&lt;/FQL&gt;&lt;FQL&gt;&lt;Q&gt;TRYQA10Y-FDS^FG_YIELD(-10AY,0,Y,,"YTM")&lt;/Q&gt;&lt;R&gt;10&lt;/R&gt;&lt;C&gt;1&lt;/C&gt;&lt;D xsi:type="xsd:string"&gt;@NA&lt;/D&gt;&lt;D xsi:type="xsd:double"&gt;2.7255995&lt;/D&gt;&lt;D xsi:type="xsd:double"&gt;3.5394266&lt;/D&gt;&lt;D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xsi:type="xsd:string"&gt;@NA&lt;/D&gt;&lt;/FQL&gt;&lt;FQL&gt;&lt;Q&gt;TRYCH10Y-FDS^FG_YIELD(-10AY,0,Y,,"YTM")&lt;/Q&gt;&lt;R&gt;10&lt;/R&gt;&lt;C&gt;1&lt;/C&gt;&lt;D xsi:type="xsd:double"&gt;0.314&lt;/D&gt;&lt;D xsi:type="xsd:string"&gt;@NA&lt;/D&gt;&lt;D xsi:type="xsd:double"&gt;-0.12&lt;/D&gt;&lt;D xsi:type="xsd:double"&gt;-0.09&lt;/D&gt;&lt;D xsi:type="xsd:double"&gt;-0.176&lt;/D&gt;&lt;D xsi:type="xsd:double"&gt;-0.434&lt;/D&gt;&lt;D xsi:type="xsd:double"&gt;-0.49&lt;/D&gt;&lt;D xsi:type="xsd:double"&gt;-0.111&lt;/D&gt;&lt;D xsi:type="xsd:double"&gt;1.617&lt;/D&gt;&lt;D xsi:type="xsd:double"&gt;0.703&lt;/D&gt;&lt;/FQL&gt;&lt;FQL&gt;&lt;Q&gt;CAGDPY@CH^EE_ACTUAL_ANNUAL(MED,+1)&lt;/Q&gt;&lt;R&gt;1&lt;/R&gt;&lt;C&gt;1&lt;/C&gt;&lt;D xsi:type="xsd:double"&gt;8.1&lt;/D&gt;&lt;/FQL&gt;&lt;FQL&gt;&lt;Q&gt;CC_JP^FG_COMPANY_NAME&lt;/Q&gt;&lt;R&gt;1&lt;/R&gt;&lt;C&gt;1&lt;/C&gt;&lt;D xsi:type="xsd:string"&gt;Japan&lt;/D&gt;&lt;/FQL&gt;&lt;FQL&gt;&lt;Q&gt;USDSEK^FG_PRICE_CHANGE(0,-3AM)&lt;/Q&gt;&lt;R&gt;1&lt;/R&gt;&lt;C&gt;1&lt;/C&gt;&lt;D xsi:type="xsd:double"&gt;2.2179127&lt;/D&gt;&lt;/FQL&gt;&lt;FQL&gt;&lt;Q&gt;USDCHF^FG_PRICE_CHANGE(0,-3AM)&lt;/Q&gt;&lt;R&gt;1&lt;/R&gt;&lt;C&gt;1&lt;/C&gt;&lt;D xsi:type="xsd:double"&gt;1.8506885&lt;/D&gt;&lt;/FQL&gt;&lt;FQL&gt;&lt;Q&gt;USDEUR^FG_PRICE_CHANGE(0,-3AM)&lt;/Q&gt;&lt;R&gt;1&lt;/R&gt;&lt;C&gt;1&lt;/C&gt;&lt;D xsi:type="xsd:double"&gt;1.5968084&lt;/D&gt;&lt;/FQL&gt;&lt;FQL&gt;&lt;Q&gt;USDAUD^FG_PRICE_CHANGE(0,-3AM)&lt;/Q&gt;&lt;R&gt;1&lt;/R&gt;&lt;C&gt;1&lt;/C&gt;&lt;D xsi:type="xsd:double"&gt;-0.25601983&lt;/D&gt;&lt;/FQL&gt;&lt;FQL&gt;&lt;Q&gt;EWQ^FMA_EPS(NTMA,-20AY,0,CY,,"PORTAGG","MEANR")&lt;/Q&gt;&lt;R&gt;20&lt;/R&gt;&lt;C&gt;1&lt;/C&gt;&lt;D xsi:type="xsd:double"&gt;2.02293794620879&lt;/D&gt;&lt;D xsi:type="xsd:double"&gt;2.09338204215347&lt;/D&gt;&lt;D xsi:type="xsd:double"&gt;2.69740018358616&lt;/D&gt;&lt;D xsi:type="xsd:double"&gt;3.1669085058651&lt;/D&gt;&lt;D xsi:type="xsd:double"&gt;2.36664992614361&lt;/D&gt;&lt;D xsi:type="xsd:double"&gt;2.07401175960449&lt;/D&gt;&lt;D xsi:type="xsd:double"&gt;2.36258917800502&lt;/D&gt;&lt;D xsi:type="xsd:double"&gt;2.15605314606315&lt;/D&gt;&lt;D xsi:type="xsd:double"&gt;2.15764377090538&lt;/D&gt;&lt;D xsi:type="xsd:double"&gt;2.15768724966229&lt;/D&gt;&lt;D xsi:type="xsd:double"&gt;1.78907537429816&lt;/D&gt;&lt;D xsi:type="xsd:double"&gt;1.66363137331966&lt;/D&gt;&lt;D xsi:type="xsd:double"&gt;1.69319582409989&lt;/D&gt;&lt;D xsi:type="xsd:double"&gt;2.10907755629154&lt;/D&gt;&lt;D xsi:type="xsd:double"&gt;2.23155948612122&lt;/D&gt;&lt;D xsi:type="xsd:double"&gt;2.19705971628031&lt;/D&gt;&lt;D xsi:type="xsd:double"&gt;1.85109750631934&lt;/D&gt;&lt;D xsi:type="xsd:double"&gt;2.46081747041971&lt;/D&gt;&lt;D xsi:type="xsd:double"&gt;2.80266518747483&lt;/D&gt;&lt;D xsi:type="xsd:double"&gt;2.92070468056675&lt;/D&gt;&lt;/FQL&gt;&lt;FQL&gt;&lt;Q&gt;QQQ^P_PRICE_RETURNS_PR('52W',2,-10AY,0,AM)&lt;/Q&gt;&lt;R&gt;121&lt;/R&gt;&lt;C&gt;1&lt;/C&gt;&lt;D xsi:type="xsd:double"&gt;28.897&lt;/D&gt;&lt;D xsi:type="xsd:double"&gt;29.031647&lt;/D&gt;&lt;D xsi:type="xsd:double"&gt;26.994646&lt;/D&gt;&lt;D xsi:type="xsd:double"&gt;29.483116&lt;/D&gt;&lt;D xsi:type="xsd:double"&gt;19.058586&lt;/D&gt;&lt;D xsi:type="xsd:double"&gt;24.989975&lt;/D&gt;&lt;D xsi:type="xsd:double"&gt;22.62621&lt;/D&gt;&lt;D xsi:type="xsd:double"&gt;19.839155&lt;/D&gt;&lt;D xsi:type="xsd:double"&gt;21.104717&lt;/D&gt;&lt;D xsi:type="xsd:double"&gt;19.301832&lt;/D&gt;&lt;D xsi:type="xsd:double"&gt;29.203785&lt;/D&gt;&lt;D xsi:type="xsd:double"&gt;23.68226&lt;/D&gt;&lt;D xsi:type="xsd:double"&gt;19.454002&lt;/D&gt;&lt;D xsi:type="xsd:double"&gt;16.21188&lt;/D&gt;&lt;D xsi:type="xsd:double"&gt;15.652418&lt;/D&gt;&lt;D xsi:type="xsd:double"&gt;6.71314&lt;/D&gt;&lt;D xsi:type="xsd:double"&gt;15.369785&lt;/D&gt;&lt;D xsi:type="xsd:double"&gt;7.8991175&lt;/D&gt;&lt;D xsi:type="xsd:double"&gt;7.8887105&lt;/D&gt;&lt;D xsi:type="xsd:double"&gt;1.4003634&lt;/D&gt;&lt;D xsi:type="xsd:double"&gt;-6.583029&lt;/D&gt;&lt;D xsi:type="xsd:double"&gt;2.348566&lt;/D&gt;&lt;D xsi:type="xsd:double"&gt;4.3162704&lt;/D&gt;&lt;D xsi:type="xsd:double"&gt;-1.2498617&lt;/D&gt;&lt;D xsi:type="xsd:double"&gt;0.42089224&lt;/D&gt;&lt;D xsi:type="xsd:double"&gt;2.6794075999999998&lt;/D&gt;&lt;D xsi:type="xsd:double"&gt;7.2407603&lt;/D&gt;&lt;D xsi:type="xsd:double"&gt;10.439467&lt;/D&gt;&lt;D xsi:type="xsd:double"&gt;11.521816&lt;/D&gt;&lt;D xsi:type="xsd:double"&gt;3.5098672&lt;/D&gt;&lt;D xsi:type="xsd:double"&gt;9.959221&lt;/D&gt;&lt;D xsi:type="xsd:double"&gt;22.213804&lt;/D&gt;&lt;D xsi:type="xsd:double"&gt;32.147587&lt;/D&gt;&lt;D xsi:type="xsd:double"&gt;24.969732&lt;/D&gt;&lt;D xsi:type="xsd:double"&gt;18.782162&lt;/D&gt;&lt;D xsi:type="xsd:double"&gt;32.236908&lt;/D&gt;&lt;D xsi:type="xsd:double"&gt;31.263315&lt;/D&gt;&lt;D xsi:type="xsd:double"&gt;28.094912&lt;/D&gt;&lt;D xsi:type="xsd:double"&gt;22.58234&lt;/D&gt;&lt;D xsi:type="xsd:double"&gt;28.313887&lt;/D&gt;&lt;D xsi:type="xsd:double"&gt;28.056728&lt;/D&gt;&lt;D xsi:type="xsd:double"&gt;34.207058&lt;/D&gt;&lt;D xsi:type="xsd:double"&gt;30.792831&lt;/D&gt;&lt;D xsi:type="xsd:double"&gt;35.237564&lt;/D&gt;&lt;D xsi:type="xsd:double"&gt;25.79763&lt;/D&gt;&lt;D xsi:type="xsd:double"&gt;31.65902&lt;/D&gt;&lt;D xsi:type="xsd:double"&gt;24.825727&lt;/D&gt;&lt;D xsi:type="xsd:double"&gt;23.60481&lt;/D&gt;&lt;D xsi:type="xsd:double"&gt;26.3525&lt;/D&gt;&lt;D xsi:type="xsd:double"&gt;28.404903&lt;/D&gt;&lt;D xsi:type="xsd:double"&gt;27.92362&lt;/D&gt;&lt;D xsi:type="xsd:double"&gt;27.047909&lt;/D&gt;&lt;D xsi:type="xsd:double"&gt;18.874311&lt;/D&gt;&lt;D xsi:type="xsd:double"&gt;9.020734&lt;/D&gt;&lt;D xsi:type="xsd:double"&gt;6.65406&lt;/D&gt;&lt;D xsi:type="xsd:double"&gt;-0.75089335&lt;/D&gt;&lt;D xsi:type="xsd:double"&gt;8.004308&lt;/D&gt;&lt;D xsi:type="xsd:double"&gt;3.9679527&lt;/D&gt;&lt;D xsi:type="xsd:double"&gt;15.559519&lt;/D&gt;&lt;D xsi:type="xsd:double"&gt;6.2999606&lt;/D&gt;&lt;D xsi:type="xsd:double"&gt;5.2315235&lt;/D&gt;&lt;D xsi:type="xsd:double"&gt;8.786821&lt;/D&gt;&lt;D xsi:type="xsd:double"&gt;5.392468&lt;/D&gt;&lt;D xsi:type="xsd:double"&gt;5.2566648&lt;/D&gt;&lt;D xsi:type="xsd:double"&gt;13.697254&lt;/D&gt;&lt;D xsi:type="xsd:double"&gt;22.187126&lt;/D&gt;&lt;D xsi:type="xsd:double"&gt;26.623451&lt;/D&gt;&lt;D xsi:type="xsd:double"&gt;38.632107&lt;/D&gt;&lt;D xsi:type="xsd:double"&gt;37.94228&lt;/D&gt;&lt;D xsi:type="xsd:double"&gt;9.554577&lt;/D&gt;&lt;D xsi:type="xsd:double"&gt;10.1888895&lt;/D&gt;&lt;D xsi:type="xsd:double"&gt;23.87352&lt;/D&gt;&lt;D xsi:type="xsd:double"&gt;30.467583&lt;/D&gt;&lt;D xsi:type="xsd:double"&gt;34.66692&lt;/D&gt;&lt;D xsi:type="xsd:double"&gt;45.800243&lt;/D&gt;&lt;D xsi:type="xsd:double"&gt;41.675793&lt;/D&gt;&lt;D xsi:type="xsd:double"&gt;55.262924&lt;/D&gt;&lt;D xsi:type="xsd:double"&gt;45.397152&lt;/D&gt;&lt;D xsi:type="xsd:double"&gt;48.35974&lt;/D&gt;&lt;D xsi:type="xsd:double"&gt;44.05738&lt;/D&gt;&lt;D xsi:type="xsd:double"&gt;44.640957&lt;/D&gt;&lt;D xsi:type="xsd:double"&gt;79.1736&lt;/D&gt;&lt;D xsi:type="xsd:double"&gt;68.80546&lt;/D&gt;&lt;D xsi:type="xsd:double"&gt;46.49997&lt;/D&gt;&lt;D xsi:type="xsd:double"&gt;46.726643&lt;/D&gt;&lt;D xsi:type="xsd:double"&gt;40.97446&lt;/D&gt;&lt;D xsi:type="xsd:double"&gt;36.124374&lt;/D&gt;&lt;D xsi:type="xsd:double"&gt;39.938713&lt;/D&gt;&lt;D xsi:type="xsd:double"&gt;22.8868&lt;/D&gt;&lt;D xsi:type="xsd:double"&gt;37.5908&lt;/D&gt;&lt;D xsi:type="xsd:double"&gt;30.647266&lt;/D&gt;&lt;D xsi:type="xsd:double"&gt;20.073795&lt;/D&gt;&lt;D xsi:type="xsd:double"&gt;4.230273&lt;/D&gt;&lt;D xsi:type="xsd:double"&gt;2.491641&lt;/D&gt;&lt;D xsi:type="xsd:double"&gt;2.1785855&lt;/D&gt;&lt;D xsi:type="xsd:double"&gt;-4.992759&lt;/D&gt;&lt;D xsi:type="xsd:double"&gt;-18.902195&lt;/D&gt;&lt;D xsi:type="xsd:double"&gt;-20.745241&lt;/D&gt;&lt;D xsi:type="xsd:double"&gt;-9.606457&lt;/D&gt;&lt;D xsi:type="xsd:double"&gt;-21.523708&lt;/D&gt;&lt;D xsi:type="xsd:double"&gt;-24.864668&lt;/D&gt;&lt;D xsi:type="xsd:double"&gt;-25.818407&lt;/D&gt;&lt;D xsi:type="xsd:double"&gt;-25.957233&lt;/D&gt;&lt;D xsi:type="xsd:double"&gt;-25.055843&lt;/D&gt;&lt;D xsi:type="xsd:double"&gt;-11.618453&lt;/D&gt;&lt;D xsi:type="xsd:double"&gt;-9.733194&lt;/D&gt;&lt;D xsi:type="xsd:double"&gt;-7.142329&lt;/D&gt;&lt;D xsi:type="xsd:double"&gt;12.49094&lt;/D&gt;&lt;D xsi:type="xsd:double"&gt;32.907284&lt;/D&gt;&lt;D xsi:type="xsd:double"&gt;33.68101&lt;/D&gt;&lt;D xsi:type="xsd:double"&gt;13.81681&lt;/D&gt;&lt;D xsi:type="xsd:double"&gt;28.322935&lt;/D&gt;&lt;D xsi:type="xsd:double"&gt;36.807884&lt;/D&gt;&lt;D xsi:type="xsd:double"&gt;31.885742&lt;/D&gt;&lt;D xsi:type="xsd:double"&gt;40.824116&lt;/D&gt;&lt;D xsi:type="xsd:double"&gt;47.780643&lt;/D&gt;&lt;D xsi:type="xsd:double"&gt;41.7086&lt;/D&gt;&lt;D xsi:type="xsd:double"&gt;52.49349&lt;/D&gt;&lt;D xsi:type="xsd:double"&gt;40.936375&lt;/D&gt;&lt;D xsi:type="xsd:double"&gt;37.227104&lt;/D&gt;&lt;D xsi:type="xsd:double"&gt;32.107353&lt;/D&gt;&lt;/FQL&gt;&lt;FQL&gt;&lt;Q&gt;EWL^FG_TOTAL_RETURNC(-10AY,0,AM)&lt;/Q&gt;&lt;R&gt;121&lt;/R&gt;&lt;C&gt;1&lt;/C&gt;&lt;D xsi:type="xsd:double"&gt;-0.20006895&lt;/D&gt;&lt;D xsi:type="xsd:double"&gt;-0.88035464&lt;/D&gt;&lt;D xsi:type="xsd:double"&gt;-2.7634025&lt;/D&gt;&lt;D xsi:type="xsd:double"&gt;1.2158036&lt;/D&gt;&lt;D xsi:type="xsd:double"&gt;-8.108103&lt;/D&gt;&lt;D xsi:type="xsd:double"&gt;6.6993475&lt;/D&gt;&lt;D xsi:type="xsd:double"&gt;-1.8376768&lt;/D&gt;&lt;D xsi:type="xsd:double"&gt;-1.2480497&lt;/D&gt;&lt;D xsi:type="xsd:double"&gt;3.69668&lt;/D&gt;&lt;D xsi:type="xsd:double"&gt;-1.0664165&lt;/D&gt;&lt;D xsi:type="xsd:double"&gt;5.3587914&lt;/D&gt;&lt;D xsi:type="xsd:double"&gt;3.683138&lt;/D&gt;&lt;D xsi:type="xsd:double"&gt;-1.6633749&lt;/D&gt;&lt;D xsi:type="xsd:double"&gt;-0.19480586&lt;/D&gt;&lt;D xsi:type="xsd:double"&gt;-1.8529415&lt;/D&gt;&lt;D xsi:type="xsd:double"&gt;-4.7947226&lt;/D&gt;&lt;D xsi:type="xsd:double"&gt;-0.37771463&lt;/D&gt;&lt;D xsi:type="xsd:double"&gt;-3.2859385&lt;/D&gt;&lt;D xsi:type="xsd:double"&gt;-0.32669306&lt;/D&gt;&lt;D xsi:type="xsd:double"&gt;-4.2936745&lt;/D&gt;&lt;D xsi:type="xsd:double"&gt;-3.527397&lt;/D&gt;&lt;D xsi:type="xsd:double"&gt;5.7152987&lt;/D&gt;&lt;D xsi:type="xsd:double"&gt;2.0819306&lt;/D&gt;&lt;D xsi:type="xsd:double"&gt;-1.4473677&lt;/D&gt;&lt;D xsi:type="xsd:double"&gt;-0.80106854&lt;/D&gt;&lt;D xsi:type="xsd:double"&gt;2.5585055&lt;/D&gt;&lt;D xsi:type="xsd:double"&gt;3.5028577&lt;/D&gt;&lt;D xsi:type="xsd:double"&gt;-1.3016582&lt;/D&gt;&lt;D xsi:type="xsd:double"&gt;-2.3079455&lt;/D&gt;&lt;D xsi:type="xsd:double"&gt;-1.5187263&lt;/D&gt;&lt;D xsi:type="xsd:double"&gt;0.85674524&lt;/D&gt;&lt;D xsi:type="xsd:double"&gt;3.7683964&lt;/D&gt;&lt;D xsi:type="xsd:double"&gt;0.85190535&lt;/D&gt;&lt;D xsi:type="xsd:double"&gt;2.9239774&lt;/D&gt;&lt;D xsi:type="xsd:double"&gt;0.94696283&lt;/D&gt;&lt;D xsi:type="xsd:double"&gt;6.941843&lt;/D&gt;&lt;D xsi:type="xsd:double"&gt;0.9941578&lt;/D&gt;&lt;D xsi:type="xsd:double"&gt;1.7240882&lt;/D&gt;&lt;D xsi:type="xsd:double"&gt;-1.1627972&lt;/D&gt;&lt;D xsi:type="xsd:double"&gt;2.1176457&lt;/D&gt;&lt;D xsi:type="xsd:double"&gt;1.9873261&lt;/D&gt;&lt;D xsi:type="xsd:double"&gt;-3.5300791&lt;/D&gt;&lt;D xsi:type="xsd:double"&gt;2.6346684&lt;/D&gt;&lt;D xsi:type="xsd:double"&gt;4.1928053&lt;/D&gt;&lt;D xsi:type="xsd:double"&gt;-4.379958&lt;/D&gt;&lt;D xsi:type="xsd:double"&gt;-0.14314055&lt;/D&gt;&lt;D xsi:type="xsd:double"&gt;-1.3188183&lt;/D&gt;&lt;D xsi:type="xsd:double"&gt;0.23243427&lt;/D&gt;&lt;D xsi:type="xsd:double"&gt;-1.7101467&lt;/D&gt;&lt;D xsi:type="xsd:double"&gt;0.63341856&lt;/D&gt;&lt;D xsi:type="xsd:double"&gt;2.2228837&lt;/D&gt;&lt;D xsi:type="xsd:double"&gt;2.3508787&lt;/D&gt;&lt;D xsi:type="xsd:double"&gt;-6.689638&lt;/D&gt;&lt;D xsi:type="xsd:double"&gt;1.3230801&lt;/D&gt;&lt;D xsi:type="xsd:double"&gt;-1.1843264&lt;/D&gt;&lt;D xsi:type="xsd:double"&gt;0.89120865&lt;/D&gt;&lt;D xsi:type="xsd:double"&gt;1.7666698&lt;/D&gt;&lt;D xsi:type="xsd:double"&gt;4.100561&lt;/D&gt;&lt;D xsi:type="xsd:double"&gt;2.3864388&lt;/D&gt;&lt;D xsi:type="xsd:double"&gt;-1.26369&lt;/D&gt;&lt;D xsi:type="xsd:double"&gt;6.4846396&lt;/D&gt;&lt;D xsi:type="xsd:double"&gt;0.74658394&lt;/D&gt;&lt;D xsi:type="xsd:double"&gt;1.3257623&lt;/D&gt;&lt;D xsi:type="xsd:double"&gt;1.0146856&lt;/D&gt;&lt;D xsi:type="xsd:double"&gt;-1.1102378&lt;/D&gt;&lt;D xsi:type="xsd:double"&gt;3.4750104&lt;/D&gt;&lt;D xsi:type="xsd:double"&gt;1.8858194&lt;/D&gt;&lt;D xsi:type="xsd:double"&gt;3.0426025&lt;/D&gt;&lt;D xsi:type="xsd:double"&gt;2.8051138&lt;/D&gt;&lt;D xsi:type="xsd:double"&gt;-17.687887&lt;/D&gt;&lt;D xsi:type="xsd:double"&gt;4.5071244&lt;/D&gt;&lt;D xsi:type="xsd:double"&gt;2.2815824&lt;/D&gt;&lt;D xsi:type="xsd:double"&gt;5.0326467&lt;/D&gt;&lt;D xsi:type="xsd:double"&gt;4.968822&lt;/D&gt;&lt;D xsi:type="xsd:double"&gt;4.739213&lt;/D&gt;&lt;D xsi:type="xsd:double"&gt;1.1491537&lt;/D&gt;&lt;D xsi:type="xsd:double"&gt;-0.49703717&lt;/D&gt;&lt;D xsi:type="xsd:double"&gt;1.8553734&lt;/D&gt;&lt;D xsi:type="xsd:double"&gt;1.6581059&lt;/D&gt;&lt;D xsi:type="xsd:double"&gt;4.1665077&lt;/D&gt;&lt;D xsi:type="xsd:double"&gt;0.08826256&lt;/D&gt;&lt;D xsi:type="xsd:double"&gt;-3.1084657&lt;/D&gt;&lt;D xsi:type="xsd:double"&gt;4.7554016&lt;/D&gt;&lt;D xsi:type="xsd:double"&gt;1.3683677&lt;/D&gt;&lt;D xsi:type="xsd:double"&gt;8.325684&lt;/D&gt;&lt;D xsi:type="xsd:double"&gt;-0.40290356&lt;/D&gt;&lt;D xsi:type="xsd:double"&gt;3.236246&lt;/D&gt;&lt;D xsi:type="xsd:double"&gt;-3.154391&lt;/D&gt;&lt;D xsi:type="xsd:double"&gt;-2.8727531&lt;/D&gt;&lt;D xsi:type="xsd:double"&gt;6.3736796&lt;/D&gt;&lt;D xsi:type="xsd:double"&gt;-0.3720343&lt;/D&gt;&lt;D xsi:type="xsd:double"&gt;0.88443756&lt;/D&gt;&lt;D xsi:type="xsd:double"&gt;-5.2211165&lt;/D&gt;&lt;D xsi:type="xsd:double"&gt;-7.173693&lt;/D&gt;&lt;D xsi:type="xsd:double"&gt;9.588135&lt;/D&gt;&lt;D xsi:type="xsd:double"&gt;-11.456865&lt;/D&gt;&lt;D xsi:type="xsd:double"&gt;-6.9714904&lt;/D&gt;&lt;D xsi:type="xsd:double"&gt;2.7284145&lt;/D&gt;&lt;D xsi:type="xsd:double"&gt;7.212472&lt;/D&gt;&lt;D xsi:type="xsd:double"&gt;-6.7954597&lt;/D&gt;&lt;D xsi:type="xsd:double"&gt;-8.997804&lt;/D&gt;&lt;D xsi:type="xsd:double"&gt;16.050375&lt;/D&gt;&lt;D xsi:type="xsd:double"&gt;0.23088455&lt;/D&gt;&lt;D xsi:type="xsd:double"&gt;2.741301&lt;/D&gt;&lt;D xsi:type="xsd:double"&gt;0.67265034&lt;/D&gt;&lt;D xsi:type="xsd:double"&gt;-4.07573&lt;/D&gt;&lt;D xsi:type="xsd:double"&gt;9.867657&lt;/D&gt;&lt;D xsi:type="xsd:double"&gt;2.1766663&lt;/D&gt;&lt;D xsi:type="xsd:double"&gt;-3.041768&lt;/D&gt;&lt;D xsi:type="xsd:double"&gt;2.9880047&lt;/D&gt;&lt;D xsi:type="xsd:double"&gt;-1.5247822&lt;/D&gt;&lt;D xsi:type="xsd:double"&gt;-3.1612933&lt;/D&gt;&lt;D xsi:type="xsd:double"&gt;-2.1763265&lt;/D&gt;&lt;D xsi:type="xsd:double"&gt;-2.20204&lt;/D&gt;&lt;D xsi:type="xsd:double"&gt;9.09934&lt;/D&gt;&lt;D xsi:type="xsd:double"&gt;1.8723369&lt;/D&gt;&lt;D xsi:type="xsd:double"&gt;-4.6992483&lt;/D&gt;&lt;D xsi:type="xsd:double"&gt;6.793773&lt;/D&gt;&lt;D xsi:type="xsd:double"&gt;-6.484711&lt;/D&gt;&lt;D xsi:type="xsd:double"&gt;4.696071&lt;/D&gt;&lt;D xsi:type="xsd:double"&gt;4.751289&lt;/D&gt;&lt;/FQL&gt;&lt;FQL&gt;&lt;Q&gt;EWG^FMA_DIV_YLD(NTMA,-10AY,0,AM,"PORTAGG","MEANR")&lt;/Q&gt;&lt;R&gt;121&lt;/R&gt;&lt;C&gt;1&lt;/C&gt;&lt;D xsi:type="xsd:double"&gt;2.98037365682393&lt;/D&gt;&lt;D xsi:type="xsd:double"&gt;3.10477820995579&lt;/D&gt;&lt;D xsi:type="xsd:double"&gt;3.25728131543411&lt;/D&gt;&lt;D xsi:type="xsd:double"&gt;3.12056939103687&lt;/D&gt;&lt;D xsi:type="xsd:double"&gt;3.43700461962687&lt;/D&gt;&lt;D xsi:type="xsd:double"&gt;3.35119754767499&lt;/D&gt;&lt;D xsi:type="xsd:double"&gt;3.25471664018052&lt;/D&gt;&lt;D xsi:type="xsd:double"&gt;3.15255239136667&lt;/D&gt;&lt;D xsi:type="xsd:double"&gt;2.87514862004182&lt;/D&gt;&lt;D xsi:type="xsd:double"&gt;2.67702364842334&lt;/D&gt;&lt;D xsi:type="xsd:double"&gt;2.61521367148495&lt;/D&gt;&lt;D xsi:type="xsd:double"&gt;2.92112354785214&lt;/D&gt;&lt;D xsi:type="xsd:double"&gt;3.01079436468088&lt;/D&gt;&lt;D xsi:type="xsd:double"&gt;2.95706552797237&lt;/D&gt;&lt;D xsi:type="xsd:double"&gt;3.10065522127063&lt;/D&gt;&lt;D xsi:type="xsd:double"&gt;3.37282846320245&lt;/D&gt;&lt;D xsi:type="xsd:double"&gt;3.33204842347232&lt;/D&gt;&lt;D xsi:type="xsd:double"&gt;3.02524501940281&lt;/D&gt;&lt;D xsi:type="xsd:double"&gt;3.14603142088753&lt;/D&gt;&lt;D xsi:type="xsd:double"&gt;3.27899429746369&lt;/D&gt;&lt;D xsi:type="xsd:double"&gt;3.66381175684841&lt;/D&gt;&lt;D xsi:type="xsd:double"&gt;3.33529131160523&lt;/D&gt;&lt;D xsi:type="xsd:double"&gt;3.28318412841855&lt;/D&gt;&lt;D xsi:type="xsd:double"&gt;3.35534822446799&lt;/D&gt;&lt;D xsi:type="xsd:double"&gt;3.48325273565303&lt;/D&gt;&lt;D xsi:type="xsd:double"&gt;3.39652613183596&lt;/D&gt;&lt;D xsi:type="xsd:double"&gt;3.14439179500874&lt;/D&gt;&lt;D xsi:type="xsd:double"&gt;3.23610541380981&lt;/D&gt;&lt;D xsi:type="xsd:double"&gt;3.18615973344681&lt;/D&gt;&lt;D xsi:type="xsd:double"&gt;3.17717326560003&lt;/D&gt;&lt;D xsi:type="xsd:double"&gt;3.01493044968802&lt;/D&gt;&lt;D xsi:type="xsd:double"&gt;2.94285311543887&lt;/D&gt;&lt;D xsi:type="xsd:double"&gt;2.94835187192445&lt;/D&gt;&lt;D xsi:type="xsd:double"&gt;2.95002036865828&lt;/D&gt;&lt;D xsi:type="xsd:double"&gt;2.94226077264417&lt;/D&gt;&lt;D xsi:type="xsd:double"&gt;2.87009759506073&lt;/D&gt;&lt;D xsi:type="xsd:double"&gt;2.91918341141442&lt;/D&gt;&lt;D xsi:type="xsd:double"&gt;2.96620457877159&lt;/D&gt;&lt;D xsi:type="xsd:double"&gt;3.13089452200739&lt;/D&gt;&lt;D xsi:type="xsd:double"&gt;3.041094047399&lt;/D&gt;&lt;D xsi:type="xsd:double"&gt;2.95209275135233&lt;/D&gt;&lt;D xsi:type="xsd:double"&gt;2.9402374375491&lt;/D&gt;&lt;D xsi:type="xsd:double"&gt;2.90244157643599&lt;/D&gt;&lt;D xsi:type="xsd:double"&gt;2.8856312831675&lt;/D&gt;&lt;D xsi:type="xsd:double"&gt;3.18053814566082&lt;/D&gt;&lt;D xsi:type="xsd:double"&gt;3.19268667480609&lt;/D&gt;&lt;D xsi:type="xsd:double"&gt;3.18301752127529&lt;/D&gt;&lt;D xsi:type="xsd:double"&gt;3.09773286075758&lt;/D&gt;&lt;D xsi:type="xsd:double"&gt;3.11804121607694&lt;/D&gt;&lt;D xsi:type="xsd:double"&gt;3.21353332551167&lt;/D&gt;&lt;D xsi:type="xsd:double"&gt;3.26819571976133&lt;/D&gt;&lt;D xsi:type="xsd:double"&gt;3.34979326186468&lt;/D&gt;&lt;D xsi:type="xsd:double"&gt;3.54638743823307&lt;/D&gt;&lt;D xsi:type="xsd:double"&gt;3.60163060845669&lt;/D&gt;&lt;D xsi:type="xsd:double"&gt;3.80562674847313&lt;/D&gt;&lt;D xsi:type="xsd:double"&gt;3.82866141842785&lt;/D&gt;&lt;D xsi:type="xsd:double"&gt;3.72058332055474&lt;/D&gt;&lt;D xsi:type="xsd:double"&gt;3.60225070035588&lt;/D&gt;&lt;D xsi:type="xsd:double"&gt;3.47734890093575&lt;/D&gt;&lt;D xsi:type="xsd:double"&gt;3.57195080448465&lt;/D&gt;&lt;D xsi:type="xsd:double"&gt;3.55526287779126&lt;/D&gt;&lt;D xsi:type="xsd:double"&gt;3.48411784281128&lt;/D&gt;&lt;D xsi:type="xsd:double"&gt;3.59723866016183&lt;/D&gt;&lt;D xsi:type="xsd:double"&gt;3.37548867014192&lt;/D&gt;&lt;D xsi:type="xsd:double"&gt;3.37765149597833&lt;/D&gt;&lt;D xsi:type="xsd:double"&gt;3.14053861165905&lt;/D&gt;&lt;D xsi:type="xsd:double"&gt;3.0852074531355&lt;/D&gt;&lt;D xsi:type="xsd:double"&gt;3.05792025456712&lt;/D&gt;&lt;D xsi:type="xsd:double"&gt;3.0004099207967&lt;/D&gt;&lt;D xsi:type="xsd:double"&gt;4.44654209242416&lt;/D&gt;&lt;D xsi:type="xsd:double"&gt;3.59071181663498&lt;/D&gt;&lt;D xsi:type="xsd:double"&gt;3.4163263548973&lt;/D&gt;&lt;D xsi:type="xsd:double"&gt;2.98053909761156&lt;/D&gt;&lt;D xsi:type="xsd:double"&gt;2.81820491671445&lt;/D&gt;&lt;D xsi:type="xsd:double"&gt;2.80209445497468&lt;/D&gt;&lt;D xsi:type="xsd:double"&gt;2.79508690718946&lt;/D&gt;&lt;D xsi:type="xsd:double"&gt;2.80993186776067&lt;/D&gt;&lt;D xsi:type="xsd:double"&gt;2.84558790355991&lt;/D&gt;&lt;D xsi:type="xsd:double"&gt;2.82475335742733&lt;/D&gt;&lt;D xsi:type="xsd:double"&gt;2.70907843642345&lt;/D&gt;&lt;D xsi:type="xsd:double"&gt;2.72719660767588&lt;/D&gt;&lt;D xsi:type="xsd:double"&gt;2.75622450019718&lt;/D&gt;&lt;D xsi:type="xsd:double"&gt;2.69661595543326&lt;/D&gt;&lt;D xsi:type="xsd:double"&gt;2.84686351604012&lt;/D&gt;&lt;D xsi:type="xsd:double"&gt;2.77464175476478&lt;/D&gt;&lt;D xsi:type="xsd:double"&gt;2.77960844032403&lt;/D&gt;&lt;D xsi:type="xsd:double"&gt;2.81370646764527&lt;/D&gt;&lt;D xsi:type="xsd:double"&gt;2.86896951416379&lt;/D&gt;&lt;D xsi:type="xsd:double"&gt;2.98413761963552&lt;/D&gt;&lt;D xsi:type="xsd:double"&gt;2.93907158194582&lt;/D&gt;&lt;D xsi:type="xsd:double"&gt;3.05881481150264&lt;/D&gt;&lt;D xsi:type="xsd:double"&gt;3.04270903720283&lt;/D&gt;&lt;D xsi:type="xsd:double"&gt;3.20265534385878&lt;/D&gt;&lt;D xsi:type="xsd:double"&gt;3.68999096418112&lt;/D&gt;&lt;D xsi:type="xsd:double"&gt;3.64035587129347&lt;/D&gt;&lt;D xsi:type="xsd:double"&gt;3.83154949135508&lt;/D&gt;&lt;D xsi:type="xsd:double"&gt;4.01604075051555&lt;/D&gt;&lt;D xsi:type="xsd:double"&gt;4.2396203622485&lt;/D&gt;&lt;D xsi:type="xsd:double"&gt;3.91826729961644&lt;/D&gt;&lt;D xsi:type="xsd:double"&gt;4.09228801878157&lt;/D&gt;&lt;D xsi:type="xsd:double"&gt;4.39911896204976&lt;/D&gt;&lt;D xsi:type="xsd:double"&gt;3.80626273294324&lt;/D&gt;&lt;D xsi:type="xsd:double"&gt;3.71166327466486&lt;/D&gt;&lt;D xsi:type="xsd:double"&gt;3.53760930042526&lt;/D&gt;&lt;D xsi:type="xsd:double"&gt;3.46983236190053&lt;/D&gt;&lt;D xsi:type="xsd:double"&gt;3.65224740504335&lt;/D&gt;&lt;D xsi:type="xsd:double"&gt;3.52016197437958&lt;/D&gt;&lt;D xsi:type="xsd:double"&gt;3.58322180204801&lt;/D&gt;&lt;D xsi:type="xsd:double"&gt;3.58506744636717&lt;/D&gt;&lt;D xsi:type="xsd:double"&gt;3.64245945699518&lt;/D&gt;&lt;D xsi:type="xsd:double"&gt;3.72068936754222&lt;/D&gt;&lt;D xsi:type="xsd:double"&gt;3.77671245857854&lt;/D&gt;&lt;D xsi:type="xsd:double"&gt;3.91242363643238&lt;/D&gt;&lt;D xsi:type="xsd:double"&gt;3.85382776077671&lt;/D&gt;&lt;D xsi:type="xsd:double"&gt;3.55586580255432&lt;/D&gt;&lt;D xsi:type="xsd:double"&gt;3.59782287993812&lt;/D&gt;&lt;D xsi:type="xsd:double"&gt;3.55017260862241&lt;/D&gt;&lt;D xsi:type="xsd:double"&gt;3.29942135012334&lt;/D&gt;&lt;D xsi:type="xsd:double"&gt;3.35546372313263&lt;/D&gt;&lt;D xsi:type="xsd:double"&gt;3.28952631030785&lt;/D&gt;&lt;D xsi:type="xsd:double"&gt;3.36948543914335&lt;/D&gt;&lt;/FQL&gt;&lt;FQL&gt;&lt;Q&gt;EWA^FMA_PE(NTMA,-10AY,0,AM,"PORTAGG","MEANR")&lt;/Q&gt;&lt;R&gt;121&lt;/R&gt;&lt;C&gt;1&lt;/C&gt;&lt;D xsi:type="xsd:double"&gt;14.2249325725567&lt;/D&gt;&lt;D xsi:type="xsd:double"&gt;14.6345834112356&lt;/D&gt;&lt;D xsi:type="xsd:double"&gt;14.6396057746101&lt;/D&gt;&lt;D xsi:type="xsd:double"&gt;14.5786822689824&lt;/D&gt;&lt;D xsi:type="xsd:double"&gt;13.5691681427788&lt;/D&gt;&lt;D xsi:type="xsd:double"&gt;14.3496707216571&lt;/D&gt;&lt;D xsi:type="xsd:double"&gt;13.8352476645141&lt;/D&gt;&lt;D xsi:type="xsd:double"&gt;14.5777792063276&lt;/D&gt;&lt;D xsi:type="xsd:double"&gt;16.0754891492834&lt;/D&gt;&lt;D xsi:type="xsd:double"&gt;15.8692904621087&lt;/D&gt;&lt;D xsi:type="xsd:double"&gt;16.5009324935691&lt;/D&gt;&lt;D xsi:type="xsd:double"&gt;16.1225375992447&lt;/D&gt;&lt;D xsi:type="xsd:double"&gt;15.2840573795958&lt;/D&gt;&lt;D xsi:type="xsd:double"&gt;15.033370135738&lt;/D&gt;&lt;D xsi:type="xsd:double"&gt;15.006729468169&lt;/D&gt;&lt;D xsi:type="xsd:double"&gt;14.3028006920765&lt;/D&gt;&lt;D xsi:type="xsd:double"&gt;14.9145572182361&lt;/D&gt;&lt;D xsi:type="xsd:double"&gt;14.5676168893394&lt;/D&gt;&lt;D xsi:type="xsd:double"&gt;14.7746093515713&lt;/D&gt;&lt;D xsi:type="xsd:double"&gt;14.8543684818508&lt;/D&gt;&lt;D xsi:type="xsd:double"&gt;14.5938031739194&lt;/D&gt;&lt;D xsi:type="xsd:double"&gt;16.1166036707772&lt;/D&gt;&lt;D xsi:type="xsd:double"&gt;15.6134038168183&lt;/D&gt;&lt;D xsi:type="xsd:double"&gt;16.3934742125734&lt;/D&gt;&lt;D xsi:type="xsd:double"&gt;16.2377334367675&lt;/D&gt;&lt;D xsi:type="xsd:double"&gt;16.3079784670803&lt;/D&gt;&lt;D xsi:type="xsd:double"&gt;16.8040362042355&lt;/D&gt;&lt;D xsi:type="xsd:double"&gt;15.6157057306616&lt;/D&gt;&lt;D xsi:type="xsd:double"&gt;16.1333681047195&lt;/D&gt;&lt;D xsi:type="xsd:double"&gt;15.9164664958631&lt;/D&gt;&lt;D xsi:type="xsd:double"&gt;15.7994431586473&lt;/D&gt;&lt;D xsi:type="xsd:double"&gt;15.9297274751967&lt;/D&gt;&lt;D xsi:type="xsd:double"&gt;15.9400705009487&lt;/D&gt;&lt;D xsi:type="xsd:double"&gt;15.7443525858325&lt;/D&gt;&lt;D xsi:type="xsd:double"&gt;15.9096511088234&lt;/D&gt;&lt;D xsi:type="xsd:double"&gt;15.6329438891962&lt;/D&gt;&lt;D xsi:type="xsd:double"&gt;15.4416399279802&lt;/D&gt;&lt;D xsi:type="xsd:double"&gt;15.5116764000405&lt;/D&gt;&lt;D xsi:type="xsd:double"&gt;15.5353954973803&lt;/D&gt;&lt;D xsi:type="xsd:double"&gt;15.6740402017407&lt;/D&gt;&lt;D xsi:type="xsd:double"&gt;15.6684220501209&lt;/D&gt;&lt;D xsi:type="xsd:double"&gt;16.0755612580081&lt;/D&gt;&lt;D xsi:type="xsd:double"&gt;15.9144463387428&lt;/D&gt;&lt;D xsi:type="xsd:double"&gt;15.9867360248566&lt;/D&gt;&lt;D xsi:type="xsd:double"&gt;15.1989726957528&lt;/D&gt;&lt;D xsi:type="xsd:double"&gt;15.4540586907237&lt;/D&gt;&lt;D xsi:type="xsd:double"&gt;14.927285916368&lt;/D&gt;&lt;D xsi:type="xsd:double"&gt;15.5073397881885&lt;/D&gt;&lt;D xsi:type="xsd:double"&gt;15.049311135768&lt;/D&gt;&lt;D xsi:type="xsd:double"&gt;15.5897173357398&lt;/D&gt;&lt;D xsi:type="xsd:double"&gt;15.5023821479073&lt;/D&gt;&lt;D xsi:type="xsd:double"&gt;15.1093827956191&lt;/D&gt;&lt;D xsi:type="xsd:double"&gt;14.4148796462855&lt;/D&gt;&lt;D xsi:type="xsd:double"&gt;14.408033603675&lt;/D&gt;&lt;D xsi:type="xsd:double"&gt;14.0535698704675&lt;/D&gt;&lt;D xsi:type="xsd:double"&gt;14.4239379752127&lt;/D&gt;&lt;D xsi:type="xsd:double"&gt;15.0318079118358&lt;/D&gt;&lt;D xsi:type="xsd:double"&gt;15.1960186139755&lt;/D&gt;&lt;D xsi:type="xsd:double"&gt;15.3265918464317&lt;/D&gt;&lt;D xsi:type="xsd:double"&gt;15.3468268614808&lt;/D&gt;&lt;D xsi:type="xsd:double"&gt;15.9075659685829&lt;/D&gt;&lt;D xsi:type="xsd:double"&gt;16.129652036632&lt;/D&gt;&lt;D xsi:type="xsd:double"&gt;15.9380162641592&lt;/D&gt;&lt;D xsi:type="xsd:double"&gt;16.5538849823196&lt;/D&gt;&lt;D xsi:type="xsd:double"&gt;16.5104808010076&lt;/D&gt;&lt;D xsi:type="xsd:double"&gt;17.0473343986615&lt;/D&gt;&lt;D xsi:type="xsd:double"&gt;17.2003385655731&lt;/D&gt;&lt;D xsi:type="xsd:double"&gt;17.6030117754955&lt;/D&gt;&lt;D xsi:type="xsd:double"&gt;18.2193807071804&lt;/D&gt;&lt;D xsi:type="xsd:double"&gt;14.3139277873065&lt;/D&gt;&lt;D xsi:type="xsd:double"&gt;15.9518416194923&lt;/D&gt;&lt;D xsi:type="xsd:double"&gt;17.3178289769049&lt;/D&gt;&lt;D xsi:type="xsd:double"&gt;18.895941818929&lt;/D&gt;&lt;D xsi:type="xsd:double"&gt;19.0110700958965&lt;/D&gt;&lt;D xsi:type="xsd:double"&gt;19.5476260968282&lt;/D&gt;&lt;D xsi:type="xsd:double"&gt;18.4732198250566&lt;/D&gt;&lt;D xsi:type="xsd:double"&gt;18.9751502485634&lt;/D&gt;&lt;D xsi:type="xsd:double"&gt;19.0276964392018&lt;/D&gt;&lt;D xsi:type="xsd:double"&gt;19.2541317673783&lt;/D&gt;&lt;D xsi:type="xsd:double"&gt;19.2159636949322&lt;/D&gt;&lt;D xsi:type="xsd:double"&gt;19.0516314575525&lt;/D&gt;&lt;D xsi:type="xsd:double"&gt;18.058742089099&lt;/D&gt;&lt;D xsi:type="xsd:double"&gt;17.9248792721267&lt;/D&gt;&lt;D xsi:type="xsd:double"&gt;17.6443138876858&lt;/D&gt;&lt;D xsi:type="xsd:double"&gt;18.1272075763175&lt;/D&gt;&lt;D xsi:type="xsd:double"&gt;17.0442949532051&lt;/D&gt;&lt;D xsi:type="xsd:double"&gt;17.3014483183187&lt;/D&gt;&lt;D xsi:type="xsd:double"&gt;17.0466319970377&lt;/D&gt;&lt;D xsi:type="xsd:double"&gt;17.161469641004&lt;/D&gt;&lt;D xsi:type="xsd:double"&gt;17.5305935160992&lt;/D&gt;&lt;D xsi:type="xsd:double"&gt;17.2544537420896&lt;/D&gt;&lt;D xsi:type="xsd:double"&gt;17.7356835453782&lt;/D&gt;&lt;D xsi:type="xsd:double"&gt;15.9710431809822&lt;/D&gt;&lt;D xsi:type="xsd:double"&gt;15.4753693266256&lt;/D&gt;&lt;D xsi:type="xsd:double"&gt;15.5849594147033&lt;/D&gt;&lt;D xsi:type="xsd:double"&gt;14.1023480797516&lt;/D&gt;&lt;D xsi:type="xsd:double"&gt;13.4377724824258&lt;/D&gt;&lt;D xsi:type="xsd:double"&gt;12.8544293799105&lt;/D&gt;&lt;D xsi:type="xsd:double"&gt;14.1165804759574&lt;/D&gt;&lt;D xsi:type="xsd:double"&gt;13.8150445963238&lt;/D&gt;&lt;D xsi:type="xsd:double"&gt;12.6910896939485&lt;/D&gt;&lt;D xsi:type="xsd:double"&gt;14.26953039134&lt;/D&gt;&lt;D xsi:type="xsd:double"&gt;14.3839290910489&lt;/D&gt;&lt;D xsi:type="xsd:double"&gt;14.5858706406704&lt;/D&gt;&lt;D xsi:type="xsd:double"&gt;14.8644567438658&lt;/D&gt;&lt;D xsi:type="xsd:double"&gt;14.1398961350204&lt;/D&gt;&lt;D xsi:type="xsd:double"&gt;14.7094575657798&lt;/D&gt;&lt;D xsi:type="xsd:double"&gt;14.5721761784515&lt;/D&gt;&lt;D xsi:type="xsd:double"&gt;14.7014962758147&lt;/D&gt;&lt;D xsi:type="xsd:double"&gt;15.2772499469978&lt;/D&gt;&lt;D xsi:type="xsd:double"&gt;15.4037629449184&lt;/D&gt;&lt;D xsi:type="xsd:double"&gt;15.208543825818&lt;/D&gt;&lt;D xsi:t</t>
        </r>
      </text>
    </comment>
    <comment ref="A9" authorId="0" shapeId="0" xr:uid="{14FF83F3-1F4A-42D0-A7C6-7050D2E456B2}">
      <text>
        <r>
          <rPr>
            <b/>
            <sz val="9"/>
            <color indexed="81"/>
            <rFont val="Tahoma"/>
            <charset val="1"/>
          </rPr>
          <t>ype="xsd:double"&gt;14.698931050412&lt;/D&gt;&lt;D xsi:type="xsd:double"&gt;14.7048064677222&lt;/D&gt;&lt;D xsi:type="xsd:double"&gt;15.5042814024609&lt;/D&gt;&lt;D xsi:type="xsd:double"&gt;16.1770275885291&lt;/D&gt;&lt;D xsi:type="xsd:double"&gt;16.2799720754324&lt;/D&gt;&lt;D xsi:type="xsd:double"&gt;16.6140310613695&lt;/D&gt;&lt;D xsi:type="xsd:double"&gt;16.553236676077&lt;/D&gt;&lt;D xsi:type="xsd:double"&gt;16.6576908668705&lt;/D&gt;&lt;D xsi:type="xsd:double"&gt;16.7429612216722&lt;/D&gt;&lt;/FQL&gt;&lt;FQL&gt;&lt;Q&gt;ENZL^JULIAN(FMA_DIV_YLD(LTMA,-10AY,0,AM,"PORTAGG","MEANR").DATES)&lt;/Q&gt;&lt;R&gt;121&lt;/R&gt;&lt;C&gt;1&lt;/C&gt;&lt;D xsi:type="xsd:long"&gt;41803&lt;/D&gt;&lt;D xsi:type="xsd:long"&gt;41831&lt;/D&gt;&lt;D xsi:type="xsd:long"&gt;41864&lt;/D&gt;&lt;D xsi:type="xsd:long"&gt;41894&lt;/D&gt;&lt;D xsi:type="xsd:long"&gt;41925&lt;/D&gt;&lt;D xsi:type="xsd:long"&gt;41956&lt;/D&gt;&lt;D xsi:type="xsd:long"&gt;41985&lt;/D&gt;&lt;D xsi:type="xsd:long"&gt;42017&lt;/D&gt;&lt;D xsi:type="xsd:long"&gt;42048&lt;/D&gt;&lt;D xsi:type="xsd:long"&gt;42076&lt;/D&gt;&lt;D xsi:type="xsd:long"&gt;42107&lt;/D&gt;&lt;D xsi:type="xsd:long"&gt;42137&lt;/D&gt;&lt;D xsi:type="xsd:long"&gt;42167&lt;/D&gt;&lt;D xsi:type="xsd:long"&gt;42198&lt;/D&gt;&lt;D xsi:type="xsd:long"&gt;42229&lt;/D&gt;&lt;D xsi:type="xsd:long"&gt;42258&lt;/D&gt;&lt;D xsi:type="xsd:long"&gt;42290&lt;/D&gt;&lt;D xsi:type="xsd:long"&gt;42321&lt;/D&gt;&lt;D xsi:type="xsd:long"&gt;42349&lt;/D&gt;&lt;D xsi:type="xsd:long"&gt;42382&lt;/D&gt;&lt;D xsi:type="xsd:long"&gt;42412&lt;/D&gt;&lt;D xsi:type="xsd:long"&gt;42440&lt;/D&gt;&lt;D xsi:type="xsd:long"&gt;42473&lt;/D&gt;&lt;D xsi:type="xsd:long"&gt;42503&lt;/D&gt;&lt;D xsi:type="xsd:long"&gt;42534&lt;/D&gt;&lt;D xsi:type="xsd:long"&gt;42564&lt;/D&gt;&lt;D xsi:type="xsd:long"&gt;42594&lt;/D&gt;&lt;D xsi:type="xsd:long"&gt;42626&lt;/D&gt;&lt;D xsi:type="xsd:long"&gt;42656&lt;/D&gt;&lt;D xsi:type="xsd:long"&gt;42685&lt;/D&gt;&lt;D xsi:type="xsd:long"&gt;42717&lt;/D&gt;&lt;D xsi:type="xsd:long"&gt;42748&lt;/D&gt;&lt;D xsi:type="xsd:long"&gt;42779&lt;/D&gt;&lt;D xsi:type="xsd:long"&gt;42807&lt;/D&gt;&lt;D xsi:type="xsd:long"&gt;42838&lt;/D&gt;&lt;D xsi:type="xsd:long"&gt;42867&lt;/D&gt;&lt;D xsi:type="xsd:long"&gt;42899&lt;/D&gt;&lt;D xsi:type="xsd:long"&gt;42929&lt;/D&gt;&lt;D xsi:type="xsd:long"&gt;42958&lt;/D&gt;&lt;D xsi:type="xsd:long"&gt;42991&lt;/D&gt;&lt;D xsi:type="xsd:long"&gt;43021&lt;/D&gt;&lt;D xsi:type="xsd:long"&gt;43052&lt;/D&gt;&lt;D xsi:type="xsd:long"&gt;43082&lt;/D&gt;&lt;D xsi:type="xsd:long"&gt;43112&lt;/D&gt;&lt;D xsi:type="xsd:long"&gt;43144&lt;/D&gt;&lt;D xsi:type="xsd:long"&gt;43172&lt;/D&gt;&lt;D xsi:type="xsd:long"&gt;43203&lt;/D&gt;&lt;D xsi:type="xsd:long"&gt;43231&lt;/D&gt;&lt;D xsi:type="xsd:long"&gt;43264&lt;/D&gt;&lt;D xsi:type="xsd:long"&gt;43294&lt;/D&gt;&lt;D xsi:type="xsd:long"&gt;43325&lt;/D&gt;&lt;D xsi:type="xsd:long"&gt;43356&lt;/D&gt;&lt;D xsi:type="xsd:long"&gt;43385&lt;/D&gt;&lt;D xsi:type="xsd:long"&gt;43417&lt;/D&gt;&lt;D xsi:type="xsd:long"&gt;43447&lt;/D&gt;&lt;D xsi:type="xsd:long"&gt;43476&lt;/D&gt;&lt;D xsi:type="xsd:long"&gt;43509&lt;/D&gt;&lt;D xsi:type="xsd:long"&gt;43537&lt;/D&gt;&lt;D xsi:type="xsd:long"&gt;43567&lt;/D&gt;&lt;D xsi:type="xsd:long"&gt;43598&lt;/D&gt;&lt;D xsi:type="xsd:long"&gt;43629&lt;/D&gt;&lt;D xsi:type="xsd:long"&gt;43658&lt;/D&gt;&lt;D xsi:type="xsd:long"&gt;43690&lt;/D&gt;&lt;D xsi:type="xsd:long"&gt;43721&lt;/D&gt;&lt;D xsi:type="xsd:long"&gt;43749&lt;/D&gt;&lt;D xsi:type="xsd:long"&gt;43782&lt;/D&gt;&lt;D xsi:type="xsd:long"&gt;43812&lt;/D&gt;&lt;D xsi:type="xsd:long"&gt;43843&lt;/D&gt;&lt;D xsi:type="xsd:long"&gt;43874&lt;/D&gt;&lt;D xsi:type="xsd:long"&gt;43903&lt;/D&gt;&lt;D xsi:type="xsd:long"&gt;43934&lt;/D&gt;&lt;D xsi:type="xsd:long"&gt;43964&lt;/D&gt;&lt;D xsi:type="xsd:long"&gt;43994&lt;/D&gt;&lt;D xsi:type="xsd:long"&gt;44025&lt;/D&gt;&lt;D xsi:type="xsd:long"&gt;44056&lt;/D&gt;&lt;D xsi:type="xsd:long"&gt;44085&lt;/D&gt;&lt;D xsi:type="xsd:long"&gt;44117&lt;/D&gt;&lt;D xsi:type="xsd:long"&gt;44148&lt;/D&gt;&lt;D xsi:type="xsd:long"&gt;44176&lt;/D&gt;&lt;D xsi:type="xsd:long"&gt;44209&lt;/D&gt;&lt;D xsi:type="xsd:long"&gt;44239&lt;/D&gt;&lt;D xsi:type="xsd:long"&gt;44267&lt;/D&gt;&lt;D xsi:type="xsd:long"&gt;44299&lt;/D&gt;&lt;D xsi:type="xsd:long"&gt;44329&lt;/D&gt;&lt;D xsi:type="xsd:long"&gt;44358&lt;/D&gt;&lt;D xsi:type="xsd:long"&gt;44390&lt;/D&gt;&lt;D xsi:type="xsd:long"&gt;44421&lt;/D&gt;&lt;D xsi:type="xsd:long"&gt;44452&lt;/D&gt;&lt;D xsi:type="xsd:long"&gt;44482&lt;/D&gt;&lt;D xsi:type="xsd:long"&gt;44512&lt;/D&gt;&lt;D xsi:type="xsd:long"&gt;44540&lt;/D&gt;&lt;D xsi:type="xsd:long"&gt;44574&lt;/D&gt;&lt;D xsi:type="xsd:long"&gt;44603&lt;/D&gt;&lt;D xsi:type="xsd:long"&gt;44631&lt;/D&gt;&lt;D xsi:type="xsd:long"&gt;44664&lt;/D&gt;&lt;D xsi:type="xsd:long"&gt;44694&lt;/D&gt;&lt;D xsi:type="xsd:long"&gt;44725&lt;/D&gt;&lt;D xsi:type="xsd:long"&gt;44755&lt;/D&gt;&lt;D xsi:type="xsd:long"&gt;44785&lt;/D&gt;&lt;D xsi:type="xsd:long"&gt;44817&lt;/D&gt;&lt;D xsi:type="xsd:long"&gt;44847&lt;/D&gt;&lt;D xsi:type="xsd:long"&gt;44876&lt;/D&gt;&lt;D xsi:type="xsd:long"&gt;44908&lt;/D&gt;&lt;D xsi:type="xsd:long"&gt;44939&lt;/D&gt;&lt;D xsi:type="xsd:long"&gt;44970&lt;/D&gt;&lt;D xsi:type="xsd:long"&gt;44998&lt;/D&gt;&lt;D xsi:type="xsd:long"&gt;45029&lt;/D&gt;&lt;D xsi:type="xsd:long"&gt;45058&lt;/D&gt;&lt;D xsi:type="xsd:long"&gt;45090&lt;/D&gt;&lt;D xsi:type="xsd:long"&gt;45120&lt;/D&gt;&lt;D xsi:type="xsd:long"&gt;45149&lt;/D&gt;&lt;D xsi:type="xsd:long"&gt;45182&lt;/D&gt;&lt;D xsi:type="xsd:long"&gt;45212&lt;/D&gt;&lt;D xsi:type="xsd:long"&gt;45243&lt;/D&gt;&lt;D xsi:type="xsd:long"&gt;45273&lt;/D&gt;&lt;D xsi:type="xsd:long"&gt;45303&lt;/D&gt;&lt;D xsi:type="xsd:long"&gt;45335&lt;/D&gt;&lt;D xsi:type="xsd:long"&gt;45364&lt;/D&gt;&lt;D xsi:type="xsd:long"&gt;45394&lt;/D&gt;&lt;D xsi:type="xsd:long"&gt;45425&lt;/D&gt;&lt;D xsi:type="xsd:long"&gt;45453&lt;/D&gt;&lt;/FQL&gt;&lt;FQL&gt;&lt;Q&gt;WL-FDS^FG_PRICE(0)&lt;/Q&gt;&lt;R&gt;1&lt;/R&gt;&lt;C&gt;1&lt;/C&gt;&lt;D xsi:type="xsd:double"&gt;567.4&lt;/D&gt;&lt;/FQL&gt;&lt;FQL&gt;&lt;Q&gt;NI-FDS^FG_PRICE(0)&lt;/Q&gt;&lt;R&gt;1&lt;/R&gt;&lt;C&gt;1&lt;/C&gt;&lt;D xsi:type="xsd:double"&gt;17550&lt;/D&gt;&lt;/FQL&gt;&lt;FQL&gt;&lt;Q&gt;CPALM-FDS^FG_PRICE(0)&lt;/Q&gt;&lt;R&gt;1&lt;/R&gt;&lt;C&gt;1&lt;/C&gt;&lt;D xsi:type="xsd:double"&gt;3934&lt;/D&gt;&lt;/FQL&gt;&lt;FQL&gt;&lt;Q&gt;BRENT-FDS^FG_PRICE(0)&lt;/Q&gt;&lt;R&gt;1&lt;/R&gt;&lt;C&gt;1&lt;/C&gt;&lt;D xsi:type="xsd:double"&gt;85.86&lt;/D&gt;&lt;/FQL&gt;&lt;FQL&gt;&lt;Q&gt;TIOS-FDS^FG_PRICE(0)&lt;/Q&gt;&lt;R&gt;1&lt;/R&gt;&lt;C&gt;1&lt;/C&gt;&lt;D xsi:type="xsd:double"&gt;107.12&lt;/D&gt;&lt;/FQL&gt;&lt;FQL&gt;&lt;Q&gt;EWU^FG_COMPANY_NAME&lt;/Q&gt;&lt;R&gt;1&lt;/R&gt;&lt;C&gt;1&lt;/C&gt;&lt;D xsi:type="xsd:string"&gt;iShares MSCI United Kingdom ETF&lt;/D&gt;&lt;/FQL&gt;&lt;FQL&gt;&lt;Q&gt;EWG^FMA_ROE(NTMA,-20AY,NOW,FY,"PORTAGG","MEANR")&lt;/Q&gt;&lt;R&gt;20&lt;/R&gt;&lt;C&gt;1&lt;/C&gt;&lt;D xsi:type="xsd:double"&gt;11.8275550599933&lt;/D&gt;&lt;D xsi:type="xsd:double"&gt;12.5810872006639&lt;/D&gt;&lt;D xsi:type="xsd:double"&gt;13.372977849048&lt;/D&gt;&lt;D xsi:type="xsd:double"&gt;14.712722857709&lt;/D&gt;&lt;D xsi:type="xsd:double"&gt;11.5210886767193&lt;/D&gt;&lt;D xsi:type="xsd:double"&gt;11.0094337648339&lt;/D&gt;&lt;D xsi:type="xsd:double"&gt;13.0475804034897&lt;/D&gt;&lt;D xsi:type="xsd:double"&gt;12.3546044213534&lt;/D&gt;&lt;D xsi:type="xsd:double"&gt;12.1037876491794&lt;/D&gt;&lt;D xsi:type="xsd:double"&gt;12.1465108243325&lt;/D&gt;&lt;D xsi:type="xsd:double"&gt;11.8873581616615&lt;/D&gt;&lt;D xsi:type="xsd:double"&gt;12.0284649417774&lt;/D&gt;&lt;D xsi:type="xsd:double"&gt;11.8967042128795&lt;/D&gt;&lt;D xsi:type="xsd:double"&gt;12.2469207943648&lt;/D&gt;&lt;D xsi:type="xsd:double"&gt;11.6510152415578&lt;/D&gt;&lt;D xsi:type="xsd:double"&gt;10.4475672102116&lt;/D&gt;&lt;D xsi:type="xsd:double"&gt;9.71471543630713&lt;/D&gt;&lt;D xsi:type="xsd:double"&gt;12.1997093940908&lt;/D&gt;&lt;D xsi:type="xsd:double"&gt;11.8187115511422&lt;/D&gt;&lt;D xsi:type="xsd:double"&gt;11.9489916743573&lt;/D&gt;&lt;/FQL&gt;&lt;FQL&gt;&lt;Q&gt;TRYUS10Y-FDS^FG_YIELD(-10AY,0,Y,,"YTM")&lt;/Q&gt;&lt;R&gt;10&lt;/R&gt;&lt;C&gt;1&lt;/C&gt;&lt;D xsi:type="xsd:double"&gt;2.1881&lt;/D&gt;&lt;D xsi:type="xsd:double"&gt;2.2961&lt;/D&gt;&lt;D xsi:type="xsd:double"&gt;2.4752&lt;/D&gt;&lt;D xsi:type="xsd:double"&gt;2.4325&lt;/D&gt;&lt;D xsi:type="xsd:double"&gt;2.6836&lt;/D&gt;&lt;D xsi:type="xsd:double"&gt;1.9185&lt;/D&gt;&lt;D xsi:type="xsd:double"&gt;0.9174&lt;/D&gt;&lt;D xsi:type="xsd:double"&gt;1.5119&lt;/D&gt;&lt;D xsi:type="xsd:double"&gt;3.8776&lt;/D&gt;&lt;D xsi:type="xsd:double"&gt;3.8791&lt;/D&gt;&lt;/FQL&gt;&lt;FQL&gt;&lt;Q&gt;TRYEU10Y-FDS^FG_YIELD(-10AY,0,Y,,"YTM")&lt;/Q&gt;&lt;R&gt;10&lt;/R&gt;&lt;C&gt;1&lt;/C&gt;&lt;D xsi:type="xsd:double"&gt;0.5475&lt;/D&gt;&lt;D xsi:type="xsd:double"&gt;0.636&lt;/D&gt;&lt;D xsi:type="xsd:double"&gt;0.2082&lt;/D&gt;&lt;D xsi:type="xsd:double"&gt;0.4294&lt;/D&gt;&lt;D xsi:type="xsd:double"&gt;0.239&lt;/D&gt;&lt;D xsi:type="xsd:double"&gt;-0.189&lt;/D&gt;&lt;D xsi:type="xsd:double"&gt;-0.575&lt;/D&gt;&lt;D xsi:type="xsd:double"&gt;-0.181&lt;/D&gt;&lt;D xsi:type="xsd:double"&gt;2.533&lt;/D&gt;&lt;D xsi:type="xsd:double"&gt;2.004&lt;/D&gt;&lt;/FQL&gt;&lt;FQL&gt;&lt;Q&gt;ENZL^FMA_PE(NTMA,-10AY,0,AM,"PORTAGG","MEANR")&lt;/Q&gt;&lt;R&gt;121&lt;/R&gt;&lt;C&gt;1&lt;/C&gt;&lt;D xsi:type="xsd:double"&gt;17.2542515033684&lt;/D&gt;&lt;D xsi:type="xsd:double"&gt;17.1045994736078&lt;/D&gt;&lt;D xsi:type="xsd:double"&gt;16.892919304211&lt;/D&gt;&lt;D xsi:type="xsd:double"&gt;17.1659816472428&lt;/D&gt;&lt;D xsi:type="xsd:double"&gt;16.8492398611937&lt;/D&gt;&lt;D xsi:type="xsd:double"&gt;18.0356424307614&lt;/D&gt;&lt;D xsi:type="xsd:double"&gt;18.0288878184422&lt;/D&gt;&lt;D xsi:type="xsd:double"&gt;18.6367029176258&lt;/D&gt;&lt;D xsi:type="xsd:double"&gt;19.1156929591577&lt;/D&gt;&lt;D xsi:type="xsd:double"&gt;19.1081788411142&lt;/D&gt;&lt;D xsi:type="xsd:double"&gt;18.4146770977364&lt;/D&gt;&lt;D xsi:type="xsd:double"&gt;18.2589118288323&lt;/D&gt;&lt;D xsi:type="xsd:double"&gt;18.2507511166599&lt;/D&gt;&lt;D xsi:type="xsd:double"&gt;17.7139284599617&lt;/D&gt;&lt;D xsi:type="xsd:double"&gt;17.7622721007449&lt;/D&gt;&lt;D xsi:type="xsd:double"&gt;17.3210124041124&lt;/D&gt;&lt;D xsi:type="xsd:double"&gt;17.2328703694225&lt;/D&gt;&lt;D xsi:type="xsd:double"&gt;17.8848303692998&lt;/D&gt;&lt;D xsi:type="xsd:double"&gt;18.0727813724927&lt;/D&gt;&lt;D xsi:type="xsd:double"&gt;17.7156815358848&lt;/D&gt;&lt;D xsi:type="xsd:double"&gt;16.7380149465432&lt;/D&gt;&lt;D xsi:type="xsd:double"&gt;18.153055509205&lt;/D&gt;&lt;D xsi:type="xsd:double"&gt;18.4938154834133&lt;/D&gt;&lt;D xsi:type="xsd:double"&gt;19.2524747814934&lt;/D&gt;&lt;D xsi:type="xsd:double"&gt;19.1461537205692&lt;/D&gt;&lt;D xsi:type="xsd:double"&gt;19.5013546137178&lt;/D&gt;&lt;D xsi:type="xsd:double"&gt;20.3174118407016&lt;/D&gt;&lt;D xsi:type="xsd:double"&gt;20.2635159348456&lt;/D&gt;&lt;D xsi:type="xsd:double"&gt;19.5216106988551&lt;/D&gt;&lt;D xsi:type="xsd:double"&gt;18.2548768664489&lt;/D&gt;&lt;D xsi:type="xsd:double"&gt;18.3869668898028&lt;/D&gt;&lt;D xsi:type="xsd:double"&gt;18.8846328835275&lt;/D&gt;&lt;D xsi:type="xsd:double"&gt;19.2507979323317&lt;/D&gt;&lt;D xsi:type="xsd:double"&gt;18.9697896008183&lt;/D&gt;&lt;D xsi:type="xsd:double"&gt;19.1344785577349&lt;/D&gt;&lt;D xsi:type="xsd:double"&gt;19.6615443414974&lt;/D&gt;&lt;D xsi:type="xsd:double"&gt;19.3169912754762&lt;/D&gt;&lt;D xsi:type="xsd:double"&gt;19.4426490962194&lt;/D&gt;&lt;D xsi:type="xsd:double"&gt;19.8077907127297&lt;/D&gt;&lt;D xsi:type="xsd:double"&gt;19.8160843430855&lt;/D&gt;&lt;D xsi:type="xsd:double"&gt;20.051564504366&lt;/D&gt;&lt;D xsi:type="xsd:double"&gt;20.0163206320003&lt;/D&gt;&lt;D xsi:type="xsd:double"&gt;20.6432152502727&lt;/D&gt;&lt;D xsi:type="xsd:double"&gt;20.4087889258835&lt;/D&gt;&lt;D xsi:type="xsd:double"&gt;19.3296895246372&lt;/D&gt;&lt;D xsi:type="xsd:double"&gt;20.5152678576169&lt;/D&gt;&lt;D xsi:type="xsd:double"&gt;20.1302282453117&lt;/D&gt;&lt;D xsi:type="xsd:double"&gt;20.5529675364946&lt;/D&gt;&lt;D xsi:type="xsd:double"&gt;21.274091164884&lt;/D&gt;&lt;D xsi:type="xsd:double"&gt;21.2359422087086&lt;/D&gt;&lt;D xsi:type="xsd:double"&gt;21.1320075902186&lt;/D&gt;&lt;D xsi:type="xsd:double"&gt;21.6268366370135&lt;/D&gt;&lt;D xsi:type="xsd:double"&gt;20.3722606214412&lt;/D&gt;&lt;D xsi:type="xsd:double"&gt;20.3665727076022&lt;/D&gt;&lt;D xsi:type="xsd:double"&gt;20.0472778227183&lt;/D&gt;&lt;D xsi:type="xsd:double"&gt;20.3463813494912&lt;/D&gt;&lt;D xsi:type="xsd:double"&gt;21.3218620499043&lt;/D&gt;&lt;D xsi:type="xsd:double"&gt;21.5138716298856&lt;/D&gt;&lt;D xsi:type="xsd:double"&gt;22.1372194626763&lt;/D&gt;&lt;D xsi:type="xsd:double"&gt;22.9500243614572&lt;/D&gt;&lt;D xsi:type="xsd:double"&gt;23.0376650358806&lt;/D&gt;&lt;D xsi:type="xsd:double"&gt;24.3683662054496&lt;/D&gt;&lt;D xsi:type="xsd:double"&gt;24.588675389168&lt;/D&gt;&lt;D xsi:type="xsd:double"&gt;25.9268190306857&lt;/D&gt;&lt;D xsi:type="xsd:double"&gt;25.265198976926&lt;/D&gt;&lt;D xsi:type="xsd:double"&gt;24.5032527782114&lt;/D&gt;&lt;D xsi:type="xsd:double"&gt;25.5440818691918&lt;/D&gt;&lt;D xsi:type="xsd:double"&gt;25.7241543026478&lt;/D&gt;&lt;D xsi:type="xsd:double"&gt;27.0875197006164&lt;/D&gt;&lt;D xsi:type="xsd:double"&gt;22.45583983255&lt;/D&gt;&lt;D xsi:type="xsd:double"&gt;26.3703792008833&lt;/D&gt;&lt;D xsi:type="xsd:double"&gt;30.7178647637311&lt;/D&gt;&lt;D xsi:type="xsd:double"&gt;29.9774854899252&lt;/D&gt;&lt;D xsi:type="xsd:double"&gt;31.6658526456423&lt;/D&gt;&lt;D xsi:type="xsd:double"&gt;31.8293093236518&lt;/D&gt;&lt;D xsi:type="xsd:double"&gt;32.1004820471733&lt;/D&gt;&lt;D xsi:type="xsd:double"&gt;33.4644695407041&lt;/D&gt;&lt;D xsi:type="xsd:double"&gt;33.1558479683695&lt;/D&gt;&lt;D xsi:type="xsd:double"&gt;33.229776290467&lt;/D&gt;&lt;D xsi:type="xsd:double"&gt;33.9360605704155&lt;/D&gt;&lt;D xsi:type="xsd:double"&gt;31.9788038876862&lt;/D&gt;&lt;D xsi:type="xsd:double"&gt;32.2025418379061&lt;/D&gt;&lt;D xsi:type="xsd:double"&gt;32.3496953909803&lt;/D&gt;&lt;D xsi:type="xsd:double"&gt;32.4324631748088&lt;/D&gt;&lt;D xsi:type="xsd:double"&gt;33.1492931193202&lt;/D&gt;&lt;D xsi:type="xsd:double"&gt;34.5380649869161&lt;/D&gt;&lt;D xsi:type="xsd:double"&gt;33.8784792315548&lt;/D&gt;&lt;D xsi:type="xsd:double"&gt;35.0243077874777&lt;/D&gt;&lt;D xsi:type="xsd:double"&gt;33.6755240592695&lt;/D&gt;&lt;D xsi:type="xsd:double"&gt;33.0293827518222&lt;/D&gt;&lt;D xsi:type="xsd:double"&gt;32.437050414225&lt;/D&gt;&lt;D xsi:type="xsd:double"&gt;31.633250582996&lt;/D&gt;&lt;D xsi:type="xsd:double"&gt;30.002821874121&lt;/D&gt;&lt;D xsi:type="xsd:double"&gt;28.6664040408046&lt;/D&gt;&lt;D xsi:type="xsd:double"&gt;28.2139813995506&lt;/D&gt;&lt;D xsi:type="xsd:double"&gt;27.4362369243776&lt;/D&gt;&lt;D xsi:type="xsd:double"&gt;25.4411484369171&lt;/D&gt;&lt;D xsi:type="xsd:double"&gt;26.0397821423538&lt;/D&gt;&lt;D xsi:type="xsd:double"&gt;26.4242316214815&lt;/D&gt;&lt;D xsi:type="xsd:double"&gt;26.8629320331861&lt;/D&gt;&lt;D xsi:type="xsd:double"&gt;23.3108248595315&lt;/D&gt;&lt;D xsi:type="xsd:double"&gt;23.5166884132962&lt;/D&gt;&lt;D xsi:type="xsd:double"&gt;23.2407105411859&lt;/D&gt;&lt;D xsi:type="xsd:double"&gt;23.5995512556761&lt;/D&gt;&lt;D xsi:type="xsd:double"&gt;24.1463870692123&lt;/D&gt;&lt;D xsi:type="xsd:double"&gt;22.902851971246&lt;/D&gt;&lt;D xsi:type="xsd:double"&gt;23.4311302725013&lt;/D&gt;&lt;D xsi:type="xsd:double"&gt;23.5461593745766&lt;/D&gt;&lt;D xsi:type="xsd:double"&gt;20.5825927476694&lt;/D&gt;&lt;D xsi:type="xsd:double"&gt;21.1101073852181&lt;/D&gt;&lt;D xsi:type="xsd:double"&gt;20.5081165159715&lt;/D&gt;&lt;D xsi:type="xsd:double"&gt;20.2451470203979&lt;/D&gt;&lt;D xsi:type="xsd:double"&gt;19.8057004111295&lt;/D&gt;&lt;D xsi:type="xsd:double"&gt;20.0815369347298&lt;/D&gt;&lt;D xsi:type="xsd:double"&gt;22.5552647790465&lt;/D&gt;&lt;D xsi:type="xsd:double"&gt;22.9520355266951&lt;/D&gt;&lt;D xsi:type="xsd:double"&gt;21.7963772052784&lt;/D&gt;&lt;D xsi:type="xsd:double"&gt;24.6712738120217&lt;/D&gt;&lt;D xsi:type="xsd:double"&gt;24.9411610829869&lt;/D&gt;&lt;D xsi:type="xsd:double"&gt;25.3210784060963&lt;/D&gt;&lt;D xsi:type="xsd:double"&gt;24.0579982596121&lt;/D&gt;&lt;/FQL&gt;&lt;FQL&gt;&lt;Q&gt;PASP-FDS^MAX(FG_PRICE(0,-5AY))&lt;/Q&gt;&lt;R&gt;1&lt;/R&gt;&lt;C&gt;1&lt;/C&gt;&lt;D xsi:type="xsd:double"&gt;3158.12&lt;/D&gt;&lt;/FQL&gt;&lt;FQL&gt;&lt;Q&gt;PLATI-FDS^MAX(FG_PRICE(0,-5AY))&lt;/Q&gt;&lt;R&gt;1&lt;/R&gt;&lt;C&gt;1&lt;/C&gt;&lt;D xsi:type="xsd:double"&gt;1272.59&lt;/D&gt;&lt;/FQL&gt;&lt;FQL&gt;&lt;Q&gt;W-FDS^MAX(FG_PRICE(0,-5AY))&lt;/Q&gt;&lt;R&gt;1&lt;/R&gt;&lt;C&gt;1&lt;/C&gt;&lt;D xsi:type="xsd:double"&gt;14.2525&lt;/D&gt;&lt;/FQL&gt;&lt;FQL&gt;&lt;Q&gt;COPP-FDS^MAX(FG_PRICE(0,-5AY))&lt;/Q&gt;&lt;R&gt;1&lt;/R&gt;&lt;C&gt;1&lt;/C&gt;&lt;D xsi:type="xsd:double"&gt;5.119&lt;/D&gt;&lt;/FQL&gt;&lt;FQL&gt;&lt;Q&gt;TRYZA10Y-FDS^JULIAN(FG_YIELD(-10AY,0,CY,,"YTM").DATES)&lt;/Q&gt;&lt;R&gt;10&lt;/R&gt;&lt;C&gt;1&lt;/C&gt;&lt;D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xsi:type="xsd:long"&gt;45289&lt;/D&gt;&lt;/FQL&gt;&lt;FQL&gt;&lt;Q&gt;CAGDPY@CH^EE_ACTUAL_ANNUAL(MED,0)&lt;/Q&gt;&lt;R&gt;1&lt;/R&gt;&lt;C&gt;1&lt;/C&gt;&lt;D xsi:type="xsd:double"&gt;7.64221110543266&lt;/D&gt;&lt;/FQL&gt;&lt;FQL&gt;&lt;Q&gt;CC_DE^FG_COMPANY_NAME&lt;/Q&gt;&lt;R&gt;1&lt;/R&gt;&lt;C&gt;1&lt;/C&gt;&lt;D xsi:type="xsd:string"&gt;Germany&lt;/D&gt;&lt;/FQL&gt;&lt;FQL&gt;&lt;Q&gt;USDSEK^FG_PRICE_CHANGE(0,-1AM)&lt;/Q&gt;&lt;R&gt;1&lt;/R&gt;&lt;C&gt;1&lt;/C&gt;&lt;D xsi:type="xsd:double"&gt;-3.3572316&lt;/D&gt;&lt;/FQL&gt;&lt;FQL&gt;&lt;Q&gt;USDCHF^FG_PRICE_CHANGE(0,-1AM)&lt;/Q&gt;&lt;R&gt;1&lt;/R&gt;&lt;C&gt;1&lt;/C&gt;&lt;D xsi:type="xsd:double"&gt;-1.3186216&lt;/D&gt;&lt;/FQL&gt;&lt;FQL&gt;&lt;Q&gt;USDEUR^FG_PRICE_CHANGE(0,-1AM)&lt;/Q&gt;&lt;R&gt;1&lt;/R&gt;&lt;C&gt;1&lt;/C&gt;&lt;D xsi:type="xsd:double"&gt;0.29706955&lt;/D&gt;&lt;/FQL&gt;&lt;FQL&gt;&lt;Q&gt;USDAUD^FG_PRICE_CHANGE(0,-1AM)&lt;/Q&gt;&lt;R&gt;1&lt;/R&gt;&lt;C&gt;1&lt;/C&gt;&lt;D xsi:type="xsd:double"&gt;-0.29367208&lt;/D&gt;&lt;/FQL&gt;&lt;FQL&gt;&lt;Q&gt;SPY^FMA_EPS(NTMA,-20AY,0,CY,,"PORTAGG","MEANR")&lt;/Q&gt;&lt;R&gt;20&lt;/R&gt;&lt;C&gt;1&lt;/C&gt;&lt;D xsi:type="xsd:double"&gt;7.60742439139767&lt;/D&gt;&lt;D xsi:type="xsd:double"&gt;8.83942892152885&lt;/D&gt;&lt;D xsi:type="xsd:double"&gt;9.84578104860351&lt;/D&gt;&lt;D xsi:type="xsd:double"&gt;10.5833561911057&lt;/D&gt;&lt;D xsi:type="xsd:double"&gt;8.05373941846298&lt;/D&gt;&lt;D xsi:type="xsd:double"&gt;8.02297532880562&lt;/D&gt;&lt;D xsi:type="xsd:double"&gt;9.85143912569227&lt;/D&gt;&lt;D xsi:type="xsd:double"&gt;10.9336154938693&lt;/D&gt;&lt;D xsi:type="xsd:double"&gt;11.5093609233453&lt;/D&gt;&lt;D xsi:type="xsd:double"&gt;12.2962726199201&lt;/D&gt;&lt;D xsi:type="xsd:double"&gt;12.8692035676989&lt;/D&gt;&lt;D xsi:type="xsd:double"&gt;12.7487032117915&lt;/D&gt;&lt;D xsi:type="xsd:double"&gt;13.3024280719142&lt;/D&gt;&lt;D xsi:type="xsd:double"&gt;14.7240376920018&lt;/D&gt;&lt;D xsi:type="xsd:double"&gt;17.3558464695548&lt;/D&gt;&lt;D xsi:type="xsd:double"&gt;17.7294354307027&lt;/D&gt;&lt;D xsi:type="xsd:double"&gt;16.6617703337835&lt;/D&gt;&lt;D xsi:type="xsd:double"&gt;22.2767073880581&lt;/D&gt;&lt;D xsi:type="xsd:double"&gt;22.9687104706434&lt;/D&gt;&lt;D xsi:type="xsd:double"&gt;24.3449868014255&lt;/D&gt;&lt;/FQL&gt;&lt;FQL&gt;&lt;Q&gt;EWU^P_PRICE_RETURNS_PR('52W',2,-10AY,0,AM)&lt;/Q&gt;&lt;R&gt;121&lt;/R&gt;&lt;C&gt;1&lt;/C&gt;&lt;D xsi:type="xsd:double"&gt;18.762089&lt;/D&gt;&lt;D xsi:type="xsd:double"&gt;18.136002&lt;/D&gt;&lt;D xsi:type="xsd:double"&gt;11.473131&lt;/D&gt;&lt;D xsi:type="xsd:double"&gt;8.541322&lt;/D&gt;&lt;D xsi:type="xsd:double"&gt;-0.3014326&lt;/D&gt;&lt;D xsi:type="xsd:double"&gt;0.14212132&lt;/D&gt;&lt;D xsi:type="xsd:double"&gt;-4.859805&lt;/D&gt;&lt;D xsi:type="xsd:double"&gt;-8.347118&lt;/D&gt;&lt;D xsi:type="xsd:double"&gt;-2.3568392&lt;/D&gt;&lt;D xsi:type="xsd:double"&gt;-5.3394136&lt;/D&gt;&lt;D xsi:type="xsd:double"&gt;-2.8464615&lt;/D&gt;&lt;D xsi:type="xsd:double"&gt;-3.3566654&lt;/D&gt;&lt;D xsi:type="xsd:double"&gt;-5.941921&lt;/D&gt;&lt;D xsi:type="xsd:double"&gt;-7.097453&lt;/D&gt;&lt;D xsi:type="xsd:double"&gt;-5.607051&lt;/D&gt;&lt;D xsi:type="xsd:double"&gt;-12.090075&lt;/D&gt;&lt;D xsi:type="xsd:double"&gt;-2.7809083&lt;/D&gt;&lt;D xsi:type="xsd:double"&gt;-9.078396&lt;/D&gt;&lt;D xsi:type="xsd:double"&gt;-8.3966255&lt;/D&gt;&lt;D xsi:type="xsd:double"&gt;-12.399465&lt;/D&gt;&lt;D xsi:type="xsd:double"&gt;-19.211079&lt;/D&gt;&lt;D xsi:type="xsd:double"&gt;-9.371752&lt;/D&gt;&lt;D xsi:type="xsd:double"&gt;-10.181886&lt;/D&gt;&lt;D xsi:type="xsd:double"&gt;-17.589891&lt;/D&gt;&lt;D xsi:type="xsd:double"&gt;-16.231388&lt;/D&gt;&lt;D xsi:type="xsd:double"&gt;-12.914669&lt;/D&gt;&lt;D xsi:type="xsd:double"&gt;-10.489904&lt;/D&gt;&lt;D xsi:type="xsd:double"&gt;-4.118723&lt;/D&gt;&lt;D xsi:type="xsd:double"&gt;-7.942897&lt;/D&gt;&lt;D xsi:type="xsd:double"&gt;-8.015739&lt;/D&gt;&lt;D xsi:type="xsd:double"&gt;1.219368&lt;/D&gt;&lt;D xsi:type="xsd:double"&gt;9.809899&lt;/D&gt;&lt;D xsi:type="xsd:double"&gt;13.537205&lt;/D&gt;&lt;D xsi:type="xsd:double"&gt;5.9060097&lt;/D&gt;&lt;D xsi:type="xsd:double"&gt;4.8568487&lt;/D&gt;&lt;D xsi:type="xsd:double"&gt;12.077737&lt;/D&gt;&lt;D xsi:type="xsd:double"&gt;15.231252&lt;/D&gt;&lt;D xsi:type="xsd:double"&gt;12.789429&lt;/D&gt;&lt;D xsi:type="xsd:double"&gt;9.899402&lt;/D&gt;&lt;D xsi:type="xsd:double"&gt;14.524687&lt;/D&gt;&lt;D xsi:type="xsd:double"&gt;20.935322&lt;/D&gt;&lt;D xsi:type="xsd:double"&gt;18.39838&lt;/D&gt;&lt;D xsi:type="xsd:double"&gt;17.31906&lt;/D&gt;&lt;D xsi:type="xsd:double"&gt;23.670244&lt;/D&gt;&lt;D xsi:type="xsd:double"&gt;13.06237&lt;/D&gt;&lt;D xsi:type="xsd:double"&gt;13.097704&lt;/D&gt;&lt;D xsi:type="xsd:double"&gt;16.578245&lt;/D&gt;&lt;D xsi:type="xsd:double"&gt;12.961149&lt;/D&gt;&lt;D xsi:type="xsd:double"&gt;10.566055&lt;/D&gt;&lt;D xsi:type="xsd:double"&gt;8.814669&lt;/D&gt;&lt;D xsi:type="xsd:double"&gt;5.560076&lt;/D&gt;&lt;D xsi:type="xsd:double"&gt;1.0342956&lt;/D&gt;&lt;D xsi:type="xsd:double"&gt;-4.330367&lt;/D&gt;&lt;D xsi:type="xsd:double"&gt;-2.938497&lt;/D&gt;&lt;D xsi:type="xsd:double"&gt;-10.185492&lt;/D&gt;&lt;D xsi:type="xsd:double"&gt;-12.547672&lt;/D&gt;&lt;D xsi:type="xsd:double"&gt;-4.209316&lt;/D&gt;&lt;D xsi:type="xsd:double"&gt;-0.7150769&lt;/D&gt;&lt;D xsi:type="xsd:double"&gt;-2.0499349&lt;/D&gt;&lt;D xsi:type="xsd:double"&gt;-7.9305053&lt;/D&gt;&lt;D xsi:type="xsd:double"&gt;-5.6635857&lt;/D&gt;&lt;D xsi:type="xsd:double"&gt;-3.4241378&lt;/D&gt;&lt;D xsi:type="xsd:double"&gt;-6.8300486&lt;/D&gt;&lt;D xsi:type="xsd:double"&gt;-0.38787723&lt;/D&gt;&lt;D xsi:type="xsd:double"&gt;2.826035&lt;/D&gt;&lt;D xsi:type="xsd:double"&gt;6.872511&lt;/D&gt;&lt;D xsi:type="xsd:double"&gt;17.025805&lt;/D&gt;&lt;D xsi:type="xsd:double"&gt;15.11569&lt;/D&gt;&lt;D xsi:type="xsd:double"&gt;8.529913&lt;/D&gt;&lt;D xsi:type="xsd:double"&gt;-23.944933&lt;/D&gt;&lt;D xsi:type="xsd:double"&gt;-24.019306&lt;/D&gt;&lt;D xsi:type="xsd:double"&gt;-21.019005&lt;/D&gt;&lt;D xsi:type="xsd:double"&gt;-16.306288&lt;/D&gt;&lt;D xsi:type="xsd:double"&gt;-17.55119&lt;/D&gt;&lt;D xsi:type="xsd:double"&gt;-6.8989096&lt;/D&gt;&lt;D xsi:type="xsd:double"&gt;-14.285147&lt;/D&gt;&lt;D xsi:type="xsd:double"&gt;-15.152049&lt;/D&gt;&lt;D xsi:type="xsd:double"&gt;-10.354721&lt;/D&gt;&lt;D xsi:type="xsd:double"&gt;-8.041233&lt;/D&gt;&lt;D xsi:type="xsd:double"&gt;-6.456208&lt;/D&gt;&lt;D xsi:type="xsd:double"&gt;-5.746472&lt;/D&gt;&lt;D xsi:type="xsd:double"&gt;42.03029&lt;/D&gt;&lt;D xsi:type="xsd:double"&gt;33.054615&lt;/D&gt;&lt;D xsi:type="xsd:double"&gt;39.826157&lt;/D&gt;&lt;D xsi:type="xsd:double"&gt;37.132133&lt;/D&gt;&lt;D xsi:type="xsd:double"&gt;32.093502&lt;/D&gt;&lt;D xsi:type="xsd:double"&gt;27.838696&lt;/D&gt;&lt;D xsi:type="xsd:double"&gt;30.67584&lt;/D&gt;&lt;D xsi:type="xsd:double"&gt;31.506908&lt;/D&gt;&lt;D xsi:type="xsd:double"&gt;23.624956&lt;/D&gt;&lt;D xsi:type="xsd:double"&gt;14.466488&lt;/D&gt;&lt;D xsi:type="xsd:double"&gt;17.312157&lt;/D&gt;&lt;D xsi:type="xsd:double"&gt;19.584667&lt;/D&gt;&lt;D xsi:type="xsd:double"&gt;3.9938807&lt;/D&gt;&lt;D xsi:type="xsd:double"&gt;11.211384&lt;/D&gt;&lt;D xsi:type="xsd:double"&gt;-1.2131512&lt;/D&gt;&lt;D xsi:type="xsd:double"&gt;-7.1146965&lt;/D&gt;&lt;D xsi:type="xsd:double"&gt;-7.890737&lt;/D&gt;&lt;D xsi:type="xsd:double"&gt;-2.4426281&lt;/D&gt;&lt;D xsi:type="xsd:double"&gt;-8.511818&lt;/D&gt;&lt;D xsi:type="xsd:double"&gt;-15.419364&lt;/D&gt;&lt;D xsi:type="xsd:double"&gt;-6.810397&lt;/D&gt;&lt;D xsi:type="xsd:double"&gt;2.1574855&lt;/D&gt;&lt;D xsi:type="xsd:double"&gt;-2.2443175&lt;/D&gt;&lt;D xsi:type="xsd:double"&gt;-1.5293181&lt;/D&gt;&lt;D xsi:type="xsd:double"&gt;2.9331565&lt;/D&gt;&lt;D xsi:type="xsd:double"&gt;2.4498343&lt;/D&gt;&lt;D xsi:type="xsd:double"&gt;12.35634&lt;/D&gt;&lt;D xsi:type="xsd:double"&gt;11.690056&lt;/D&gt;&lt;D xsi:type="xsd:double"&gt;17.081142&lt;/D&gt;&lt;D xsi:type="xsd:double"&gt;8.125603&lt;/D&gt;&lt;D xsi:type="xsd:double"&gt;14.721417&lt;/D&gt;&lt;D xsi:type="xsd:double"&gt;21.996582&lt;/D&gt;&lt;D xsi:type="xsd:double"&gt;8.317411&lt;/D&gt;&lt;D xsi:type="xsd:double"&gt;6.9359064&lt;/D&gt;&lt;D xsi:type="xsd:double"&gt;5.545926&lt;/D&gt;&lt;D xsi:type="xsd:double"&gt;0.63626766&lt;/D&gt;&lt;D xsi:type="xsd:double"&gt;12.234974&lt;/D&gt;&lt;D xsi:type="xsd:double"&gt;5.162668&lt;/D&gt;&lt;D xsi:type="xsd:double"&gt;13.55052&lt;/D&gt;&lt;D xsi:type="xsd:double"&gt;13.210106&lt;/D&gt;&lt;/FQL&gt;&lt;FQL&gt;&lt;Q&gt;EWJ^FG_TOTAL_RETURNC(-10AY,0,AM)&lt;/Q&gt;&lt;R&gt;121&lt;/R&gt;&lt;C&gt;1&lt;/C&gt;&lt;D xsi:type="xsd:double"&gt;4.6902657&lt;/D&gt;&lt;D xsi:type="xsd:double"&gt;1.6206145&lt;/D&gt;&lt;D xsi:type="xsd:double"&gt;-0.083744526&lt;/D&gt;&lt;D xsi:type="xsd:double"&gt;-1.1735141&lt;/D&gt;&lt;D xsi:type="xsd:double"&gt;-7.3791323&lt;/D&gt;&lt;D xsi:type="xsd:double"&gt;7.78389&lt;/D&gt;&lt;D xsi:type="xsd:double"&gt;-3.4834385&lt;/D&gt;&lt;D xsi:type="xsd:double"&gt;-1.0053515&lt;/D&gt;&lt;D xsi:type="xsd:double"&gt;6.7084074&lt;/D&gt;&lt;D xsi:type="xsd:double"&gt;4.6102166&lt;/D&gt;&lt;D xsi:type="xsd:double"&gt;2.964747&lt;/D&gt;&lt;D xsi:type="xsd:double"&gt;1.2451291&lt;/D&gt;&lt;D xsi:type="xsd:double"&gt;-0.38431883&lt;/D&gt;&lt;D xsi:type="xsd:double"&gt;-0.50362945&lt;/D&gt;&lt;D xsi:type="xsd:double"&gt;0.70148706&lt;/D&gt;&lt;D xsi:type="xsd:double"&gt;-9.13313&lt;/D&gt;&lt;D xsi:type="xsd:double"&gt;2.1294713&lt;/D&gt;&lt;D xsi:type="xsd:double"&gt;3.0025125&lt;/D&gt;&lt;D xsi:type="xsd:double"&gt;-2.7530372&lt;/D&gt;&lt;D xsi:type="xsd:double"&gt;-4.723561&lt;/D&gt;&lt;D xsi:type="xsd:double"&gt;-8.362675&lt;/D&gt;&lt;D xsi:type="xsd:double"&gt;10.758888&lt;/D&gt;&lt;D xsi:type="xsd:double"&gt;2.6886463&lt;/D&gt;&lt;D xsi:type="xsd:double"&gt;-2.6182473&lt;/D&gt;&lt;D xsi:type="xsd:double"&gt;-0.78057647&lt;/D&gt;&lt;D xsi:type="xsd:double"&gt;4.846394&lt;/D&gt;&lt;D xsi:type="xsd:double"&gt;3.6134481&lt;/D&gt;&lt;D xsi:type="xsd:double"&gt;-0.97323656&lt;/D&gt;&lt;D xsi:type="xsd:double"&gt;1.0647058&lt;/D&gt;&lt;D xsi:type="xsd:double"&gt;0.28363466&lt;/D&gt;&lt;D xsi:type="xsd:double"&gt;3.7373662&lt;/D&gt;&lt;D xsi:type="xsd:double"&gt;0.26654005&lt;/D&gt;&lt;D xsi:type="xsd:double"&gt;1.3558745&lt;/D&gt;&lt;D xsi:type="xsd:double"&gt;0.03876686&lt;/D&gt;&lt;D xsi:type="xsd:double"&gt;-1.918602&lt;/D&gt;&lt;D xsi:type="xsd:double"&gt;3.4775734&lt;/D&gt;&lt;D xsi:type="xsd:double"&gt;4.1817904&lt;/D&gt;&lt;D xsi:type="xsd:double"&gt;-1.3111293&lt;/D&gt;&lt;D xsi:type="xsd:double"&gt;1.0654211&lt;/D&gt;&lt;D xsi:type="xsd:double"&gt;1.9974113&lt;/D&gt;&lt;D xsi:type="xsd:double"&gt;4.0435195&lt;/D&gt;&lt;D xsi:type="xsd:double"&gt;2.509582&lt;/D&gt;&lt;D xsi:type="xsd:double"&gt;2.261138&lt;/D&gt;&lt;D xsi:type="xsd:double"&gt;6.2098145&lt;/D&gt;&lt;D xsi:type="xsd:double"&gt;-6.2716665&lt;/D&gt;&lt;D xsi:type="xsd:double"&gt;1.8493652&lt;/D&gt;&lt;D xsi:type="xsd:double"&gt;-0.5777538&lt;/D&gt;&lt;D xsi:type="xsd:double"&gt;1.7433167&lt;/D&gt;&lt;D xsi:type="xsd:double"&gt;-0.9464741&lt;/D&gt;&lt;D xsi:type="xsd:double"&gt;-4.4303417&lt;/D&gt;&lt;D xsi:type="xsd:double"&gt;-0.69493055&lt;/D&gt;&lt;D xsi:type="xsd:double"&gt;0.54234266&lt;/D&gt;&lt;D xsi:type="xsd:double"&gt;-1.2876332&lt;/D&gt;&lt;D xsi:type="xsd:double"&gt;-4.5478525&lt;/D&gt;&lt;D xsi:type="xsd:double"&gt;-1.0711014&lt;/D&gt;&lt;D xsi:type="xsd:double"&gt;-0.59769154&lt;/D&gt;&lt;D xsi:type="xsd:double"&gt;1.8925071&lt;/D&gt;&lt;D xsi:type="xsd:double"&gt;0.7986665&lt;/D&gt;&lt;D xsi:type="xsd:double"&gt;1.4556885&lt;/D&gt;&lt;D xsi:type="xsd:double"&gt;-4.0138063&lt;/D&gt;&lt;D xsi:type="xsd:double"&gt;2.4408698&lt;/D&gt;&lt;D xsi:type="xsd:double"&gt;2.678585&lt;/D&gt;&lt;D xsi:type="xsd:double"&gt;-2.5957525&lt;/D&gt;&lt;D xsi:type="xsd:double"&gt;5.982113&lt;/D&gt;&lt;D xsi:type="xsd:double"&gt;0.4923582&lt;/D&gt;&lt;D xsi:type="xsd:double"&gt;4.461944&lt;/D&gt;&lt;D xsi:type="xsd:double"&gt;1.7252922&lt;/D&gt;&lt;D xsi:type="xsd:double"&gt;-0.26200414&lt;/D&gt;&lt;D xsi:type="xsd:double"&gt;-1.6204476&lt;/D&gt;&lt;D xsi:type="xsd:double"&gt;-21.429783&lt;/D&gt;&lt;D xsi:type="xsd:double"&gt;8.428788&lt;/D&gt;&lt;D xsi:type="xsd:double"&gt;4.444897&lt;/D&gt;&lt;D xsi:type="xsd:double"&gt;7.137406&lt;/D&gt;&lt;D xsi:type="xsd:double"&gt;-0.3474176&lt;/D&gt;&lt;D xsi:type="xsd:double"&gt;4.252255&lt;/D&gt;&lt;D xsi:type="xsd:double"&gt;1.192534&lt;/D&gt;&lt;D xsi:type="xsd:double"&gt;1.5029907&lt;/D&gt;&lt;D xsi:type="xsd:double"&gt;6.646478&lt;/D&gt;&lt;D xsi:type="xsd:double"&gt;4.054904&lt;/D&gt;&lt;D xsi:type="xsd:double"&gt;5.3391457&lt;/D&gt;&lt;D xsi:type="xsd:double"&gt;3.3959627&lt;/D&gt;&lt;D xsi:type="xsd:double"&gt;-3.6477983&lt;/D&gt;&lt;D xsi:type="xsd:double"&gt;1.0733962&lt;/D&gt;&lt;D xsi:type="xsd:double"&gt;-5.32434&lt;/D&gt;&lt;D xsi:type="xsd:double"&gt;5.177474&lt;/D&gt;&lt;D xsi:type="xsd:double"&gt;-0.6823361&lt;/D&gt;&lt;D xsi:type="xsd:double"&gt;0.33620596&lt;/D&gt;&lt;D xsi:type="xsd:double"&gt;7.532048&lt;/D&gt;&lt;D xsi:type="xsd:double"&gt;-8.305102&lt;/D&gt;&lt;D xsi:type="xsd:double"&gt;3.5461068&lt;/D&gt;&lt;D xsi:type="xsd:double"&gt;-3.2846272&lt;/D&gt;&lt;D xsi:type="xsd:double"&gt;0.62789917&lt;/D&gt;&lt;D xsi:type="xsd:double"&gt;-4.9769697&lt;/D&gt;&lt;D xsi:type="xsd:double"&gt;-8.474046&lt;/D&gt;&lt;D xsi:type="xsd:double"&gt;0.034165382&lt;/D&gt;&lt;D xsi:type="xsd:double"&gt;-3.82514&lt;/D&gt;&lt;D xsi:type="xsd:double"&gt;-4.508078&lt;/D&gt;&lt;D xsi:type="xsd:double"&gt;-0.9951174&lt;/D&gt;&lt;D xsi:type="xsd:double"&gt;8.15475&lt;/D&gt;&lt;D xsi:type="xsd:double"&gt;-9.977203&lt;/D&gt;&lt;D xsi:type="xsd:double"&gt;-4.2267265&lt;/D&gt;&lt;D xsi:type="xsd:double"&gt;11.734796&lt;/D&gt;&lt;D xsi:type="xsd:double"&gt;2.009976&lt;/D&gt;&lt;D xsi:type="xsd:double"&gt;1.5200377&lt;/D&gt;&lt;D xsi:type="xsd:double"&gt;2.3251653&lt;/D&gt;&lt;D xsi:type="xsd:double"&gt;-3.184712&lt;/D&gt;&lt;D xsi:type="xsd:double"&gt;4.694164&lt;/D&gt;&lt;D xsi:type="xsd:double"&gt;2.24185&lt;/D&gt;&lt;D xsi:type="xsd:double"&gt;6.2431097&lt;/D&gt;&lt;D xsi:type="xsd:double"&gt;-0.51959753&lt;/D&gt;&lt;D xsi:type="xsd:double"&gt;-2.8648317&lt;/D&gt;&lt;D xsi:type="xsd:double"&gt;1.4828086&lt;/D&gt;&lt;D xsi:type="xsd:double"&gt;-4.3352547&lt;/D&gt;&lt;D xsi:type="xsd:double"&gt;1.4434338&lt;/D&gt;&lt;D xsi:type="xsd:double"&gt;5.906689&lt;/D&gt;&lt;D xsi:type="xsd:double"&gt;5.2434325&lt;/D&gt;&lt;D xsi:type="xsd:double"&gt;0.46665668&lt;/D&gt;&lt;D xsi:type="xsd:double"&gt;3.9406776&lt;/D&gt;&lt;D xsi:type="xsd:double"&gt;-0.44688582&lt;/D&gt;&lt;D xsi:type="xsd:double"&gt;-1.9982576&lt;/D&gt;&lt;D xsi:type="xsd:double"&gt;-0.04159212&lt;/D&gt;&lt;/FQL&gt;&lt;FQL&gt;&lt;Q&gt;EWC^FMA_DIV_YLD(NTMA,-10AY,0,AM,"PORTAGG","MEANR")&lt;/Q&gt;&lt;R&gt;121&lt;/R&gt;&lt;C&gt;1&lt;/C&gt;&lt;D xsi:type="xsd:double"&gt;2.82850573881603&lt;/D&gt;&lt;D xsi:type="xsd:double"&gt;2.80717271384625&lt;/D&gt;&lt;D xsi:type="xsd:double"&gt;2.80747521133306&lt;/D&gt;&lt;D xsi:type="xsd:double"&gt;2.75966064471016&lt;/D&gt;&lt;D xsi:type="xsd:double"&gt;3.04258145413309&lt;/D&gt;&lt;D xsi:type="xsd:double"&gt;2.93772301806042&lt;/D&gt;&lt;D xsi:type="xsd:double"&gt;3.12805441277927&lt;/D&gt;&lt;D xsi:type="xsd:double"&gt;3.04638765993461&lt;/D&gt;&lt;D xsi:type="xsd:double"&gt;2.83919569314153&lt;/D&gt;&lt;D xsi:type="xsd:double"&gt;2.94728738109468&lt;/D&gt;&lt;D xsi:type="xsd:double"&gt;2.82492149008133&lt;/D&gt;&lt;D xsi:type="xsd:double"&gt;2.89972059036429&lt;/D&gt;&lt;D xsi:type="xsd:double"&gt;2.95679757740146&lt;/D&gt;&lt;D xsi:type="xsd:double"&gt;3.02469603532439&lt;/D&gt;&lt;D xsi:type="xsd:double"&gt;3.07953130629037&lt;/D&gt;&lt;D xsi:type="xsd:double"&gt;3.25702790268895&lt;/D&gt;&lt;D xsi:type="xsd:double"&gt;3.18310139178313&lt;/D&gt;&lt;D xsi:type="xsd:double"&gt;3.38484276603167&lt;/D&gt;&lt;D xsi:type="xsd:double"&gt;3.4645427904955&lt;/D&gt;&lt;D xsi:type="xsd:double"&gt;3.61299235346312&lt;/D&gt;&lt;D xsi:type="xsd:double"&gt;3.45973871518972&lt;/D&gt;&lt;D xsi:type="xsd:double"&gt;3.13247927740252&lt;/D&gt;&lt;D xsi:type="xsd:double"&gt;3.11000744100921&lt;/D&gt;&lt;D xsi:type="xsd:double"&gt;3.09416081386268&lt;/D&gt;&lt;D xsi:type="xsd:double"&gt;3.0737281647734&lt;/D&gt;&lt;D xsi:type="xsd:double"&gt;2.99703738916391&lt;/D&gt;&lt;D xsi:type="xsd:double"&gt;2.94639855111516&lt;/D&gt;&lt;D xsi:type="xsd:double"&gt;3.02728938780009&lt;/D&gt;&lt;D xsi:type="xsd:double"&gt;2.95162802479778&lt;/D&gt;&lt;D xsi:type="xsd:double"&gt;2.96792492493677&lt;/D&gt;&lt;D xsi:type="xsd:double"&gt;2.81957978459056&lt;/D&gt;&lt;D xsi:type="xsd:double"&gt;2.81112142195296&lt;/D&gt;&lt;D xsi:type="xsd:double"&gt;2.79314810519137&lt;/D&gt;&lt;D xsi:type="xsd:double"&gt;2.89843231164015&lt;/D&gt;&lt;D xsi:type="xsd:double"&gt;2.93663049030182&lt;/D&gt;&lt;D xsi:type="xsd:double"&gt;2.95319853189571&lt;/D&gt;&lt;D xsi:type="xsd:double"&gt;3.00028105061522&lt;/D&gt;&lt;D xsi:type="xsd:double"&gt;3.04776507217708&lt;/D&gt;&lt;D xsi:type="xsd:double"&gt;3.07048197542642&lt;/D&gt;&lt;D xsi:type="xsd:double"&gt;3.08727216363092&lt;/D&gt;&lt;D xsi:type="xsd:double"&gt;2.9507302059102&lt;/D&gt;&lt;D xsi:type="xsd:double"&gt;2.91640242533394&lt;/D&gt;&lt;D xsi:type="xsd:double"&gt;2.90754107044466&lt;/D&gt;&lt;D xsi:type="xsd:double"&gt;2.89618561555678&lt;/D&gt;&lt;D xsi:type="xsd:double"&gt;3.15759244791312&lt;/D&gt;&lt;D xsi:type="xsd:double"&gt;3.12131315350128&lt;/D&gt;&lt;D xsi:type="xsd:double"&gt;3.21874850736278&lt;/D&gt;&lt;D xsi:type="xsd:double"&gt;3.08208078040371&lt;/D&gt;&lt;D xsi:type="xsd:double"&gt;3.05968216481966&lt;/D&gt;&lt;D xsi:type="xsd:double"&gt;3.02921272572134&lt;/D&gt;&lt;D xsi:type="xsd:double"&gt;3.09774414838837&lt;/D&gt;&lt;D xsi:type="xsd:double"&gt;3.18038207666807&lt;/D&gt;&lt;D xsi:type="xsd:double"&gt;3.33450563755827&lt;/D&gt;&lt;D xsi:type="xsd:double"&gt;3.40181152660332&lt;/D&gt;&lt;D xsi:type="xsd:double"&gt;3.48762984553493&lt;/D&gt;&lt;D xsi:type="xsd:double"&gt;3.4558842174348&lt;/D&gt;&lt;D xsi:type="xsd:double"&gt;3.33032387924838&lt;/D&gt;&lt;D xsi:type="xsd:double"&gt;3.26239157826816&lt;/D&gt;&lt;D xsi:type="xsd:double"&gt;3.19934838128118&lt;/D&gt;&lt;D xsi:type="xsd:double"&gt;3.30500483597095&lt;/D&gt;&lt;D xsi:type="xsd:double"&gt;3.34564787486286&lt;/D&gt;&lt;D xsi:type="xsd:double"&gt;3.30692695815727&lt;/D&gt;&lt;D xsi:type="xsd:double"&gt;3.38825432948463&lt;/D&gt;&lt;D xsi:type="xsd:double"&gt;3.32146467356768&lt;/D&gt;&lt;D xsi:type="xsd:double"&gt;3.36744233887423&lt;/D&gt;&lt;D xsi:type="xsd:double"&gt;3.25359652258398&lt;/D&gt;&lt;D xsi:type="xsd:double"&gt;3.25862360279777&lt;/D&gt;&lt;D xsi:type="xsd:double"&gt;3.22780574075392&lt;/D&gt;&lt;D xsi:type="xsd:double"&gt;3.20419048340219&lt;/D&gt;&lt;D xsi:type="xsd:double"&gt;4.20415315458589&lt;/D&gt;&lt;D xsi:type="xsd:double"&gt;4.09247341441309&lt;/D&gt;&lt;D xsi:type="xsd:double"&gt;3.83708485038199&lt;/D&gt;&lt;D xsi:type="xsd:double"&gt;3.60569963088323&lt;/D&gt;&lt;D xsi:type="xsd:double"&gt;3.52506880862679&lt;/D&gt;&lt;D xsi:type="xsd:double"&gt;3.35122647725241&lt;/D&gt;&lt;D xsi:type="xsd:double"&gt;3.40981523896615&lt;/D&gt;&lt;D xsi:type="xsd:double"&gt;3.37557425564437&lt;/D&gt;&lt;D xsi:type="xsd:double"&gt;3.33243732239772&lt;/D&gt;&lt;D xsi:type="xsd:double"&gt;3.11411761245382&lt;/D&gt;&lt;D xsi:type="xsd:double"&gt;3.03247628364727&lt;/D&gt;&lt;D xsi:type="xsd:double"&gt;2.93004478567325&lt;/D&gt;&lt;D xsi:type="xsd:double"&gt;2.84287861092634&lt;/D&gt;&lt;D xsi:type="xsd:double"&gt;2.76406134215121&lt;/D&gt;&lt;D xsi:type="xsd:double"&gt;2.76451621783848&lt;/D&gt;&lt;D xsi:type="xsd:double"&gt;2.57534671046452&lt;/D&gt;&lt;D xsi:type="xsd:double"&gt;2.70244807396916&lt;/D&gt;&lt;D xsi:type="xsd:double"&gt;2.69165430836072&lt;/D&gt;&lt;D xsi:type="xsd:double"&gt;2.74416496310694&lt;/D&gt;&lt;D xsi:type="xsd:double"&gt;2.75919745752346&lt;/D&gt;&lt;D xsi:type="xsd:double"&gt;2.66321960706979&lt;/D&gt;&lt;D xsi:type="xsd:double"&gt;2.83914609760133&lt;/D&gt;&lt;D xsi:type="xsd:double"&gt;2.77585275568162&lt;/D&gt;&lt;D xsi:type="xsd:double"&gt;2.76645078205049&lt;/D&gt;&lt;D xsi:type="xsd:double"&gt;2.85013774417484&lt;/D&gt;&lt;D xsi:type="xsd:double"&gt;2.84944344496494&lt;/D&gt;&lt;D xsi:type="xsd:double"&gt;3.19589021391299&lt;/D&gt;&lt;D xsi:type="xsd:double"&gt;3.27271180638586&lt;/D&gt;&lt;D xsi:type="xsd:double"&gt;3.48688623570517&lt;/D&gt;&lt;D xsi:type="xsd:double"&gt;3.25785974228348&lt;/D&gt;&lt;D xsi:type="xsd:double"&gt;3.40692063709256&lt;/D&gt;&lt;D xsi:type="xsd:double"&gt;3.60183175426064&lt;/D&gt;&lt;D xsi:type="xsd:double"&gt;3.3239846603069&lt;/D&gt;&lt;D xsi:type="xsd:double"&gt;3.37602941645407&lt;/D&gt;&lt;D xsi:type="xsd:double"&gt;3.35626827084282&lt;/D&gt;&lt;D xsi:type="xsd:double"&gt;3.2486196327703998&lt;/D&gt;&lt;D xsi:type="xsd:double"&gt;3.45414209312345&lt;/D&gt;&lt;D xsi:type="xsd:double"&gt;3.25920384771525&lt;/D&gt;&lt;D xsi:type="xsd:double"&gt;3.26096236903705&lt;/D&gt;&lt;D xsi:type="xsd:double"&gt;3.30210117895707&lt;/D&gt;&lt;D xsi:type="xsd:double"&gt;3.21575979536719&lt;/D&gt;&lt;D xsi:type="xsd:double"&gt;3.42131480981552&lt;/D&gt;&lt;D xsi:type="xsd:double"&gt;3.49147255480297&lt;/D&gt;&lt;D xsi:type="xsd:double"&gt;3.65754749999529&lt;/D&gt;&lt;D xsi:type="xsd:double"&gt;3.58466468707155&lt;/D&gt;&lt;D xsi:type="xsd:double"&gt;3.41914433982615&lt;/D&gt;&lt;D xsi:type="xsd:double"&gt;3.26251978720182&lt;/D&gt;&lt;D xsi:type="xsd:double"&gt;3.29935361381673&lt;/D&gt;&lt;D xsi:type="xsd:double"&gt;3.04104104901935&lt;/D&gt;&lt;D xsi:type="xsd:double"&gt;3.0353178105642&lt;/D&gt;&lt;D xsi:type="xsd:double"&gt;2.96619483082807&lt;/D&gt;&lt;D xsi:type="xsd:double"&gt;3.33501683498195&lt;/D&gt;&lt;/FQL&gt;&lt;FQL&gt;&lt;Q&gt;DDR3512M-FDS^MAX(FG_PRICE(0,-5AY))&lt;/Q&gt;&lt;R&gt;1&lt;/R&gt;&lt;C&gt;1&lt;/C&gt;&lt;D xsi:type="xsd:double"&gt;3.3053632&lt;/D&gt;&lt;/FQL&gt;&lt;FQL&gt;&lt;Q&gt;FC0000JP^FG_PRICE(0)&lt;/Q&gt;&lt;R&gt;1&lt;/R&gt;&lt;C&gt;1&lt;/C&gt;&lt;D xsi:type="xsd:double"&gt;170.70012&lt;/D&gt;&lt;/FQL&gt;&lt;FQL&gt;&lt;Q&gt;FC0000NZ^FG_PRICE(0)&lt;/Q&gt;&lt;R&gt;1&lt;/R&gt;&lt;C&gt;1&lt;/C&gt;&lt;D xsi:type="xsd:double"&gt;395.41663&lt;/D&gt;&lt;/FQL&gt;&lt;FQL&gt;&lt;Q&gt;EWQ^FG_PRICE_MAVG(0,,,,200)&lt;/Q&gt;&lt;R&gt;1&lt;/R&gt;&lt;C&gt;1&lt;/C&gt;&lt;D xsi:type="xsd:double"&gt;38.661427&lt;/D&gt;&lt;/FQL&gt;&lt;FQL&gt;&lt;Q&gt;EWL^FG_COMPANY_NAME&lt;/Q&gt;&lt;R&gt;1&lt;/R&gt;&lt;C&gt;1&lt;/C&gt;&lt;D xsi:type="xsd:string"&gt;iShares MSCI Switzerland ETF&lt;/D&gt;&lt;/FQL&gt;&lt;FQL&gt;&lt;Q&gt;EWC^FMA_ROE(NTMA,-20AY,NOW,FY,"PORTAGG","MEANR")&lt;/Q&gt;&lt;R&gt;20&lt;/R&gt;&lt;C&gt;1&lt;/C&gt;&lt;D xsi:type="xsd:double"&gt;14.6738571923606&lt;/D&gt;&lt;D xsi:type="xsd:double"&gt;15.7709471724654&lt;/D&gt;&lt;D xsi:type="xsd:double"&gt;15.8547136543611&lt;/D&gt;&lt;D xsi:type="xsd:double"&gt;16.5705490516163&lt;/D&gt;&lt;D xsi:type="xsd:double"&gt;13.8099900139916&lt;/D&gt;&lt;D xsi:type="xsd:double"&gt;11.8327104416904&lt;/D&gt;&lt;D xsi:type="xsd:double"&gt;12.6984457284378&lt;/D&gt;&lt;D xsi:type="xsd:double"&gt;13.5092848924233&lt;/D&gt;&lt;D xsi:type="xsd:double"&gt;12.804929450575&lt;/D&gt;&lt;D xsi:type="xsd:double"&gt;12.2925364029644&lt;/D&gt;&lt;D xsi:type="xsd:double"&gt;11.8034021278505&lt;/D&gt;&lt;D xsi:type="xsd:double"&gt;10.9923508764539&lt;/D&gt;&lt;D xsi:type="xsd:double"&gt;11.4792366602027&lt;/D&gt;&lt;D xsi:type="xsd:double"&gt;11.3979128674428&lt;/D&gt;&lt;D xsi:type="xsd:double"&gt;12.4990081822477&lt;/D&gt;&lt;D xsi:type="xsd:double"&gt;11.9786783863837&lt;/D&gt;&lt;D xsi:type="xsd:double"&gt;11.1922086822881&lt;/D&gt;&lt;D xsi:type="xsd:double"&gt;14.1061782856045&lt;/D&gt;&lt;D xsi:type="xsd:double"&gt;14.0029403106189&lt;/D&gt;&lt;D xsi:type="xsd:double"&gt;13.147116166704&lt;/D&gt;&lt;/FQL&gt;&lt;FQL&gt;&lt;Q&gt;TIPSCL10Y-FDS^FG_YIELD(-10AY,0,Y,,"YTM")&lt;/Q&gt;&lt;R&gt;10&lt;/R&gt;&lt;C&gt;1&lt;/C&gt;&lt;D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xsi:type="xsd:string"&gt;@NA&lt;/D&gt;&lt;/FQL&gt;&lt;FQL&gt;&lt;Q&gt;CAGDPY@IT^EE_ACTUAL_ANNUAL(MED,+1)&lt;/Q&gt;&lt;R&gt;1&lt;/R&gt;&lt;C&gt;1&lt;/C&gt;&lt;D xsi:type="xsd:double"&gt;0.9&lt;/D&gt;&lt;/FQL&gt;&lt;FQL&gt;&lt;Q&gt;CAGDPY@JP^EE_ACTUAL_ANNUAL(MED,+1)&lt;/Q&gt;&lt;R&gt;1&lt;/R&gt;&lt;C&gt;1&lt;/C&gt;&lt;D xsi:type="xsd:double"&gt;3.65&lt;/D&gt;&lt;/FQL&gt;&lt;FQL&gt;&lt;Q&gt;CC_CA^FG_COMPANY_NAME&lt;/Q&gt;&lt;R&gt;1&lt;/R&gt;&lt;C&gt;1&lt;/C&gt;&lt;D xsi:type="xsd:string"&gt;Canada&lt;/D&gt;&lt;/FQL&gt;&lt;FQL&gt;&lt;Q&gt;USDSEK^FG_PRICE_CHANGE(0,-1AY)&lt;/Q&gt;&lt;R&gt;1&lt;/R&gt;&lt;C&gt;1&lt;/C&gt;&lt;D xsi:type="xsd:double"&gt;-2.287829&lt;/D&gt;&lt;/FQL&gt;&lt;FQL&gt;&lt;Q&gt;USDCHF^FG_PRICE_CHANGE(0,-1AY)&lt;/Q&gt;&lt;R&gt;1&lt;/R&gt;&lt;C&gt;1&lt;/C&gt;&lt;D xsi:type="xsd:double"&gt;-1.231432&lt;/D&gt;&lt;/FQL&gt;&lt;FQL&gt;&lt;Q&gt;USDEUR^FG_PRICE_CHANGE(0,-1AY)&lt;/Q&gt;&lt;R&gt;1&lt;/R&gt;&lt;C&gt;1&lt;/C&gt;&lt;D xsi:type="xsd:double"&gt;0.28779507&lt;/D&gt;&lt;/FQL&gt;&lt;FQL&gt;&lt;Q&gt;USDAUD^FG_PRICE_CHANGE(0,-1AY)&lt;/Q&gt;&lt;R&gt;1&lt;/R&gt;&lt;C&gt;1&lt;/C&gt;&lt;D xsi:type="xsd:double"&gt;2.2590399&lt;/D&gt;&lt;/FQL&gt;&lt;FQL&gt;&lt;Q&gt;QQQ^FMA_EPS(NTMA,-20AY,0,CY,,"PORTAGG","MEANR")&lt;/Q&gt;&lt;R&gt;20&lt;/R&gt;&lt;C&gt;1&lt;/C&gt;&lt;D xsi:type="xsd:double"&gt;1.41943121352323&lt;/D&gt;&lt;D xsi:type="xsd:double"&gt;1.68578719870209&lt;/D&gt;&lt;D xsi:type="xsd:double"&gt;1.94027371724036&lt;/D&gt;&lt;D xsi:type="xsd:double"&gt;2.37669563100619&lt;/D&gt;&lt;D xsi:type="xsd:double"&gt;2.17042637250219&lt;/D&gt;&lt;D xsi:type="xsd:double"&gt;2.60687130060486&lt;/D&gt;&lt;D xsi:type="xsd:double"&gt;3.60763505413585&lt;/D&gt;&lt;D xsi:type="xsd:double"&gt;4.63179037237028&lt;/D&gt;&lt;D xsi:type="xsd:double"&gt;4.97239360017991&lt;/D&gt;&lt;D xsi:type="xsd:double"&gt;5.01453468918522&lt;/D&gt;&lt;D xsi:type="xsd:double"&gt;5.91894771391699&lt;/D&gt;&lt;D xsi:type="xsd:double"&gt;6.0599</t>
        </r>
      </text>
    </comment>
    <comment ref="A10" authorId="0" shapeId="0" xr:uid="{66FA2A58-C465-4DBF-880A-35E88DF5640F}">
      <text>
        <r>
          <rPr>
            <b/>
            <sz val="9"/>
            <color indexed="81"/>
            <rFont val="Tahoma"/>
            <charset val="1"/>
          </rPr>
          <t>7516056538&lt;/D&gt;&lt;D xsi:type="xsd:double"&gt;6.56529580140728&lt;/D&gt;&lt;D xsi:type="xsd:double"&gt;7.49098519655955&lt;/D&gt;&lt;D xsi:type="xsd:double"&gt;8.94438586016391&lt;/D&gt;&lt;D xsi:type="xsd:double"&gt;9.35231845695688&lt;/D&gt;&lt;D xsi:type="xsd:double"&gt;10.4260783076313&lt;/D&gt;&lt;D xsi:type="xsd:double"&gt;13.6402697494705&lt;/D&gt;&lt;D xsi:type="xsd:double"&gt;12.7503134568906&lt;/D&gt;&lt;D xsi:type="xsd:double"&gt;16.3243001938228&lt;/D&gt;&lt;/FQL&gt;&lt;FQL&gt;&lt;Q&gt;EWL^P_PRICE_RETURNS_PR('52W',2,-10AY,0,AM)&lt;/Q&gt;&lt;R&gt;121&lt;/R&gt;&lt;C&gt;1&lt;/C&gt;&lt;D xsi:type="xsd:double"&gt;19.017529&lt;/D&gt;&lt;D xsi:type="xsd:double"&gt;15.799856&lt;/D&gt;&lt;D xsi:type="xsd:double"&gt;9.987235&lt;/D&gt;&lt;D xsi:type="xsd:double"&gt;11.946392&lt;/D&gt;&lt;D xsi:type="xsd:double"&gt;1.1086464&lt;/D&gt;&lt;D xsi:type="xsd:double"&gt;4.278326&lt;/D&gt;&lt;D xsi:type="xsd:double"&gt;4.6156883&lt;/D&gt;&lt;D xsi:type="xsd:double"&gt;-1.7378986&lt;/D&gt;&lt;D xsi:type="xsd:double"&gt;0.4916191&lt;/D&gt;&lt;D xsi:type="xsd:double"&gt;-0.8619368&lt;/D&gt;&lt;D xsi:type="xsd:double"&gt;2.9875517&lt;/D&gt;&lt;D xsi:type="xsd:double"&gt;3.7014961&lt;/D&gt;&lt;D xsi:type="xsd:double"&gt;1.6569734&lt;/D&gt;&lt;D xsi:type="xsd:double"&gt;2.887702&lt;/D&gt;&lt;D xsi:type="xsd:double"&gt;3.85108&lt;/D&gt;&lt;D xsi:type="xsd:double"&gt;-2.5500536&lt;/D&gt;&lt;D xsi:type="xsd:double"&gt;5.901718&lt;/D&gt;&lt;D xsi:type="xsd:double"&gt;-4.008931&lt;/D&gt;&lt;D xsi:type="xsd:double"&gt;-3.969562&lt;/D&gt;&lt;D xsi:type="xsd:double"&gt;-5.5374146&lt;/D&gt;&lt;D xsi:type="xsd:double"&gt;-12.0646&lt;/D&gt;&lt;D xsi:type="xsd:double"&gt;-4.804039&lt;/D&gt;&lt;D xsi:type="xsd:double"&gt;-9.014702&lt;/D&gt;&lt;D xsi:type="xsd:double"&gt;-13.516885&lt;/D&gt;&lt;D xsi:type="xsd:double"&gt;-12.758517&lt;/D&gt;&lt;D xsi:type="xsd:double"&gt;-10.351807&lt;/D&gt;&lt;D xsi:type="xsd:double"&gt;-5.3179083&lt;/D&gt;&lt;D xsi:type="xsd:double"&gt;-1.991111&lt;/D&gt;&lt;D xsi:type="xsd:double"&gt;-3.8900852&lt;/D&gt;&lt;D xsi:type="xsd:double"&gt;-4.046088&lt;/D&gt;&lt;D xsi:type="xsd:double"&gt;-0.97192526&lt;/D&gt;&lt;D xsi:type="xsd:double"&gt;7.3699594&lt;/D&gt;&lt;D xsi:type="xsd:double"&gt;12.243938&lt;/D&gt;&lt;D xsi:type="xsd:double"&gt;9.280229&lt;/D&gt;&lt;D xsi:type="xsd:double"&gt;8.065248&lt;/D&gt;&lt;D xsi:type="xsd:double"&gt;16.178417&lt;/D&gt;&lt;D xsi:type="xsd:double"&gt;19.38635&lt;/D&gt;&lt;D xsi:type="xsd:double"&gt;18.415047&lt;/D&gt;&lt;D xsi:type="xsd:double"&gt;13.0772&lt;/D&gt;&lt;D xsi:type="xsd:double"&gt;16.994644&lt;/D&gt;&lt;D xsi:type="xsd:double"&gt;22.138596&lt;/D&gt;&lt;D xsi:type="xsd:double"&gt;19.644081&lt;/D&gt;&lt;D xsi:type="xsd:double"&gt;21.753168&lt;/D&gt;&lt;D xsi:type="xsd:double"&gt;22.733711&lt;/D&gt;&lt;D xsi:type="xsd:double"&gt;15.909147&lt;/D&gt;&lt;D xsi:type="xsd:double"&gt;12.4550705&lt;/D&gt;&lt;D xsi:type="xsd:double"&gt;9.930981&lt;/D&gt;&lt;D xsi:type="xsd:double"&gt;3.8845658&lt;/D&gt;&lt;D xsi:type="xsd:double"&gt;0.27512312&lt;/D&gt;&lt;D xsi:type="xsd:double"&gt;-0.8000314&lt;/D&gt;&lt;D xsi:type="xsd:double"&gt;2.598071&lt;/D&gt;&lt;D xsi:type="xsd:double"&gt;2.8323889&lt;/D&gt;&lt;D xsi:type="xsd:double"&gt;-5.6500196&lt;/D&gt;&lt;D xsi:type="xsd:double"&gt;-1.1833608&lt;/D&gt;&lt;D xsi:type="xsd:double"&gt;-4.8603&lt;/D&gt;&lt;D xsi:type="xsd:double"&gt;-7.009506&lt;/D&gt;&lt;D xsi:type="xsd:double"&gt;-1.9530535&lt;/D&gt;&lt;D xsi:type="xsd:double"&gt;2.2137403&lt;/D&gt;&lt;D xsi:type="xsd:double"&gt;6.2368035&lt;/D&gt;&lt;D xsi:type="xsd:double"&gt;4.4686437&lt;/D&gt;&lt;D xsi:type="xsd:double"&gt;13.1785755&lt;/D&gt;&lt;D xsi:type="xsd:double"&gt;13.750065&lt;/D&gt;&lt;D xsi:type="xsd:double"&gt;12.311459&lt;/D&gt;&lt;D xsi:type="xsd:double"&gt;10.845256&lt;/D&gt;&lt;D xsi:type="xsd:double"&gt;17.872084&lt;/D&gt;&lt;D xsi:type="xsd:double"&gt;19.968044&lt;/D&gt;&lt;D xsi:type="xsd:double"&gt;23.695385&lt;/D&gt;&lt;D xsi:type="xsd:double"&gt;26.333046&lt;/D&gt;&lt;D xsi:type="xsd:double"&gt;27.622175&lt;/D&gt;&lt;D xsi:type="xsd:double"&gt;0.910604&lt;/D&gt;&lt;D xsi:type="xsd:double"&gt;3.0007243&lt;/D&gt;&lt;D xsi:type="xsd:double"&gt;6.699109&lt;/D&gt;&lt;D xsi:type="xsd:double"&gt;5.413127&lt;/D&gt;&lt;D xsi:type="xsd:double"&gt;9.654951&lt;/D&gt;&lt;D xsi:type="xsd:double"&gt;13.348997&lt;/D&gt;&lt;D xsi:type="xsd:double"&gt;13.111186&lt;/D&gt;&lt;D xsi:type="xsd:double"&gt;14.203668&lt;/D&gt;&lt;D xsi:type="xsd:double"&gt;12.416113&lt;/D&gt;&lt;D xsi:type="xsd:double"&gt;12.938011&lt;/D&gt;&lt;D xsi:type="xsd:double"&gt;13.388264&lt;/D&gt;&lt;D xsi:type="xsd:double"&gt;9.787345&lt;/D&gt;&lt;D xsi:type="xsd:double"&gt;40.04383&lt;/D&gt;&lt;D xsi:type="xsd:double"&gt;30.253433&lt;/D&gt;&lt;D xsi:type="xsd:double"&gt;29.090464&lt;/D&gt;&lt;D xsi:type="xsd:double"&gt;34.390842&lt;/D&gt;&lt;D xsi:type="xsd:double"&gt;26.324522&lt;/D&gt;&lt;D xsi:type="xsd:double"&gt;24.511814&lt;/D&gt;&lt;D xsi:type="xsd:double"&gt;19.214272&lt;/D&gt;&lt;D xsi:type="xsd:double"&gt;16.367935&lt;/D&gt;&lt;D xsi:type="xsd:double"&gt;22.994923&lt;/D&gt;&lt;D xsi:type="xsd:double"&gt;19.103039&lt;/D&gt;&lt;D xsi:type="xsd:double"&gt;15.35033&lt;/D&gt;&lt;D xsi:type="xsd:double"&gt;9.183205&lt;/D&gt;&lt;D xsi:type="xsd:double"&gt;4.0564775&lt;/D&gt;&lt;D xsi:type="xsd:double"&gt;9.476185&lt;/D&gt;&lt;D xsi:type="xsd:double"&gt;-4.3748674&lt;/D&gt;&lt;D xsi:type="xsd:double"&gt;-17.878538&lt;/D&gt;&lt;D xsi:type="xsd:double"&gt;-15.296656&lt;/D&gt;&lt;D xsi:type="xsd:double"&gt;-11.146397&lt;/D&gt;&lt;D xsi:type="xsd:double"&gt;-15.341461&lt;/D&gt;&lt;D xsi:type="xsd:double"&gt;-20.680206&lt;/D&gt;&lt;D xsi:type="xsd:double"&gt;-12.918925&lt;/D&gt;&lt;D xsi:type="xsd:double"&gt;-12.9408655&lt;/D&gt;&lt;D xsi:type="xsd:double"&gt;-11.338472&lt;/D&gt;&lt;D xsi:type="xsd:double"&gt;-5.8251143&lt;/D&gt;&lt;D xsi:type="xsd:double"&gt;-2.6821375&lt;/D&gt;&lt;D xsi:type="xsd:double"&gt;-2.433914&lt;/D&gt;&lt;D xsi:type="xsd:double"&gt;14.762676&lt;/D&gt;&lt;D xsi:type="xsd:double"&gt;17.34494&lt;/D&gt;&lt;D xsi:type="xsd:double"&gt;17.641472&lt;/D&gt;&lt;D xsi:type="xsd:double"&gt;8.5724945&lt;/D&gt;&lt;D xsi:type="xsd:double"&gt;12.267494&lt;/D&gt;&lt;D xsi:type="xsd:double"&gt;20.683014&lt;/D&gt;&lt;D xsi:type="xsd:double"&gt;1.701963&lt;/D&gt;&lt;D xsi:type="xsd:double"&gt;10.700596&lt;/D&gt;&lt;D xsi:type="xsd:double"&gt;10.134708&lt;/D&gt;&lt;D xsi:type="xsd:double"&gt;3.9072871&lt;/D&gt;&lt;D xsi:type="xsd:double"&gt;15.681351&lt;/D&gt;&lt;D xsi:type="xsd:double"&gt;-0.29313564&lt;/D&gt;&lt;D xsi:type="xsd:double"&gt;0.89155436&lt;/D&gt;&lt;D xsi:type="xsd:double"&gt;9.000742&lt;/D&gt;&lt;/FQL&gt;&lt;FQL&gt;&lt;Q&gt;EWG^FG_TOTAL_RETURNC(-10AY,0,AM)&lt;/Q&gt;&lt;R&gt;121&lt;/R&gt;&lt;C&gt;1&lt;/C&gt;&lt;D xsi:type="xsd:double"&gt;0.25236607&lt;/D&gt;&lt;D xsi:type="xsd:double"&gt;-1.9311368&lt;/D&gt;&lt;D xsi:type="xsd:double"&gt;-6.382978&lt;/D&gt;&lt;D xsi:type="xsd:double"&gt;1.2587309&lt;/D&gt;&lt;D xsi:type="xsd:double"&gt;-11.1533165&lt;/D&gt;&lt;D xsi:type="xsd:double"&gt;4.5083523&lt;/D&gt;&lt;D xsi:type="xsd:double"&gt;2.7891397&lt;/D&gt;&lt;D xsi:type="xsd:double"&gt;-2.2069395&lt;/D&gt;&lt;D xsi:type="xsd:double"&gt;7.991123&lt;/D&gt;&lt;D xsi:type="xsd:double"&gt;0&lt;/D&gt;&lt;D xsi:type="xsd:double"&gt;3.5628557&lt;/D&gt;&lt;D xsi:type="xsd:double"&gt;-1.5216649&lt;/D&gt;&lt;D xsi:type="xsd:double"&gt;-1.91468&lt;/D&gt;&lt;D xsi:type="xsd:double"&gt;0.30697584&lt;/D&gt;&lt;D xsi:type="xsd:double"&gt;-2.7092755&lt;/D&gt;&lt;D xsi:type="xsd:double"&gt;-5.4623365&lt;/D&gt;&lt;D xsi:type="xsd:double"&gt;-1.8126845&lt;/D&gt;&lt;D xsi:type="xsd:double"&gt;0.19230843&lt;/D&gt;&lt;D xsi:type="xsd:double"&gt;-1.0364652&lt;/D&gt;&lt;D xsi:type="xsd:double"&gt;-5.9348345&lt;/D&gt;&lt;D xsi:type="xsd:double"&gt;-4.65979&lt;/D&gt;&lt;D xsi:type="xsd:double"&gt;8.607268&lt;/D&gt;&lt;D xsi:type="xsd:double"&gt;2.5089622&lt;/D&gt;&lt;D xsi:type="xsd:double"&gt;-1.126647&lt;/D&gt;&lt;D xsi:type="xsd:double"&gt;-2.750492&lt;/D&gt;&lt;D xsi:type="xsd:double"&gt;1.1883974&lt;/D&gt;&lt;D xsi:type="xsd:double"&gt;8.384455&lt;/D&gt;&lt;D xsi:type="xsd:double"&gt;-2.264154&lt;/D&gt;&lt;D xsi:type="xsd:double"&gt;-1.0038614&lt;/D&gt;&lt;D xsi:type="xsd:double"&gt;-0.5850196&lt;/D&gt;&lt;D xsi:type="xsd:double"&gt;3.3346415&lt;/D&gt;&lt;D xsi:type="xsd:double"&gt;2.9966593&lt;/D&gt;&lt;D xsi:type="xsd:double"&gt;1.1430621&lt;/D&gt;&lt;D xsi:type="xsd:double"&gt;2.2967577&lt;/D&gt;&lt;D xsi:type="xsd:double"&gt;0.3207445&lt;/D&gt;&lt;D xsi:type="xsd:double"&gt;8.49024&lt;/D&gt;&lt;D xsi:type="xsd:double"&gt;2.58677&lt;/D&gt;&lt;D xsi:type="xsd:double"&gt;0.5157471&lt;/D&gt;&lt;D xsi:type="xsd:double"&gt;-1.5862703&lt;/D&gt;&lt;D xsi:type="xsd:double"&gt;4.868424&lt;/D&gt;&lt;D xsi:type="xsd:double"&gt;3.0112982&lt;/D&gt;&lt;D xsi:type="xsd:double"&gt;-0.51766634&lt;/D&gt;&lt;D xsi:type="xsd:double"&gt;1.2549877&lt;/D&gt;&lt;D xsi:type="xsd:double"&gt;4.58616&lt;/D&gt;&lt;D xsi:type="xsd:double"&gt;-5.882353&lt;/D&gt;&lt;D xsi:type="xsd:double"&gt;-0.24629831&lt;/D&gt;&lt;D xsi:type="xsd:double"&gt;1.5123367&lt;/D&gt;&lt;D xsi:type="xsd:double"&gt;0.7905245&lt;/D&gt;&lt;D xsi:type="xsd:double"&gt;-2.1116138&lt;/D&gt;&lt;D xsi:type="xsd:double"&gt;-3.3296049&lt;/D&gt;&lt;D xsi:type="xsd:double"&gt;-3.4280121&lt;/D&gt;&lt;D xsi:type="xsd:double"&gt;0.574708&lt;/D&gt;&lt;D xsi:type="xsd:double"&gt;-6.05042&lt;/D&gt;&lt;D xsi:type="xsd:double"&gt;-3.0411482&lt;/D&gt;&lt;D xsi:type="xsd:double"&gt;-4.243541&lt;/D&gt;&lt;D xsi:type="xsd:double"&gt;0.6551027&lt;/D&gt;&lt;D xsi:type="xsd:double"&gt;0.5742669&lt;/D&gt;&lt;D xsi:type="xsd:double"&gt;3.9969563&lt;/D&gt;&lt;D xsi:type="xsd:double"&gt;3.294289&lt;/D&gt;&lt;D xsi:type="xsd:double"&gt;-2.480507&lt;/D&gt;&lt;D xsi:type="xsd:double"&gt;1.7441869&lt;/D&gt;&lt;D xsi:type="xsd:double"&gt;1.3830662&lt;/D&gt;&lt;D xsi:type="xsd:double"&gt;-4.958373&lt;/D&gt;&lt;D xsi:type="xsd:double"&gt;4.7600865&lt;/D&gt;&lt;D xsi:type="xsd:double"&gt;-0.79970956&lt;/D&gt;&lt;D xsi:type="xsd:double"&gt;5.8263063&lt;/D&gt;&lt;D xsi:type="xsd:double"&gt;1.8351793&lt;/D&gt;&lt;D xsi:type="xsd:double"&gt;1.46209&lt;/D&gt;&lt;D xsi:type="xsd:double"&gt;-1.2734592&lt;/D&gt;&lt;D xsi:type="xsd:double"&gt;-27.970129&lt;/D&gt;&lt;D xsi:type="xsd:double"&gt;6.880307&lt;/D&gt;&lt;D xsi:type="xsd:double"&gt;0.26454926&lt;/D&gt;&lt;D xsi:type="xsd:double"&gt;17.941952&lt;/D&gt;&lt;D xsi:type="xsd:double"&gt;4.8479915&lt;/D&gt;&lt;D xsi:type="xsd:double"&gt;7.1505547&lt;/D&gt;&lt;D xsi:type="xsd:double"&gt;1.6431928&lt;/D&gt;&lt;D xsi:type="xsd:double"&gt;-1.3856828&lt;/D&gt;&lt;D xsi:type="xsd:double"&gt;0.13382435&lt;/D&gt;&lt;D xsi:type="xsd:double"&gt;3.2408953&lt;/D&gt;&lt;D xsi:type="xsd:double"&gt;6.2737226&lt;/D&gt;&lt;D xsi:type="xsd:double"&gt;1.6034603&lt;/D&gt;&lt;D xsi:type="xsd:double"&gt;0.72836876&lt;/D&gt;&lt;D xsi:type="xsd:double"&gt;4.609835&lt;/D&gt;&lt;D xsi:type="xsd:double"&gt;0.05760193&lt;/D&gt;&lt;D xsi:type="xsd:double"&gt;4.2752624&lt;/D&gt;&lt;D xsi:type="xsd:double"&gt;-2.1336257&lt;/D&gt;&lt;D xsi:type="xsd:double"&gt;1.3769388&lt;/D&gt;&lt;D xsi:type="xsd:double"&gt;-1.7260909&lt;/D&gt;&lt;D xsi:type="xsd:double"&gt;-5.1252484&lt;/D&gt;&lt;D xsi:type="xsd:double"&gt;3.5204887&lt;/D&gt;&lt;D xsi:type="xsd:double"&gt;-4.4978023&lt;/D&gt;&lt;D xsi:type="xsd:double"&gt;3.2313824&lt;/D&gt;&lt;D xsi:type="xsd:double"&gt;-5.308938&lt;/D&gt;&lt;D xsi:type="xsd:double"&gt;-15.394365&lt;/D&gt;&lt;D xsi:type="xsd:double"&gt;2.3212314&lt;/D&gt;&lt;D xsi:type="xsd:double"&gt;-5.6714177&lt;/D&gt;&lt;D xsi:type="xsd:double"&gt;-4.1460094&lt;/D&gt;&lt;D xsi:type="xsd:double"&gt;-8.719235&lt;/D&gt;&lt;D xsi:type="xsd:double"&gt;10.603296&lt;/D&gt;&lt;D xsi:type="xsd:double"&gt;-8.719009&lt;/D&gt;&lt;D xsi:type="xsd:double"&gt;-7.8768673&lt;/D&gt;&lt;D xsi:type="xsd:double"&gt;22.014736&lt;/D&gt;&lt;D xsi:type="xsd:double"&gt;3.5386205&lt;/D&gt;&lt;D xsi:type="xsd:double"&gt;8.132291&lt;/D&gt;&lt;D xsi:type="xsd:double"&gt;0.8636236&lt;/D&gt;&lt;D xsi:type="xsd:double"&gt;-3.853017&lt;/D&gt;&lt;D xsi:type="xsd:double"&gt;8.237469&lt;/D&gt;&lt;D xsi:type="xsd:double"&gt;-1.0970175&lt;/D&gt;&lt;D xsi:type="xsd:double"&gt;1.107645&lt;/D&gt;&lt;D xsi:type="xsd:double"&gt;3.4519196&lt;/D&gt;&lt;D xsi:type="xsd:double"&gt;-4.290092&lt;/D&gt;&lt;D xsi:type="xsd:double"&gt;-3.6641777&lt;/D&gt;&lt;D xsi:type="xsd:double"&gt;-5.1698685&lt;/D&gt;&lt;D xsi:type="xsd:double"&gt;2.8426766&lt;/D&gt;&lt;D xsi:type="xsd:double"&gt;11.662245&lt;/D&gt;&lt;D xsi:type="xsd:double"&gt;-0.9103775&lt;/D&gt;&lt;D xsi:type="xsd:double"&gt;-1.403147&lt;/D&gt;&lt;D xsi:type="xsd:double"&gt;9.024644&lt;/D&gt;&lt;D xsi:type="xsd:double"&gt;-3.6930919&lt;/D&gt;&lt;D xsi:type="xsd:double"&gt;6.347096&lt;/D&gt;&lt;D xsi:type="xsd:double"&gt;-2.5022507&lt;/D&gt;&lt;/FQL&gt;&lt;FQL&gt;&lt;Q&gt;EWA^FMA_DIV_YLD(NTMA,-10AY,0,AM,"PORTAGG","MEANR")&lt;/Q&gt;&lt;R&gt;121&lt;/R&gt;&lt;C&gt;1&lt;/C&gt;&lt;D xsi:type="xsd:double"&gt;4.84038529184913&lt;/D&gt;&lt;D xsi:type="xsd:double"&gt;4.74636694716592&lt;/D&gt;&lt;D xsi:type="xsd:double"&gt;4.76537663922127&lt;/D&gt;&lt;D xsi:type="xsd:double"&gt;4.8052723800259&lt;/D&gt;&lt;D xsi:type="xsd:double"&gt;5.19415421576357&lt;/D&gt;&lt;D xsi:type="xsd:double"&gt;4.92110881091806&lt;/D&gt;&lt;D xsi:type="xsd:double"&gt;5.14562330070198&lt;/D&gt;&lt;D xsi:type="xsd:double"&gt;4.99285422988058&lt;/D&gt;&lt;D xsi:type="xsd:double"&gt;4.618311590846&lt;/D&gt;&lt;D xsi:type="xsd:double"&gt;4.68187158745944&lt;/D&gt;&lt;D xsi:type="xsd:double"&gt;4.5668932333916&lt;/D&gt;&lt;D xsi:type="xsd:double"&gt;4.68308745257731&lt;/D&gt;&lt;D xsi:type="xsd:double"&gt;4.90949735949374&lt;/D&gt;&lt;D xsi:type="xsd:double"&gt;4.9929149271326&lt;/D&gt;&lt;D xsi:type="xsd:double"&gt;5.08266467119291&lt;/D&gt;&lt;D xsi:type="xsd:double"&gt;5.44583403731053&lt;/D&gt;&lt;D xsi:type="xsd:double"&gt;5.23807609991899&lt;/D&gt;&lt;D xsi:type="xsd:double"&gt;5.41668061144677&lt;/D&gt;&lt;D xsi:type="xsd:double"&gt;5.40701911427671&lt;/D&gt;&lt;D xsi:type="xsd:double"&gt;5.45239775765319&lt;/D&gt;&lt;D xsi:type="xsd:double"&gt;5.3109486475608&lt;/D&gt;&lt;D xsi:type="xsd:double"&gt;4.7275102218109&lt;/D&gt;&lt;D xsi:type="xsd:double"&gt;4.84931470682949&lt;/D&gt;&lt;D xsi:type="xsd:double"&gt;4.59766981783266&lt;/D&gt;&lt;D xsi:type="xsd:double"&gt;4.61069825426459&lt;/D&gt;&lt;D xsi:type="xsd:double"&gt;4.55761242715108&lt;/D&gt;&lt;D xsi:type="xsd:double"&gt;4.45046731935085&lt;/D&gt;&lt;D xsi:type="xsd:double"&gt;4.7504224302929&lt;/D&gt;&lt;D xsi:type="xsd:double"&gt;4.55166798700927&lt;/D&gt;&lt;D xsi:type="xsd:double"&gt;4.59867088536719&lt;/D&gt;&lt;D xsi:type="xsd:double"&gt;4.54400368110432&lt;/D&gt;&lt;D xsi:type="xsd:double"&gt;4.47686615468953&lt;/D&gt;&lt;D xsi:type="xsd:double"&gt;4.50821150357544&lt;/D&gt;&lt;D xsi:type="xsd:double"&gt;4.55351331740898&lt;/D&gt;&lt;D xsi:type="xsd:double"&gt;4.49241857908844&lt;/D&gt;&lt;D xsi:type="xsd:double"&gt;4.56118458433826&lt;/D&gt;&lt;D xsi:type="xsd:double"&gt;4.61039570927087&lt;/D&gt;&lt;D xsi:type="xsd:double"&gt;4.60152747383019&lt;/D&gt;&lt;D xsi:type="xsd:double"&gt;4.63807191236003&lt;/D&gt;&lt;D xsi:type="xsd:double"&gt;4.55845475010572&lt;/D&gt;&lt;D xsi:type="xsd:double"&gt;4.53685515543787&lt;/D&gt;&lt;D xsi:type="xsd:double"&gt;4.42789738355169&lt;/D&gt;&lt;D xsi:type="xsd:double"&gt;4.48433334176753&lt;/D&gt;&lt;D xsi:type="xsd:double"&gt;4.45728095530157&lt;/D&gt;&lt;D xsi:type="xsd:double"&gt;4.69011398727565&lt;/D&gt;&lt;D xsi:type="xsd:double"&gt;4.63338349285824&lt;/D&gt;&lt;D xsi:type="xsd:double"&gt;4.78323949451702&lt;/D&gt;&lt;D xsi:type="xsd:double"&gt;4.6041341656191&lt;/D&gt;&lt;D xsi:type="xsd:double"&gt;4.75778945165032&lt;/D&gt;&lt;D xsi:type="xsd:double"&gt;4.56211945827358&lt;/D&gt;&lt;D xsi:type="xsd:double"&gt;4.61603279717488&lt;/D&gt;&lt;D xsi:type="xsd:double"&gt;4.79748950061754&lt;/D&gt;&lt;D xsi:type="xsd:double"&gt;5.02426204733035&lt;/D&gt;&lt;D xsi:type="xsd:double"&gt;5.1367729153705&lt;/D&gt;&lt;D xsi:type="xsd:double"&gt;5.34035234895541&lt;/D&gt;&lt;D xsi:type="xsd:double"&gt;5.19983738357043&lt;/D&gt;&lt;D xsi:type="xsd:double"&gt;4.96855410337719&lt;/D&gt;&lt;D xsi:type="xsd:double"&gt;4.97150489747039&lt;/D&gt;&lt;D xsi:type="xsd:double"&gt;4.89112712028865&lt;/D&gt;&lt;D xsi:type="xsd:double"&gt;4.87916630181323&lt;/D&gt;&lt;D xsi:type="xsd:double"&gt;4.69347700593133&lt;/D&gt;&lt;D xsi:type="xsd:double"&gt;4.61857063885436&lt;/D&gt;&lt;D xsi:type="xsd:double"&gt;4.67798400133548&lt;/D&gt;&lt;D xsi:type="xsd:double"&gt;4.47937054324022&lt;/D&gt;&lt;D xsi:type="xsd:double"&gt;4.48307177315998&lt;/D&gt;&lt;D xsi:type="xsd:double"&gt;4.36765091986989&lt;/D&gt;&lt;D xsi:type="xsd:double"&gt;4.3029217614979&lt;/D&gt;&lt;D xsi:type="xsd:double"&gt;4.2067880355229&lt;/D&gt;&lt;D xsi:type="xsd:double"&gt;4.09163935573898&lt;/D&gt;&lt;D xsi:type="xsd:double"&gt;5.20012743401364&lt;/D&gt;&lt;D xsi:type="xsd:double"&gt;4.5153970448008&lt;/D&gt;&lt;D xsi:type="xsd:double"&gt;3.81655433647367&lt;/D&gt;&lt;D xsi:type="xsd:double"&gt;3.46658433815306&lt;/D&gt;&lt;D xsi:type="xsd:double"&gt;3.44206766029803&lt;/D&gt;&lt;D xsi:type="xsd:double"&gt;3.35539597690318&lt;/D&gt;&lt;D xsi:type="xsd:double"&gt;3.61444189221331&lt;/D&gt;&lt;D xsi:type="xsd:double"&gt;3.5269676576057&lt;/D&gt;&lt;D xsi:type="xsd:double"&gt;3.53253549938006&lt;/D&gt;&lt;D xsi:type="xsd:double"&gt;3.53310169428924&lt;/D&gt;&lt;D xsi:type="xsd:double"&gt;3.55072224525102&lt;/D&gt;&lt;D xsi:type="xsd:double"&gt;3.61076405482337&lt;/D&gt;&lt;D xsi:type="xsd:double"&gt;3.8938234026468&lt;/D&gt;&lt;D xsi:type="xsd:double"&gt;3.91062806291433&lt;/D&gt;&lt;D xsi:type="xsd:double"&gt;3.96616233392958&lt;/D&gt;&lt;D xsi:type="xsd:double"&gt;3.88196959154853&lt;/D&gt;&lt;D xsi:type="xsd:double"&gt;4.07761827458794&lt;/D&gt;&lt;D xsi:type="xsd:double"&gt;4.00076630991481&lt;/D&gt;&lt;D xsi:type="xsd:double"&gt;4.07743619808342&lt;/D&gt;&lt;D xsi:type="xsd:double"&gt;4.07263921030826&lt;/D&gt;&lt;D xsi:type="xsd:double"&gt;3.95580794033634&lt;/D&gt;&lt;D xsi:type="xsd:double"&gt;3.92975079911162&lt;/D&gt;&lt;D xsi:type="xsd:double"&gt;3.8252044196532&lt;/D&gt;&lt;D xsi:type="xsd:double"&gt;4.26377505883025&lt;/D&gt;&lt;D xsi:type="xsd:double"&gt;4.37534610690502&lt;/D&gt;&lt;D xsi:type="xsd:double"&gt;4.35797319774219&lt;/D&gt;&lt;D xsi:type="xsd:double"&gt;4.75718159489333&lt;/D&gt;&lt;D xsi:type="xsd:double"&gt;4.93791685118481&lt;/D&gt;&lt;D xsi:type="xsd:double"&gt;5.19407168917857&lt;/D&gt;&lt;D xsi:type="xsd:double"&gt;4.72951926897852&lt;/D&gt;&lt;D xsi:type="xsd:double"&gt;4.78523033855277&lt;/D&gt;&lt;D xsi:type="xsd:double"&gt;5.20496045763754&lt;/D&gt;&lt;D xsi:type="xsd:double"&gt;4.62663861339013&lt;/D&gt;&lt;D xsi:type="xsd:double"&gt;4.48402327723096&lt;/D&gt;&lt;D xsi:type="xsd:double"&gt;4.39724632312393&lt;/D&gt;&lt;D xsi:type="xsd:double"&gt;4.32474973341795&lt;/D&gt;&lt;D xsi:type="xsd:double"&gt;4.58665791038363&lt;/D&gt;&lt;D xsi:type="xsd:double"&gt;4.40457562565899&lt;/D&gt;&lt;D xsi:type="xsd:double"&gt;4.44080452883409&lt;/D&gt;&lt;D xsi:type="xsd:double"&gt;4.39749524704184&lt;/D&gt;&lt;D xsi:type="xsd:double"&gt;4.2095803542314&lt;/D&gt;&lt;D xsi:type="xsd:double"&gt;4.17803667592156&lt;/D&gt;&lt;D xsi:type="xsd:double"&gt;4.22477751508477&lt;/D&gt;&lt;D xsi:type="xsd:double"&gt;4.37051189686638&lt;/D&gt;&lt;D xsi:type="xsd:double"&gt;4.42530244823934&lt;/D&gt;&lt;D xsi:type="xsd:double"&gt;4.20874382107881&lt;/D&gt;&lt;D xsi:type="xsd:double"&gt;4.04808637053868&lt;/D&gt;&lt;D xsi:type="xsd:double"&gt;4.02596656244763&lt;/D&gt;&lt;D xsi:type="xsd:double"&gt;3.96207304293051&lt;/D&gt;&lt;D xsi:type="xsd:double"&gt;3.96370943113466&lt;/D&gt;&lt;D xsi:type="xsd:double"&gt;3.97473622593384&lt;/D&gt;&lt;D xsi:type="xsd:double"&gt;3.9468041944362&lt;/D&gt;&lt;/FQL&gt;&lt;FQL&gt;&lt;Q&gt;ENZL^JULIAN(FMA_DIV_YLD(NTMA,-10AY,0,AM,"PORTAGG","MEANR").DATES)&lt;/Q&gt;&lt;R&gt;121&lt;/R&gt;&lt;C&gt;1&lt;/C&gt;&lt;D xsi:type="xsd:long"&gt;41803&lt;/D&gt;&lt;D xsi:type="xsd:long"&gt;41831&lt;/D&gt;&lt;D xsi:type="xsd:long"&gt;41864&lt;/D&gt;&lt;D xsi:type="xsd:long"&gt;41894&lt;/D&gt;&lt;D xsi:type="xsd:long"&gt;41925&lt;/D&gt;&lt;D xsi:type="xsd:long"&gt;41956&lt;/D&gt;&lt;D xsi:type="xsd:long"&gt;41985&lt;/D&gt;&lt;D xsi:type="xsd:long"&gt;42017&lt;/D&gt;&lt;D xsi:type="xsd:long"&gt;42048&lt;/D&gt;&lt;D xsi:type="xsd:long"&gt;42076&lt;/D&gt;&lt;D xsi:type="xsd:long"&gt;42107&lt;/D&gt;&lt;D xsi:type="xsd:long"&gt;42137&lt;/D&gt;&lt;D xsi:type="xsd:long"&gt;42167&lt;/D&gt;&lt;D xsi:type="xsd:long"&gt;42198&lt;/D&gt;&lt;D xsi:type="xsd:long"&gt;42229&lt;/D&gt;&lt;D xsi:type="xsd:long"&gt;42258&lt;/D&gt;&lt;D xsi:type="xsd:long"&gt;42290&lt;/D&gt;&lt;D xsi:type="xsd:long"&gt;42321&lt;/D&gt;&lt;D xsi:type="xsd:long"&gt;42349&lt;/D&gt;&lt;D xsi:type="xsd:long"&gt;42382&lt;/D&gt;&lt;D xsi:type="xsd:long"&gt;42412&lt;/D&gt;&lt;D xsi:type="xsd:long"&gt;42440&lt;/D&gt;&lt;D xsi:type="xsd:long"&gt;42473&lt;/D&gt;&lt;D xsi:type="xsd:long"&gt;42503&lt;/D&gt;&lt;D xsi:type="xsd:long"&gt;42534&lt;/D&gt;&lt;D xsi:type="xsd:long"&gt;42564&lt;/D&gt;&lt;D xsi:type="xsd:long"&gt;42594&lt;/D&gt;&lt;D xsi:type="xsd:long"&gt;42626&lt;/D&gt;&lt;D xsi:type="xsd:long"&gt;42656&lt;/D&gt;&lt;D xsi:type="xsd:long"&gt;42685&lt;/D&gt;&lt;D xsi:type="xsd:long"&gt;42717&lt;/D&gt;&lt;D xsi:type="xsd:long"&gt;42748&lt;/D&gt;&lt;D xsi:type="xsd:long"&gt;42779&lt;/D&gt;&lt;D xsi:type="xsd:long"&gt;42807&lt;/D&gt;&lt;D xsi:type="xsd:long"&gt;42838&lt;/D&gt;&lt;D xsi:type="xsd:long"&gt;42867&lt;/D&gt;&lt;D xsi:type="xsd:long"&gt;42899&lt;/D&gt;&lt;D xsi:type="xsd:long"&gt;42929&lt;/D&gt;&lt;D xsi:type="xsd:long"&gt;42958&lt;/D&gt;&lt;D xsi:type="xsd:long"&gt;42991&lt;/D&gt;&lt;D xsi:type="xsd:long"&gt;43021&lt;/D&gt;&lt;D xsi:type="xsd:long"&gt;43052&lt;/D&gt;&lt;D xsi:type="xsd:long"&gt;43082&lt;/D&gt;&lt;D xsi:type="xsd:long"&gt;43112&lt;/D&gt;&lt;D xsi:type="xsd:long"&gt;43144&lt;/D&gt;&lt;D xsi:type="xsd:long"&gt;43172&lt;/D&gt;&lt;D xsi:type="xsd:long"&gt;43203&lt;/D&gt;&lt;D xsi:type="xsd:long"&gt;43231&lt;/D&gt;&lt;D xsi:type="xsd:long"&gt;43264&lt;/D&gt;&lt;D xsi:type="xsd:long"&gt;43294&lt;/D&gt;&lt;D xsi:type="xsd:long"&gt;43325&lt;/D&gt;&lt;D xsi:type="xsd:long"&gt;43356&lt;/D&gt;&lt;D xsi:type="xsd:long"&gt;43385&lt;/D&gt;&lt;D xsi:type="xsd:long"&gt;43417&lt;/D&gt;&lt;D xsi:type="xsd:long"&gt;43447&lt;/D&gt;&lt;D xsi:type="xsd:long"&gt;43476&lt;/D&gt;&lt;D xsi:type="xsd:long"&gt;43509&lt;/D&gt;&lt;D xsi:type="xsd:long"&gt;43537&lt;/D&gt;&lt;D xsi:type="xsd:long"&gt;43567&lt;/D&gt;&lt;D xsi:type="xsd:long"&gt;43598&lt;/D&gt;&lt;D xsi:type="xsd:long"&gt;43629&lt;/D&gt;&lt;D xsi:type="xsd:long"&gt;43658&lt;/D&gt;&lt;D xsi:type="xsd:long"&gt;43690&lt;/D&gt;&lt;D xsi:type="xsd:long"&gt;43721&lt;/D&gt;&lt;D xsi:type="xsd:long"&gt;43749&lt;/D&gt;&lt;D xsi:type="xsd:long"&gt;43782&lt;/D&gt;&lt;D xsi:type="xsd:long"&gt;43812&lt;/D&gt;&lt;D xsi:type="xsd:long"&gt;43843&lt;/D&gt;&lt;D xsi:type="xsd:long"&gt;43874&lt;/D&gt;&lt;D xsi:type="xsd:long"&gt;43903&lt;/D&gt;&lt;D xsi:type="xsd:long"&gt;43934&lt;/D&gt;&lt;D xsi:type="xsd:long"&gt;43964&lt;/D&gt;&lt;D xsi:type="xsd:long"&gt;43994&lt;/D&gt;&lt;D xsi:type="xsd:long"&gt;44025&lt;/D&gt;&lt;D xsi:type="xsd:long"&gt;44056&lt;/D&gt;&lt;D xsi:type="xsd:long"&gt;44085&lt;/D&gt;&lt;D xsi:type="xsd:long"&gt;44117&lt;/D&gt;&lt;D xsi:type="xsd:long"&gt;44148&lt;/D&gt;&lt;D xsi:type="xsd:long"&gt;44176&lt;/D&gt;&lt;D xsi:type="xsd:long"&gt;44209&lt;/D&gt;&lt;D xsi:type="xsd:long"&gt;44239&lt;/D&gt;&lt;D xsi:type="xsd:long"&gt;44267&lt;/D&gt;&lt;D xsi:type="xsd:long"&gt;44299&lt;/D&gt;&lt;D xsi:type="xsd:long"&gt;44329&lt;/D&gt;&lt;D xsi:type="xsd:long"&gt;44358&lt;/D&gt;&lt;D xsi:type="xsd:long"&gt;44390&lt;/D&gt;&lt;D xsi:type="xsd:long"&gt;44421&lt;/D&gt;&lt;D xsi:type="xsd:long"&gt;44452&lt;/D&gt;&lt;D xsi:type="xsd:long"&gt;44482&lt;/D&gt;&lt;D xsi:type="xsd:long"&gt;44512&lt;/D&gt;&lt;D xsi:type="xsd:long"&gt;44540&lt;/D&gt;&lt;D xsi:type="xsd:long"&gt;44574&lt;/D&gt;&lt;D xsi:type="xsd:long"&gt;44603&lt;/D&gt;&lt;D xsi:type="xsd:long"&gt;44631&lt;/D&gt;&lt;D xsi:type="xsd:long"&gt;44664&lt;/D&gt;&lt;D xsi:type="xsd:long"&gt;44694&lt;/D&gt;&lt;D xsi:type="xsd:long"&gt;44725&lt;/D&gt;&lt;D xsi:type="xsd:long"&gt;44755&lt;/D&gt;&lt;D xsi:type="xsd:long"&gt;44785&lt;/D&gt;&lt;D xsi:type="xsd:long"&gt;44817&lt;/D&gt;&lt;D xsi:type="xsd:long"&gt;44847&lt;/D&gt;&lt;D xsi:type="xsd:long"&gt;44876&lt;/D&gt;&lt;D xsi:type="xsd:long"&gt;44908&lt;/D&gt;&lt;D xsi:type="xsd:long"&gt;44939&lt;/D&gt;&lt;D xsi:type="xsd:long"&gt;44970&lt;/D&gt;&lt;D xsi:type="xsd:long"&gt;44998&lt;/D&gt;&lt;D xsi:type="xsd:long"&gt;45029&lt;/D&gt;&lt;D xsi:type="xsd:long"&gt;45058&lt;/D&gt;&lt;D xsi:type="xsd:long"&gt;45090&lt;/D&gt;&lt;D xsi:type="xsd:long"&gt;45120&lt;/D&gt;&lt;D xsi:type="xsd:long"&gt;45149&lt;/D&gt;&lt;D xsi:type="xsd:long"&gt;45182&lt;/D&gt;&lt;D xsi:type="xsd:long"&gt;45212&lt;/D&gt;&lt;D xsi:type="xsd:long"&gt;45243&lt;/D&gt;&lt;D xsi:type="xsd:long"&gt;45273&lt;/D&gt;&lt;D xsi:type="xsd:long"&gt;45303&lt;/D&gt;&lt;D xsi:type="xsd:long"&gt;45335&lt;/D&gt;&lt;D xsi:type="xsd:long"&gt;45364&lt;/D&gt;&lt;D xsi:type="xsd:long"&gt;45394&lt;/D&gt;&lt;D xsi:type="xsd:long"&gt;45425&lt;/D&gt;&lt;D xsi:type="xsd:long"&gt;45453&lt;/D&gt;&lt;/FQL&gt;&lt;FQL&gt;&lt;Q&gt;DDR3512M-FDS^FG_PRICE(0)/MAX(FG_PRICE(0,-1AY))&lt;/Q&gt;&lt;R&gt;1&lt;/R&gt;&lt;C&gt;1&lt;/C&gt;&lt;D xsi:type="xsd:double"&gt;0.918243557692308&lt;/D&gt;&lt;/FQL&gt;&lt;FQL&gt;&lt;Q&gt;PASP-FDS^FG_PRICE(0)/MAX(FG_PRICE(0,-1AY))&lt;/Q&gt;&lt;R&gt;1&lt;/R&gt;&lt;C&gt;1&lt;/C&gt;&lt;D xsi:type="xsd:double"&gt;0.648936170212766&lt;/D&gt;&lt;/FQL&gt;&lt;FQL&gt;&lt;Q&gt;PLATI-FDS^FG_PRICE(0)/MAX(FG_PRICE(0,-1AY))&lt;/Q&gt;&lt;R&gt;1&lt;/R&gt;&lt;C&gt;1&lt;/C&gt;&lt;D xsi:type="xsd:double"&gt;0.902712815715622&lt;/D&gt;&lt;/FQL&gt;&lt;FQL&gt;&lt;Q&gt;W-FDS^FG_PRICE(0)/MAX(FG_PRICE(0,-1AY))&lt;/Q&gt;&lt;R&gt;1&lt;/R&gt;&lt;C&gt;1&lt;/C&gt;&lt;D xsi:type="xsd:double"&gt;0.815521210128247&lt;/D&gt;&lt;/FQL&gt;&lt;FQL&gt;&lt;Q&gt;COPP-FDS^FG_PRICE(0)/MAX(FG_PRICE(0,-1AY))&lt;/Q&gt;&lt;R&gt;1&lt;/R&gt;&lt;C&gt;1&lt;/C&gt;&lt;D xsi:type="xsd:double"&gt;0.880543074819301&lt;/D&gt;&lt;/FQL&gt;&lt;FQL&gt;&lt;Q&gt;EWQ^FG_PRICE_MAVG(0,,,,60)&lt;/Q&gt;&lt;R&gt;1&lt;/R&gt;&lt;C&gt;1&lt;/C&gt;&lt;D xsi:type="xsd:double"&gt;41.044834&lt;/D&gt;&lt;/FQL&gt;&lt;FQL&gt;&lt;Q&gt;EWL^FG_PRICE_MAVG(0,,,,60)&lt;/Q&gt;&lt;R&gt;1&lt;/R&gt;&lt;C&gt;1&lt;/C&gt;&lt;D xsi:type="xsd:double"&gt;47.4205&lt;/D&gt;&lt;/FQL&gt;&lt;FQL&gt;&lt;Q&gt;EWA^FG_PRICE_MAVG(0,,,,60)&lt;/Q&gt;&lt;R&gt;1&lt;/R&gt;&lt;C&gt;1&lt;/C&gt;&lt;D xsi:type="xsd:double"&gt;24.348167&lt;/D&gt;&lt;/FQL&gt;&lt;FQL&gt;&lt;Q&gt;EWJ^FG_COMPANY_NAME&lt;/Q&gt;&lt;R&gt;1&lt;/R&gt;&lt;C&gt;1&lt;/C&gt;&lt;D xsi:type="xsd:string"&gt;iShares MSCI Japan ETF&lt;/D&gt;&lt;/FQL&gt;&lt;FQL&gt;&lt;Q&gt;SPY^P_PRICE(0)/P_PRICE_HIGH_PR(0,,,,,,"PRICE","INTRA","52W")&lt;/Q&gt;&lt;R&gt;1&lt;/R&gt;&lt;C&gt;1&lt;/C&gt;&lt;D xsi:type="xsd:double"&gt;0.99693084&lt;/D&gt;&lt;/FQL&gt;&lt;FQL&gt;&lt;Q&gt;URTH^FG_TOTAL_RETURNC(0,-12AM)&lt;/Q&gt;&lt;R&gt;1&lt;/R&gt;&lt;C&gt;1&lt;/C&gt;&lt;D xsi:type="xsd:double"&gt;21.548378&lt;/D&gt;&lt;/FQL&gt;&lt;FQL&gt;&lt;Q&gt;VWO^PERCENT_CHANGE(FMA_EPS(+1,0,,,,"PORTAGG","MEAN"),FMA_EPS(+1,-1AM,,,,"PORTAGG","MEAN"))&lt;/Q&gt;&lt;R&gt;1&lt;/R&gt;&lt;C&gt;1&lt;/C&gt;&lt;D xsi:type="xsd:double"&gt;0&lt;/D&gt;&lt;/FQL&gt;&lt;FQL&gt;&lt;Q&gt;EWI^FG_TOTAL_RETURNC(0,-1AM)&lt;/Q&gt;&lt;R&gt;1&lt;/R&gt;&lt;C&gt;1&lt;/C&gt;&lt;D xsi:type="xsd:double"&gt;-2.8719366&lt;/D&gt;&lt;/FQL&gt;&lt;FQL&gt;&lt;Q&gt;EWN^FG_TOTAL_RETURNC(0,-6AM)&lt;/Q&gt;&lt;R&gt;1&lt;/R&gt;&lt;C&gt;1&lt;/C&gt;&lt;D xsi:type="xsd:double"&gt;18.042315&lt;/D&gt;&lt;/FQL&gt;&lt;FQL&gt;&lt;Q&gt;SPY^P_PRICE(0)/P_PRICE_LOW_PR(0,,,,,,"PRICE","INTRA","52W")-1&lt;/Q&gt;&lt;R&gt;1&lt;/R&gt;&lt;C&gt;1&lt;/C&gt;&lt;D xsi:type="xsd:double"&gt;0.325603&lt;/D&gt;&lt;/FQL&gt;&lt;FQL&gt;&lt;Q&gt;QQQ^FMA_PCT_ABOVE_MAVG(200,0,,,,"PORTAGG")&lt;/Q&gt;&lt;R&gt;1&lt;/R&gt;&lt;C&gt;1&lt;/C&gt;&lt;D xsi:type="xsd:double"&gt;62.7450980392157&lt;/D&gt;&lt;/FQL&gt;&lt;FQL&gt;&lt;Q&gt;EWL^PERCENT_CHANGE(FMA_EPS(+1,0,,,,"PORTAGG","MEAN"),FMA_EPS(+1,-3AM,,,,"PORTAGG","MEAN"))&lt;/Q&gt;&lt;R&gt;1&lt;/R&gt;&lt;C&gt;1&lt;/C&gt;&lt;D xsi:type="xsd:double"&gt;3.02708415168564&lt;/D&gt;&lt;/FQL&gt;&lt;FQL&gt;&lt;Q&gt;EWG^FG_TOTAL_RETURNC(0,-3AM)&lt;/Q&gt;&lt;R&gt;1&lt;/R&gt;&lt;C&gt;1&lt;/C&gt;&lt;D xsi:type="xsd:double"&gt;-0.14318824&lt;/D&gt;&lt;/FQL&gt;&lt;FQL&gt;&lt;Q&gt;EWA^P_PRICE(0)/P_PRICE_HIGH_PR(0,,,,,,"PRICE","INTRA","52W")&lt;/Q&gt;&lt;R&gt;1&lt;/R&gt;&lt;C&gt;1&lt;/C&gt;&lt;D xsi:type="xsd:double"&gt;0.96117276&lt;/D&gt;&lt;/FQL&gt;&lt;FQL&gt;&lt;Q&gt;FXI^SIZE(FG_CONSTITUENTS)&lt;/Q&gt;&lt;R&gt;1&lt;/R&gt;&lt;C&gt;1&lt;/C&gt;&lt;D xsi:type="xsd:long"&gt;53&lt;/D&gt;&lt;/FQL&gt;&lt;FQL&gt;&lt;Q&gt;VGK^FMA_COS_DOWN("EPS","1M",+1,0,,,"PORTAGG","MEANR")&lt;/Q&gt;&lt;R&gt;1&lt;/R&gt;&lt;C&gt;1&lt;/C&gt;&lt;D xsi:type="xsd:double"&gt;540&lt;/D&gt;&lt;/FQL&gt;&lt;FQL&gt;&lt;Q&gt;SPY^FMA_COS_UP("EPS","1M",+1,0,,,"PORTAGG","MEANR")&lt;/Q&gt;&lt;R&gt;1&lt;/R&gt;&lt;C&gt;1&lt;/C&gt;&lt;D xsi:type="xsd:double"&gt;164&lt;/D&gt;&lt;/FQL&gt;&lt;FQL&gt;&lt;Q&gt;EWC^SIZE(FG_CONSTITUENTS)&lt;/Q&gt;&lt;R&gt;1&lt;/R&gt;&lt;C&gt;1&lt;/C&gt;&lt;D xsi:type="xsd:long"&gt;88&lt;/D&gt;&lt;/FQL&gt;&lt;FQL&gt;&lt;Q&gt;EWC^FMA_RBICS_REV_CURRENT(30, LOC, "PORTAGG")&lt;/Q&gt;&lt;R&gt;1&lt;/R&gt;&lt;C&gt;1&lt;/C&gt;&lt;D xsi:type="xsd:double"&gt;39.7998235576264&lt;/D&gt;&lt;/FQL&gt;&lt;FQL&gt;&lt;Q&gt;TRYIT10Y-FDS^FG_YIELD_NAME&lt;/Q&gt;&lt;R&gt;1&lt;/R&gt;&lt;C&gt;1&lt;/C&gt;&lt;D xsi:type="xsd:string"&gt;Italy Benchmark Bond - 10 Year&lt;/D&gt;&lt;/FQL&gt;&lt;FQL&gt;&lt;Q&gt;EWA^FMA_ROE(NTMA,-20AY,NOW,FY,"PORTAGG","MEANR")&lt;/Q&gt;&lt;R&gt;20&lt;/R&gt;&lt;C&gt;1&lt;/C&gt;&lt;D xsi:type="xsd:double"&gt;15.4970825561621&lt;/D&gt;&lt;D xsi:type="xsd:double"&gt;16.532509518014&lt;/D&gt;&lt;D xsi:type="xsd:double"&gt;17.0193996486167&lt;/D&gt;&lt;D xsi:type="xsd:double"&gt;15.5609914058652&lt;/D&gt;&lt;D xsi:type="xsd:double"&gt;13.5690116283254&lt;/D&gt;&lt;D xsi:type="xsd:double"&gt;12.8492110125335&lt;/D&gt;&lt;D xsi:type="xsd:double"&gt;14.2386354612725&lt;/D&gt;&lt;D xsi:type="xsd:double"&gt;14.168071267681&lt;/D&gt;&lt;D xsi:type="xsd:double"&gt;12.6921652881541&lt;/D&gt;&lt;D xsi:type="xsd:double"&gt;13.1922555858139&lt;/D&gt;&lt;D xsi:type="xsd:double"&gt;12.5644042089263&lt;/D&gt;&lt;D xsi:type="xsd:double"&gt;10.7321365234713&lt;/D&gt;&lt;D xsi:type="xsd:double"&gt;11.5035211675747&lt;/D&gt;&lt;D xsi:type="xsd:double"&gt;11.9072990069878&lt;/D&gt;&lt;D xsi:type="xsd:double"&gt;12.4009311752812&lt;/D&gt;&lt;D xsi:type="xsd:double"&gt;11.7272453218097&lt;/D&gt;&lt;D xsi:type="xsd:double"&gt;11.0508592064609&lt;/D&gt;&lt;D xsi:type="xsd:double"&gt;12.8471719199911&lt;/D&gt;&lt;D xsi:type="xsd:double"&gt;14.6580605840091&lt;/D&gt;&lt;D xsi:type="xsd:double"&gt;13.2261379950135&lt;/D&gt;&lt;/FQL&gt;&lt;FQL&gt;&lt;Q&gt;TRYFR10Y-FDS^FG_YIELD(-10AY,0,Y,,"YTM")&lt;/Q&gt;&lt;R&gt;10&lt;/R&gt;&lt;C&gt;1&lt;/C&gt;&lt;D xsi:type="xsd:double"&gt;0.837&lt;/D&gt;&lt;D xsi:type="xsd:double"&gt;0.9989&lt;/D&gt;&lt;D xsi:type="xsd:double"&gt;0.682&lt;/D&gt;&lt;D xsi:type="xsd:double"&gt;0.785&lt;/D&gt;&lt;D xsi:type="xsd:double"&gt;0.71&lt;/D&gt;&lt;D xsi:type="xsd:double"&gt;0.118&lt;/D&gt;&lt;D xsi:type="xsd:double"&gt;-0.344&lt;/D&gt;&lt;D xsi:type="xsd:double"&gt;0.201&lt;/D&gt;&lt;D xsi:type="xsd:double"&gt;3.07&lt;/D&gt;&lt;D xsi:type="xsd:double"&gt;2.534&lt;/D&gt;&lt;/FQL&gt;&lt;FQL&gt;&lt;Q&gt;CAGDPY@IT^EE_ACTUAL_ANNUAL(MED,0)&lt;/Q&gt;&lt;R&gt;1&lt;/R&gt;&lt;C&gt;1&lt;/C&gt;&lt;D xsi:type="xsd:double"&gt;0.508205811941024&lt;/D&gt;&lt;/FQL&gt;&lt;FQL&gt;&lt;Q&gt;CAGDPY@JP^EE_ACTUAL_ANNUAL(MED,0)&lt;/Q&gt;&lt;R&gt;1&lt;/R&gt;&lt;C&gt;1&lt;/C&gt;&lt;D xsi:type="xsd:double"&gt;3.61295912215857&lt;/D&gt;&lt;/FQL&gt;&lt;FQL&gt;&lt;Q&gt;CC_AU^FG_COMPANY_NAME&lt;/Q&gt;&lt;R&gt;1&lt;/R&gt;&lt;C&gt;1&lt;/C&gt;&lt;D xsi:type="xsd:string"&gt;Australia&lt;/D&gt;&lt;/FQL&gt;&lt;FQL&gt;&lt;Q&gt;USDSEK^FG_PRICE(0)&lt;/Q&gt;&lt;R&gt;1&lt;/R&gt;&lt;C&gt;1&lt;/C&gt;&lt;D xsi:type="xsd:double"&gt;10.45955&lt;/D&gt;&lt;/FQL&gt;&lt;FQL&gt;&lt;Q&gt;USDCHF^FG_PRICE(0)&lt;/Q&gt;&lt;R&gt;1&lt;/R&gt;&lt;C&gt;1&lt;/C&gt;&lt;D xsi:type="xsd:double"&gt;0.8943&lt;/D&gt;&lt;/FQL&gt;&lt;FQL&gt;&lt;Q&gt;USDEUR^FG_PRICE(0)&lt;/Q&gt;&lt;R&gt;1&lt;/R&gt;&lt;C&gt;1&lt;/C&gt;&lt;D xsi:type="xsd:double"&gt;0.9283758&lt;/D&gt;&lt;/FQL&gt;&lt;FQL&gt;&lt;Q&gt;USDAUD^FG_PRICE(0)&lt;/Q&gt;&lt;R&gt;1&lt;/R&gt;&lt;C&gt;1&lt;/C&gt;&lt;D xsi:type="xsd:double"&gt;1.5060241&lt;/D&gt;&lt;/FQL&gt;&lt;FQL&gt;&lt;Q&gt;EWU^FMA_EPS(NTMA,-20AY,0,CY,,"PORTAGG","MEANR")&lt;/Q&gt;&lt;R&gt;20&lt;/R&gt;&lt;C&gt;1&lt;/C&gt;&lt;D xsi:type="xsd:double"&gt;2.78829402631307&lt;/D&gt;&lt;D xsi:type="xsd:double"&gt;2.94932484667975&lt;/D&gt;&lt;D xsi:type="xsd:double"&gt;3.75488864741091&lt;/D&gt;&lt;D xsi:type="xsd:double"&gt;4.07523919059458&lt;/D&gt;&lt;D xsi:type="xsd:double"&gt;2.818707383858&lt;/D&gt;&lt;D xsi:type="xsd:double"&gt;2.6972177795125&lt;/D&gt;&lt;D xsi:type="xsd:double"&gt;3.36495665882676&lt;/D&gt;&lt;D xsi:type="xsd:double"&gt;3.43468170545609&lt;/D&gt;&lt;D xsi:type="xsd:double"&gt;3.30605625416888&lt;/D&gt;&lt;D xsi:type="xsd:double"&gt;3.23218168522276&lt;/D&gt;&lt;D xsi:type="xsd:double"&gt;2.60589751741525&lt;/D&gt;&lt;D xsi:type="xsd:double"&gt;2.12294202915382&lt;/D&gt;&lt;D xsi:type="xsd:double"&gt;2.123898319152&lt;/D&gt;&lt;D xsi:type="xsd:double"&gt;2.42405089418043&lt;/D&gt;&lt;D xsi:type="xsd:double"&gt;2.57732227429949&lt;/D&gt;&lt;D xsi:type="xsd:double"&gt;2.53485794585659&lt;/D&gt;&lt;D xsi:type="xsd:double"&gt;2.03463841720374&lt;/D&gt;&lt;D xsi:type="xsd:double"&gt;2.71427224340632&lt;/D&gt;&lt;D xsi:type="xsd:double"&gt;3.12760121442787&lt;/D&gt;&lt;D xsi:type="xsd:double"&gt;3.0028044332351&lt;/D&gt;&lt;/FQL&gt;&lt;FQL&gt;&lt;Q&gt;EWJ^P_PRICE_RETURNS_PR('52W',2,-10AY,0,AM)&lt;/Q&gt;&lt;R&gt;121&lt;/R&gt;&lt;C&gt;1&lt;/C&gt;&lt;D xsi:type="xsd:double"&gt;6.762016&lt;/D&gt;&lt;D xsi:type="xsd:double"&gt;1.9407988&lt;/D&gt;&lt;D xsi:type="xsd:double"&gt;4.5844793&lt;/D&gt;&lt;D xsi:type="xsd:double"&gt;3.6258698&lt;/D&gt;&lt;D xsi:type="xsd:double"&gt;-7.2362003&lt;/D&gt;&lt;D xsi:type="xsd:double"&gt;-0.015574694&lt;/D&gt;&lt;D xsi:type="xsd:double"&gt;-3.0926704&lt;/D&gt;&lt;D xsi:type="xsd:double"&gt;-5.6436596&lt;/D&gt;&lt;D xsi:type="xsd:double"&gt;5.707228&lt;/D&gt;&lt;D xsi:type="xsd:double"&gt;13.154518&lt;/D&gt;&lt;D xsi:type="xsd:double"&gt;20.500792&lt;/D&gt;&lt;D xsi:type="xsd:double"&gt;16.602898&lt;/D&gt;&lt;D xsi:type="xsd:double"&gt;11.516476&lt;/D&gt;&lt;D xsi:type="xsd:double"&gt;8.631599&lt;/D&gt;&lt;D xsi:type="xsd:double"&gt;9.485316&lt;/D&gt;&lt;D xsi:type="xsd:double"&gt;0.32684803&lt;/D&gt;&lt;D xsi:type="xsd:double"&gt;11.001884&lt;/D&gt;&lt;D xsi:type="xsd:double"&gt;6.0777545&lt;/D&gt;&lt;D xsi:type="xsd:double"&gt;5.855489&lt;/D&gt;&lt;D xsi:type="xsd:double"&gt;2.8661132&lt;/D&gt;&lt;D xsi:type="xsd:double"&gt;-10.613335&lt;/D&gt;&lt;D xsi:type="xsd:double"&gt;-4.3235006&lt;/D&gt;&lt;D xsi:type="xsd:double"&gt;-6.7208886&lt;/D&gt;&lt;D xsi:type="xsd:double"&gt;-10.280305&lt;/D&gt;&lt;D xsi:type="xsd:double"&gt;-10.637194&lt;/D&gt;&lt;D xsi:type="xsd:double"&gt;-5.832064&lt;/D&gt;&lt;D xsi:type="xsd:double"&gt;-2.353239&lt;/D&gt;&lt;D xsi:type="xsd:double"&gt;5.5918336&lt;/D&gt;&lt;D xsi:type="xsd:double"&gt;4.4909596&lt;/D&gt;&lt;D xsi:type="xsd:double"&gt;0.2713561&lt;/D&gt;&lt;D xsi:type="xsd:double"&gt;8.522606&lt;/D&gt;&lt;D xsi:type="xsd:double"&gt;14.206481&lt;/D&gt;&lt;D xsi:type="xsd:double"&gt;26.318598&lt;/D&gt;&lt;D xsi:type="xsd:double"&gt;14.092482&lt;/D&gt;&lt;D xsi:type="xsd:double"&gt;8.9735985&lt;/D&gt;&lt;D xsi:type="xsd:double"&gt;14.210153&lt;/D&gt;&lt;D xsi:type="xsd:double"&gt;21.586407&lt;/D&gt;&lt;D xsi:type="xsd:double"&gt;14.445745&lt;/D&gt;&lt;D xsi:type="xsd:double"&gt;11.090732&lt;/D&gt;&lt;D xsi:type="xsd:double"&gt;14.980102&lt;/D&gt;&lt;D xsi:type="xsd:double"&gt;18.369055&lt;/D&gt;&lt;D xsi:type="xsd:double"&gt;20.996452&lt;/D&gt;&lt;D xsi:type="xsd:double"&gt;19.274616&lt;/D&gt;&lt;D xsi:type="xsd:double"&gt;27.14405&lt;/D&gt;&lt;D xsi:type="xsd:double"&gt;16.836512&lt;/D&gt;&lt;D xsi:type="xsd:double"&gt;18.951118&lt;/D&gt;&lt;D xsi:type="xsd:double"&gt;20.577288&lt;/D&gt;&lt;D xsi:type="xsd:double"&gt;18.85146&lt;/D&gt;&lt;D xsi:type="xsd:double"&gt;12.720596&lt;/D&gt;&lt;D xsi:type="xsd:double"&gt;9.1579075&lt;/D&gt;&lt;D xsi:type="xsd:double"&gt;7.2566032&lt;/D&gt;&lt;D xsi:type="xsd:double"&gt;5.7265162&lt;/D&gt;&lt;D xsi:type="xsd:double"&gt;1.5479326&lt;/D&gt;&lt;D xsi:type="xsd:double"&gt;-6.5968156&lt;/D&gt;&lt;D xsi:type="xsd:double"&gt;-9.640426&lt;/D&gt;&lt;D xsi:type="xsd:double"&gt;-15.164638&lt;/D&gt;&lt;D xsi:type="xsd:double"&gt;-8.065737&lt;/D&gt;&lt;D xsi:type="xsd:double"&gt;-9.014148&lt;/D&gt;&lt;D xsi:type="xsd:double"&gt;-7.153267&lt;/D&gt;&lt;D xsi:type="xsd:double"&gt;-12.406975&lt;/D&gt;&lt;D xsi:type="xsd:double"&gt;-9.411555&lt;/D&gt;&lt;D xsi:type="xsd:double"&gt;-1.7686605&lt;/D&gt;&lt;D xsi:type="xsd:double"&gt;-4.53611&lt;/D&gt;&lt;D xsi:type="xsd:double"&gt;0.6288886&lt;/D&gt;&lt;D xsi:type="xsd:double"&gt;2.67874&lt;/D&gt;&lt;D xsi:type="xsd:double"&gt;12.113142&lt;/D&gt;&lt;D xsi:type="xsd:double"&gt;15.282213&lt;/D&gt;&lt;D xsi:type="xsd:double"&gt;15.671515&lt;/D&gt;&lt;D xsi:type="xsd:double"&gt;11.6835&lt;/D&gt;&lt;D xsi:type="xsd:double"&gt;-12.9453&lt;/D&gt;&lt;D xsi:type="xsd:double"&gt;-6.9619894&lt;/D&gt;&lt;D xsi:type="xsd:double"&gt;1.2369037&lt;/D&gt;&lt;D xsi:type="xsd:double"&gt;5.7610273&lt;/D&gt;&lt;D xsi:type="xsd:double"&gt;2.7579308&lt;/D&gt;&lt;D xsi:type="xsd:double"&gt;9.982336&lt;/D&gt;&lt;D xsi:type="xsd:double"&gt;6.9489717&lt;/D&gt;&lt;D xsi:type="xsd:double"&gt;6.068063&lt;/D&gt;&lt;D xsi:type="xsd:double"&gt;8.2862015&lt;/D&gt;&lt;D xsi:type="xsd:double"&gt;11.33436&lt;/D&gt;&lt;D xsi:type="xsd:double"&gt;16.986525&lt;/D&gt;&lt;D xsi:type="xsd:double"&gt;21.875525&lt;/D&gt;&lt;D xsi:type="xsd:double"&gt;55.725502&lt;/D&gt;&lt;D xsi:type="xsd:double"&gt;40.549873&lt;/D&gt;&lt;D xsi:type="xsd:double"&gt;27.403568&lt;/D&gt;&lt;D xsi:type="xsd:double"&gt;27.318108&lt;/D&gt;&lt;D xsi:type="xsd:double"&gt;24.652576&lt;/D&gt;&lt;D xsi:type="xsd:double"&gt;19.970226&lt;/D&gt;&lt;D xsi:type="xsd:double"&gt;27.486122&lt;/D&gt;&lt;D xsi:type="xsd:double"&gt;15.167308&lt;/D&gt;&lt;D xsi:type="xsd:double"&gt;13.411784&lt;/D&gt;&lt;D xsi:type="xsd:double"&gt;3.932035&lt;/D&gt;&lt;D xsi:type="xsd:double"&gt;-0.716275&lt;/D&gt;&lt;D xsi:type="xsd:double"&gt;-8.1916275&lt;/D&gt;&lt;D xsi:type="xsd:double"&gt;-12.180096&lt;/D&gt;&lt;D xsi:type="xsd:double"&gt;-14.21774&lt;/D&gt;&lt;D xsi:type="xsd:double"&gt;-12.859374&lt;/D&gt;&lt;D xsi:type="xsd:double"&gt;-20.883953&lt;/D&gt;&lt;D xsi:type="xsd:double"&gt;-21.13312&lt;/D&gt;&lt;D xsi:type="xsd:double"&gt;-14.7266445&lt;/D&gt;&lt;D xsi:type="xsd:double"&gt;-28.829962&lt;/D&gt;&lt;D xsi:type="xsd:double"&gt;-25.664484&lt;/D&gt;&lt;D xsi:type="xsd:double"&gt;-18.624657&lt;/D&gt;&lt;D xsi:type="xsd:double"&gt;-15.394574&lt;/D&gt;&lt;D xsi:type="xsd:double"&gt;-14.64448&lt;/D&gt;&lt;D xsi:type="xsd:double"&gt;-8.085251&lt;/D&gt;&lt;D xsi:type="xsd:double"&gt;-2.7734518&lt;/D&gt;&lt;D xsi:type="xsd:double"&gt;1.7557621&lt;/D&gt;&lt;D xsi:type="xsd:double"&gt;10.409665&lt;/D&gt;&lt;D xsi:type="xsd:double"&gt;20.353949&lt;/D&gt;&lt;D xsi:type="xsd:double"&gt;20.932007&lt;/D&gt;&lt;D xsi:type="xsd:double"&gt;10.0384&lt;/D&gt;&lt;D xsi:type="xsd:double"&gt;22.436846&lt;/D&gt;&lt;D xsi:type="xsd:double"&gt;22.298098&lt;/D&gt;&lt;D xsi:type="xsd:double"&gt;11.033797&lt;/D&gt;&lt;D xsi:type="xsd:double"&gt;15.275216&lt;/D&gt;&lt;D xsi:type="xsd:double"&gt;20.010471&lt;/D&gt;&lt;D xsi:type="xsd:double"&gt;17.332602&lt;/D&gt;&lt;D xsi:type="xsd:double"&gt;25.968002&lt;/D&gt;&lt;D xsi:type="xsd:double"&gt;21.453094&lt;/D&gt;&lt;D xsi:type="xsd:double"&gt;14.814747&lt;/D&gt;&lt;D xsi:type="xsd:double"&gt;8.022987&lt;/D&gt;&lt;/FQL&gt;&lt;FQL&gt;&lt;Q&gt;EWC^FG_TOTAL_RETURNC(-10AY,0,AM)&lt;/Q&gt;&lt;R&gt;121&lt;/R&gt;&lt;C&gt;1&lt;/C&gt;&lt;D xsi:type="xsd:double"&gt;2.8049588&lt;/D&gt;&lt;D xsi:type="xsd:double"&gt;2.4996758&lt;/D&gt;&lt;D xsi:type="xsd:double"&gt;-0.4677236&lt;/D&gt;&lt;D xsi:type="xsd:double"&gt;0.81453323&lt;/D&gt;&lt;D xsi:type="xsd:double"&gt;-10.379118&lt;/D&gt;&lt;D xsi:type="xsd:double"&gt;4.022193&lt;/D&gt;&lt;D xsi:type="xsd:double"&gt;-8.66667&lt;/D&gt;&lt;D xsi:type="xsd:double"&gt;0.1969099&lt;/D&gt;&lt;D xsi:type="xsd:double"&gt;3.692758&lt;/D&gt;&lt;D xsi:type="xsd:double"&gt;-5.413109&lt;/D&gt;&lt;D xsi:type="xsd:double"&gt;6.2123537&lt;/D&gt;&lt;D xsi:type="xsd:double"&gt;2.1269083&lt;/D&gt;&lt;D xsi:type="xsd:double"&gt;-4.338771&lt;/D&gt;&lt;D xsi:type="xsd:double"&gt;-4.349107&lt;/D&gt;&lt;D xsi:type="xsd:double"&gt;-3.860855&lt;/D&gt;&lt;D xsi:type="xsd:double"&gt;-6.799203&lt;/D&gt;&lt;D xsi:type="xsd:double"&gt;4.4795156&lt;/D&gt;&lt;D xsi:type="xsd:double"&gt;-7.799101&lt;/D&gt;&lt;D xsi:type="xsd:double"&gt;-4.472989&lt;/D&gt;&lt;D xsi:type="xsd:double"&gt;-8.932739&lt;/D&gt;&lt;D xsi:type="xsd:double"&gt;5.3147554&lt;/D&gt;&lt;D xsi:type="xsd:double"&gt;14.600682&lt;/D&gt;&lt;D xsi:type="xsd:double"&gt;4.2325735&lt;/D&gt;&lt;D xsi:type="xsd:double"&gt;-0.98441243&lt;/D&gt;&lt;D xsi:type="xsd:double"&gt;3.1483054&lt;/D&gt;&lt;D xsi:type="xsd:double"&gt;1.8060923&lt;/D&gt;&lt;D xsi:type="xsd:double"&gt;2.3061633&lt;/D&gt;&lt;D xsi:type="xsd:double"&gt;-3.731048&lt;/D&gt;&lt;D xsi:type="xsd:double"&gt;2.4626493&lt;/D&gt;&lt;D xsi:type="xsd:double"&gt;-2.0882547&lt;/D&gt;&lt;D xsi:type="xsd:double"&gt;9.336019&lt;/D&gt;&lt;D xsi:type="xsd:double"&gt;0.85048676&lt;/D&gt;&lt;D xsi:type="xsd:double"&gt;2.027285&lt;/D&gt;&lt;D xsi:type="xsd:double"&gt;-3.6849737&lt;/D&gt;&lt;D xsi:type="xsd:double"&gt;0.11253357&lt;/D&gt;&lt;D xsi:type="xsd:double"&gt;-2.173096&lt;/D&gt;&lt;D xsi:type="xsd:double"&gt;2.4511695&lt;/D&gt;&lt;D xsi:type="xsd:double"&gt;3.010857&lt;/D&gt;&lt;D xsi:type="xsd:double"&gt;-0.43908358&lt;/D&gt;&lt;D xsi:type="xsd:double"&gt;4.7041535&lt;/D&gt;&lt;D xsi:type="xsd:double"&gt;2.702701&lt;/D&gt;&lt;D xsi:type="xsd:double"&gt;-0.20505786&lt;/D&gt;&lt;D xsi:type="xsd:double"&gt;0.2739668&lt;/D&gt;&lt;D xsi:type="xsd:double"&gt;4.1517377&lt;/D&gt;&lt;D xsi:type="xsd:double"&gt;-7.57224&lt;/D&gt;&lt;D xsi:type="xsd:double"&gt;-0.21559&lt;/D&gt;&lt;D xsi:type="xsd:double"&gt;0.64817667&lt;/D&gt;&lt;D xsi:type="xsd:double"&gt;3.8282633&lt;/D&gt;&lt;D xsi:type="xsd:double"&gt;0.103378296&lt;/D&gt;&lt;D xsi:type="xsd:double"&gt;0.86336136&lt;/D&gt;&lt;D xsi:type="xsd:double"&gt;-1.3415873&lt;/D&gt;&lt;D xsi:type="xsd:double"&gt;-0.94142556&lt;/D&gt;&lt;D xsi:type="xsd:double"&gt;-4.012668&lt;/D&gt;&lt;D xsi:type="xsd:double"&gt;-2.8969586&lt;/D&gt;&lt;D xsi:type="xsd:double"&gt;-3.0589104&lt;/D&gt;&lt;D xsi:type="xsd:double"&gt;1.8724084&lt;/D&gt;&lt;D xsi:type="xsd:double"&gt;4.8211455&lt;/D&gt;&lt;D xsi:type="xsd:double"&gt;3.3011913&lt;/D&gt;&lt;D xsi:type="xsd:double"&gt;2.2980213&lt;/D&gt;&lt;D xsi:type="xsd:double"&gt;-3.0186057&lt;/D&gt;&lt;D xsi:type="xsd:double"&gt;1.701057&lt;/D&gt;&lt;D xsi:type="xsd:double"&gt;4.10465&lt;/D&gt;&lt;D xsi:type="xsd:double"&gt;-2.8285623&lt;/D&gt;&lt;D xsi:type="xsd:double"&gt;2.378416&lt;/D&gt;&lt;D xsi:type="xsd:double"&gt;-1.0055482&lt;/D&gt;&lt;D xsi:type="xsd:double"&gt;3.5026312&lt;/D&gt;&lt;D xsi:type="xsd:double"&gt;0.43994188&lt;/D&gt;&lt;D xsi:type="xsd:double"&gt;3.0078292&lt;/D&gt;&lt;D xsi:type="xsd:double"&gt;1.0938048&lt;/D&gt;&lt;D xsi:type="xsd:double"&gt;-26.229507&lt;/D&gt;&lt;D xsi:type="xsd:double"&gt;3.111112&lt;/D&gt;&lt;D xsi:type="xsd:double"&gt;1.4224172&lt;/D&gt;&lt;D xsi:type="xsd:double"&gt;9.137273&lt;/D&gt;&lt;D xsi:type="xsd:double"&gt;2.3438811&lt;/D&gt;&lt;D xsi:type="x</t>
        </r>
      </text>
    </comment>
    <comment ref="A11" authorId="0" shapeId="0" xr:uid="{6978C50A-7C86-4A71-8A6D-2A50F126A051}">
      <text>
        <r>
          <rPr>
            <b/>
            <sz val="9"/>
            <color indexed="81"/>
            <rFont val="Tahoma"/>
            <charset val="1"/>
          </rPr>
          <t>sd:double"&gt;8.839357&lt;/D&gt;&lt;D xsi:type="xsd:double"&gt;-1.5536726&lt;/D&gt;&lt;D xsi:type="xsd:double"&gt;1.9727468&lt;/D&gt;&lt;D xsi:type="xsd:double"&gt;1.2662649&lt;/D&gt;&lt;D xsi:type="xsd:double"&gt;9.169853&lt;/D&gt;&lt;D xsi:type="xsd:double"&gt;2.9267073&lt;/D&gt;&lt;D xsi:type="xsd:double"&gt;2.9108047&lt;/D&gt;&lt;D xsi:type="xsd:double"&gt;4.866171&lt;/D&gt;&lt;D xsi:type="xsd:double"&gt;1.7401457&lt;/D&gt;&lt;D xsi:type="xsd:double"&gt;3.4492612&lt;/D&gt;&lt;D xsi:type="xsd:double"&gt;4.8575044&lt;/D&gt;&lt;D xsi:type="xsd:double"&gt;-1.8244267&lt;/D&gt;&lt;D xsi:type="xsd:double"&gt;1.5620708&lt;/D&gt;&lt;D xsi:type="xsd:double"&gt;-0.9281337&lt;/D&gt;&lt;D xsi:type="xsd:double"&gt;2.1413207&lt;/D&gt;&lt;D xsi:type="xsd:double"&gt;4.821801&lt;/D&gt;&lt;D xsi:type="xsd:double"&gt;-6.479943&lt;/D&gt;&lt;D xsi:type="xsd:double"&gt;5.686426&lt;/D&gt;&lt;D xsi:type="xsd:double"&gt;-0.48680305&lt;/D&gt;&lt;D xsi:type="xsd:double"&gt;-0.82389116&lt;/D&gt;&lt;D xsi:type="xsd:double"&gt;3.3489108&lt;/D&gt;&lt;D xsi:type="xsd:double"&gt;-9.821653&lt;/D&gt;&lt;D xsi:type="xsd:double"&gt;-1.7802238&lt;/D&gt;&lt;D xsi:type="xsd:double"&gt;-5.6857166&lt;/D&gt;&lt;D xsi:type="xsd:double"&gt;9.784925&lt;/D&gt;&lt;D xsi:type="xsd:double"&gt;-5.463582&lt;/D&gt;&lt;D xsi:type="xsd:double"&gt;-8.902508&lt;/D&gt;&lt;D xsi:type="xsd:double"&gt;12.271714&lt;/D&gt;&lt;D xsi:type="xsd:double"&gt;-2.3359299&lt;/D&gt;&lt;D xsi:type="xsd:double"&gt;3.201902&lt;/D&gt;&lt;D xsi:type="xsd:double"&gt;2.6429176&lt;/D&gt;&lt;D xsi:type="xsd:double"&gt;-8.368313&lt;/D&gt;&lt;D xsi:type="xsd:double"&gt;8.39951&lt;/D&gt;&lt;D xsi:type="xsd:double"&gt;-1.9442141&lt;/D&gt;&lt;D xsi:type="xsd:double"&gt;-0.23495555&lt;/D&gt;&lt;D xsi:type="xsd:double"&gt;3.3750415&lt;/D&gt;&lt;D xsi:type="xsd:double"&gt;-1.6042769&lt;/D&gt;&lt;D xsi:type="xsd:double"&gt;-1.0297477&lt;/D&gt;&lt;D xsi:type="xsd:double"&gt;-4.104042&lt;/D&gt;&lt;D xsi:type="xsd:double"&gt;0.84388256&lt;/D&gt;&lt;D xsi:type="xsd:double"&gt;6.963539&lt;/D&gt;&lt;D xsi:type="xsd:double"&gt;2.835238&lt;/D&gt;&lt;D xsi:type="xsd:double"&gt;-2.809143&lt;/D&gt;&lt;D xsi:type="xsd:double"&gt;8.104277&lt;/D&gt;&lt;D xsi:type="xsd:double"&gt;-2.6212335&lt;/D&gt;&lt;D xsi:type="xsd:double"&gt;2.5841117&lt;/D&gt;&lt;D xsi:type="xsd:double"&gt;-3.0529082&lt;/D&gt;&lt;/FQL&gt;&lt;FQL&gt;&lt;Q&gt;ENZL^FMA_DIV_YLD(NTMA,-10AY,0,AM,"PORTAGG","MEANR")&lt;/Q&gt;&lt;R&gt;121&lt;/R&gt;&lt;C&gt;1&lt;/C&gt;&lt;D xsi:type="xsd:double"&gt;4.19889697221484&lt;/D&gt;&lt;D xsi:type="xsd:double"&gt;4.47065595228737&lt;/D&gt;&lt;D xsi:type="xsd:double"&gt;4.56439140523192&lt;/D&gt;&lt;D xsi:type="xsd:double"&gt;4.56760556350107&lt;/D&gt;&lt;D xsi:type="xsd:double"&gt;4.66485136763884&lt;/D&gt;&lt;D xsi:type="xsd:double"&gt;4.46329456240992&lt;/D&gt;&lt;D xsi:type="xsd:double"&gt;4.47531369672272&lt;/D&gt;&lt;D xsi:type="xsd:double"&gt;4.37640147762663&lt;/D&gt;&lt;D xsi:type="xsd:double"&gt;4.27316629263775&lt;/D&gt;&lt;D xsi:type="xsd:double"&gt;4.28238922483162&lt;/D&gt;&lt;D xsi:type="xsd:double"&gt;4.42649785481596&lt;/D&gt;&lt;D xsi:type="xsd:double"&gt;4.47122867908393&lt;/D&gt;&lt;D xsi:type="xsd:double"&gt;4.46107606351032&lt;/D&gt;&lt;D xsi:type="xsd:double"&gt;4.73156838933365&lt;/D&gt;&lt;D xsi:type="xsd:double"&gt;4.71291041035842&lt;/D&gt;&lt;D xsi:type="xsd:double"&gt;5.14860233606005&lt;/D&gt;&lt;D xsi:type="xsd:double"&gt;5.18833966563807&lt;/D&gt;&lt;D xsi:type="xsd:double"&gt;4.91325377011427&lt;/D&gt;&lt;D xsi:type="xsd:double"&gt;4.80690185897919&lt;/D&gt;&lt;D xsi:type="xsd:double"&gt;4.8794742776151&lt;/D&gt;&lt;D xsi:type="xsd:double"&gt;5.05120432421511&lt;/D&gt;&lt;D xsi:type="xsd:double"&gt;4.69045024862221&lt;/D&gt;&lt;D xsi:type="xsd:double"&gt;4.58192116027846&lt;/D&gt;&lt;D xsi:type="xsd:double"&gt;4.48155712038826&lt;/D&gt;&lt;D xsi:type="xsd:double"&gt;4.40268105897041&lt;/D&gt;&lt;D xsi:type="xsd:double"&gt;4.29204636356455&lt;/D&gt;&lt;D xsi:type="xsd:double"&gt;4.13615234542724&lt;/D&gt;&lt;D xsi:type="xsd:double"&gt;4.29742905943129&lt;/D&gt;&lt;D xsi:type="xsd:double"&gt;4.47137155912095&lt;/D&gt;&lt;D xsi:type="xsd:double"&gt;4.75551146868518&lt;/D&gt;&lt;D xsi:type="xsd:double"&gt;4.64118638924414&lt;/D&gt;&lt;D xsi:type="xsd:double"&gt;4.53771713130711&lt;/D&gt;&lt;D xsi:type="xsd:double"&gt;4.48254749987984&lt;/D&gt;&lt;D xsi:type="xsd:double"&gt;4.55302182745498&lt;/D&gt;&lt;D xsi:type="xsd:double"&gt;4.56539463799295&lt;/D&gt;&lt;D xsi:type="xsd:double"&gt;4.44974736439804&lt;/D&gt;&lt;D xsi:type="xsd:double"&gt;4.47325562845419&lt;/D&gt;&lt;D xsi:type="xsd:double"&gt;4.43185354300656&lt;/D&gt;&lt;D xsi:type="xsd:double"&gt;4.37462018184818&lt;/D&gt;&lt;D xsi:type="xsd:double"&gt;4.40251772454556&lt;/D&gt;&lt;D xsi:type="xsd:double"&gt;4.36155552520008&lt;/D&gt;&lt;D xsi:type="xsd:double"&gt;4.46249101247098&lt;/D&gt;&lt;D xsi:type="xsd:double"&gt;4.27445334377918&lt;/D&gt;&lt;D xsi:type="xsd:double"&gt;4.30555839122596&lt;/D&gt;&lt;D xsi:type="xsd:double"&gt;4.55668019776514&lt;/D&gt;&lt;D xsi:type="xsd:double"&gt;4.19163761506404&lt;/D&gt;&lt;D xsi:type="xsd:double"&gt;4.27616846295696&lt;/D&gt;&lt;D xsi:type="xsd:double"&gt;4.16891396826759&lt;/D&gt;&lt;D xsi:type="xsd:double"&gt;4.01315170452193&lt;/D&gt;&lt;D xsi:type="xsd:double"&gt;4.0358404436902&lt;/D&gt;&lt;D xsi:type="xsd:double"&gt;4.09733500119558&lt;/D&gt;&lt;D xsi:type="xsd:double"&gt;3.96540139549611&lt;/D&gt;&lt;D xsi:type="xsd:double"&gt;4.23112928737054&lt;/D&gt;&lt;D xsi:type="xsd:double"&gt;4.1972286118118&lt;/D&gt;&lt;D xsi:type="xsd:double"&gt;4.15360920321673&lt;/D&gt;&lt;D xsi:type="xsd:double"&gt;4.10424526837896&lt;/D&gt;&lt;D xsi:type="xsd:double"&gt;3.96896691831919&lt;/D&gt;&lt;D xsi:type="xsd:double"&gt;3.90706120101657&lt;/D&gt;&lt;D xsi:type="xsd:double"&gt;3.79097998423093&lt;/D&gt;&lt;D xsi:type="xsd:double"&gt;3.67411108214977&lt;/D&gt;&lt;D xsi:type="xsd:double"&gt;3.66727066419534&lt;/D&gt;&lt;D xsi:type="xsd:double"&gt;3.44144533023379&lt;/D&gt;&lt;D xsi:type="xsd:double"&gt;3.40221028207077&lt;/D&gt;&lt;D xsi:type="xsd:double"&gt;3.35165354600795&lt;/D&gt;&lt;D xsi:type="xsd:double"&gt;3.33908241893286&lt;/D&gt;&lt;D xsi:type="xsd:double"&gt;3.36009107810022&lt;/D&gt;&lt;D xsi:type="xsd:double"&gt;3.25209090957933&lt;/D&gt;&lt;D xsi:type="xsd:double"&gt;3.16752264053174&lt;/D&gt;&lt;D xsi:type="xsd:double"&gt;3.05119467504918&lt;/D&gt;&lt;D xsi:type="xsd:double"&gt;3.65272794114443&lt;/D&gt;&lt;D xsi:type="xsd:double"&gt;2.99796309390987&lt;/D&gt;&lt;D xsi:type="xsd:double"&gt;2.58788093369132&lt;/D&gt;&lt;D xsi:type="xsd:double"&gt;2.6142356262672&lt;/D&gt;&lt;D xsi:type="xsd:double"&gt;2.48225155501121&lt;/D&gt;&lt;D xsi:type="xsd:double"&gt;2.43923741565566&lt;/D&gt;&lt;D xsi:type="xsd:double"&gt;2.42285264645463&lt;/D&gt;&lt;D xsi:type="xsd:double"&gt;2.33081996462843&lt;/D&gt;&lt;D xsi:type="xsd:double"&gt;2.35636821420605&lt;/D&gt;&lt;D xsi:type="xsd:double"&gt;2.37329087515197&lt;/D&gt;&lt;D xsi:type="xsd:double"&gt;2.43185740446065&lt;/D&gt;&lt;D xsi:type="xsd:double"&gt;2.56823549901218&lt;/D&gt;&lt;D xsi:type="xsd:double"&gt;2.57817915413614&lt;/D&gt;&lt;D xsi:type="xsd:double"&gt;2.56910824902662&lt;/D&gt;&lt;D xsi:type="xsd:double"&gt;2.65932397059227&lt;/D&gt;&lt;D xsi:type="xsd:double"&gt;2.68127948986522&lt;/D&gt;&lt;D xsi:type="xsd:double"&gt;2.59313267595663&lt;/D&gt;&lt;D xsi:type="xsd:double"&gt;2.6658135152186&lt;/D&gt;&lt;D xsi:type="xsd:double"&gt;2.58107532598273&lt;/D&gt;&lt;D xsi:type="xsd:double"&gt;2.66928124593111&lt;/D&gt;&lt;D xsi:type="xsd:double"&gt;2.71152542435697&lt;/D&gt;&lt;D xsi:type="xsd:double"&gt;2.78182117206002&lt;/D&gt;&lt;D xsi:type="xsd:double"&gt;2.81965725465453&lt;/D&gt;&lt;D xsi:type="xsd:double"&gt;2.97607356038104&lt;/D&gt;&lt;D xsi:type="xsd:double"&gt;3.08455783962233&lt;/D&gt;&lt;D xsi:type="xsd:double"&gt;3.14699753135688&lt;/D&gt;&lt;D xsi:type="xsd:double"&gt;3.22762495671221&lt;/D&gt;&lt;D xsi:type="xsd:double"&gt;3.34526641281096&lt;/D&gt;&lt;D xsi:type="xsd:double"&gt;3.31504204348244&lt;/D&gt;&lt;D xsi:type="xsd:double"&gt;3.2048321336856&lt;/D&gt;&lt;D xsi:type="xsd:double"&gt;3.19454755647745&lt;/D&gt;&lt;D xsi:type="xsd:double"&gt;3.49832297749494&lt;/D&gt;&lt;D xsi:type="xsd:double"&gt;3.38689405810595&lt;/D&gt;&lt;D xsi:type="xsd:double"&gt;3.41721324987161&lt;/D&gt;&lt;D xsi:type="xsd:double"&gt;3.39250912530448&lt;/D&gt;&lt;D xsi:type="xsd:double"&gt;3.30841327300675&lt;/D&gt;&lt;D xsi:type="xsd:double"&gt;3.51558682631992&lt;/D&gt;&lt;D xsi:type="xsd:double"&gt;3.39721415554008&lt;/D&gt;&lt;D xsi:type="xsd:double"&gt;3.48642904628922&lt;/D&gt;&lt;D xsi:type="xsd:double"&gt;3.5035987596188&lt;/D&gt;&lt;D xsi:type="xsd:double"&gt;3.4026919485859&lt;/D&gt;&lt;D xsi:type="xsd:double"&gt;3.44218672125393&lt;/D&gt;&lt;D xsi:type="xsd:double"&gt;3.40048298348267&lt;/D&gt;&lt;D xsi:type="xsd:double"&gt;3.4487987563606&lt;/D&gt;&lt;D xsi:type="xsd:double"&gt;3.48194765102132&lt;/D&gt;&lt;D xsi:type="xsd:double"&gt;3.02229151616615&lt;/D&gt;&lt;D xsi:type="xsd:double"&gt;2.97030149297866&lt;/D&gt;&lt;D xsi:type="xsd:double"&gt;3.05271687630358&lt;/D&gt;&lt;D xsi:type="xsd:double"&gt;2.77015787461601&lt;/D&gt;&lt;D xsi:type="xsd:double"&gt;2.78314335737249&lt;/D&gt;&lt;D xsi:type="xsd:double"&gt;2.7400253785202&lt;/D&gt;&lt;D xsi:type="xsd:double"&gt;2.74651997484081&lt;/D&gt;&lt;/FQL&gt;&lt;FQL&gt;&lt;Q&gt;EWI^FMA_PE(LTMA,-10AY,0,AM,"PORTAGG","MEANR")&lt;/Q&gt;&lt;R&gt;121&lt;/R&gt;&lt;C&gt;1&lt;/C&gt;&lt;D xsi:type="xsd:double"&gt;17.3614483231483&lt;/D&gt;&lt;D xsi:type="xsd:double"&gt;17.0932738479799&lt;/D&gt;&lt;D xsi:type="xsd:double"&gt;16.7319561344178&lt;/D&gt;&lt;D xsi:type="xsd:double"&gt;17.9588402743147&lt;/D&gt;&lt;D xsi:type="xsd:double"&gt;16.5330988776316&lt;/D&gt;&lt;D xsi:type="xsd:double"&gt;17.1212211911693&lt;/D&gt;&lt;D xsi:type="xsd:double"&gt;17.8569320977873&lt;/D&gt;&lt;D xsi:type="xsd:double"&gt;18.9910542151029&lt;/D&gt;&lt;D xsi:type="xsd:double"&gt;42.4697962851809&lt;/D&gt;&lt;D xsi:type="xsd:double"&gt;44.0588153560876&lt;/D&gt;&lt;D xsi:type="xsd:double"&gt;41.3673958868418&lt;/D&gt;&lt;D xsi:type="xsd:double"&gt;38.4597896650529&lt;/D&gt;&lt;D xsi:type="xsd:double"&gt;35.4727126625504&lt;/D&gt;&lt;D xsi:type="xsd:double"&gt;32.6267867543922&lt;/D&gt;&lt;D xsi:type="xsd:double"&gt;30.1650414781975&lt;/D&gt;&lt;D xsi:type="xsd:double"&gt;26.8197849684988&lt;/D&gt;&lt;D xsi:type="xsd:double"&gt;24.3219651500257&lt;/D&gt;&lt;D xsi:type="xsd:double"&gt;22.1415681880193&lt;/D&gt;&lt;D xsi:type="xsd:double"&gt;19.3443437809919&lt;/D&gt;&lt;D xsi:type="xsd:double"&gt;16.9833907630738&lt;/D&gt;&lt;D xsi:type="xsd:double"&gt;14.7026285261242&lt;/D&gt;&lt;D xsi:type="xsd:double"&gt;15.491198863705&lt;/D&gt;&lt;D xsi:type="xsd:double"&gt;15.2703574622871&lt;/D&gt;&lt;D xsi:type="xsd:double"&gt;15.4172564617177&lt;/D&gt;&lt;D xsi:type="xsd:double"&gt;14.607878242486&lt;/D&gt;&lt;D xsi:type="xsd:double"&gt;14.5785379015028&lt;/D&gt;&lt;D xsi:type="xsd:double"&gt;15.1614797734865&lt;/D&gt;&lt;D xsi:type="xsd:double"&gt;14.7161144815371&lt;/D&gt;&lt;D xsi:type="xsd:double"&gt;14.4847339195343&lt;/D&gt;&lt;D xsi:type="xsd:double"&gt;14.4928546227796&lt;/D&gt;&lt;D xsi:type="xsd:double"&gt;16.1165998868778&lt;/D&gt;&lt;D xsi:type="xsd:double"&gt;27.708500491864&lt;/D&gt;&lt;D xsi:type="xsd:double"&gt;20.9020852759435&lt;/D&gt;&lt;D xsi:type="xsd:double"&gt;82.9905098910197&lt;/D&gt;&lt;D xsi:type="xsd:double"&gt;75.6114101750278&lt;/D&gt;&lt;D xsi:type="xsd:double"&gt;69.1389552954863&lt;/D&gt;&lt;D xsi:type="xsd:double"&gt;61.5137537784748&lt;/D&gt;&lt;D xsi:type="xsd:double"&gt;54.6640099473089&lt;/D&gt;&lt;D xsi:type="xsd:double"&gt;47.6640328840124&lt;/D&gt;&lt;D xsi:type="xsd:double"&gt;40.1806750977884&lt;/D&gt;&lt;D xsi:type="xsd:double"&gt;33.4113498425122&lt;/D&gt;&lt;D xsi:type="xsd:double"&gt;26.2924338303054&lt;/D&gt;&lt;D xsi:type="xsd:double"&gt;19.5950206458892&lt;/D&gt;&lt;D xsi:type="xsd:double"&gt;15.9424340507552&lt;/D&gt;&lt;D xsi:type="xsd:double"&gt;14.1785976943701&lt;/D&gt;&lt;D xsi:type="xsd:double"&gt;14.1881695258378&lt;/D&gt;&lt;D xsi:type="xsd:double"&gt;14.1213183550001&lt;/D&gt;&lt;D xsi:type="xsd:double"&gt;14.1342325651946&lt;/D&gt;&lt;D xsi:type="xsd:double"&gt;13.5353451475359&lt;/D&gt;&lt;D xsi:type="xsd:double"&gt;13.2622659063843&lt;/D&gt;&lt;D xsi:type="xsd:double"&gt;12.8407163617887&lt;/D&gt;&lt;D xsi:type="xsd:double"&gt;12.4970784398138&lt;/D&gt;&lt;D xsi:type="xsd:double"&gt;11.640564339924&lt;/D&gt;&lt;D xsi:type="xsd:double"&gt;11.4304248126372&lt;/D&gt;&lt;D xsi:type="xsd:double"&gt;10.9541326764414&lt;/D&gt;&lt;D xsi:type="xsd:double"&gt;10.9245469207095&lt;/D&gt;&lt;D xsi:type="xsd:double"&gt;11.0535185979235&lt;/D&gt;&lt;D xsi:type="xsd:double"&gt;11.2791958666872&lt;/D&gt;&lt;D xsi:type="xsd:double"&gt;11.3506178726661&lt;/D&gt;&lt;D xsi:type="xsd:double"&gt;11.0934933940549&lt;/D&gt;&lt;D xsi:type="xsd:double"&gt;11.0016390503922&lt;/D&gt;&lt;D xsi:type="xsd:double"&gt;11.3631178857439&lt;/D&gt;&lt;D xsi:type="xsd:double"&gt;10.8681611000361&lt;/D&gt;&lt;D xsi:type="xsd:double"&gt;11.3828438390413&lt;/D&gt;&lt;D xsi:type="xsd:double"&gt;11.4178771454536&lt;/D&gt;&lt;D xsi:type="xsd:double"&gt;12.0153598341587&lt;/D&gt;&lt;D xsi:type="xsd:double"&gt;11.9679603417242&lt;/D&gt;&lt;D xsi:type="xsd:double"&gt;12.2467817657152&lt;/D&gt;&lt;D xsi:type="xsd:double"&gt;12.7747632243036&lt;/D&gt;&lt;D xsi:type="xsd:double"&gt;10.8037466285777&lt;/D&gt;&lt;D xsi:type="xsd:double"&gt;11.4067698529858&lt;/D&gt;&lt;D xsi:type="xsd:double"&gt;13.4562399400701&lt;/D&gt;&lt;D xsi:type="xsd:double"&gt;15.4533738878511&lt;/D&gt;&lt;D xsi:type="xsd:double"&gt;17.0203969382225&lt;/D&gt;&lt;D xsi:type="xsd:double"&gt;17.9243443576045&lt;/D&gt;&lt;D xsi:type="xsd:double"&gt;18.2445832226643&lt;/D&gt;&lt;D xsi:type="xsd:double"&gt;18.9848752104379&lt;/D&gt;&lt;D xsi:type="xsd:double"&gt;20.5296220030303&lt;/D&gt;&lt;D xsi:type="xsd:double"&gt;22.2710727259828&lt;/D&gt;&lt;D xsi:type="xsd:double"&gt;23.8874484322123&lt;/D&gt;&lt;D xsi:type="xsd:double"&gt;20.6366449810922&lt;/D&gt;&lt;D xsi:type="xsd:double"&gt;20.1309793845693&lt;/D&gt;&lt;D xsi:type="xsd:double"&gt;19.5435566817783&lt;/D&gt;&lt;D xsi:type="xsd:double"&gt;18.7380150347697&lt;/D&gt;&lt;D xsi:type="xsd:double"&gt;18.4783752081425&lt;/D&gt;&lt;D xsi:type="xsd:double"&gt;17.6591693427907&lt;/D&gt;&lt;D xsi:type="xsd:double"&gt;16.4158750835144&lt;/D&gt;&lt;D xsi:type="xsd:double"&gt;15.1635494158739&lt;/D&gt;&lt;D xsi:type="xsd:double"&gt;14.3542052103764&lt;/D&gt;&lt;D xsi:type="xsd:double"&gt;13.9049102710615&lt;/D&gt;&lt;D xsi:type="xsd:double"&gt;12.3618843121288&lt;/D&gt;&lt;D xsi:type="xsd:double"&gt;12.2585520291659&lt;/D&gt;&lt;D xsi:type="xsd:double"&gt;11.7749939214889&lt;/D&gt;&lt;D xsi:type="xsd:double"&gt;10.4997690057126&lt;/D&gt;&lt;D xsi:type="xsd:double"&gt;10.5060785197462&lt;/D&gt;&lt;D xsi:type="xsd:double"&gt;10.2592860068825&lt;/D&gt;&lt;D xsi:type="xsd:double"&gt;9.56722530078096&lt;/D&gt;&lt;D xsi:type="xsd:double"&gt;9.18206692017695&lt;/D&gt;&lt;D xsi:type="xsd:double"&gt;8.7859305006206&lt;/D&gt;&lt;D xsi:type="xsd:double"&gt;8.51597840284146&lt;/D&gt;&lt;D xsi:type="xsd:double"&gt;7.86775673798863&lt;/D&gt;&lt;D xsi:type="xsd:double"&gt;8.46508007121735&lt;/D&gt;&lt;D xsi:type="xsd:double"&gt;7.77622102557451&lt;/D&gt;&lt;D xsi:type="xsd:double"&gt;8.03862081581855&lt;/D&gt;&lt;D xsi:type="xsd:double"&gt;8.31523598458805&lt;/D&gt;&lt;D xsi:type="xsd:double"&gt;8.22891978106875&lt;/D&gt;&lt;D xsi:type="xsd:double"&gt;8.37810637777368&lt;/D&gt;&lt;D xsi:type="xsd:double"&gt;8.3060522317684&lt;/D&gt;&lt;D xsi:type="xsd:double"&gt;8.5043049199642&lt;/D&gt;&lt;D xsi:type="xsd:double"&gt;8.66997991115989&lt;/D&gt;&lt;D xsi:type="xsd:double"&gt;8.24483947741719&lt;/D&gt;&lt;D xsi:type="xsd:double"&gt;8.35359945386408&lt;/D&gt;&lt;D xsi:type="xsd:double"&gt;8.2127689211674&lt;/D&gt;&lt;D xsi:type="xsd:double"&gt;8.18265196059485&lt;/D&gt;&lt;D xsi:type="xsd:double"&gt;8.78257616940369&lt;/D&gt;&lt;D xsi:type="xsd:double"&gt;8.98914691491619&lt;/D&gt;&lt;D xsi:type="xsd:double"&gt;9.07701373708342&lt;/D&gt;&lt;D xsi:type="xsd:double"&gt;9.41442040785571&lt;/D&gt;&lt;D xsi:type="xsd:double"&gt;9.42047152760325&lt;/D&gt;&lt;D xsi:type="xsd:double"&gt;9.56750835434018&lt;/D&gt;&lt;D xsi:type="xsd:double"&gt;9.5893971882502&lt;/D&gt;&lt;/FQL&gt;&lt;FQL&gt;&lt;Q&gt;DDR3512M-FDS^FG_PRICE_CHANGE(0,-1AY)&lt;/Q&gt;&lt;R&gt;1&lt;/R&gt;&lt;C&gt;1&lt;/C&gt;&lt;D xsi:type="xsd:double"&gt;-6.80075826290494&lt;/D&gt;&lt;/FQL&gt;&lt;FQL&gt;&lt;Q&gt;PASP-FDS^FG_PRICE_CHANGE(0,-1AY)&lt;/Q&gt;&lt;R&gt;1&lt;/R&gt;&lt;C&gt;1&lt;/C&gt;&lt;D xsi:type="xsd:double"&gt;-33.695652173913&lt;/D&gt;&lt;/FQL&gt;&lt;FQL&gt;&lt;Q&gt;PLATI-FDS^FG_PRICE_CHANGE(0,-1AY)&lt;/Q&gt;&lt;R&gt;1&lt;/R&gt;&lt;C&gt;1&lt;/C&gt;&lt;D xsi:type="xsd:double"&gt;-3.5&lt;/D&gt;&lt;/FQL&gt;&lt;FQL&gt;&lt;Q&gt;W-FDS^FG_PRICE_CHANGE(0,-1AY)&lt;/Q&gt;&lt;R&gt;1&lt;/R&gt;&lt;C&gt;1&lt;/C&gt;&lt;D xsi:type="xsd:double"&gt;-2.55402750491158&lt;/D&gt;&lt;/FQL&gt;&lt;FQL&gt;&lt;Q&gt;COPP-FDS^FG_PRICE_CHANGE(0,-1AY)&lt;/Q&gt;&lt;R&gt;1&lt;/R&gt;&lt;C&gt;1&lt;/C&gt;&lt;D xsi:type="xsd:double"&gt;17.7354055112969&lt;/D&gt;&lt;/FQL&gt;&lt;FQL&gt;&lt;Q&gt;EWG^FG_COMPANY_NAME&lt;/Q&gt;&lt;R&gt;1&lt;/R&gt;&lt;C&gt;1&lt;/C&gt;&lt;D xsi:type="xsd:string"&gt;iShares MSCI Germany ETF&lt;/D&gt;&lt;/FQL&gt;&lt;FQL&gt;&lt;Q&gt;ENZL^FMA_ROE(NTMA,-20AY,NOW,FY,"PORTAGG","MEANR")&lt;/Q&gt;&lt;R&gt;20&lt;/R&gt;&lt;C&gt;1&lt;/C&gt;&lt;D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xsi:type="xsd:double"&gt;10.8532267295878&lt;/D&gt;&lt;D xsi:type="xsd:double"&gt;10.9048734413645&lt;/D&gt;&lt;D xsi:type="xsd:double"&gt;11.45876758647&lt;/D&gt;&lt;D xsi:type="xsd:double"&gt;11.0832589152415&lt;/D&gt;&lt;D xsi:type="xsd:double"&gt;9.94517431688139&lt;/D&gt;&lt;D xsi:type="xsd:double"&gt;9.90242652659034&lt;/D&gt;&lt;D xsi:type="xsd:double"&gt;9.79986582903071&lt;/D&gt;&lt;D xsi:type="xsd:double"&gt;9.84792896856594&lt;/D&gt;&lt;D xsi:type="xsd:double"&gt;9.52177142619013&lt;/D&gt;&lt;D xsi:type="xsd:double"&gt;9.00388708752031&lt;/D&gt;&lt;D xsi:type="xsd:double"&gt;7.5322638919869&lt;/D&gt;&lt;D xsi:type="xsd:double"&gt;6.44400181202057&lt;/D&gt;&lt;D xsi:type="xsd:double"&gt;7.7689690341127&lt;/D&gt;&lt;D xsi:type="xsd:double"&gt;6.57910753918315&lt;/D&gt;&lt;/FQL&gt;&lt;FQL&gt;&lt;Q&gt;TRYCN10Y-FDS^FG_YIELD(-10AY,0,Y,,"YTM")&lt;/Q&gt;&lt;R&gt;10&lt;/R&gt;&lt;C&gt;1&lt;/C&gt;&lt;D xsi:type="xsd:double"&gt;3.653331&lt;/D&gt;&lt;D xsi:type="xsd:double"&gt;2.901145&lt;/D&gt;&lt;D xsi:type="xsd:double"&gt;3.070911&lt;/D&gt;&lt;D xsi:type="xsd:double"&gt;3.93859&lt;/D&gt;&lt;D xsi:type="xsd:double"&gt;3.259862&lt;/D&gt;&lt;D xsi:type="xsd:double"&gt;3.197311&lt;/D&gt;&lt;D xsi:type="xsd:double"&gt;3.1948&lt;/D&gt;&lt;D xsi:type="xsd:double"&gt;2.7893&lt;/D&gt;&lt;D xsi:type="xsd:double"&gt;2.855&lt;/D&gt;&lt;D xsi:type="xsd:double"&gt;2.574&lt;/D&gt;&lt;/FQL&gt;&lt;FQL&gt;&lt;Q&gt;EWD^FMA_PE(LTMA,-10AY,0,AM,"PORTAGG","MEANR")&lt;/Q&gt;&lt;R&gt;121&lt;/R&gt;&lt;C&gt;1&lt;/C&gt;&lt;D xsi:type="xsd:double"&gt;15.7408257747952&lt;/D&gt;&lt;D xsi:type="xsd:double"&gt;15.6998568725583&lt;/D&gt;&lt;D xsi:type="xsd:double"&gt;15.9001830461187&lt;/D&gt;&lt;D xsi:type="xsd:double"&gt;15.5418822235997&lt;/D&gt;&lt;D xsi:type="xsd:double"&gt;15.1435848683315&lt;/D&gt;&lt;D xsi:type="xsd:double"&gt;16.7455181103026&lt;/D&gt;&lt;D xsi:type="xsd:double"&gt;17.0741162601201&lt;/D&gt;&lt;D xsi:type="xsd:double"&gt;17.5577323861558&lt;/D&gt;&lt;D xsi:type="xsd:double"&gt;19.8055481475861&lt;/D&gt;&lt;D xsi:type="xsd:double"&gt;20.1337936825262&lt;/D&gt;&lt;D xsi:type="xsd:double"&gt;19.8834837386549&lt;/D&gt;&lt;D xsi:type="xsd:double"&gt;19.1394895757498&lt;/D&gt;&lt;D xsi:type="xsd:double"&gt;18.9313195328227&lt;/D&gt;&lt;D xsi:type="xsd:double"&gt;18.7259854906557&lt;/D&gt;&lt;D xsi:type="xsd:double"&gt;18.392747070943&lt;/D&gt;&lt;D xsi:type="xsd:double"&gt;17.2793039634111&lt;/D&gt;&lt;D xsi:type="xsd:double"&gt;16.8004732321002&lt;/D&gt;&lt;D xsi:type="xsd:double"&gt;16.5792087847535&lt;/D&gt;&lt;D xsi:type="xsd:double"&gt;15.838998612314&lt;/D&gt;&lt;D xsi:type="xsd:double"&gt;15.0062598291327&lt;/D&gt;&lt;D xsi:type="xsd:double"&gt;14.3012901753472&lt;/D&gt;&lt;D xsi:type="xsd:double"&gt;15.6817963226905&lt;/D&gt;&lt;D xsi:type="xsd:double"&gt;15.6812733798701&lt;/D&gt;&lt;D xsi:type="xsd:double"&gt;15.4022254971138&lt;/D&gt;&lt;D xsi:type="xsd:double"&gt;15.222379802988&lt;/D&gt;&lt;D xsi:type="xsd:double"&gt;15.5457924696233&lt;/D&gt;&lt;D xsi:type="xsd:double"&gt;16.0431876198889&lt;/D&gt;&lt;D xsi:type="xsd:double"&gt;15.9699232431105&lt;/D&gt;&lt;D xsi:type="xsd:double"&gt;16.8039341269025&lt;/D&gt;&lt;D xsi:type="xsd:double"&gt;17.0412387106005&lt;/D&gt;&lt;D xsi:type="xsd:double"&gt;18.3016080344576&lt;/D&gt;&lt;D xsi:type="xsd:double"&gt;18.2725905117401&lt;/D&gt;&lt;D xsi:type="xsd:double"&gt;17.9388471910009&lt;/D&gt;&lt;D xsi:type="xsd:double"&gt;17.530883578801&lt;/D&gt;&lt;D xsi:type="xsd:double"&gt;17.5466888677906&lt;/D&gt;&lt;D xsi:type="xsd:double"&gt;17.669918177105&lt;/D&gt;&lt;D xsi:type="xsd:double"&gt;17.6074005633452&lt;/D&gt;&lt;D xsi:type="xsd:double"&gt;17.7323166166455&lt;/D&gt;&lt;D xsi:type="xsd:double"&gt;16.846638162441&lt;/D&gt;&lt;D xsi:type="xsd:double"&gt;17.1318021169706&lt;/D&gt;&lt;D xsi:type="xsd:double"&gt;17.5798358947982&lt;/D&gt;&lt;D xsi:type="xsd:double"&gt;18.1637773614727&lt;/D&gt;&lt;D xsi:type="xsd:double"&gt;18.1699520499783&lt;/D&gt;&lt;D xsi:type="xsd:double"&gt;18.241840340287&lt;/D&gt;&lt;D xsi:type="xsd:double"&gt;16.2974999143402&lt;/D&gt;&lt;D xsi:type="xsd:double"&gt;16.952705402022&lt;/D&gt;&lt;D xsi:type="xsd:double"&gt;16.7353320689096&lt;/D&gt;&lt;D xsi:type="xsd:double"&gt;16.8282702397389&lt;/D&gt;&lt;D xsi:type="xsd:double"&gt;16.5153845948916&lt;/D&gt;&lt;D xsi:type="xsd:double"&gt;16.4665786105997&lt;/D&gt;&lt;D xsi:type="xsd:double"&gt;16.5465152538417&lt;/D&gt;&lt;D xsi:type="xsd:double"&gt;16.6048173644084&lt;/D&gt;&lt;D xsi:type="xsd:double"&gt;15.6954705019185&lt;/D&gt;&lt;D xsi:type="xsd:double"&gt;15.1007181996695&lt;/D&gt;&lt;D xsi:type="xsd:double"&gt;14.4498109466835&lt;/D&gt;&lt;D xsi:type="xsd:double"&gt;14.4829776621313&lt;/D&gt;&lt;D xsi:type="xsd:double"&gt;17.1476205871825&lt;/D&gt;&lt;D xsi:type="xsd:double"&gt;18.0276013501022&lt;/D&gt;&lt;D xsi:type="xsd:double"&gt;17.8625117461428&lt;/D&gt;&lt;D xsi:type="xsd:double"&gt;17.4292029454917&lt;/D&gt;&lt;D xsi:type="xsd:double"&gt;17.1891077322336&lt;/D&gt;&lt;D xsi:type="xsd:double"&gt;17.1068951540671&lt;/D&gt;&lt;D xsi:type="xsd:double"&gt;15.9679283127921&lt;/D&gt;&lt;D xsi:type="xsd:double"&gt;16.4398271142619&lt;/D&gt;&lt;D xsi:type="xsd:double"&gt;16.4706516566175&lt;/D&gt;&lt;D xsi:type="xsd:double"&gt;16.9620466548855&lt;/D&gt;&lt;D xsi:type="xsd:double"&gt;16.1242754807422&lt;/D&gt;&lt;D xsi:type="xsd:double"&gt;16.4488226570394&lt;/D&gt;&lt;D xsi:type="xsd:double"&gt;14.538890807463&lt;/D&gt;&lt;D xsi:type="xsd:double"&gt;12.5449837315607&lt;/D&gt;&lt;D xsi:type="xsd:double"&gt;13.782984986912&lt;/D&gt;&lt;D xsi:type="xsd:double"&gt;15.2664532628635&lt;/D&gt;&lt;D xsi:type="xsd:double"&gt;16.2001972454812&lt;/D&gt;&lt;D xsi:type="xsd:double"&gt;18.1497513539158&lt;/D&gt;&lt;D xsi:type="xsd:double"&gt;17.8458093409632&lt;/D&gt;&lt;D xsi:type="xsd:double"&gt;17.7061851474242&lt;/D&gt;&lt;D xsi:type="xsd:double"&gt;18.3547680104409&lt;/D&gt;&lt;D xsi:type="xsd:double"&gt;16.6892213967119&lt;/D&gt;&lt;D xsi:type="xsd:double"&gt;17.415634061863&lt;/D&gt;&lt;D xsi:type="xsd:double"&gt;19.020787827342&lt;/D&gt;&lt;D xsi:type="xsd:double"&gt;17.9855587435841&lt;/D&gt;&lt;D xsi:type="xsd:double"&gt;18.2893627446752&lt;/D&gt;&lt;D xsi:type="xsd:double"&gt;18.7188791492426&lt;/D&gt;&lt;D xsi:type="xsd:double"&gt;17.7593969209359&lt;/D&gt;&lt;D xsi:type="xsd:double"&gt;18.1784531944014&lt;/D&gt;&lt;D xsi:type="xsd:double"&gt;18.1431675466754&lt;/D&gt;&lt;D xsi:type="xsd:double"&gt;17.9419131537633&lt;/D&gt;&lt;D xsi:type="xsd:double"&gt;17.6947284019436&lt;/D&gt;&lt;D xsi:type="xsd:double"&gt;17.3907715802687&lt;/D&gt;&lt;D xsi:type="xsd:double"&gt;17.1561084310364&lt;/D&gt;&lt;D xsi:type="xsd:double"&gt;16.6973429916879&lt;/D&gt;&lt;D xsi:type="xsd:double"&gt;16.3661598930897&lt;/D&gt;&lt;D xsi:type="xsd:double"&gt;12.3962735109965&lt;/D&gt;&lt;D xsi:type="xsd:double"&gt;11.7778221811225&lt;/D&gt;&lt;D xsi:type="xsd:double"&gt;12.260911207435&lt;/D&gt;&lt;D xsi:type="xsd:double"&gt;13.3499522656522&lt;/D&gt;&lt;D xsi:type="xsd:double"&gt;13.400692466611&lt;/D&gt;&lt;D xsi:type="xsd:double"&gt;13.8542319987676&lt;/D&gt;&lt;D xsi:type="xsd:double"&gt;14.9630545678509&lt;/D&gt;&lt;D xsi:type="xsd:double"&gt;14.9517201186361&lt;/D&gt;&lt;D xsi:type="xsd:double"&gt;14.6147164296115&lt;/D&gt;&lt;D xsi:type="xsd:double"&gt;14.3299390120556&lt;/D&gt;&lt;D xsi:type="xsd:double"&gt;16.0493637553739&lt;/D&gt;&lt;D xsi:type="xsd:double"&gt;16.6984621949651&lt;/D&gt;&lt;D xsi:type="xsd:double"&gt;25.833460427759&lt;/D&gt;&lt;D xsi:type="xsd:double"&gt;24.7058351365723&lt;/D&gt;&lt;D xsi:type="xsd:double"&gt;23.6192545193098&lt;/D&gt;&lt;D xsi:type="xsd:double"&gt;22.5014638055016&lt;/D&gt;&lt;D xsi:type="xsd:double"&gt;21.4410630060365&lt;/D&gt;&lt;D xsi:type="xsd:double"&gt;20.1476389078141&lt;/D&gt;&lt;D xsi:type="xsd:double"&gt;18.7690901737017&lt;/D&gt;&lt;D xsi:type="xsd:double"&gt;17.2195936876151&lt;/D&gt;&lt;D xsi:type="xsd:double"&gt;16.2433158719354&lt;/D&gt;&lt;D xsi:type="xsd:double"&gt;15.4493662133689&lt;/D&gt;&lt;D xsi:type="xsd:double"&gt;17.6791771504781&lt;/D&gt;&lt;D xsi:type="xsd:double"&gt;17.4294384523652&lt;/D&gt;&lt;D xsi:type="xsd:double"&gt;15.0969865905291&lt;/D&gt;&lt;D xsi:type="xsd:double"&gt;15.918793686463&lt;/D&gt;&lt;D xsi:type="xsd:double"&gt;15.8911607232096&lt;/D&gt;&lt;D xsi:type="xsd:double"&gt;16.10243373183&lt;/D&gt;&lt;D xsi:type="xsd:double"&gt;16.0699969341677&lt;/D&gt;&lt;/FQL&gt;&lt;FQL&gt;&lt;Q&gt;PASP-FDS^FG_PRICE_CHANGE(0,-6AM)&lt;/Q&gt;&lt;R&gt;1&lt;/R&gt;&lt;C&gt;1&lt;/C&gt;&lt;D xsi:type="xsd:double"&gt;-7.57575757575758&lt;/D&gt;&lt;/FQL&gt;&lt;FQL&gt;&lt;Q&gt;CAGDPY@SE^EE_ACTUAL_ANNUAL(MED,+1)&lt;/Q&gt;&lt;R&gt;1&lt;/R&gt;&lt;C&gt;1&lt;/C&gt;&lt;D xsi:type="xsd:double"&gt;5.1&lt;/D&gt;&lt;/FQL&gt;&lt;FQL&gt;&lt;Q&gt;CAGDPY@DE^EE_ACTUAL_ANNUAL(MED,+1)&lt;/Q&gt;&lt;R&gt;1&lt;/R&gt;&lt;C&gt;1&lt;/C&gt;&lt;D xsi:type="xsd:double"&gt;6.5&lt;/D&gt;&lt;/FQL&gt;&lt;FQL&gt;&lt;Q&gt;CC_NZ^FG_COMPANY_NAME&lt;/Q&gt;&lt;R&gt;1&lt;/R&gt;&lt;C&gt;1&lt;/C&gt;&lt;D xsi:type="xsd:string"&gt;New Zealand&lt;/D&gt;&lt;/FQL&gt;&lt;FQL&gt;&lt;Q&gt;USDSEK^FG_COMPANY_NAME&lt;/Q&gt;&lt;R&gt;1&lt;/R&gt;&lt;C&gt;1&lt;/C&gt;&lt;D xsi:type="xsd:string"&gt;Swedish Krona per U.S. Dollar&lt;/D&gt;&lt;/FQL&gt;&lt;FQL&gt;&lt;Q&gt;USDCHF^FG_COMPANY_NAME&lt;/Q&gt;&lt;R&gt;1&lt;/R&gt;&lt;C&gt;1&lt;/C&gt;&lt;D xsi:type="xsd:string"&gt;Swiss Franc per U.S. Dollar&lt;/D&gt;&lt;/FQL&gt;&lt;FQL&gt;&lt;Q&gt;USDEUR^FG_COMPANY_NAME&lt;/Q&gt;&lt;R&gt;1&lt;/R&gt;&lt;C&gt;1&lt;/C&gt;&lt;D xsi:type="xsd:string"&gt;Euro per U.S. Dollar&lt;/D&gt;&lt;/FQL&gt;&lt;FQL&gt;&lt;Q&gt;USDAUD^FG_COMPANY_NAME&lt;/Q&gt;&lt;R&gt;1&lt;/R&gt;&lt;C&gt;1&lt;/C&gt;&lt;D xsi:type="xsd:string"&gt;Australian Dollar per U.S. Dollar&lt;/D&gt;&lt;/FQL&gt;&lt;FQL&gt;&lt;Q&gt;EWL^FMA_EPS(NTMA,-20AY,0,CY,,"PORTAGG","MEANR")&lt;/Q&gt;&lt;R&gt;20&lt;/R&gt;&lt;C&gt;1&lt;/C&gt;&lt;D xsi:type="xsd:double"&gt;1.15167978614637&lt;/D&gt;&lt;D xsi:type="xsd:double"&gt;1.184604896687&lt;/D&gt;&lt;D xsi:type="xsd:double"&gt;1.51903625271091&lt;/D&gt;&lt;D xsi:type="xsd:double"&gt;1.83335061944152&lt;/D&gt;&lt;D xsi:type="xsd:double"&gt;1.66417500457453&lt;/D&gt;&lt;D xsi:type="xsd:double"&gt;1.62932904763549&lt;/D&gt;&lt;D xsi:type="xsd:double"&gt;1.96787353815353&lt;/D&gt;&lt;D xsi:type="xsd:double"&gt;1.86668659044302&lt;/D&gt;&lt;D xsi:type="xsd:double"&gt;1.99956682614325&lt;/D&gt;&lt;D xsi:type="xsd:double"&gt;2.16083764016243&lt;/D&gt;&lt;D xsi:type="xsd:double"&gt;2.02137608124255&lt;/D&gt;&lt;D xsi:type="xsd:double"&gt;1.83898355626911&lt;/D&gt;&lt;D xsi:type="xsd:double"&gt;1.75546716180555&lt;/D&gt;&lt;D xsi:type="xsd:double"&gt;2.01138269666406&lt;/D&gt;&lt;D xsi:type="xsd:double"&gt;2.17519879472254&lt;/D&gt;&lt;D xsi:type="xsd:double"&gt;2.28084252382762&lt;/D&gt;&lt;D xsi:type="xsd:double"&gt;2.36864078682371&lt;/D&gt;&lt;D xsi:type="xsd:double"&gt;2.66234515884581&lt;/D&gt;&lt;D xsi:type="xsd:double"&gt;2.58388720632297&lt;/D&gt;&lt;D xsi:type="xsd:double"&gt;2.86429657487096&lt;/D&gt;&lt;/FQL&gt;&lt;FQL&gt;&lt;Q&gt;EWG^P_PRICE_RETURNS_PR('52W',2,-10AY,0,AM)&lt;/Q&gt;&lt;R&gt;121&lt;/R&gt;&lt;C&gt;1&lt;/C&gt;&lt;D xsi:type="xsd:double"&gt;21.930468&lt;/D&gt;&lt;D xsi:type="xsd:double"&gt;21.458626&lt;/D&gt;&lt;D xsi:type="xsd:double"&gt;8.626008&lt;/D&gt;&lt;D xsi:type="xsd:double"&gt;9.56502&lt;/D&gt;&lt;D xsi:type="xsd:double"&gt;-7.2799325&lt;/D&gt;&lt;D xsi:type="xsd:double"&gt;-6.4696493&lt;/D&gt;&lt;D xsi:type="xsd:double"&gt;-4.9626646&lt;/D&gt;&lt;D xsi:type="xsd:double"&gt;-10.614991&lt;/D&gt;&lt;D xsi:type="xsd:double"&gt;-5.3738475&lt;/D&gt;&lt;D xsi:type="xsd:double"&gt;0.50235987&lt;/D&gt;&lt;D xsi:type="xsd:double"&gt;0.81670284&lt;/D&gt;&lt;D xsi:type="xsd:double"&gt;-4.1938543&lt;/D&gt;&lt;D xsi:type="xsd:double"&gt;-6.6173973&lt;/D&gt;&lt;D xsi:type="xsd:double"&gt;-4.1255655&lt;/D&gt;&lt;D xsi:type="xsd:double"&gt;-0.3632903&lt;/D&gt;&lt;D xsi:type="xsd:double"&gt;-7.2968063&lt;/D&gt;&lt;D xsi:type="xsd:double"&gt;2.8030276&lt;/D&gt;&lt;D xsi:type="xsd:double"&gt;-1.4425993&lt;/D&gt;&lt;D xsi:type="xsd:double"&gt;-7.126766&lt;/D&gt;&lt;D xsi:type="xsd:double"&gt;-8.727896&lt;/D&gt;&lt;D xsi:type="xsd:double"&gt;-19.447815&lt;/D&gt;&lt;D xsi:type="xsd:double"&gt;-11.941486&lt;/D&gt;&lt;D xsi:type="xsd:double"&gt;-13.375097&lt;/D&gt;&lt;D xsi:type="xsd:double"&gt;-13.027632&lt;/D&gt;&lt;D xsi:type="xsd:double"&gt;-13.76875&lt;/D&gt;&lt;D xsi:type="xsd:double"&gt;-13.011021&lt;/D&gt;&lt;D xsi:type="xsd:double"&gt;-3.6765754&lt;/D&gt;&lt;D xsi:type="xsd:double"&gt;0.18640757&lt;/D&gt;&lt;D xsi:type="xsd:double"&gt;1.0117054&lt;/D&gt;&lt;D xsi:type="xsd:double"&gt;-1.43677&lt;/D&gt;&lt;D xsi:type="xsd:double"&gt;4.6549797&lt;/D&gt;&lt;D xsi:type="xsd:double"&gt;14.591969&lt;/D&gt;&lt;D xsi:type="xsd:double"&gt;21.566582&lt;/D&gt;&lt;D xsi:type="xsd:double"&gt;14.503086&lt;/D&gt;&lt;D xsi:type="xsd:double"&gt;12.05883&lt;/D&gt;&lt;D xsi:type="xsd:double"&gt;22.19001&lt;/D&gt;&lt;D xsi:type="xsd:double"&gt;29.706419&lt;/D&gt;&lt;D xsi:type="xsd:double"&gt;28.844177&lt;/D&gt;&lt;D xsi:type="xsd:double"&gt;16.8625&lt;/D&gt;&lt;D xsi:type="xsd:double"&gt;25.529062&lt;/D&gt;&lt;D xsi:type="xsd:double"&gt;30.620373&lt;/D&gt;&lt;D xsi:type="xsd:double"&gt;30.708874&lt;/D&gt;&lt;D xsi:type="xsd:double"&gt;28.078281&lt;/D&gt;&lt;D xsi:type="xsd:double"&gt;30.681301&lt;/D&gt;&lt;D xsi:type="xsd:double"&gt;21.021235&lt;/D&gt;&lt;D xsi:type="xsd:double"&gt;18.012691&lt;/D&gt;&lt;D xsi:type="xsd:double"&gt;19.414436&lt;/D&gt;&lt;D xsi:type="xsd:double"&gt;11.965954&lt;/D&gt;&lt;D xsi:type="xsd:double"&gt;5.858493&lt;/D&gt;&lt;D xsi:type="xsd:double"&gt;1.8087506&lt;/D&gt;&lt;D xsi:type="xsd:double"&gt;-0.09651184&lt;/D&gt;&lt;D xsi:type="xsd:double"&gt;-4.1869345&lt;/D&gt;&lt;D xsi:type="xsd:double"&gt;-12.615431&lt;/D&gt;&lt;D xsi:type="xsd:double"&gt;-14.832038&lt;/D&gt;&lt;D xsi:type="xsd:double"&gt;-19.456982&lt;/D&gt;&lt;D xsi:type="xsd:double"&gt;-21.506298&lt;/D&gt;&lt;D xsi:type="xsd:double"&gt;-17.166632&lt;/D&gt;&lt;D xsi:type="xsd:double"&gt;-13.643127&lt;/D&gt;&lt;D xsi:type="xsd:double"&gt;-11.886102&lt;/D&gt;&lt;D xsi:type="xsd:double"&gt;-14.979017&lt;/D&gt;&lt;D xsi:type="xsd:double"&gt;-11.630064&lt;/D&gt;&lt;D xsi:type="xsd:double"&gt;-7.0489287&lt;/D&gt;&lt;D xsi:type="xsd:double"&gt;-8.790695&lt;/D&gt;&lt;D xsi:type="xsd:double"&gt;-4.9950542&lt;/D&gt;&lt;D xsi:type="xsd:double"&gt;0.71099997&lt;/D&gt;&lt;D xsi:type="xsd:double"&gt;9.488988&lt;/D&gt;&lt;D xsi:type="xsd:double"&gt;16.439486&lt;/D&gt;&lt;D xsi:type="xsd:double"&gt;17.373026&lt;/D&gt;&lt;D xsi:type="xsd:double"&gt;15.216648&lt;/D&gt;&lt;D xsi:type="xsd:double"&gt;-20.199198&lt;/D&gt;&lt;D xsi:type="xsd:double"&gt;-17.428791&lt;/D&gt;&lt;D xsi:type="xsd:double"&gt;-15.104508&lt;/D&gt;&lt;D xsi:type="xsd:double"&gt;-1.2363374&lt;/D&gt;&lt;D xsi:type="xsd:double"&gt;1.7742634&lt;/D&gt;&lt;D xsi:type="xsd:double"&gt;14.74098&lt;/D&gt;&lt;D xsi:type="xsd:double"&gt;12.430584&lt;/D&gt;&lt;D xsi:type="xsd:double"&gt;10.6695175&lt;/D&gt;&lt;D xsi:type="xsd:double"&gt;4.7165155&lt;/D&gt;&lt;D xsi:type="xsd:double"&gt;7.366729&lt;/D&gt;&lt;D xsi:type="xsd:double"&gt;11.196518&lt;/D&gt;&lt;D xsi:type="xsd:double"&gt;13.512063&lt;/D&gt;&lt;D xsi:type="xsd:double"&gt;67.862785&lt;/D&gt;&lt;D xsi:type="xsd:double"&gt;56.63172&lt;/D&gt;&lt;D xsi:type="xsd:double"&gt;56.308437&lt;/D&gt;&lt;D xsi:type="xsd:double"&gt;40.235184&lt;/D&gt;&lt;D xsi:type="xsd:double"&gt;28.993786&lt;/D&gt;&lt;D xsi:type="xsd:double"&gt;22.04318&lt;/D&gt;&lt;D xsi:type="xsd:double"&gt;17.99767&lt;/D&gt;&lt;D xsi:type="xsd:double"&gt;13.523066&lt;/D&gt;&lt;D xsi:type="xsd:double"&gt;19.15406&lt;/D&gt;&lt;D xsi:type="xsd:double"&gt;8.565342&lt;/D&gt;&lt;D xsi:type="xsd:double"&gt;5.4574013&lt;/D&gt;&lt;D xsi:type="xsd:double"&gt;-1.5378892&lt;/D&gt;&lt;D xsi:type="xsd:double"&gt;-17.671728&lt;/D&gt;&lt;D xsi:type="xsd:double"&gt;-19.2545&lt;/D&gt;&lt;D xsi:type="xsd:double"&gt;-23.877764&lt;/D&gt;&lt;D xsi:type="xsd:double"&gt;-30.025393&lt;/D&gt;&lt;D xsi:type="xsd:double"&gt;-34.734108&lt;/D&gt;&lt;D xsi:type="xsd:double"&gt;-28.266483&lt;/D&gt;&lt;D xsi:type="xsd:double"&gt;-33.861053&lt;/D&gt;&lt;D xsi:type="xsd:double"&gt;-35.779255&lt;/D&gt;&lt;D xsi:type="xsd:double"&gt;-24.239391&lt;/D&gt;&lt;D xsi:type="xsd:double"&gt;-17.936443&lt;/D&gt;&lt;D xsi:type="xsd:double"&gt;-14.040482&lt;/D&gt;&lt;D xsi:type="xsd:double"&gt;-8.437098&lt;/D&gt;&lt;D xsi:type="xsd:double"&gt;4.0533185&lt;/D&gt;&lt;D xsi:type="xsd:double"&gt;10.0697155&lt;/D&gt;&lt;D xsi:type="xsd:double"&gt;18.534052&lt;/D&gt;&lt;D xsi:type="xsd:double"&gt;21.73283&lt;/D&gt;&lt;D xsi:type="xsd:double"&gt;37.964394&lt;/D&gt;&lt;D xsi:type="xsd:double"&gt;20.431746&lt;/D&gt;&lt;D xsi:type="xsd:double"&gt;25.997889&lt;/D&gt;&lt;D xsi:type="xsd:double"&gt;29.70029&lt;/D&gt;&lt;D xsi:type="xsd:double"&gt;9.320604&lt;/D&gt;&lt;D xsi:type="xsd:double"&gt;17.897903&lt;/D&gt;&lt;D xsi:type="xsd:double"&gt;8.116377&lt;/D&gt;&lt;D xsi:type="xsd:double"&gt;5.6105494&lt;/D&gt;&lt;D xsi:type="xsd:double"&gt;19.755733&lt;/D&gt;&lt;D xsi:type="xsd:double"&gt;7.84961&lt;/D&gt;&lt;D xsi:type="xsd:double"&gt;14.575672&lt;/D&gt;&lt;D xsi:type="xsd:double"&gt;10.48491&lt;/D&gt;&lt;/FQL&gt;&lt;FQL&gt;&lt;Q&gt;EWA^FG_TOTAL_RETURNC(-10AY,0,AM)&lt;/Q&gt;&lt;R&gt;121&lt;/R&gt;&lt;C&gt;1&lt;/C&gt;&lt;D xsi:type="xsd:double"&gt;-0.67567825&lt;/D&gt;&lt;D xsi:type="xsd:double"&gt;1.8511295&lt;/D&gt;&lt;D xsi:type="xsd:double"&gt;-0.48964024&lt;/D&gt;&lt;D xsi:type="xsd:double"&gt;-1.930356&lt;/D&gt;&lt;D xsi:type="xsd:double"&gt;-9.880352&lt;/D&gt;&lt;D xsi:type="xsd:double"&gt;6.1241984&lt;/D&gt;&lt;D xsi:type="xsd:double"&gt;-10.290564&lt;/D&gt;&lt;D xsi:type="xsd:double"&gt;3.2958865&lt;/D&gt;&lt;D xsi:type="xsd:double"&gt;4.451442&lt;/D&gt;&lt;D xsi:type="xsd:double"&gt;-2.4537206&lt;/D&gt;&lt;D xsi:type="xsd:double"&gt;2.162397&lt;/D&gt;&lt;D xsi:type="xsd:double"&gt;1.6846657&lt;/D&gt;&lt;D xsi:type="xsd:double"&gt;-6.924391&lt;/D&gt;&lt;D xsi:type="xsd:double"&gt;-3.1862915&lt;/D&gt;&lt;D xsi:type="xsd:double"&gt;-3.9594412&lt;/D&gt;&lt;D xsi:type="xsd:double"&gt;-7.843137&lt;/D&gt;&lt;D xsi:type="xsd:double"&gt;4.473543&lt;/D&gt;&lt;D xsi:type="xsd:double"&gt;-5.4308057&lt;/D&gt;&lt;D xsi:type="xsd:double"&gt;-0.11044145&lt;/D&gt;&lt;D xsi:type="xsd:double"&gt;-4.4238987&lt;/D&gt;&lt;D xsi:type="xsd:double"&gt;0.71344376&lt;/D&gt;&lt;D xsi:type="xsd:double"&gt;16.706026&lt;/D&gt;&lt;D xsi:type="xsd:double"&gt;-1.4162898&lt;/D&gt;&lt;D xsi:type="xsd:double"&gt;-0.46177506&lt;/D&gt;&lt;D xsi:type="xsd:double"&gt;-0.77319145&lt;/D&gt;&lt;D xsi:type="xsd:double"&gt;6.6336155&lt;/D&gt;&lt;D xsi:type="xsd:double"&gt;3.0632496&lt;/D&gt;&lt;D xsi:type="xsd:double"&gt;-7.5743017&lt;/D&gt;&lt;D xsi:type="xsd:double"&gt;7.2095394&lt;/D&gt;&lt;D xsi:type="xsd:double"&gt;-1.1611044&lt;/D&gt;&lt;D xsi:type="xsd:double"&gt;4.3563366&lt;/D&gt;&lt;D xsi:type="xsd:double"&gt;3.2036424&lt;/D&gt;&lt;D xsi:type="xsd:double"&gt;2.4731636&lt;/D&gt;&lt;D xsi:type="xsd:double"&gt;0.7286072&lt;/D&gt;&lt;D xsi:type="xsd:double"&gt;1.4014482&lt;/D&gt;&lt;D xsi:type="xsd:double"&gt;-3.0316532&lt;/D&gt;&lt;D xsi:type="xsd:double"&gt;1.2413859&lt;/D&gt;&lt;D xsi:type="xsd:double"&gt;1.6417742&lt;/D&gt;&lt;D xsi:type="xsd:double"&gt;1.5525103&lt;/D&gt;&lt;D xsi:type="xsd:double"&gt;3.2823682&lt;/D&gt;&lt;D xsi:type="xsd:double"&gt;-0.043535233&lt;/D&gt;&lt;D xsi:type="xsd:double"&gt;0.21777153&lt;/D&gt;&lt;D xsi:type="xsd:double"&gt;0.6953478&lt;/D&gt;&lt;D xsi:type="xsd:double"&gt;4.6733975&lt;/D&gt;&lt;D xsi:type="xsd:double"&gt;-4.520488&lt;/D&gt;&lt;D xsi:type="xsd:double"&gt;1.7699122&lt;/D&gt;&lt;D xsi:type="xsd:double"&gt;-2.6956558&lt;/D&gt;&lt;D xsi:type="xsd:double"&gt;2.1000981&lt;/D&gt;&lt;D xsi:type="xsd:double"&gt;-0.7439852&lt;/D&gt;&lt;D xsi:type="xsd:double"&gt;2.6302338&lt;/D&gt;&lt;D xsi:type="xsd:double"&gt;-2.1024942&lt;/D&gt;&lt;D xsi:type="xsd:double"&gt;-2.0581722&lt;/D&gt;&lt;D xsi:type="xsd:double"&gt;-5.9387803&lt;/D&gt;&lt;D xsi:type="xsd:double"&gt;2.1369576&lt;/D&gt;&lt;D xsi:type="xsd:double"&gt;-3.043276&lt;/D&gt;&lt;D xsi:type="xsd:double"&gt;2.9425383&lt;/D&gt;&lt;D xsi:type="xsd:double"&gt;2.6224732&lt;/D&gt;&lt;D xsi:type="xsd:double"&gt;3.2786846&lt;/D&gt;&lt;D xsi:type="xsd:double"&gt;2.0541549&lt;/D&gt;&lt;D xsi:type="xsd:double"&gt;-2.6989937&lt;/D&gt;&lt;D xsi:type="xsd:double"&gt;5.124593&lt;/D&gt;&lt;D xsi:type="xsd:double"&gt;3.1837344&lt;/D&gt;&lt;D xsi:type="xsd:double"&gt;-4.4670525&lt;/D&gt;&lt;D xsi:type="xsd:double"&gt;4.444444&lt;/D&gt;&lt;D xsi:type="xsd:double"&gt;-1.8617034&lt;/D&gt;&lt;D xsi:type="xsd:double"&gt;2.1680236&lt;/D&gt;&lt;D xsi:type="xsd:double"&gt;1.1052132&lt;/D&gt;&lt;D xsi:type="xsd:double"&gt;2.712822&lt;/D&gt;&lt;D xsi:type="xsd:double"&gt;-0.17368793&lt;/D&gt;&lt;D xsi:type="xsd:double"&gt;-24.92388&lt;/D&gt;&lt;D xsi:type="xsd:double"&gt;-3.9976835&lt;/D&gt;&lt;D xsi:type="xsd:double"&gt;-0.48279762&lt;/D&gt;&lt;D xsi:type="xsd:double"&gt;16.434204&lt;/D&gt;&lt;D xsi:type="xsd:double"&gt;2.275312&lt;/D&gt;&lt;D xsi:type="xsd:double"&gt;6.2532306&lt;/D&gt;&lt;D xsi:type="xsd:double"&gt;-1.9941628&lt;/D&gt;&lt;D xsi:type="xsd:double"&gt;3.2258034&lt;/D&gt;&lt;D xsi:type="xsd:double"&gt;6.682694&lt;/D&gt;&lt;D xsi:type="xsd:double"&gt;7.030189&lt;/D&gt;&lt;D xsi:type="xsd:double"&gt;3.9483666&lt;/D&gt;&lt;D xsi:type="xsd:double"&gt;2.655232&lt;/D&gt;&lt;D xsi:type="xsd:double"&gt;0.03979206&lt;/D&gt;&lt;D xsi:type="xsd:double"&gt;1.6308665&lt;/D&gt;&lt;D xsi:type="xsd:double"&gt;2.7397275&lt;/D&gt;&lt;D xsi:type="xsd:double"&gt;4.252124&lt;/D&gt;&lt;D xsi:type="xsd:double"&gt;-3.9273798&lt;/D&gt;&lt;D xsi:type="xsd:double"&gt;2.6224494&lt;/D&gt;&lt;D xsi:type="xsd:double"&gt;-2.25479&lt;/D&gt;&lt;D xsi:type="xsd:double"&gt;-0.9996176&lt;/D&gt;&lt;D xsi:type="xsd:double"&gt;1.2427211&lt;/D&gt;&lt;D xsi:type="xsd:double"&gt;-4.2327223&lt;/D&gt;&lt;D xsi:type="xsd:double"&gt;3.285253&lt;/D&gt;&lt;D xsi:type="xsd:double"&gt;-4.903537&lt;/D&gt;&lt;D xsi:type="xsd:double"&gt;3.0431032&lt;/D&gt;&lt;D xsi:type="xsd:double"&gt;8.69565&lt;/D&gt;&lt;D xsi:type="xsd:double"&gt;-10.8301935&lt;/D&gt;&lt;D xsi:type="xsd:double"&gt;-6.4676642&lt;/D&gt;&lt;D xsi:type="xsd:double"&gt;-2.5221825&lt;/D&gt;&lt;D xsi:type="xsd:double"&gt;11.403931&lt;/D&gt;&lt;D xsi:type="xsd:double"&gt;-7.0107517&lt;/D&gt;&lt;D xsi:type="xsd:double"&gt;-7.076782&lt;/D&gt;&lt;D xsi:type="xsd:double"&gt;13.489294&lt;/D&gt;&lt;D xsi:type="xsd:double"&gt;3.2024503&lt;/D&gt;&lt;D xsi:type="xsd:double"&gt;3.9393902&lt;/D&gt;&lt;D xsi:type="xsd:double"&gt;1.9158602&lt;/D&gt;&lt;D xsi:type="xsd:double"&gt;-9.644455&lt;/D&gt;&lt;D xsi:type="xsd:double"&gt;7.1460843&lt;/D&gt;&lt;D xsi:type="xsd:double"&gt;-3.3769548&lt;/D&gt;&lt;D xsi:type="xsd:double"&gt;1.1779547&lt;/D&gt;&lt;D xsi:type="xsd:double"&gt;3.079629&lt;/D&gt;&lt;D xsi:type="xsd:double"&gt;-5.036277&lt;/D&gt;&lt;D xsi:type="xsd:double"&gt;-1.5730381&lt;/D&gt;&lt;D xsi:type="xsd:double"&gt;-3.3789933&lt;/D&gt;&lt;D xsi:type="xsd:double"&gt;1.5595436&lt;/D&gt;&lt;D xsi:type="xsd:double"&gt;9.911596&lt;/D&gt;&lt;D xsi:type="xsd:double"&gt;2.4492145&lt;/D&gt;&lt;D xsi:type="xsd:double"&gt;-3.078866&lt;/D&gt;&lt;D xsi:type="xsd:double"&gt;7.006097&lt;/D&gt;&lt;D xsi:type="xsd:double"&gt;-2.8060198&lt;/D&gt;&lt;D xsi:type="xsd:double"&gt;2.594149&lt;/D&gt;&lt;D xsi:type="xsd:double"&gt;0.86758137&lt;/D&gt;&lt;/FQL&gt;&lt;FQL&gt;&lt;Q&gt;DDR3512M-FDS^FG_PRICE_CHANGE(0,-6AM)&lt;/Q&gt;&lt;R&gt;1&lt;/R&gt;&lt;C&gt;1&lt;/C&gt;&lt;D xsi:type="xsd:double"&gt;-4.20430088370443&lt;/D&gt;&lt;/FQL&gt;&lt;FQL&gt;&lt;Q&gt;EWA^JULIAN(FMA_ROE(NTMA,-20AY,NOW,FY,"PORTAGG","MEANR").DATES)&lt;/Q&gt;&lt;R&gt;20&lt;/R&gt;&lt;C&gt;1&lt;/C&gt;&lt;D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xsi:type="xsd:long"&gt;45289&lt;/D&gt;&lt;/FQL&gt;&lt;FQL&gt;&lt;Q&gt;TRYPH10Y-FDS^FG_YIELD(-10AY,0,Y,,"YTM")&lt;/Q&gt;&lt;R&gt;10&lt;/R&gt;&lt;C&gt;1&lt;/C&gt;&lt;D xsi:type="xsd:double"&gt;3.8633&lt;/D&gt;&lt;D xsi:type="xsd:double"&gt;4.1&lt;/D&gt;&lt;D xsi:type="xsd:double"&gt;4.6281&lt;/D&gt;&lt;D xsi:type="xsd:double"&gt;5.6986&lt;/D&gt;&lt;D xsi:type="xsd:double"&gt;7.1730304&lt;/D&gt;&lt;D xsi:type="xsd:double"&gt;4.847582&lt;/D&gt;&lt;D xsi:type="xsd:double"&gt;3.4208684&lt;/D&gt;&lt;D xsi:type="xsd:double"&gt;4.796723&lt;/D&gt;</t>
        </r>
      </text>
    </comment>
    <comment ref="A12" authorId="0" shapeId="0" xr:uid="{9C163A2D-8167-48AE-A159-987001B48022}">
      <text>
        <r>
          <rPr>
            <b/>
            <sz val="9"/>
            <color indexed="81"/>
            <rFont val="Tahoma"/>
            <charset val="1"/>
          </rPr>
          <t>&lt;D xsi:type="xsd:double"&gt;6.9293385&lt;/D&gt;&lt;D xsi:type="xsd:double"&gt;6.0028777&lt;/D&gt;&lt;/FQL&gt;&lt;FQL&gt;&lt;Q&gt;TRYTR7Y-FDS^FG_YIELD(-10AY,0,Y,,"YTM")&lt;/Q&gt;&lt;R&gt;10&lt;/R&gt;&lt;C&gt;1&lt;/C&gt;&lt;D xsi:type="xsd:double"&gt;7.979133&lt;/D&gt;&lt;D xsi:type="xsd:double"&gt;10.679033&lt;/D&gt;&lt;D xsi:type="xsd:double"&gt;11.110786&lt;/D&gt;&lt;D xsi:type="xsd:double"&gt;11.586128&lt;/D&gt;&lt;D xsi:type="xsd:double"&gt;15.896213&lt;/D&gt;&lt;D xsi:type="xsd:double"&gt;12.034795&lt;/D&gt;&lt;D xsi:type="xsd:double"&gt;12.534946&lt;/D&gt;&lt;D xsi:type="xsd:double"&gt;23.870693&lt;/D&gt;&lt;D xsi:type="xsd:double"&gt;7.323803&lt;/D&gt;&lt;D xsi:type="xsd:double"&gt;21.984322&lt;/D&gt;&lt;/FQL&gt;&lt;FQL&gt;&lt;Q&gt;CAGDPY@SE^EE_ACTUAL_ANNUAL(MED,0)&lt;/Q&gt;&lt;R&gt;1&lt;/R&gt;&lt;C&gt;1&lt;/C&gt;&lt;D xsi:type="xsd:double"&gt;6.4686639012956&lt;/D&gt;&lt;/FQL&gt;&lt;FQL&gt;&lt;Q&gt;CAGDPY@DE^EE_ACTUAL_ANNUAL(MED,0)&lt;/Q&gt;&lt;R&gt;1&lt;/R&gt;&lt;C&gt;1&lt;/C&gt;&lt;D xsi:type="xsd:double"&gt;6.09959759767018&lt;/D&gt;&lt;/FQL&gt;&lt;FQL&gt;&lt;Q&gt;USDITL^STD(FG_PRICE_CHANGE(0,-3AY,M))&lt;/Q&gt;&lt;R&gt;1&lt;/R&gt;&lt;C&gt;1&lt;/C&gt;&lt;D xsi:type="xsd:double"&gt;2.17865071558857&lt;/D&gt;&lt;/FQL&gt;&lt;FQL&gt;&lt;Q&gt;USDANG^STD(FG_PRICE_CHANGE(0,-3AY,M))&lt;/Q&gt;&lt;R&gt;1&lt;/R&gt;&lt;C&gt;1&lt;/C&gt;&lt;D xsi:type="xsd:double"&gt;0.0594600681310969&lt;/D&gt;&lt;/FQL&gt;&lt;FQL&gt;&lt;Q&gt;USDGBP^STD(FG_PRICE_CHANGE(0,-3AY,M))&lt;/Q&gt;&lt;R&gt;1&lt;/R&gt;&lt;C&gt;1&lt;/C&gt;&lt;D xsi:type="xsd:double"&gt;2.37816350296202&lt;/D&gt;&lt;/FQL&gt;&lt;FQL&gt;&lt;Q&gt;USDJPY^STD(FG_PRICE_CHANGE(0,-3AY,M))&lt;/Q&gt;&lt;R&gt;1&lt;/R&gt;&lt;C&gt;1&lt;/C&gt;&lt;D xsi:type="xsd:double"&gt;3.04350180805915&lt;/D&gt;&lt;/FQL&gt;&lt;FQL&gt;&lt;Q&gt;USDCAD^STD(FG_PRICE_CHANGE(0,-3AY,M))&lt;/Q&gt;&lt;R&gt;1&lt;/R&gt;&lt;C&gt;1&lt;/C&gt;&lt;D xsi:type="xsd:double"&gt;1.82099997018593&lt;/D&gt;&lt;/FQL&gt;&lt;FQL&gt;&lt;Q&gt;USDNZD^STD(FG_PRICE_CHANGE(0,-3AY,M))&lt;/Q&gt;&lt;R&gt;1&lt;/R&gt;&lt;C&gt;1&lt;/C&gt;&lt;D xsi:type="xsd:double"&gt;3.51758480344381&lt;/D&gt;&lt;/FQL&gt;&lt;FQL&gt;&lt;Q&gt;EWJ^FMA_EPS(NTMA,-20AY,0,CY,,"PORTAGG","MEANR")&lt;/Q&gt;&lt;R&gt;20&lt;/R&gt;&lt;C&gt;1&lt;/C&gt;&lt;D xsi:type="xsd:double"&gt;2.83572005832403&lt;/D&gt;&lt;D xsi:type="xsd:double"&gt;2.84830335934349&lt;/D&gt;&lt;D xsi:type="xsd:double"&gt;3.29156932486821&lt;/D&gt;&lt;D xsi:type="xsd:double"&gt;3.66778515674736&lt;/D&gt;&lt;D xsi:type="xsd:double"&gt;2.74393009109397&lt;/D&gt;&lt;D xsi:type="xsd:double"&gt;1.93733358061505&lt;/D&gt;&lt;D xsi:type="xsd:double"&gt;3.17729322550467&lt;/D&gt;&lt;D xsi:type="xsd:double"&gt;3.09458124193192&lt;/D&gt;&lt;D xsi:type="xsd:double"&gt;2.8747287105461&lt;/D&gt;&lt;D xsi:type="xsd:double"&gt;3.27496071085416&lt;/D&gt;&lt;D xsi:type="xsd:double"&gt;3.14456301788536&lt;/D&gt;&lt;D xsi:type="xsd:double"&gt;3.44827515089069&lt;/D&gt;&lt;D xsi:type="xsd:double"&gt;3.33160709427031&lt;/D&gt;&lt;D xsi:type="xsd:double"&gt;4.07233312791291&lt;/D&gt;&lt;D xsi:type="xsd:double"&gt;4.56488250158257&lt;/D&gt;&lt;D xsi:type="xsd:double"&gt;4.07638230861392&lt;/D&gt;&lt;D xsi:type="xsd:double"&gt;3.67789542177964&lt;/D&gt;&lt;D xsi:type="xsd:double"&gt;4.61613856769821&lt;/D&gt;&lt;D xsi:type="xsd:double"&gt;4.46089543101883&lt;/D&gt;&lt;D xsi:type="xsd:double"&gt;4.5665392599763&lt;/D&gt;&lt;/FQL&gt;&lt;FQL&gt;&lt;Q&gt;EWC^P_PRICE_RETURNS_PR('52W',2,-10AY,0,AM)&lt;/Q&gt;&lt;R&gt;121&lt;/R&gt;&lt;C&gt;1&lt;/C&gt;&lt;D xsi:type="xsd:double"&gt;16.987669&lt;/D&gt;&lt;D xsi:type="xsd:double"&gt;19.659496&lt;/D&gt;&lt;D xsi:type="xsd:double"&gt;17.215466&lt;/D&gt;&lt;D xsi:type="xsd:double"&gt;17.075657&lt;/D&gt;&lt;D xsi:type="xsd:double"&gt;3.3049226&lt;/D&gt;&lt;D xsi:type="xsd:double"&gt;4.3489695&lt;/D&gt;&lt;D xsi:type="xsd:double"&gt;-1.0899127&lt;/D&gt;&lt;D xsi:type="xsd:double"&gt;-3.430134&lt;/D&gt;&lt;D xsi:type="xsd:double"&gt;-0.9020865&lt;/D&gt;&lt;D xsi:type="xsd:double"&gt;-7.354796&lt;/D&gt;&lt;D xsi:type="xsd:double"&gt;-2.333188&lt;/D&gt;&lt;D xsi:type="xsd:double"&gt;-4.0296555&lt;/D&gt;&lt;D xsi:type="xsd:double"&gt;-10.070783&lt;/D&gt;&lt;D xsi:type="xsd:double"&gt;-16.665363&lt;/D&gt;&lt;D xsi:type="xsd:double"&gt;-19.506306&lt;/D&gt;&lt;D xsi:type="xsd:double"&gt;-25.861835&lt;/D&gt;&lt;D xsi:type="xsd:double"&gt;-13.247842&lt;/D&gt;&lt;D xsi:type="xsd:double"&gt;-23.106533&lt;/D&gt;&lt;D xsi:type="xsd:double"&gt;-20.903772&lt;/D&gt;&lt;D xsi:type="xsd:double"&gt;-26.903893&lt;/D&gt;&lt;D xsi:type="xsd:double"&gt;-25.495165&lt;/D&gt;&lt;D xsi:type="xsd:double"&gt;-10.187304&lt;/D&gt;&lt;D xsi:type="xsd:double"&gt;-11.728644&lt;/D&gt;&lt;D xsi:type="xsd:double"&gt;-14.417857&lt;/D&gt;&lt;D xsi:type="xsd:double"&gt;-7.7196417&lt;/D&gt;&lt;D xsi:type="xsd:double"&gt;-1.7813265&lt;/D&gt;&lt;D xsi:type="xsd:double"&gt;3.2059312&lt;/D&gt;&lt;D xsi:type="xsd:double"&gt;7.9598308&lt;/D&gt;&lt;D xsi:type="xsd:double"&gt;5.875778&lt;/D&gt;&lt;D xsi:type="xsd:double"&gt;9.381807&lt;/D&gt;&lt;D xsi:type="xsd:double"&gt;28.686596&lt;/D&gt;&lt;D xsi:type="xsd:double"&gt;42.5112&lt;/D&gt;&lt;D xsi:type="xsd:double"&gt;38.062595&lt;/D&gt;&lt;D xsi:type="xsd:double"&gt;16.033352&lt;/D&gt;&lt;D xsi:type="xsd:double"&gt;11.446857&lt;/D&gt;&lt;D xsi:type="xsd:double"&gt;8.891022&lt;/D&gt;&lt;D xsi:type="xsd:double"&gt;9.364759&lt;/D&gt;&lt;D xsi:type="xsd:double"&gt;10.658956&lt;/D&gt;&lt;D xsi:type="xsd:double"&gt;7.314205&lt;/D&gt;&lt;D xsi:type="xsd:double"&gt;17.125475&lt;/D&gt;&lt;D xsi:type="xsd:double"&gt;17.399883&lt;/D&gt;&lt;D xsi:type="xsd:double"&gt;19.65791&lt;/D&gt;&lt;D xsi:type="xsd:double"&gt;9.740353&lt;/D&gt;&lt;D xsi:type="xsd:double"&gt;13.878298&lt;/D&gt;&lt;D xsi:type="xsd:double"&gt;2.6694179&lt;/D&gt;&lt;D xsi:type="xsd:double"&gt;6.3676953&lt;/D&gt;&lt;D xsi:type="xsd:double"&gt;6.9368124&lt;/D&gt;&lt;D xsi:type="xsd:double"&gt;13.323426&lt;/D&gt;&lt;D xsi:type="xsd:double"&gt;10.896111&lt;/D&gt;&lt;D xsi:type="xsd:double"&gt;8.584225&lt;/D&gt;&lt;D xsi:type="xsd:double"&gt;7.599926&lt;/D&gt;&lt;D xsi:type="xsd:double"&gt;1.7982006&lt;/D&gt;&lt;D xsi:type="xsd:double"&gt;-4.5971813&lt;/D&gt;&lt;D xsi:type="xsd:double"&gt;-7.424408&lt;/D&gt;&lt;D xsi:type="xsd:double"&gt;-10.501421&lt;/D&gt;&lt;D xsi:type="xsd:double"&gt;-12.168371&lt;/D&gt;&lt;D xsi:type="xsd:double"&gt;-0.7220864&lt;/D&gt;&lt;D xsi:type="xsd:double"&gt;2.7768493&lt;/D&gt;&lt;D xsi:type="xsd:double"&gt;4.2378306&lt;/D&gt;&lt;D xsi:type="xsd:double"&gt;-2.4270535&lt;/D&gt;&lt;D xsi:type="xsd:double"&gt;-0.869751&lt;/D&gt;&lt;D xsi:type="xsd:double"&gt;2.3510456&lt;/D&gt;&lt;D xsi:type="xsd:double"&gt;0.7737279&lt;/D&gt;&lt;D xsi:type="xsd:double"&gt;4.15107&lt;/D&gt;&lt;D xsi:type="xsd:double"&gt;7.968235&lt;/D&gt;&lt;D xsi:type="xsd:double"&gt;14.49306&lt;/D&gt;&lt;D xsi:type="xsd:double"&gt;18.625402&lt;/D&gt;&lt;D xsi:type="xsd:double"&gt;19.94754&lt;/D&gt;&lt;D xsi:type="xsd:double"&gt;15.682316&lt;/D&gt;&lt;D xsi:type="xsd:double"&gt;-17.387777&lt;/D&gt;&lt;D xsi:type="xsd:double"&gt;-16.731155&lt;/D&gt;&lt;D xsi:type="xsd:double"&gt;-12.918073&lt;/D&gt;&lt;D xsi:type="xsd:double"&gt;-6.2170267&lt;/D&gt;&lt;D xsi:type="xsd:double"&gt;-8.131313&lt;/D&gt;&lt;D xsi:type="xsd:double"&gt;2.8998613&lt;/D&gt;&lt;D xsi:type="xsd:double"&gt;-0.98357797&lt;/D&gt;&lt;D xsi:type="xsd:double"&gt;1.9246459&lt;/D&gt;&lt;D xsi:type="xsd:double"&gt;-0.27762055&lt;/D&gt;&lt;D xsi:type="xsd:double"&gt;8.719599&lt;/D&gt;&lt;D xsi:type="xsd:double"&gt;8.30456&lt;/D&gt;&lt;D xsi:type="xsd:double"&gt;9.85496&lt;/D&gt;&lt;D xsi:type="xsd:double"&gt;73.709045&lt;/D&gt;&lt;D xsi:type="xsd:double"&gt;54.640327&lt;/D&gt;&lt;D xsi:type="xsd:double"&gt;57.730686&lt;/D&gt;&lt;D xsi:type="xsd:double"&gt;54.187214&lt;/D&gt;&lt;D xsi:type="xsd:double"&gt;45.373165&lt;/D&gt;&lt;D xsi:type="xsd:double"&gt;35.65315&lt;/D&gt;&lt;D xsi:type="xsd:double"&gt;36.515118&lt;/D&gt;&lt;D xsi:type="xsd:double"&gt;36.74079&lt;/D&gt;&lt;D xsi:type="xsd:double"&gt;42.23353&lt;/D&gt;&lt;D xsi:type="xsd:double"&gt;21.251465&lt;/D&gt;&lt;D xsi:type="xsd:double"&gt;24.502516&lt;/D&gt;&lt;D xsi:type="xsd:double"&gt;20.722507&lt;/D&gt;&lt;D xsi:type="xsd:double"&gt;14.490461&lt;/D&gt;&lt;D xsi:type="xsd:double"&gt;15.659964&lt;/D&gt;&lt;D xsi:type="xsd:double"&gt;0.8226156&lt;/D&gt;&lt;D xsi:type="xsd:double"&gt;-5.5597124&lt;/D&gt;&lt;D xsi:type="xsd:double"&gt;-9.27409&lt;/D&gt;&lt;D xsi:type="xsd:double"&gt;-1.980567&lt;/D&gt;&lt;D xsi:type="xsd:double"&gt;-6.418234&lt;/D&gt;&lt;D xsi:type="xsd:double"&gt;-16.536581&lt;/D&gt;&lt;D xsi:type="xsd:double"&gt;-9.381306&lt;/D&gt;&lt;D xsi:type="xsd:double"&gt;-6.6434145&lt;/D&gt;&lt;D xsi:type="xsd:double"&gt;-8.838081&lt;/D&gt;&lt;D xsi:type="xsd:double"&gt;-5.9710207&lt;/D&gt;&lt;D xsi:type="xsd:double"&gt;-13.123882&lt;/D&gt;&lt;D xsi:type="xsd:double"&gt;-8.878308&lt;/D&gt;&lt;D xsi:type="xsd:double"&gt;1.9789934&lt;/D&gt;&lt;D xsi:type="xsd:double"&gt;0.64035654&lt;/D&gt;&lt;D xsi:type="xsd:double"&gt;10.308862&lt;/D&gt;&lt;D xsi:type="xsd:double"&gt;-0.17054677&lt;/D&gt;&lt;D xsi:type="xsd:double"&gt;3.5021663&lt;/D&gt;&lt;D xsi:type="xsd:double"&gt;8.954037&lt;/D&gt;&lt;D xsi:type="xsd:double"&gt;-2.1360934&lt;/D&gt;&lt;D xsi:type="xsd:double"&gt;7.1824074&lt;/D&gt;&lt;D xsi:type="xsd:double"&gt;7.1401477&lt;/D&gt;&lt;D xsi:type="xsd:double"&gt;1.1286378&lt;/D&gt;&lt;D xsi:type="xsd:double"&gt;19.308495&lt;/D&gt;&lt;D xsi:type="xsd:double"&gt;8.586097&lt;/D&gt;&lt;D xsi:type="xsd:double"&gt;12.128305&lt;/D&gt;&lt;D xsi:type="xsd:double"&gt;8.961142&lt;/D&gt;&lt;/FQL&gt;&lt;FQL&gt;&lt;Q&gt;ENZL^FG_TOTAL_RETURNC(-10AY,0,AM)&lt;/Q&gt;&lt;R&gt;121&lt;/R&gt;&lt;C&gt;1&lt;/C&gt;&lt;D xsi:type="xsd:double"&gt;-1.1088014&lt;/D&gt;&lt;D xsi:type="xsd:double"&gt;0.3739357&lt;/D&gt;&lt;D xsi:type="xsd:double"&gt;-5.011308&lt;/D&gt;&lt;D xsi:type="xsd:double"&gt;-0.40100217&lt;/D&gt;&lt;D xsi:type="xsd:double"&gt;-4.1016636&lt;/D&gt;&lt;D xsi:type="xsd:double"&gt;7.084751&lt;/D&gt;&lt;D xsi:type="xsd:double"&gt;-1.1761785&lt;/D&gt;&lt;D xsi:type="xsd:double"&gt;2.167976&lt;/D&gt;&lt;D xsi:type="xsd:double"&gt;-0.5736053&lt;/D&gt;&lt;D xsi:type="xsd:double"&gt;-0.3415346&lt;/D&gt;&lt;D xsi:type="xsd:double"&gt;1.0975957&lt;/D&gt;&lt;D xsi:type="xsd:double"&gt;-1.2450755&lt;/D&gt;&lt;D xsi:type="xsd:double"&gt;-4.993701&lt;/D&gt;&lt;D xsi:type="xsd:double"&gt;-6.916976&lt;/D&gt;&lt;D xsi:type="xsd:double"&gt;-1.7261565&lt;/D&gt;&lt;D xsi:type="xsd:double"&gt;-5.0610304&lt;/D&gt;&lt;D xsi:type="xsd:double"&gt;6.553781&lt;/D&gt;&lt;D xsi:type="xsd:double"&gt;2.7957678&lt;/D&gt;&lt;D xsi:type="xsd:double"&gt;3.4354448&lt;/D&gt;&lt;D xsi:type="xsd:double"&gt;-1.9243896&lt;/D&gt;&lt;D xsi:type="xsd:double"&gt;-0.66120625&lt;/D&gt;&lt;D xsi:type="xsd:double"&gt;12.1019125&lt;/D&gt;&lt;D xsi:type="xsd:double"&gt;7.1280956&lt;/D&gt;&lt;D xsi:type="xsd:double"&gt;-0.62680244&lt;/D&gt;&lt;D xsi:type="xsd:double"&gt;4.318285&lt;/D&gt;&lt;D xsi:type="xsd:double"&gt;6.0328126&lt;/D&gt;&lt;D xsi:type="xsd:double"&gt;3.265214&lt;/D&gt;&lt;D xsi:type="xsd:double"&gt;-1.8928826&lt;/D&gt;&lt;D xsi:type="xsd:double"&gt;-4.1219053&lt;/D&gt;&lt;D xsi:type="xsd:double"&gt;-6.151378&lt;/D&gt;&lt;D xsi:type="xsd:double"&gt;4.044831&lt;/D&gt;&lt;D xsi:type="xsd:double"&gt;1.685977&lt;/D&gt;&lt;D xsi:type="xsd:double"&gt;2.7638793&lt;/D&gt;&lt;D xsi:type="xsd:double"&gt;-3.4648716&lt;/D&gt;&lt;D xsi:type="xsd:double"&gt;1.6197681&lt;/D&gt;&lt;D xsi:type="xsd:double"&gt;1.8671632&lt;/D&gt;&lt;D xsi:type="xsd:double"&gt;5.614853&lt;/D&gt;&lt;D xsi:type="xsd:double"&gt;3.4116864&lt;/D&gt;&lt;D xsi:type="xsd:double"&gt;0.9738207&lt;/D&gt;&lt;D xsi:type="xsd:double"&gt;0.3214836&lt;/D&gt;&lt;D xsi:type="xsd:double"&gt;1.8585801&lt;/D&gt;&lt;D xsi:type="xsd:double"&gt;-5.68372&lt;/D&gt;&lt;D xsi:type="xsd:double"&gt;5.625975&lt;/D&gt;&lt;D xsi:type="xsd:double"&gt;2.3071408&lt;/D&gt;&lt;D xsi:type="xsd:double"&gt;-1.3527691&lt;/D&gt;&lt;D xsi:type="xsd:double"&gt;5.9211254&lt;/D&gt;&lt;D xsi:type="xsd:double"&gt;0.58209896&lt;/D&gt;&lt;D xsi:type="xsd:double"&gt;-2.7539432&lt;/D&gt;&lt;D xsi:type="xsd:double"&gt;4.247892&lt;/D&gt;&lt;D xsi:type="xsd:double"&gt;-3.4208715&lt;/D&gt;&lt;D xsi:type="xsd:double"&gt;-3.0466318&lt;/D&gt;&lt;D xsi:type="xsd:double"&gt;2.9713511&lt;/D&gt;&lt;D xsi:type="xsd:double"&gt;-5.708945&lt;/D&gt;&lt;D xsi:type="xsd:double"&gt;4.5794845&lt;/D&gt;&lt;D xsi:type="xsd:double"&gt;0.46316385&lt;/D&gt;&lt;D xsi:type="xsd:double"&gt;1.8199563&lt;/D&gt;&lt;D xsi:type="xsd:double"&gt;3.8131118&lt;/D&gt;&lt;D xsi:type="xsd:double"&gt;1.5136242&lt;/D&gt;&lt;D xsi:type="xsd:double"&gt;2.5248528&lt;/D&gt;&lt;D xsi:type="xsd:double"&gt;-0.29087067&lt;/D&gt;&lt;D xsi:type="xsd:double"&gt;0.40841103&lt;/D&gt;&lt;D xsi:type="xsd:double"&gt;7.4299335&lt;/D&gt;&lt;D xsi:type="xsd:double"&gt;-2.2144914&lt;/D&gt;&lt;D xsi:type="xsd:double"&gt;-1.179117&lt;/D&gt;&lt;D xsi:type="xsd:double"&gt;-0.15150905&lt;/D&gt;&lt;D xsi:type="xsd:double"&gt;0.30349493&lt;/D&gt;&lt;D xsi:type="xsd:double"&gt;6.978059&lt;/D&gt;&lt;D xsi:type="xsd:double"&gt;3.1692147&lt;/D&gt;&lt;D xsi:type="xsd:double"&gt;0.48122406&lt;/D&gt;&lt;D xsi:type="xsd:double"&gt;-14.385229&lt;/D&gt;&lt;D xsi:type="xsd:double"&gt;-5.227828&lt;/D&gt;&lt;D xsi:type="xsd:double"&gt;5.2801013&lt;/D&gt;&lt;D xsi:type="xsd:double"&gt;9.21998&lt;/D&gt;&lt;D xsi:type="xsd:double"&gt;5.841887&lt;/D&gt;&lt;D xsi:type="xsd:double"&gt;1.8465877&lt;/D&gt;&lt;D xsi:type="xsd:double"&gt;1.5516043&lt;/D&gt;&lt;D xsi:type="xsd:double"&gt;6.1459303&lt;/D&gt;&lt;D xsi:type="xsd:double"&gt;5.14313&lt;/D&gt;&lt;D xsi:type="xsd:double"&gt;4.2762637&lt;/D&gt;&lt;D xsi:type="xsd:double"&gt;1.7517209&lt;/D&gt;&lt;D xsi:type="xsd:double"&gt;-3.7688792&lt;/D&gt;&lt;D xsi:type="xsd:double"&gt;-2.7735472&lt;/D&gt;&lt;D xsi:type="xsd:double"&gt;-0.6112814&lt;/D&gt;&lt;D xsi:type="xsd:double"&gt;-0.33117533&lt;/D&gt;&lt;D xsi:type="xsd:double"&gt;-0.9151161&lt;/D&gt;&lt;D xsi:type="xsd:double"&gt;-0.8701265&lt;/D&gt;&lt;D xsi:type="xsd:double"&gt;0.16254187&lt;/D&gt;&lt;D xsi:type="xsd:double"&gt;3.7812471&lt;/D&gt;&lt;D xsi:type="xsd:double"&gt;-2.8459728&lt;/D&gt;&lt;D xsi:type="xsd:double"&gt;-0.9657204&lt;/D&gt;&lt;D xsi:type="xsd:double"&gt;-4.293269&lt;/D&gt;&lt;D xsi:type="xsd:double"&gt;0.017237663&lt;/D&gt;&lt;D xsi:type="xsd:double"&gt;-7.722807&lt;/D&gt;&lt;D xsi:type="xsd:double"&gt;0.6538391&lt;/D&gt;&lt;D xsi:type="xsd:double"&gt;-1.5033424&lt;/D&gt;&lt;D xsi:type="xsd:double"&gt;-12.794423&lt;/D&gt;&lt;D xsi:type="xsd:double"&gt;-4.1170597&lt;/D&gt;&lt;D xsi:type="xsd:double"&gt;2.7131796&lt;/D&gt;&lt;D xsi:type="xsd:double"&gt;11.4539385&lt;/D&gt;&lt;D xsi:type="xsd:double"&gt;-8.185619&lt;/D&gt;&lt;D xsi:type="xsd:double"&gt;-11.47505&lt;/D&gt;&lt;D xsi:type="xsd:double"&gt;12.42342&lt;/D&gt;&lt;D xsi:type="xsd:double"&gt;9.42074&lt;/D&gt;&lt;D xsi:type="xsd:double"&gt;1.1409163&lt;/D&gt;&lt;D xsi:type="xsd:double"&gt;1.8009067&lt;/D&gt;&lt;D xsi:type="xsd:double"&gt;-6.920677&lt;/D&gt;&lt;D xsi:type="xsd:double"&gt;5.534661&lt;/D&gt;&lt;D xsi:type="xsd:double"&gt;-1.0686636&lt;/D&gt;&lt;D xsi:type="xsd:double"&gt;-2.878201&lt;/D&gt;&lt;D xsi:type="xsd:double"&gt;6.6985726&lt;/D&gt;&lt;D xsi:type="xsd:double"&gt;-8.16924&lt;/D&gt;&lt;D xsi:type="xsd:double"&gt;-5.7324767&lt;/D&gt;&lt;D xsi:type="xsd:double"&gt;-2.1171212&lt;/D&gt;&lt;D xsi:type="xsd:double"&gt;-0.71329474&lt;/D&gt;&lt;D xsi:type="xsd:double"&gt;10.938585&lt;/D&gt;&lt;D xsi:type="xsd:double"&gt;2.6141286&lt;/D&gt;&lt;D xsi:type="xsd:double"&gt;-7.4812946&lt;/D&gt;&lt;D xsi:type="xsd:double"&gt;2.8077245&lt;/D&gt;&lt;D xsi:type="xsd:double"&gt;-2.4907112&lt;/D&gt;&lt;D xsi:type="xsd:double"&gt;0.4929304&lt;/D&gt;&lt;D xsi:type="xsd:double"&gt;3.4398794&lt;/D&gt;&lt;/FQL&gt;&lt;FQL&gt;&lt;Q&gt;EWI^FMA_PE(NTMA,-10AY,0,AM,"PORTAGG","MEANR")&lt;/Q&gt;&lt;R&gt;121&lt;/R&gt;&lt;C&gt;1&lt;/C&gt;&lt;D xsi:type="xsd:double"&gt;14.5888732738745&lt;/D&gt;&lt;D xsi:type="xsd:double"&gt;13.8617157517757&lt;/D&gt;&lt;D xsi:type="xsd:double"&gt;13.0822758618966&lt;/D&gt;&lt;D xsi:type="xsd:double"&gt;14.0367275641081&lt;/D&gt;&lt;D xsi:type="xsd:double"&gt;12.4443952701973&lt;/D&gt;&lt;D xsi:type="xsd:double"&gt;12.4137463124913&lt;/D&gt;&lt;D xsi:type="xsd:double"&gt;12.2693076711912&lt;/D&gt;&lt;D xsi:type="xsd:double"&gt;12.0605506082431&lt;/D&gt;&lt;D xsi:type="xsd:double"&gt;14.62394735332&lt;/D&gt;&lt;D xsi:type="xsd:double"&gt;15.5851339871113&lt;/D&gt;&lt;D xsi:type="xsd:double"&gt;16.2690907438053&lt;/D&gt;&lt;D xsi:type="xsd:double"&gt;15.6946238778842&lt;/D&gt;&lt;D xsi:type="xsd:double"&gt;15.2023251459669&lt;/D&gt;&lt;D xsi:type="xsd:double"&gt;15.098762487809&lt;/D&gt;&lt;D xsi:type="xsd:double"&gt;15.3891495616431&lt;/D&gt;&lt;D xsi:type="xsd:double"&gt;14.3746031426826&lt;/D&gt;&lt;D xsi:type="xsd:double"&gt;14.4417595874021&lt;/D&gt;&lt;D xsi:type="xsd:double"&gt;14.5157390606785&lt;/D&gt;&lt;D xsi:type="xsd:double"&gt;13.8996972130561&lt;/D&gt;&lt;D xsi:type="xsd:double"&gt;13.5925634486648&lt;/D&gt;&lt;D xsi:type="xsd:double"&gt;11.8941230188023&lt;/D&gt;&lt;D xsi:type="xsd:double"&gt;13.7408450918804&lt;/D&gt;&lt;D xsi:type="xsd:double"&gt;13.2109223160834&lt;/D&gt;&lt;D xsi:type="xsd:double"&gt;13.5082172291081&lt;/D&gt;&lt;D xsi:type="xsd:double"&gt;12.1296405777364&lt;/D&gt;&lt;D xsi:type="xsd:double"&gt;12.2141603992126&lt;/D&gt;&lt;D xsi:type="xsd:double"&gt;12.7699715220756&lt;/D&gt;&lt;D xsi:type="xsd:double"&gt;11.9591046971915&lt;/D&gt;&lt;D xsi:type="xsd:double"&gt;11.5686195691367&lt;/D&gt;&lt;D xsi:type="xsd:double"&gt;11.8434378398969&lt;/D&gt;&lt;D xsi:type="xsd:double"&gt;13.3318663337915&lt;/D&gt;&lt;D xsi:type="xsd:double"&gt;13.4553553952506&lt;/D&gt;&lt;D xsi:type="xsd:double"&gt;13.1751433026066&lt;/D&gt;&lt;D xsi:type="xsd:double"&gt;13.3017934298196&lt;/D&gt;&lt;D xsi:type="xsd:double"&gt;12.9901808620348&lt;/D&gt;&lt;D xsi:type="xsd:double"&gt;13.8504926056749&lt;/D&gt;&lt;D xsi:type="xsd:double"&gt;13.3886767944608&lt;/D&gt;&lt;D xsi:type="xsd:double"&gt;13.5589938239109&lt;/D&gt;&lt;D xsi:type="xsd:double"&gt;13.1548267937409&lt;/D&gt;&lt;D xsi:type="xsd:double"&gt;13.4082962225567&lt;/D&gt;&lt;D xsi:type="xsd:double"&gt;13.5552089361186&lt;/D&gt;&lt;D xsi:type="xsd:double"&gt;13.3453851127927&lt;/D&gt;&lt;D xsi:type="xsd:double"&gt;13.403678141514&lt;/D&gt;&lt;D xsi:type="xsd:double"&gt;13.6443184132609&lt;/D&gt;&lt;D xsi:type="xsd:double"&gt;12.313842583482&lt;/D&gt;&lt;D xsi:type="xsd:double"&gt;12.6600925898479&lt;/D&gt;&lt;D xsi:type="xsd:double"&gt;12.7955426561836&lt;/D&gt;&lt;D xsi:type="xsd:double"&gt;12.9419183625077&lt;/D&gt;&lt;D xsi:type="xsd:double"&gt;11.7195001232315&lt;/D&gt;&lt;D xsi:type="xsd:double"&gt;11.4306726135023&lt;/D&gt;&lt;D xsi:type="xsd:double"&gt;11.0087014712868&lt;/D&gt;&lt;D xsi:type="xsd:double"&gt;10.7205325101886&lt;/D&gt;&lt;D xsi:type="xsd:double"&gt;9.87071874186469&lt;/D&gt;&lt;D xsi:type="xsd:double"&gt;9.77856617853882&lt;/D&gt;&lt;D xsi:type="xsd:double"&gt;9.56224992344095&lt;/D&gt;&lt;D xsi:type="xsd:double"&gt;9.69421551586197&lt;/D&gt;&lt;D xsi:type="xsd:double"&gt;10.2539975249675&lt;/D&gt;&lt;D xsi:type="xsd:double"&gt;10.5154161825235&lt;/D&gt;&lt;D xsi:type="xsd:double"&gt;10.9293200999984&lt;/D&gt;&lt;D xsi:type="xsd:double"&gt;10.2456673081369&lt;/D&gt;&lt;D xsi:type="xsd:double"&gt;10.1860719914715&lt;/D&gt;&lt;D xsi:type="xsd:double"&gt;10.9466900290377&lt;/D&gt;&lt;D xsi:type="xsd:double"&gt;10.1015117727867&lt;/D&gt;&lt;D xsi:type="xsd:double"&gt;10.8849673323702&lt;/D&gt;&lt;D xsi:type="xsd:double"&gt;10.8571929792904&lt;/D&gt;&lt;D xsi:type="xsd:double"&gt;11.3923288979785&lt;/D&gt;&lt;D xsi:type="xsd:double"&gt;11.3340184750654&lt;/D&gt;&lt;D xsi:type="xsd:double"&gt;11.560128124245&lt;/D&gt;&lt;D xsi:type="xsd:double"&gt;11.8698174621875&lt;/D&gt;&lt;D xsi:type="xsd:double"&gt;7.9326352342542&lt;/D&gt;&lt;D xsi:type="xsd:double"&gt;10.730329675563&lt;/D&gt;&lt;D xsi:type="xsd:double"&gt;14.6965886318865&lt;/D&gt;&lt;D xsi:type="xsd:double"&gt;17.0033739989701&lt;/D&gt;&lt;D xsi:type="xsd:double"&gt;17.4134389421216&lt;/D&gt;&lt;D xsi:type="xsd:double"&gt;16.7568251612477&lt;/D&gt;&lt;D xsi:type="xsd:double"&gt;15.7376439361044&lt;/D&gt;&lt;D xsi:type="xsd:double"&gt;14.7830287561672&lt;/D&gt;&lt;D xsi:type="xsd:double"&gt;14.7260320543259&lt;/D&gt;&lt;D xsi:type="xsd:double"&gt;14.7921811915182&lt;/D&gt;&lt;D xsi:type="xsd:double"&gt;14.9394196583796&lt;/D&gt;&lt;D xsi:type="xsd:double"&gt;14.3642110167861&lt;/D&gt;&lt;D xsi:type="xsd:double"&gt;13.9810237556396&lt;/D&gt;&lt;D xsi:type="xsd:double"&gt;13.9108320033379&lt;/D&gt;&lt;D xsi:type="xsd:double"&gt;13.1853891789428&lt;/D&gt;&lt;D xsi:type="xsd:double"&gt;13.7436947531938&lt;/D&gt;&lt;D xsi:type="xsd:double"&gt;13.1776504998165&lt;/D&gt;&lt;D xsi:type="xsd:double"&gt;12.4683343205807&lt;/D&gt;&lt;D xsi:type="xsd:double"&gt;11.7415614669485&lt;/D&gt;&lt;D xsi:type="xsd:double"&gt;11.558964431707&lt;/D&gt;&lt;D xsi:type="xsd:double"&gt;11.7934113909717&lt;/D&gt;&lt;D xsi:type="xsd:double"&gt;10.8563034542595&lt;/D&gt;&lt;D xsi:type="xsd:double"&gt;11.2447752790885&lt;/D&gt;&lt;D xsi:type="xsd:double"&gt;10.6758535162701&lt;/D&gt;&lt;D xsi:type="xsd:double"&gt;9.18218897849224&lt;/D&gt;&lt;D xsi:type="xsd:double"&gt;9.655302664965&lt;/D&gt;&lt;D xsi:type="xsd:double"&gt;9.15376002476104&lt;/D&gt;&lt;D xsi:type="xsd:double"&gt;7.97665658951546&lt;/D&gt;&lt;D xsi:type="xsd:double"&gt;7.65982895355728&lt;/D&gt;&lt;D xsi:type="xsd:double"&gt;7.73687142592396&lt;/D&gt;&lt;D xsi:type="xsd:double"&gt;7.76278952443309&lt;/D&gt;&lt;D xsi:type="xsd:double"&gt;7.23390911000965&lt;/D&gt;&lt;D xsi:type="xsd:double"&gt;8.29033705698233&lt;/D&gt;&lt;D xsi:type="xsd:double"&gt;7.89352305059477&lt;/D&gt;&lt;D xsi:type="xsd:double"&gt;8.21542692016361&lt;/D&gt;&lt;D xsi:type="xsd:double"&gt;8.45170574838788&lt;/D&gt;&lt;D xsi:type="xsd:double"&gt;8.22043956355398&lt;/D&gt;&lt;D xsi:type="xsd:double"&gt;8.70604048968413&lt;/D&gt;&lt;D xsi:type="xsd:double"&gt;8.39269248312189&lt;/D&gt;&lt;D xsi:type="xsd:double"&gt;8.70843970171993&lt;/D&gt;&lt;D xsi:type="xsd:double"&gt;8.84967529769906&lt;/D&gt;&lt;D xsi:type="xsd:double"&gt;8.28216617494314&lt;/D&gt;&lt;D xsi:type="xsd:double"&gt;8.41802976242076&lt;/D&gt;&lt;D xsi:type="xsd:double"&gt;8.17609613715501&lt;/D&gt;&lt;D xsi:type="xsd:double"&gt;8.20137394254574&lt;/D&gt;&lt;D xsi:type="xsd:double"&gt;8.81276874629493&lt;/D&gt;&lt;D xsi:type="xsd:double"&gt;8.98289165285478&lt;/D&gt;&lt;D xsi:type="xsd:double"&gt;8.97535952855524&lt;/D&gt;&lt;D xsi:type="xsd:double"&gt;9.59328230978695&lt;/D&gt;&lt;D xsi:type="xsd:double"&gt;9.51388194092688&lt;/D&gt;&lt;D xsi:type="xsd:double"&gt;9.7823740884043&lt;/D&gt;&lt;D xsi:type="xsd:double"&gt;9.69643585829533&lt;/D&gt;&lt;/FQL&gt;&lt;FQL&gt;&lt;Q&gt;EWN^FMA_PE(LTMA,-10AY,0,AM,"PORTAGG","MEANR")&lt;/Q&gt;&lt;R&gt;121&lt;/R&gt;&lt;C&gt;1&lt;/C&gt;&lt;D xsi:type="xsd:double"&gt;16.8403987094338&lt;/D&gt;&lt;D xsi:type="xsd:double"&gt;16.4947158935547&lt;/D&gt;&lt;D xsi:type="xsd:double"&gt;16.2063463865015&lt;/D&gt;&lt;D xsi:type="xsd:double"&gt;16.7564180225009&lt;/D&gt;&lt;D xsi:type="xsd:double"&gt;15.9427885076902&lt;/D&gt;&lt;D xsi:type="xsd:double"&gt;17.2711524968956&lt;/D&gt;&lt;D xsi:type="xsd:double"&gt;17.1197986578401&lt;/D&gt;&lt;D xsi:type="xsd:double"&gt;17.8338361179552&lt;/D&gt;&lt;D xsi:type="xsd:double"&gt;19.2336068246071&lt;/D&gt;&lt;D xsi:type="xsd:double"&gt;20.1240020383847&lt;/D&gt;&lt;D xsi:type="xsd:double"&gt;20.0229181075615&lt;/D&gt;&lt;D xsi:type="xsd:double"&gt;19.4595723274357&lt;/D&gt;&lt;D xsi:type="xsd:double"&gt;19.0927020763043&lt;/D&gt;&lt;D xsi:type="xsd:double"&gt;19.0861597984635&lt;/D&gt;&lt;D xsi:type="xsd:double"&gt;18.3964303198273&lt;/D&gt;&lt;D xsi:type="xsd:double"&gt;17.0888624814137&lt;/D&gt;&lt;D xsi:type="xsd:double"&gt;16.835888308925&lt;/D&gt;&lt;D xsi:type="xsd:double"&gt;17.7350351908805&lt;/D&gt;&lt;D xsi:type="xsd:double"&gt;16.9058584507065&lt;/D&gt;&lt;D xsi:type="xsd:double"&gt;15.9912935002846&lt;/D&gt;&lt;D xsi:type="xsd:double"&gt;14.7508105727415&lt;/D&gt;&lt;D xsi:type="xsd:double"&gt;16.4239900373995&lt;/D&gt;&lt;D xsi:type="xsd:double"&gt;16.3807807322347&lt;/D&gt;&lt;D xsi:type="xsd:double"&gt;16.1434028920266&lt;/D&gt;&lt;D xsi:type="xsd:double"&gt;15.8735799391609&lt;/D&gt;&lt;D xsi:type="xsd:double"&gt;15.9452388777696&lt;/D&gt;&lt;D xsi:type="xsd:double"&gt;16.2220108363401&lt;/D&gt;&lt;D xsi:type="xsd:double"&gt;15.863992820777&lt;/D&gt;&lt;D xsi:type="xsd:double"&gt;15.7108541275612&lt;/D&gt;&lt;D xsi:type="xsd:double"&gt;15.4974932696237&lt;/D&gt;&lt;D xsi:type="xsd:double"&gt;16.0104277232538&lt;/D&gt;&lt;D xsi:type="xsd:double"&gt;16.4408764074805&lt;/D&gt;&lt;D xsi:type="xsd:double"&gt;16.3196132503737&lt;/D&gt;&lt;D xsi:type="xsd:double"&gt;16.4995383194206&lt;/D&gt;&lt;D xsi:type="xsd:double"&gt;16.5432632357665&lt;/D&gt;&lt;D xsi:type="xsd:double"&gt;16.7432103059388&lt;/D&gt;&lt;D xsi:type="xsd:double"&gt;16.6774051028133&lt;/D&gt;&lt;D xsi:type="xsd:double"&gt;16.6605732474827&lt;/D&gt;&lt;D xsi:type="xsd:double"&gt;16.5481185923892&lt;/D&gt;&lt;D xsi:type="xsd:double"&gt;16.8020755128261&lt;/D&gt;&lt;D xsi:type="xsd:double"&gt;17.2642493918652&lt;/D&gt;&lt;D xsi:type="xsd:double"&gt;17.2898202261013&lt;/D&gt;&lt;D xsi:type="xsd:double"&gt;17.3739666060192&lt;/D&gt;&lt;D xsi:type="xsd:double"&gt;17.5270297534334&lt;/D&gt;&lt;D xsi:type="xsd:double"&gt;16.3866135540823&lt;/D&gt;&lt;D xsi:type="xsd:double"&gt;16.6452944270499&lt;/D&gt;&lt;D xsi:type="xsd:double"&gt;16.6149063581327&lt;/D&gt;&lt;D xsi:type="xsd:double"&gt;16.5893750068721&lt;/D&gt;&lt;D xsi:type="xsd:double"&gt;16.721434779816&lt;/D&gt;&lt;D xsi:type="xsd:double"&gt;16.6290856453298&lt;/D&gt;&lt;D xsi:type="xsd:double"&gt;16.5890432362894&lt;/D&gt;&lt;D xsi:type="xsd:double"&gt;16.257829461461&lt;/D&gt;&lt;D xsi:type="xsd:double"&gt;15.4917908262192&lt;/D&gt;&lt;D xsi:type="xsd:double"&gt;15.7029461414691&lt;/D&gt;&lt;D xsi:type="xsd:double"&gt;14.9923872517882&lt;/D&gt;&lt;D xsi:type="xsd:double"&gt;14.670371538714&lt;/D&gt;&lt;D xsi:type="xsd:double"&gt;15.7461245050194&lt;/D&gt;&lt;D xsi:type="xsd:double"&gt;16.1258950236245&lt;/D&gt;&lt;D xsi:type="xsd:double"&gt;16.2517276393038&lt;/D&gt;&lt;D xsi:type="xsd:double"&gt;16.071724557512&lt;/D&gt;&lt;D xsi:type="xsd:double"&gt;16.2845252041347&lt;/D&gt;&lt;D xsi:type="xsd:double"&gt;16.4380431753788&lt;/D&gt;&lt;D xsi:type="xsd:double"&gt;16.2472772685266&lt;/D&gt;&lt;D xsi:type="xsd:double"&gt;17.1385577862349&lt;/D&gt;&lt;D xsi:type="xsd:double"&gt;17.2091382149649&lt;/D&gt;&lt;D xsi:type="xsd:double"&gt;17.9204230371233&lt;/D&gt;&lt;D xsi:type="xsd:double"&gt;18.4615896047333&lt;/D&gt;&lt;D xsi:type="xsd:double"&gt;18.6968333590072&lt;/D&gt;&lt;D xsi:type="xsd:double"&gt;19.8598865828822&lt;/D&gt;&lt;D xsi:type="xsd:double"&gt;16.6897483665973&lt;/D&gt;&lt;D xsi:type="xsd:double"&gt;17.2957725593645&lt;/D&gt;&lt;D xsi:type="xsd:double"&gt;17.9614881611371&lt;/D&gt;&lt;D xsi:type="xsd:double"&gt;19.0325354546946&lt;/D&gt;&lt;D xsi:type="xsd:double"&gt;20.3254113691629&lt;/D&gt;&lt;D xsi:type="xsd:double"&gt;21.0324451439947&lt;/D&gt;&lt;D xsi:type="xsd:double"&gt;21.5243174272252&lt;/D&gt;&lt;D xsi:type="xsd:double"&gt;22.9568777573757&lt;/D&gt;&lt;D xsi:type="xsd:double"&gt;24.5840096470684&lt;/D&gt;&lt;D xsi:type="xsd:double"&gt;25.9801910504561&lt;/D&gt;&lt;D xsi:type="xsd:double"&gt;28.0109138965656&lt;/D&gt;&lt;D xsi:type="xsd:double"&gt;29.8989610822043&lt;/D&gt;&lt;D xsi:type="xsd:double"&gt;28.7582831676733&lt;/D&gt;&lt;D xsi:type="xsd:double"&gt;28.4209143746249&lt;/D&gt;&lt;D xsi:type="xsd:double"&gt;27.2598148761522&lt;/D&gt;&lt;D xsi:type="xsd:double"&gt;27.073149352726&lt;/D&gt;&lt;D xsi:type="xsd:double"&gt;26.4451205395886&lt;/D&gt;&lt;D xsi:type="xsd:double"&gt;26.0552632333128&lt;/D&gt;&lt;D xsi:type="xsd:double"&gt;25.6004648993382&lt;/D&gt;&lt;D xsi:type="xsd:double"&gt;23.972894377593&lt;/D&gt;&lt;D xsi:type="xsd:double"&gt;24.556316459495&lt;/D&gt;&lt;D xsi:type="xsd:double"&gt;22.6955153336399&lt;/D&gt;&lt;D xsi:type="xsd:double"&gt;22.0400320843809&lt;/D&gt;&lt;D xsi:type="xsd:double"&gt;20.0096138945917&lt;/D&gt;&lt;D xsi:type="xsd:double"&gt;18.162327039589&lt;/D&gt;&lt;D xsi:type="xsd:double"&gt;18.4127762986207&lt;/D&gt;&lt;D xsi:type="xsd:double"&gt;17.9994770380311&lt;/D&gt;&lt;D xsi:type="xsd:double"&gt;17.9505042739273&lt;/D&gt;&lt;D xsi:type="xsd:double"&gt;18.1291954352543&lt;/D&gt;&lt;D xsi:type="xsd:double"&gt;19.7354951321007&lt;/D&gt;&lt;D xsi:type="xsd:double"&gt;18.6037786311373&lt;/D&gt;&lt;D xsi:type="xsd:double"&gt;16.7400906452953&lt;/D&gt;&lt;D xsi:type="xsd:double"&gt;18.4667032012753&lt;/D&gt;&lt;D xsi:type="xsd:double"&gt;18.9078499097178&lt;/D&gt;&lt;D xsi:type="xsd:double"&gt;19.3902702993623&lt;/D&gt;&lt;D xsi:type="xsd:double"&gt;20.918872951598&lt;/D&gt;&lt;D xsi:type="xsd:double"&gt;20.3866236887494&lt;/D&gt;&lt;D xsi:type="xsd:double"&gt;20.1735129849&lt;/D&gt;&lt;D xsi:type="xsd:double"&gt;19.6042671688917&lt;/D&gt;&lt;D xsi:type="xsd:double"&gt;19.411361055051&lt;/D&gt;&lt;D xsi:type="xsd:double"&gt;19.3074161819155&lt;/D&gt;&lt;D xsi:type="xsd:double"&gt;18.3333591197029&lt;/D&gt;&lt;D xsi:type="xsd:double"&gt;17.2505821643199&lt;/D&gt;&lt;D xsi:type="xsd:double"&gt;16.4035641600875&lt;/D&gt;&lt;D xsi:type="xsd:double"&gt;16.2510420139455&lt;/D&gt;&lt;D xsi:type="xsd:double"&gt;16.6666491670617&lt;/D&gt;&lt;D xsi:type="xsd:double"&gt;16.4202802236002&lt;/D&gt;&lt;D xsi:type="xsd:double"&gt;17.6523097175029&lt;/D&gt;&lt;D xsi:type="xsd:double"&gt;18.4672625285679&lt;/D&gt;&lt;D xsi:type="xsd:double"&gt;18.3018106108189&lt;/D&gt;&lt;D xsi:type="xsd:double"&gt;18.2700873530395&lt;/D&gt;&lt;D xsi:type="xsd:double"&gt;18.4694371941692&lt;/D&gt;&lt;/FQL&gt;&lt;FQL&gt;&lt;Q&gt;DDR3512M-FDS^FG_PRICE_CHANGE(0,-3AM)&lt;/Q&gt;&lt;R&gt;1&lt;/R&gt;&lt;C&gt;1&lt;/C&gt;&lt;D xsi:type="xsd:double"&gt;-0.833592246236969&lt;/D&gt;&lt;/FQL&gt;&lt;FQL&gt;&lt;Q&gt;PASP-FDS^FG_PRICE_CHANGE(0,-3AM)&lt;/Q&gt;&lt;R&gt;1&lt;/R&gt;&lt;C&gt;1&lt;/C&gt;&lt;D xsi:type="xsd:double"&gt;-15.668202764977&lt;/D&gt;&lt;/FQL&gt;&lt;FQL&gt;&lt;Q&gt;PLATI-FDS^FG_PRICE_CHANGE(0,-3AM)&lt;/Q&gt;&lt;R&gt;1&lt;/R&gt;&lt;C&gt;1&lt;/C&gt;&lt;D xsi:type="xsd:double"&gt;3.20855614973261&lt;/D&gt;&lt;/FQL&gt;&lt;FQL&gt;&lt;Q&gt;W-FDS^FG_PRICE_CHANGE(0,-3AM)&lt;/Q&gt;&lt;R&gt;1&lt;/R&gt;&lt;C&gt;1&lt;/C&gt;&lt;D xsi:type="xsd:double"&gt;16.4866134335369&lt;/D&gt;&lt;/FQL&gt;&lt;FQL&gt;&lt;Q&gt;COPP-FDS^FG_PRICE_CHANGE(0,-3AM)&lt;/Q&gt;&lt;R&gt;1&lt;/R&gt;&lt;C&gt;1&lt;/C&gt;&lt;D xsi:type="xsd:double"&gt;11.22763726095&lt;/D&gt;&lt;/FQL&gt;&lt;FQL&gt;&lt;Q&gt;PASP-FDS^FG_PRICE_CHANGE(0,-1AM)&lt;/Q&gt;&lt;R&gt;1&lt;/R&gt;&lt;C&gt;1&lt;/C&gt;&lt;D xsi:type="xsd:double"&gt;-7.9476861167002&lt;/D&gt;&lt;/FQL&gt;&lt;FQL&gt;&lt;Q&gt;PLATI-FDS^FG_PRICE_CHANGE(0,-1AM)&lt;/Q&gt;&lt;R&gt;1&lt;/R&gt;&lt;C&gt;1&lt;/C&gt;&lt;D xsi:type="xsd:double"&gt;-4.45544554455446&lt;/D&gt;&lt;/FQL&gt;&lt;FQL&gt;&lt;Q&gt;W-FDS^FG_PRICE_CHANGE(0,-1AM)&lt;/Q&gt;&lt;R&gt;1&lt;/R&gt;&lt;C&gt;1&lt;/C&gt;&lt;D xsi:type="xsd:double"&gt;-7.49720253636702&lt;/D&gt;&lt;/FQL&gt;&lt;FQL&gt;&lt;Q&gt;COPP-FDS^FG_PRICE_CHANGE(0,-1AM)&lt;/Q&gt;&lt;R&gt;1&lt;/R&gt;&lt;C&gt;1&lt;/C&gt;&lt;D xsi:type="xsd:double"&gt;-6.18170465188885&lt;/D&gt;&lt;/FQL&gt;&lt;FQL&gt;&lt;Q&gt;EWI^FG_PRICE_MAVG(0,,,,60)&lt;/Q&gt;&lt;R&gt;1&lt;/R&gt;&lt;C&gt;1&lt;/C&gt;&lt;D xsi:type="xsd:double"&gt;37.633335&lt;/D&gt;&lt;/FQL&gt;&lt;FQL&gt;&lt;Q&gt;SPY^FG_PRICE_MAVG(0,,,,60)&lt;/Q&gt;&lt;R&gt;1&lt;/R&gt;&lt;C&gt;1&lt;/C&gt;&lt;D xsi:type="xsd:double"&gt;519.4768&lt;/D&gt;&lt;/FQL&gt;&lt;FQL&gt;&lt;Q&gt;EWJ^FG_PRICE_MAVG(0,,,,60)&lt;/Q&gt;&lt;R&gt;1&lt;/R&gt;&lt;C&gt;1&lt;/C&gt;&lt;D xsi:type="xsd:double"&gt;68.86266&lt;/D&gt;&lt;/FQL&gt;&lt;FQL&gt;&lt;Q&gt;ENZL^FG_PRICE_MAVG(0,,,,60)&lt;/Q&gt;&lt;R&gt;1&lt;/R&gt;&lt;C&gt;1&lt;/C&gt;&lt;D xsi:type="xsd:double"&gt;45.268047&lt;/D&gt;&lt;/FQL&gt;&lt;FQL&gt;&lt;Q&gt;CAGDPY@NL^EE_ACTUAL_ANNUAL(MED,+1)&lt;/Q&gt;&lt;R&gt;1&lt;/R&gt;&lt;C&gt;1&lt;/C&gt;&lt;D xsi:type="xsd:double"&gt;7.6&lt;/D&gt;&lt;/FQL&gt;&lt;FQL&gt;&lt;Q&gt;CAGDPY@CA^EE_ACTUAL_ANNUAL(MED,+1)&lt;/Q&gt;&lt;R&gt;1&lt;/R&gt;&lt;C&gt;1&lt;/C&gt;&lt;D xsi:type="xsd:double"&gt;-0.35&lt;/D&gt;&lt;/FQL&gt;&lt;FQL&gt;&lt;Q&gt;USDITL^STD(FG_PRICE_CHANGE(0,-1AY,AM))&lt;/Q&gt;&lt;R&gt;1&lt;/R&gt;&lt;C&gt;1&lt;/C&gt;&lt;D xsi:type="xsd:double"&gt;2.11508254339528&lt;/D&gt;&lt;/FQL&gt;&lt;FQL&gt;&lt;Q&gt;USDANG^STD(FG_PRICE_CHANGE(0,-1AY,AM))&lt;/Q&gt;&lt;R&gt;1&lt;/R&gt;&lt;C&gt;1&lt;/C&gt;&lt;D xsi:type="xsd:double"&gt;0&lt;/D&gt;&lt;/FQL&gt;&lt;FQL&gt;&lt;Q&gt;USDGBP^STD(FG_PRICE_CHANGE(0,-1AY,AM))&lt;/Q&gt;&lt;R&gt;1&lt;/R&gt;&lt;C&gt;1&lt;/C&gt;&lt;D xsi:type="xsd:double"&gt;2.2777656577589&lt;/D&gt;&lt;/FQL&gt;&lt;FQL&gt;&lt;Q&gt;USDJPY^STD(FG_PRICE_CHANGE(0,-1AY,AM))&lt;/Q&gt;&lt;R&gt;1&lt;/R&gt;&lt;C&gt;1&lt;/C&gt;&lt;D xsi:type="xsd:double"&gt;2.57524214440693&lt;/D&gt;&lt;/FQL&gt;&lt;FQL&gt;&lt;Q&gt;USDCAD^STD(FG_PRICE_CHANGE(0,-1AY,AM))&lt;/Q&gt;&lt;R&gt;1&lt;/R&gt;&lt;C&gt;1&lt;/C&gt;&lt;D xsi:type="xsd:double"&gt;1.42963414780913&lt;/D&gt;&lt;/FQL&gt;&lt;FQL&gt;&lt;Q&gt;USDNZD^STD(FG_PRICE_CHANGE(0,-1AY,AM))&lt;/Q&gt;&lt;R&gt;1&lt;/R&gt;&lt;C&gt;1&lt;/C&gt;&lt;D xsi:type="xsd:double"&gt;2.99160607446761&lt;/D&gt;&lt;/FQL&gt;&lt;FQL&gt;&lt;Q&gt;EWG^FMA_EPS(NTMA,-20AY,0,CY,,"PORTAGG","MEANR")&lt;/Q&gt;&lt;R&gt;20&lt;/R&gt;&lt;C&gt;1&lt;/C&gt;&lt;D xsi:type="xsd:double"&gt;1.52066411043583&lt;/D&gt;&lt;D xsi:type="xsd:double"&gt;1.60643474084628&lt;/D&gt;&lt;D xsi:type="xsd:double"&gt;2.11909900762238&lt;/D&gt;&lt;D xsi:type="xsd:double"&gt;2.80661608339197&lt;/D&gt;&lt;D xsi:type="xsd:double"&gt;1.99715132688841&lt;/D&gt;&lt;D xsi:type="xsd:double"&gt;1.74300870329695&lt;/D&gt;&lt;D xsi:type="xsd:double"&gt;2.17390808983831&lt;/D&gt;&lt;D xsi:type="xsd:double"&gt;2.1750966873774&lt;/D&gt;&lt;D xsi:type="xsd:double"&gt;2.27358500860511&lt;/D&gt;&lt;D xsi:type="xsd:double"&gt;2.40616014173578&lt;/D&gt;&lt;D xsi:type="xsd:double"&gt;2.13415894814862&lt;/D&gt;&lt;D xsi:type="xsd:double"&gt;1.96165601541568&lt;/D&gt;&lt;D xsi:type="xsd:double"&gt;1.94158660997406&lt;/D&gt;&lt;D xsi:type="xsd:double"&gt;2.40362877806351&lt;/D&gt;&lt;D xsi:type="xsd:double"&gt;2.32116072306873&lt;/D&gt;&lt;D xsi:type="xsd:double"&gt;2.08815829612982&lt;/D&gt;&lt;D xsi:type="xsd:double"&gt;1.98003612030208&lt;/D&gt;&lt;D xsi:type="xsd:double"&gt;2.44944590598376&lt;/D&gt;&lt;D xsi:type="xsd:double"&gt;2.36386839889078&lt;/D&gt;&lt;D xsi:type="xsd:double"&gt;2.65863143369802&lt;/D&gt;&lt;/FQL&gt;&lt;FQL&gt;&lt;Q&gt;EWA^P_PRICE_RETURNS_PR('52W',2,-10AY,0,AM)&lt;/Q&gt;&lt;R&gt;121&lt;/R&gt;&lt;C&gt;1&lt;/C&gt;&lt;D xsi:type="xsd:double"&gt;15.75054&lt;/D&gt;&lt;D xsi:type="xsd:double"&gt;17.63792&lt;/D&gt;&lt;D xsi:type="xsd:double"&gt;13.816917&lt;/D&gt;&lt;D xsi:type="xsd:double"&gt;7.3985577&lt;/D&gt;&lt;D xsi:type="xsd:double"&gt;-6.200063&lt;/D&gt;&lt;D xsi:type="xsd:double"&gt;-0.87623&lt;/D&gt;&lt;D xsi:type="xsd:double"&gt;-1.6705453&lt;/D&gt;&lt;D xsi:type="xsd:double"&gt;-3.803289&lt;/D&gt;&lt;D xsi:type="xsd:double"&gt;-0.5066395&lt;/D&gt;&lt;D xsi:type="xsd:double"&gt;-4.6622157&lt;/D&gt;&lt;D xsi:type="xsd:double"&gt;-7.71327&lt;/D&gt;&lt;D xsi:type="xsd:double"&gt;-7.391441&lt;/D&gt;&lt;D xsi:type="xsd:double"&gt;-13.217646&lt;/D&gt;&lt;D xsi:type="xsd:double"&gt;-17.509777&lt;/D&gt;&lt;D xsi:type="xsd:double"&gt;-20.3861&lt;/D&gt;&lt;D xsi:type="xsd:double"&gt;-25.985998&lt;/D&gt;&lt;D xsi:type="xsd:double"&gt;-13.27011&lt;/D&gt;&lt;D xsi:type="xsd:double"&gt;-22.713423&lt;/D&gt;&lt;D xsi:type="xsd:double"&gt;-15.239411&lt;/D&gt;&lt;D xsi:type="xsd:double"&gt;-20.374477&lt;/D&gt;&lt;D xsi:type="xsd:double"&gt;-21.604145&lt;/D&gt;&lt;D xsi:type="xsd:double"&gt;-7.325971&lt;/D&gt;&lt;D xsi:type="xsd:double"&gt;-11.361599&lt;/D&gt;&lt;D xsi:type="xsd:double"&gt;-13.232649&lt;/D&gt;&lt;D xsi:type="xsd:double"&gt;-7.498354&lt;/D&gt;&lt;D xsi:type="xsd:double"&gt;1.8841624&lt;/D&gt;&lt;D xsi:type="xsd:double"&gt;9.00532&lt;/D&gt;&lt;D xsi:type="xsd:double"&gt;9.653091&lt;/D&gt;&lt;D xsi:type="xsd:double"&gt;12.524736&lt;/D&gt;&lt;D xsi:type="xsd:double"&gt;16.130245&lt;/D&gt;&lt;D xsi:type="xsd:double"&gt;22.864067&lt;/D&gt;&lt;D xsi:type="xsd:double"&gt;32.669342&lt;/D&gt;&lt;D xsi:type="xsd:double"&gt;34.987415&lt;/D&gt;&lt;D xsi:type="xsd:double"&gt;16.507233&lt;/D&gt;&lt;D xsi:type="xsd:double"&gt;19.837261&lt;/D&gt;&lt;D xsi:type="xsd:double"&gt;15.082312&lt;/D&gt;&lt;D xsi:type="xsd:double"&gt;19.113504&lt;/D&gt;&lt;D xsi:type="xsd:double"&gt;13.537443&lt;/D&gt;&lt;D xsi:type="xsd:double"&gt;10.600698&lt;/D&gt;&lt;D xsi:type="xsd:double"&gt;25.014221&lt;/D&gt;&lt;D xsi:type="xsd:double"&gt;16.556608&lt;/D&gt;&lt;D xsi:type="xsd:double"&gt;18.18266&lt;/D&gt;&lt;D xsi:type="xsd:double"&gt;14.036632&lt;/D&gt;&lt;D xsi:type="xsd:double"&gt;15.17694&lt;/D&gt;&lt;D xsi:type="xsd:double"&gt;7.766962&lt;/D&gt;&lt;D xsi:type="xsd:double"&gt;8.881021&lt;/D&gt;&lt;D xsi:type="xsd:double"&gt;4.481721&lt;/D&gt;&lt;D xsi:type="xsd:double"&gt;9.507608&lt;/D&gt;&lt;D xsi:type="xsd:double"&gt;7.8537583&lt;/D&gt;&lt;D xsi:type="xsd:double"&gt;8.902634&lt;/D&gt;&lt;D xsi:type="xsd:double"&gt;4.9830914&lt;/D&gt;&lt;D xsi:type="xsd:double"&gt;-0.44540167&lt;/D&gt;&lt;D xsi:type="xsd:double"&gt;-4.950815&lt;/D&gt;&lt;D xsi:type="xsd:double"&gt;-4.5229015&lt;/D&gt;&lt;D xsi:type="xsd:double"&gt;-8.067787&lt;/D&gt;&lt;D xsi:type="xsd:double"&gt;-9.088654&lt;/D&gt;&lt;D xsi:type="xsd:double"&gt;-2.8240979&lt;/D&gt;&lt;D xsi:type="xsd:double"&gt;-1.3834298&lt;/D&gt;&lt;D xsi:type="xsd:double"&gt;3.430438&lt;/D&gt;&lt;D xsi:type="xsd:double"&gt;-1.431179&lt;/D&gt;&lt;D xsi:type="xsd:double"&gt;4.3967605&lt;/D&gt;&lt;D xsi:type="xsd:double"&gt;4.593265&lt;/D&gt;&lt;D xsi:type="xsd:double"&gt;2.4246454&lt;/D&gt;&lt;D xsi:type="xsd:double"&gt;9.224892&lt;/D&gt;&lt;D xsi:type="xsd:double"&gt;14.5713215&lt;/D&gt;&lt;D xsi:type="xsd:double"&gt;13.993895&lt;/D&gt;&lt;D xsi:type="xsd:double"&gt;18.871355&lt;/D&gt;&lt;D xsi:type="xsd:double"&gt;18.606102&lt;/D&gt;&lt;D xsi:type="xsd:double"&gt;15.3744335&lt;/D&gt;&lt;D xsi:type="xsd:double"&gt;-16.131145&lt;/D&gt;&lt;D xsi:type="xsd:double"&gt;-21.104599&lt;/D&gt;&lt;D xsi:type="xsd:double"&gt;-19.30762&lt;/D&gt;&lt;D xsi:type="xsd:double"&gt;-10.586506&lt;/D&gt;&lt;D xsi:type="xsd:double"&gt;-11.41333&lt;/D&gt;&lt;D xsi:type="xsd:double"&gt;-1.4725268&lt;/D&gt;&lt;D xsi:type="xsd:double"&gt;-6.8860054&lt;/D&gt;&lt;D xsi:type="xsd:double"&gt;-2.7535677&lt;/D&gt;&lt;D xsi:type="xsd:double"&gt;1.5436172&lt;/D&gt;&lt;D xsi:type="xsd:double"&gt;8.06129&lt;/D&gt;&lt;D xsi:type="xsd:double"&gt;8.787357&lt;/D&gt;&lt;D xsi:type="xsd:double"&gt;11.241198&lt;/D&gt;&lt;D xsi:type="xsd:double"&gt;70.16665&lt;/D&gt;&lt;D xsi:type="xsd:double"&gt;57.808125&lt;/D&gt;&lt;D xsi:type="xsd:double"&gt;62.91821&lt;/D&gt;&lt;D xsi:type="xsd:double"&gt;48.581196&lt;/D&gt;&lt;D xsi:type="xsd:double"&gt;37.02595&lt;/D&gt;&lt;D xsi:type="xsd:double"&gt;32.34364&lt;/D&gt;&lt;D xsi:type="xsd:double"&gt;31.991695&lt;/D&gt;&lt;D xsi:type="xsd:double"&gt;26.588762&lt;/D&gt;&lt;D xsi:type="xsd:double"&gt;21.668983&lt;/D&gt;&lt;D xsi:type="xsd:double"&gt;7.4919105&lt;/D&gt;&lt;D xsi:type="xsd:double"&gt;6.806195&lt;/D&gt;&lt;D xsi:type="xsd:double"&gt;-0.9399712&lt;/D&gt;&lt;D xsi:type="xsd:double"&gt;1.7098308&lt;/D&gt;&lt;D xsi:type="xsd:double"&gt;8.996463&lt;/D&gt;&lt;D xsi:type="xsd:double"&gt;-5.399847&lt;/D&gt;&lt;D xsi:type="xsd:double"&gt;-15.127158&lt;/D&gt;&lt;D xsi:type="xsd:double"&gt;-13.885773&lt;/D&gt;&lt;D xsi:type="xsd:double"&gt;-5.8802547&lt;/D&gt;&lt;D xsi:type="xsd:double"&gt;-11.065489&lt;/D&gt;&lt;D xsi:type="xsd:double"&gt;-16.524761&lt;/D&gt;&lt;D xsi:type="xsd:double"&gt;-5.5944977&lt;/D&gt;&lt;D xsi:type="xsd:double"&gt;0.8373976&lt;/D&gt;&lt;D xsi:type="xsd:double"&gt;1.4760256&lt;/D&gt;&lt;D xsi:type="xsd:double"&gt;8.752918&lt;/D&gt;&lt;D xsi:type="xsd:double"&gt;-4.6376886&lt;/D&gt;&lt;D xsi:type="xsd:double"&gt;-5.997181&lt;/D&gt;&lt;D xsi:type="xsd:double"&gt;5.568075&lt;/D&gt;&lt;D xsi:type="xsd:double"&gt;10.186375&lt;/D&gt;&lt;D xsi:type="xsd:double"&gt;16.51852&lt;/D&gt;&lt;D xsi:type="xsd:double"&gt;0.22882223&lt;/D&gt;&lt;D xsi:type="xsd:double"&gt;5.131662&lt;/D&gt;&lt;D xsi:type="xsd:double"&gt;9.315276&lt;/D&gt;&lt;D xsi:type="xsd:double"&gt;-2.1757126&lt;/D&gt;&lt;D xsi:type="xsd:double"&gt;4.183805&lt;/D&gt;&lt;D xsi:type="xsd:double"&gt;3.4658074&lt;/D&gt;&lt;D xsi:type="xsd:double"&gt;-2.342552&lt;/D&gt;&lt;D xsi:type="xsd:double"&gt;15.653586&lt;/D&gt;&lt;D xsi:type="xsd:double"&gt;6.302321&lt;/D&gt;&lt;D xsi:type="xsd:double"&gt;11.394572&lt;/D&gt;&lt;D xsi:type="xsd:double"&gt;11.052823&lt;/D&gt;&lt;/FQL&gt;&lt;FQL&gt;&lt;Q&gt;ENZL^JULIAN(FG_TOTAL_RETURNC(-10AY,0,AM).DATES)&lt;/Q&gt;&lt;R&gt;121&lt;/R&gt;&lt;C&gt;1&lt;/C&gt;&lt;D xsi:type="xsd:long"&gt;41803&lt;/D&gt;&lt;D xsi:type="xsd:long"&gt;41831&lt;/D&gt;&lt;D xsi:type="xsd:long"&gt;41864&lt;/D&gt;&lt;D xsi:type="xsd:long"&gt;41894&lt;/D&gt;&lt;D xsi:type="xsd:long"&gt;41925&lt;/D&gt;&lt;D xsi:type="xsd:long"&gt;41956&lt;/D&gt;&lt;D xsi:type="xsd:long"&gt;41985&lt;/D&gt;&lt;D xsi:type="xsd:long"&gt;42017&lt;/D&gt;&lt;D xsi:type="xsd:long"&gt;42048&lt;/D&gt;&lt;D xsi:type="xsd:long"&gt;42076&lt;/D&gt;&lt;D xsi:type="xsd:long"&gt;42107&lt;/D&gt;&lt;D xsi:type="xsd:long"&gt;42137&lt;/D&gt;&lt;D xsi:type="xsd:long"&gt;42167&lt;/D&gt;&lt;D xsi:type="xsd:long"&gt;42198&lt;/D&gt;&lt;D xsi:type="xsd:long"&gt;42229&lt;/D&gt;&lt;D xsi:type="xsd:long"&gt;42258&lt;/D&gt;&lt;D xsi:type="xsd:long"&gt;42290&lt;/D&gt;&lt;D xsi:type="xsd:long"&gt;42321&lt;/D&gt;&lt;D xsi:type="xsd:long"&gt;42349&lt;/D&gt;&lt;D xsi:type="xsd:long"&gt;42382&lt;/D&gt;&lt;D xsi:type="xsd:long"&gt;42412&lt;/D&gt;&lt;D xsi:type="xsd:long"&gt;42440&lt;/D&gt;&lt;D xsi:type="xsd:long"&gt;42473&lt;/D&gt;&lt;D xsi:type="xsd:long"&gt;42503&lt;/D&gt;&lt;D xsi:type="xsd:long"&gt;42534&lt;/D&gt;&lt;D xsi:type="xsd:long"&gt;42564&lt;/D&gt;&lt;D xsi:type="xsd:long"&gt;42594&lt;/D&gt;&lt;D xsi:type="xsd:long"&gt;42626&lt;/D&gt;&lt;D xsi:type="xsd:long"&gt;42656&lt;/D&gt;&lt;D xsi:type="xsd:long"&gt;42685&lt;/D&gt;&lt;D xsi:type="xsd:long"&gt;42717&lt;/D&gt;&lt;D xsi:type="xsd:long"&gt;42748&lt;/D&gt;&lt;D xsi:type="xsd:long"&gt;42779&lt;/D&gt;&lt;D xsi:type="xsd:long"&gt;42807&lt;/D&gt;&lt;D xsi:type="xsd:long"&gt;42838&lt;/D&gt;&lt;D xsi:type="xsd:long"&gt;42867&lt;/D&gt;&lt;D xsi:type="xsd:long"&gt;42899&lt;/D&gt;&lt;D xsi:type="xsd:long"&gt;42929&lt;/D&gt;&lt;D xsi:type="xsd:long"&gt;42958&lt;/D&gt;&lt;D xsi:type="xsd:long"&gt;42991&lt;/D&gt;&lt;D xsi:type="xsd:long"&gt;43021&lt;/D&gt;&lt;D xsi:type="xsd:long"&gt;43052&lt;/D&gt;&lt;D xsi:type="xsd:long"&gt;43082&lt;/D&gt;&lt;D xsi:type="xsd:long"&gt;43112&lt;/D&gt;&lt;D xsi:type="xsd:long"&gt;43144&lt;/D&gt;&lt;D xsi:type="xsd:long"&gt;43172&lt;/D&gt;&lt;D xsi:type="xsd:long"&gt;43203&lt;/D&gt;&lt;D xsi:type="xsd:long"&gt;43231&lt;/D&gt;&lt;D xsi:type="xsd:long"&gt;43264&lt;/D&gt;&lt;D xsi:type="xsd:long"&gt;43294&lt;/D&gt;&lt;D xsi:type="xsd:long"&gt;43325&lt;/D&gt;&lt;D xsi:type="xsd:long"&gt;43356&lt;/D&gt;&lt;D xsi:type="xsd:long"&gt;43385&lt;/D&gt;&lt;D xsi:type="xsd:long"&gt;43417&lt;/D&gt;&lt;D xsi:type="xsd:long"&gt;43447&lt;/D&gt;&lt;D xsi:type="xsd:long"&gt;43476&lt;/D&gt;&lt;D xsi:type="xsd:long"&gt;43509&lt;/D&gt;&lt;D xsi:type="xsd:long"&gt;43537&lt;/D&gt;&lt;D xsi:type="xsd:long"&gt;43567&lt;/D&gt;&lt;D xsi:type="x</t>
        </r>
      </text>
    </comment>
    <comment ref="A13" authorId="0" shapeId="0" xr:uid="{1AB8D042-E90C-48CE-83AB-7296681DE18E}">
      <text>
        <r>
          <rPr>
            <b/>
            <sz val="9"/>
            <color indexed="81"/>
            <rFont val="Tahoma"/>
            <charset val="1"/>
          </rPr>
          <t>sd:long"&gt;43598&lt;/D&gt;&lt;D xsi:type="xsd:long"&gt;43629&lt;/D&gt;&lt;D xsi:type="xsd:long"&gt;43658&lt;/D&gt;&lt;D xsi:type="xsd:long"&gt;43690&lt;/D&gt;&lt;D xsi:type="xsd:long"&gt;43721&lt;/D&gt;&lt;D xsi:type="xsd:long"&gt;43749&lt;/D&gt;&lt;D xsi:type="xsd:long"&gt;43782&lt;/D&gt;&lt;D xsi:type="xsd:long"&gt;43812&lt;/D&gt;&lt;D xsi:type="xsd:long"&gt;43843&lt;/D&gt;&lt;D xsi:type="xsd:long"&gt;43874&lt;/D&gt;&lt;D xsi:type="xsd:long"&gt;43903&lt;/D&gt;&lt;D xsi:type="xsd:long"&gt;43934&lt;/D&gt;&lt;D xsi:type="xsd:long"&gt;43964&lt;/D&gt;&lt;D xsi:type="xsd:long"&gt;43994&lt;/D&gt;&lt;D xsi:type="xsd:long"&gt;44025&lt;/D&gt;&lt;D xsi:type="xsd:long"&gt;44056&lt;/D&gt;&lt;D xsi:type="xsd:long"&gt;44085&lt;/D&gt;&lt;D xsi:type="xsd:long"&gt;44117&lt;/D&gt;&lt;D xsi:type="xsd:long"&gt;44148&lt;/D&gt;&lt;D xsi:type="xsd:long"&gt;44176&lt;/D&gt;&lt;D xsi:type="xsd:long"&gt;44209&lt;/D&gt;&lt;D xsi:type="xsd:long"&gt;44239&lt;/D&gt;&lt;D xsi:type="xsd:long"&gt;44267&lt;/D&gt;&lt;D xsi:type="xsd:long"&gt;44299&lt;/D&gt;&lt;D xsi:type="xsd:long"&gt;44329&lt;/D&gt;&lt;D xsi:type="xsd:long"&gt;44358&lt;/D&gt;&lt;D xsi:type="xsd:long"&gt;44390&lt;/D&gt;&lt;D xsi:type="xsd:long"&gt;44421&lt;/D&gt;&lt;D xsi:type="xsd:long"&gt;44452&lt;/D&gt;&lt;D xsi:type="xsd:long"&gt;44482&lt;/D&gt;&lt;D xsi:type="xsd:long"&gt;44512&lt;/D&gt;&lt;D xsi:type="xsd:long"&gt;44543&lt;/D&gt;&lt;D xsi:type="xsd:long"&gt;44574&lt;/D&gt;&lt;D xsi:type="xsd:long"&gt;44603&lt;/D&gt;&lt;D xsi:type="xsd:long"&gt;44631&lt;/D&gt;&lt;D xsi:type="xsd:long"&gt;44664&lt;/D&gt;&lt;D xsi:type="xsd:long"&gt;44694&lt;/D&gt;&lt;D xsi:type="xsd:long"&gt;44725&lt;/D&gt;&lt;D xsi:type="xsd:long"&gt;44755&lt;/D&gt;&lt;D xsi:type="xsd:long"&gt;44785&lt;/D&gt;&lt;D xsi:type="xsd:long"&gt;44817&lt;/D&gt;&lt;D xsi:type="xsd:long"&gt;44847&lt;/D&gt;&lt;D xsi:type="xsd:long"&gt;44876&lt;/D&gt;&lt;D xsi:type="xsd:long"&gt;44908&lt;/D&gt;&lt;D xsi:type="xsd:long"&gt;44939&lt;/D&gt;&lt;D xsi:type="xsd:long"&gt;44970&lt;/D&gt;&lt;D xsi:type="xsd:long"&gt;44998&lt;/D&gt;&lt;D xsi:type="xsd:long"&gt;45029&lt;/D&gt;&lt;D xsi:type="xsd:long"&gt;45058&lt;/D&gt;&lt;D xsi:type="xsd:long"&gt;45090&lt;/D&gt;&lt;D xsi:type="xsd:long"&gt;45120&lt;/D&gt;&lt;D xsi:type="xsd:long"&gt;45149&lt;/D&gt;&lt;D xsi:type="xsd:long"&gt;45182&lt;/D&gt;&lt;D xsi:type="xsd:long"&gt;45212&lt;/D&gt;&lt;D xsi:type="xsd:long"&gt;45243&lt;/D&gt;&lt;D xsi:type="xsd:long"&gt;45273&lt;/D&gt;&lt;D xsi:type="xsd:long"&gt;45303&lt;/D&gt;&lt;D xsi:type="xsd:long"&gt;45335&lt;/D&gt;&lt;D xsi:type="xsd:long"&gt;45364&lt;/D&gt;&lt;D xsi:type="xsd:long"&gt;45394&lt;/D&gt;&lt;D xsi:type="xsd:long"&gt;45425&lt;/D&gt;&lt;D xsi:type="xsd:long"&gt;45456&lt;/D&gt;&lt;/FQL&gt;&lt;FQL&gt;&lt;Q&gt;EWD^FMA_PE(NTMA,-10AY,0,AM,"PORTAGG","MEANR")&lt;/Q&gt;&lt;R&gt;121&lt;/R&gt;&lt;C&gt;1&lt;/C&gt;&lt;D xsi:type="xsd:double"&gt;15.7145761225623&lt;/D&gt;&lt;D xsi:type="xsd:double"&gt;15.2762404082585&lt;/D&gt;&lt;D xsi:type="xsd:double"&gt;15.1543407883137&lt;/D&gt;&lt;D xsi:type="xsd:double"&gt;14.0724987313292&lt;/D&gt;&lt;D xsi:type="xsd:double"&gt;13.4291831667139&lt;/D&gt;&lt;D xsi:type="xsd:double"&gt;15.3494590328369&lt;/D&gt;&lt;D xsi:type="xsd:double"&gt;15.2689985606935&lt;/D&gt;&lt;D xsi:type="xsd:double"&gt;15.6285954167272&lt;/D&gt;&lt;D xsi:type="xsd:double"&gt;16.760723561582&lt;/D&gt;&lt;D xsi:type="xsd:double"&gt;17.0897756019165&lt;/D&gt;&lt;D xsi:type="xsd:double"&gt;17.1153902383695&lt;/D&gt;&lt;D xsi:type="xsd:double"&gt;15.8489039212111&lt;/D&gt;&lt;D xsi:type="xsd:double"&gt;15.923576783166&lt;/D&gt;&lt;D xsi:type="xsd:double"&gt;16.1108856783213&lt;/D&gt;&lt;D xsi:type="xsd:double"&gt;15.9461782677559&lt;/D&gt;&lt;D xsi:type="xsd:double"&gt;14.8109783630453&lt;/D&gt;&lt;D xsi:type="xsd:double"&gt;14.851447385766&lt;/D&gt;&lt;D xsi:type="xsd:double"&gt;15.0614441361468&lt;/D&gt;&lt;D xsi:type="xsd:double"&gt;14.4552181498819&lt;/D&gt;&lt;D xsi:type="xsd:double"&gt;14.1949342666512&lt;/D&gt;&lt;D xsi:type="xsd:double"&gt;14.1745717619362&lt;/D&gt;&lt;D xsi:type="xsd:double"&gt;15.6747655272162&lt;/D&gt;&lt;D xsi:type="xsd:double"&gt;15.4242527102543&lt;/D&gt;&lt;D xsi:type="xsd:double"&gt;14.5829935872032&lt;/D&gt;&lt;D xsi:type="xsd:double"&gt;14.1941225843009&lt;/D&gt;&lt;D xsi:type="xsd:double"&gt;14.8810554964818&lt;/D&gt;&lt;D xsi:type="xsd:double"&gt;15.535038698419&lt;/D&gt;&lt;D xsi:type="xsd:double"&gt;15.3183170119911&lt;/D&gt;&lt;D xsi:type="xsd:double"&gt;15.8736381539374&lt;/D&gt;&lt;D xsi:type="xsd:double"&gt;15.9534793962779&lt;/D&gt;&lt;D xsi:type="xsd:double"&gt;16.7747408289672&lt;/D&gt;&lt;D xsi:type="xsd:double"&gt;16.5547418345694&lt;/D&gt;&lt;D xsi:type="xsd:double"&gt;16.5518824037397&lt;/D&gt;&lt;D xsi:type="xsd:double"&gt;16.9187910662947&lt;/D&gt;&lt;D xsi:type="xsd:double"&gt;16.8858483378652&lt;/D&gt;&lt;D xsi:type="xsd:double"&gt;17.1026099700259&lt;/D&gt;&lt;D xsi:type="xsd:double"&gt;16.8043835419234&lt;/D&gt;&lt;D xsi:type="xsd:double"&gt;16.8102888953383&lt;/D&gt;&lt;D xsi:type="xsd:double"&gt;15.7500476247099&lt;/D&gt;&lt;D xsi:type="xsd:double"&gt;16.1894229655877&lt;/D&gt;&lt;D xsi:type="xsd:double"&gt;16.8249473271525&lt;/D&gt;&lt;D xsi:type="xsd:double"&gt;16.8240117824833&lt;/D&gt;&lt;D xsi:type="xsd:double"&gt;16.5169075723377&lt;/D&gt;&lt;D xsi:type="xsd:double"&gt;16.6348710617046&lt;/D&gt;&lt;D xsi:type="xsd:double"&gt;15.7119099683095&lt;/D&gt;&lt;D xsi:type="xsd:double"&gt;16.2528126536431&lt;/D&gt;&lt;D xsi:type="xsd:double"&gt;15.5811461935551&lt;/D&gt;&lt;D xsi:type="xsd:double"&gt;16.0129220680866&lt;/D&gt;&lt;D xsi:type="xsd:double"&gt;15.4042611481118&lt;/D&gt;&lt;D xsi:type="xsd:double"&gt;15.3754366442772&lt;/D&gt;&lt;D xsi:type="xsd:double"&gt;15.4994389889761&lt;/D&gt;&lt;D xsi:type="xsd:double"&gt;15.5190305575281&lt;/D&gt;&lt;D xsi:type="xsd:double"&gt;14.5692607356763&lt;/D&gt;&lt;D xsi:type="xsd:double"&gt;14.2968188745401&lt;/D&gt;&lt;D xsi:type="xsd:double"&gt;13.8712122284503&lt;/D&gt;&lt;D xsi:type="xsd:double"&gt;13.9631171629353&lt;/D&gt;&lt;D xsi:type="xsd:double"&gt;14.788643382206&lt;/D&gt;&lt;D xsi:type="xsd:double"&gt;14.7983147666873&lt;/D&gt;&lt;D xsi:type="xsd:double"&gt;15.268900399777&lt;/D&gt;&lt;D xsi:type="xsd:double"&gt;14.7083167292755&lt;/D&gt;&lt;D xsi:type="xsd:double"&gt;14.8346194864289&lt;/D&gt;&lt;D xsi:type="xsd:double"&gt;15.1203259459954&lt;/D&gt;&lt;D xsi:type="xsd:double"&gt;13.7351534831635&lt;/D&gt;&lt;D xsi:type="xsd:double"&gt;14.8120227613254&lt;/D&gt;&lt;D xsi:type="xsd:double"&gt;15.093347026263&lt;/D&gt;&lt;D xsi:type="xsd:double"&gt;15.8888061239894&lt;/D&gt;&lt;D xsi:type="xsd:double"&gt;16.0281058450019&lt;/D&gt;&lt;D xsi:type="xsd:double"&gt;16.3740882414569&lt;/D&gt;&lt;D xsi:type="xsd:double"&gt;16.986908143117&lt;/D&gt;&lt;D xsi:type="xsd:double"&gt;12.2641123030728&lt;/D&gt;&lt;D xsi:type="xsd:double"&gt;15.6639992285845&lt;/D&gt;&lt;D xsi:type="xsd:double"&gt;17.6971064294877&lt;/D&gt;&lt;D xsi:type="xsd:double"&gt;18.4494313322504&lt;/D&gt;&lt;D xsi:type="xsd:double"&gt;19.9584190986617&lt;/D&gt;&lt;D xsi:type="xsd:double"&gt;18.960170706592&lt;/D&gt;&lt;D xsi:type="xsd:double"&gt;18.2925313514629&lt;/D&gt;&lt;D xsi:type="xsd:double"&gt;18.1876392945187&lt;/D&gt;&lt;D xsi:type="xsd:double"&gt;17.1355878815278&lt;/D&gt;&lt;D xsi:type="xsd:double"&gt;17.2313036233655&lt;/D&gt;&lt;D xsi:type="xsd:double"&gt;18.8437287918503&lt;/D&gt;&lt;D xsi:type="xsd:double"&gt;18.8852892269268&lt;/D&gt;&lt;D xsi:type="xsd:double"&gt;20.1890320000781&lt;/D&gt;&lt;D xsi:type="xsd:double"&gt;20.5899666404356&lt;/D&gt;&lt;D xsi:type="xsd:double"&gt;17.895558409175&lt;/D&gt;&lt;D xsi:type="xsd:double"&gt;18.7581625263533&lt;/D&gt;&lt;D xsi:type="xsd:double"&gt;18.8835366450979&lt;/D&gt;&lt;D xsi:type="xsd:double"&gt;18.8320975297981&lt;/D&gt;&lt;D xsi:type="xsd:double"&gt;18.5262988420792&lt;/D&gt;&lt;D xsi:type="xsd:double"&gt;18.1124926655418&lt;/D&gt;&lt;D xsi:type="xsd:double"&gt;19.0388071999185&lt;/D&gt;&lt;D xsi:type="xsd:double"&gt;19.0546314698264&lt;/D&gt;&lt;D xsi:type="xsd:double"&gt;17.9380268131366&lt;/D&gt;&lt;D xsi:type="xsd:double"&gt;16.4946077517061&lt;/D&gt;&lt;D xsi:type="xsd:double"&gt;14.7863246406007&lt;/D&gt;&lt;D xsi:type="xsd:double"&gt;15.0952602802544&lt;/D&gt;&lt;D xsi:type="xsd:double"&gt;15.9850243885547&lt;/D&gt;&lt;D xsi:type="xsd:double"&gt;14.8872853485689&lt;/D&gt;&lt;D xsi:type="xsd:double"&gt;14.5817606487447&lt;/D&gt;&lt;D xsi:type="xsd:double"&gt;15.1625536375391&lt;/D&gt;&lt;D xsi:type="xsd:double"&gt;14.1477082875758&lt;/D&gt;&lt;D xsi:type="xsd:double"&gt;13.0824901344398&lt;/D&gt;&lt;D xsi:type="xsd:double"&gt;13.2688626679521&lt;/D&gt;&lt;D xsi:type="xsd:double"&gt;13.437318797666&lt;/D&gt;&lt;D xsi:type="xsd:double"&gt;13.6854568782108&lt;/D&gt;&lt;D xsi:type="xsd:double"&gt;14.1935533825206&lt;/D&gt;&lt;D xsi:type="xsd:double"&gt;13.4680893289768&lt;/D&gt;&lt;D xsi:type="xsd:double"&gt;13.7743753455341&lt;/D&gt;&lt;D xsi:type="xsd:double"&gt;13.5052550615143&lt;/D&gt;&lt;D xsi:type="xsd:double"&gt;13.8814702375468&lt;/D&gt;&lt;D xsi:type="xsd:double"&gt;13.4835007220941&lt;/D&gt;&lt;D xsi:type="xsd:double"&gt;13.0924612303311&lt;/D&gt;&lt;D xsi:type="xsd:double"&gt;12.8526058319129&lt;/D&gt;&lt;D xsi:type="xsd:double"&gt;13.0898083597431&lt;/D&gt;&lt;D xsi:type="xsd:double"&gt;12.8244028641241&lt;/D&gt;&lt;D xsi:type="xsd:double"&gt;15.1086584667979&lt;/D&gt;&lt;D xsi:type="xsd:double"&gt;15.4400868561774&lt;/D&gt;&lt;D xsi:type="xsd:double"&gt;15.6896255404746&lt;/D&gt;&lt;D xsi:type="xsd:double"&gt;16.7051473519225&lt;/D&gt;&lt;D xsi:type="xsd:double"&gt;16.1460935127456&lt;/D&gt;&lt;D xsi:type="xsd:double"&gt;16.406896749402&lt;/D&gt;&lt;D xsi:type="xsd:double"&gt;16.1268941501946&lt;/D&gt;&lt;/FQL&gt;&lt;FQL&gt;&lt;Q&gt;EWQ^FMA_PE(LTMA,-10AY,0,AM,"PORTAGG","MEANR")&lt;/Q&gt;&lt;R&gt;121&lt;/R&gt;&lt;C&gt;1&lt;/C&gt;&lt;D xsi:type="xsd:double"&gt;15.8668394492878&lt;/D&gt;&lt;D xsi:type="xsd:double"&gt;15.4514760346479&lt;/D&gt;&lt;D xsi:type="xsd:double"&gt;15.1211375763603&lt;/D&gt;&lt;D xsi:type="xsd:double"&gt;15.5301553522875&lt;/D&gt;&lt;D xsi:type="xsd:double"&gt;14.5286901003824&lt;/D&gt;&lt;D xsi:type="xsd:double"&gt;14.8188686487337&lt;/D&gt;&lt;D xsi:type="xsd:double"&gt;14.6271358430067&lt;/D&gt;&lt;D xsi:type="xsd:double"&gt;15.1039978265434&lt;/D&gt;&lt;D xsi:type="xsd:double"&gt;16.7149799557503&lt;/D&gt;&lt;D xsi:type="xsd:double"&gt;17.5575236900491&lt;/D&gt;&lt;D xsi:type="xsd:double"&gt;17.7316312837581&lt;/D&gt;&lt;D xsi:type="xsd:double"&gt;17.3815022382355&lt;/D&gt;&lt;D xsi:type="xsd:double"&gt;17.2157728087021&lt;/D&gt;&lt;D xsi:type="xsd:double"&gt;17.2310396643062&lt;/D&gt;&lt;D xsi:type="xsd:double"&gt;16.9268343288853&lt;/D&gt;&lt;D xsi:type="xsd:double"&gt;15.8479709675718&lt;/D&gt;&lt;D xsi:type="xsd:double"&gt;15.9159838288006&lt;/D&gt;&lt;D xsi:type="xsd:double"&gt;16.1027094154616&lt;/D&gt;&lt;D xsi:type="xsd:double"&gt;15.2843130643889&lt;/D&gt;&lt;D xsi:type="xsd:double"&gt;14.5779901750901&lt;/D&gt;&lt;D xsi:type="xsd:double"&gt;13.963219371119&lt;/D&gt;&lt;D xsi:type="xsd:double"&gt;15.2184878228901&lt;/D&gt;&lt;D xsi:type="xsd:double"&gt;15.2375157044028&lt;/D&gt;&lt;D xsi:type="xsd:double"&gt;15.061149734187&lt;/D&gt;&lt;D xsi:type="xsd:double"&gt;14.8457229089295&lt;/D&gt;&lt;D xsi:type="xsd:double"&gt;14.9332890192948&lt;/D&gt;&lt;D xsi:type="xsd:double"&gt;15.0967390108048&lt;/D&gt;&lt;D xsi:type="xsd:double"&gt;14.8193978016344&lt;/D&gt;&lt;D xsi:type="xsd:double"&gt;14.7636315266757&lt;/D&gt;&lt;D xsi:type="xsd:double"&gt;14.7815856200756&lt;/D&gt;&lt;D xsi:type="xsd:double"&gt;15.6060747146846&lt;/D&gt;&lt;D xsi:type="xsd:double"&gt;15.9757532534259&lt;/D&gt;&lt;D xsi:type="xsd:double"&gt;15.6138154888087&lt;/D&gt;&lt;D xsi:type="xsd:double"&gt;15.6084200995598&lt;/D&gt;&lt;D xsi:type="xsd:double"&gt;15.6146239154482&lt;/D&gt;&lt;D xsi:type="xsd:double"&gt;15.8646644684196&lt;/D&gt;&lt;D xsi:type="xsd:double"&gt;15.6968271926021&lt;/D&gt;&lt;D xsi:type="xsd:double"&gt;15.7086204042439&lt;/D&gt;&lt;D xsi:type="xsd:double"&gt;15.3988447690825&lt;/D&gt;&lt;D xsi:type="xsd:double"&gt;15.7258132031197&lt;/D&gt;&lt;D xsi:type="xsd:double"&gt;16.0495563317293&lt;/D&gt;&lt;D xsi:type="xsd:double"&gt;15.8710179458265&lt;/D&gt;&lt;D xsi:type="xsd:double"&gt;16.1913448290313&lt;/D&gt;&lt;D xsi:type="xsd:double"&gt;16.5394323685896&lt;/D&gt;&lt;D xsi:type="xsd:double"&gt;15.4690590481272&lt;/D&gt;&lt;D xsi:type="xsd:double"&gt;15.5665410119534&lt;/D&gt;&lt;D xsi:type="xsd:double"&gt;15.5200405675091&lt;/D&gt;&lt;D xsi:type="xsd:double"&gt;15.612696251901&lt;/D&gt;&lt;D xsi:type="xsd:double"&gt;15.3722359791573&lt;/D&gt;&lt;D xsi:type="xsd:double"&gt;15.2903902974495&lt;/D&gt;&lt;D xsi:type="xsd:double"&gt;15.0760086875951&lt;/D&gt;&lt;D xsi:type="xsd:double"&gt;14.8558976154443&lt;/D&gt;&lt;D xsi:type="xsd:double"&gt;14.224698213194&lt;/D&gt;&lt;D xsi:type="xsd:double"&gt;14.1241437109161&lt;/D&gt;&lt;D xsi:type="xsd:double"&gt;13.4764949624905&lt;/D&gt;&lt;D xsi:type="xsd:double"&gt;13.1270548197616&lt;/D&gt;&lt;D xsi:type="xsd:double"&gt;13.9959467503631&lt;/D&gt;&lt;D xsi:type="xsd:double"&gt;14.5623980334225&lt;/D&gt;&lt;D xsi:type="xsd:double"&gt;14.6353468837481&lt;/D&gt;&lt;D xsi:type="xsd:double"&gt;14.3961770246101&lt;/D&gt;&lt;D xsi:type="xsd:double"&gt;14.4854847911977&lt;/D&gt;&lt;D xsi:type="xsd:double"&gt;14.7922855417036&lt;/D&gt;&lt;D xsi:type="xsd:double"&gt;14.5678029487244&lt;/D&gt;&lt;D xsi:type="xsd:double"&gt;15.1215960365358&lt;/D&gt;&lt;D xsi:type="xsd:double"&gt;15.2320561854942&lt;/D&gt;&lt;D xsi:type="xsd:double"&gt;15.9993876456939&lt;/D&gt;&lt;D xsi:type="xsd:double"&gt;16.225610013948&lt;/D&gt;&lt;D xsi:type="xsd:double"&gt;16.6196608025279&lt;/D&gt;&lt;D xsi:type="xsd:double"&gt;16.7062627468557&lt;/D&gt;&lt;D xsi:type="xsd:double"&gt;14.1193430828462&lt;/D&gt;&lt;D xsi:type="xsd:double"&gt;14.9863892157258&lt;/D&gt;&lt;D xsi:type="xsd:double"&gt;15.9532611328548&lt;/D&gt;&lt;D xsi:type="xsd:double"&gt;17.6365808021251&lt;/D&gt;&lt;D xsi:type="xsd:double"&gt;19.7143793806849&lt;/D&gt;&lt;D xsi:type="xsd:double"&gt;22.2501272938719&lt;/D&gt;&lt;D xsi:type="xsd:double"&gt;23.2316284651282&lt;/D&gt;&lt;D xsi:type="xsd:double"&gt;24.0516601764108&lt;/D&gt;&lt;D xsi:type="xsd:double"&gt;26.7590689987523&lt;/D&gt;&lt;D xsi:type="xsd:double"&gt;27.8729522120465&lt;/D&gt;&lt;D xsi:type="xsd:double"&gt;29.1002276692942&lt;/D&gt;&lt;D xsi:type="xsd:double"&gt;27.3901243338876&lt;/D&gt;&lt;D xsi:type="xsd:double"&gt;26.8348015580523&lt;/D&gt;&lt;D xsi:type="xsd:double"&gt;25.9774751463527&lt;/D&gt;&lt;D xsi:type="xsd:double"&gt;24.9526344301994&lt;/D&gt;&lt;D xsi:type="xsd:double"&gt;24.4091929800519&lt;/D&gt;&lt;D xsi:type="xsd:double"&gt;23.2219453330008&lt;/D&gt;&lt;D xsi:type="xsd:double"&gt;21.9956840146379&lt;/D&gt;&lt;D xsi:type="xsd:double"&gt;20.6038298898433&lt;/D&gt;&lt;D xsi:type="xsd:double"&gt;19.1379365993059&lt;/D&gt;&lt;D xsi:type="xsd:double"&gt;18.6459077135107&lt;/D&gt;&lt;D xsi:type="xsd:double"&gt;17.5094176741266&lt;/D&gt;&lt;D xsi:type="xsd:double"&gt;17.1573671696577&lt;/D&gt;&lt;D xsi:type="xsd:double"&gt;16.1184286085688&lt;/D&gt;&lt;D xsi:type="xsd:double"&gt;15.2608608632233&lt;/D&gt;&lt;D xsi:type="xsd:double"&gt;15.0729699215183&lt;/D&gt;&lt;D xsi:type="xsd:double"&gt;14.5061854295733&lt;/D&gt;&lt;D xsi:type="xsd:double"&gt;13.8496148922581&lt;/D&gt;&lt;D xsi:type="xsd:double"&gt;13.3430911182219&lt;/D&gt;&lt;D xsi:type="xsd:double"&gt;13.2473204592294&lt;/D&gt;&lt;D xsi:type="xsd:double"&gt;12.4915524774266&lt;/D&gt;&lt;D xsi:type="xsd:double"&gt;11.4291890997553&lt;/D&gt;&lt;D xsi:type="xsd:double"&gt;12.2316324380644&lt;/D&gt;&lt;D xsi:type="xsd:double"&gt;12.1332696846358&lt;/D&gt;&lt;D xsi:type="xsd:double"&gt;12.6038589486739&lt;/D&gt;&lt;D xsi:type="xsd:double"&gt;12.7911104240243&lt;/D&gt;&lt;D xsi:type="xsd:double"&gt;12.8415467760998&lt;/D&gt;&lt;D xsi:type="xsd:double"&gt;13.12728660794&lt;/D&gt;&lt;D xsi:type="xsd:double"&gt;13.1470065412983&lt;/D&gt;&lt;D xsi:type="xsd:double"&gt;13.1839107080921&lt;/D&gt;&lt;D xsi:type="xsd:double"&gt;13.3306755241162&lt;/D&gt;&lt;D xsi:type="xsd:double"&gt;13.3331684422688&lt;/D&gt;&lt;D xsi:type="xsd:double"&gt;13.1528211000206&lt;/D&gt;&lt;D xsi:type="xsd:double"&gt;12.7494411274212&lt;/D&gt;&lt;D xsi:type="xsd:double"&gt;12.9530437696887&lt;/D&gt;&lt;D xsi:type="xsd:double"&gt;13.8980991104059&lt;/D&gt;&lt;D xsi:type="xsd:double"&gt;14.0963509234823&lt;/D&gt;&lt;D xsi:type="xsd:double"&gt;14.6801473997824&lt;/D&gt;&lt;D xsi:type="xsd:double"&gt;15.5721374598907&lt;/D&gt;&lt;D xsi:type="xsd:double"&gt;15.4548745293503&lt;/D&gt;&lt;D xsi:type="xsd:double"&gt;15.5609684938758&lt;/D&gt;&lt;D xsi:type="xsd:double"&gt;15.2762425934672&lt;/D&gt;&lt;/FQL&gt;&lt;FQL&gt;&lt;Q&gt;DDR3512M-FDS^FG_PRICE_CHANGE(0,-1AM)&lt;/Q&gt;&lt;R&gt;1&lt;/R&gt;&lt;C&gt;1&lt;/C&gt;&lt;D xsi:type="xsd:double"&gt;-1.31894890561515&lt;/D&gt;&lt;/FQL&gt;&lt;FQL&gt;&lt;Q&gt;TRYBR10Y-FDS^FG_YIELD(-10AY,0,Y,,"YTM")&lt;/Q&gt;&lt;R&gt;10&lt;/R&gt;&lt;C&gt;1&lt;/C&gt;&lt;D xsi:type="xsd:double"&gt;12.319731&lt;/D&gt;&lt;D xsi:type="xsd:double"&gt;15.989595&lt;/D&gt;&lt;D xsi:type="xsd:double"&gt;11.062725&lt;/D&gt;&lt;D xsi:type="xsd:double"&gt;9.887577&lt;/D&gt;&lt;D xsi:type="xsd:double"&gt;8.936093&lt;/D&gt;&lt;D xsi:type="xsd:double"&gt;6.883678&lt;/D&gt;&lt;D xsi:type="xsd:double"&gt;6.961219&lt;/D&gt;&lt;D xsi:type="xsd:double"&gt;10.970291&lt;/D&gt;&lt;D xsi:type="xsd:double"&gt;12.900059&lt;/D&gt;&lt;D xsi:type="xsd:double"&gt;10.455909&lt;/D&gt;&lt;/FQL&gt;&lt;FQL&gt;&lt;Q&gt;EWI^FMA_DIV_YLD(NTMA,-10AY,0,AM,"PORTAGG","MEANR")&lt;/Q&gt;&lt;R&gt;121&lt;/R&gt;&lt;C&gt;1&lt;/C&gt;&lt;D xsi:type="xsd:double"&gt;3.39136304444844&lt;/D&gt;&lt;D xsi:type="xsd:double"&gt;3.50256229449532&lt;/D&gt;&lt;D xsi:type="xsd:double"&gt;3.74143522667353&lt;/D&gt;&lt;D xsi:type="xsd:double"&gt;3.51543329623409&lt;/D&gt;&lt;D xsi:type="xsd:double"&gt;3.98703608627639&lt;/D&gt;&lt;D xsi:type="xsd:double"&gt;4.05893321471276&lt;/D&gt;&lt;D xsi:type="xsd:double"&gt;4.13076116290824&lt;/D&gt;&lt;D xsi:type="xsd:double"&gt;4.16021189851282&lt;/D&gt;&lt;D xsi:type="xsd:double"&gt;3.63234371246209&lt;/D&gt;&lt;D xsi:type="xsd:double"&gt;3.24224568698529&lt;/D&gt;&lt;D xsi:type="xsd:double"&gt;3.07060944839761&lt;/D&gt;&lt;D xsi:type="xsd:double"&gt;3.19174891051091&lt;/D&gt;&lt;D xsi:type="xsd:double"&gt;3.30007642644915&lt;/D&gt;&lt;D xsi:type="xsd:double"&gt;3.25592775464568&lt;/D&gt;&lt;D xsi:type="xsd:double"&gt;3.14185828239391&lt;/D&gt;&lt;D xsi:type="xsd:double"&gt;3.41146122623376&lt;/D&gt;&lt;D xsi:type="xsd:double"&gt;3.5955959416566&lt;/D&gt;&lt;D xsi:type="xsd:double"&gt;3.6858353651983&lt;/D&gt;&lt;D xsi:type="xsd:double"&gt;3.86957175168544&lt;/D&gt;&lt;D xsi:type="xsd:double"&gt;4.09167066657622&lt;/D&gt;&lt;D xsi:type="xsd:double"&gt;4.81654836132896&lt;/D&gt;&lt;D xsi:type="xsd:double"&gt;4.17694949415063&lt;/D&gt;&lt;D xsi:type="xsd:double"&gt;4.42310455340204&lt;/D&gt;&lt;D xsi:type="xsd:double"&gt;4.52733402111726&lt;/D&gt;&lt;D xsi:type="xsd:double"&gt;4.92641807670071&lt;/D&gt;&lt;D xsi:type="xsd:double"&gt;4.82308324209362&lt;/D&gt;&lt;D xsi:type="xsd:double"&gt;4.68540837418352&lt;/D&gt;&lt;D xsi:type="xsd:double"&gt;4.9024377815612&lt;/D&gt;&lt;D xsi:type="xsd:double"&gt;5.03280432536995&lt;/D&gt;&lt;D xsi:type="xsd:double"&gt;4.78241754393465&lt;/D&gt;&lt;D xsi:type="xsd:double"&gt;4.39121722146641&lt;/D&gt;&lt;D xsi:type="xsd:double"&gt;4.28902672126053&lt;/D&gt;&lt;D xsi:type="xsd:double"&gt;4.40674713539044&lt;/D&gt;&lt;D xsi:type="xsd:double"&gt;4.0515122123309&lt;/D&gt;&lt;D xsi:type="xsd:double"&gt;4.05345804219064&lt;/D&gt;&lt;D xsi:type="xsd:double"&gt;3.76320828119867&lt;/D&gt;&lt;D xsi:type="xsd:double"&gt;3.7637838573842&lt;/D&gt;&lt;D xsi:type="xsd:double"&gt;3.73854336999393&lt;/D&gt;&lt;D xsi:type="xsd:double"&gt;3.83046937246452&lt;/D&gt;&lt;D xsi:type="xsd:double"&gt;3.72791262398543&lt;/D&gt;&lt;D xsi:type="xsd:double"&gt;3.80324046632163&lt;/D&gt;&lt;D xsi:type="xsd:double"&gt;3.85019656712946&lt;/D&gt;&lt;D xsi:type="xsd:double"&gt;3.87210827632045&lt;/D&gt;&lt;D xsi:type="xsd:double"&gt;3.75590048320343&lt;/D&gt;&lt;D xsi:type="xsd:double"&gt;4.05607936606013&lt;/D&gt;&lt;D xsi:type="xsd:double"&gt;4.02322911135735&lt;/D&gt;&lt;D xsi:type="xsd:double"&gt;3.97183940807466&lt;/D&gt;&lt;D xsi:type="xsd:double"&gt;3.89538532686457&lt;/D&gt;&lt;D xsi:type="xsd:double"&gt;4.35865622254133&lt;/D&gt;&lt;D xsi:type="xsd:double"&gt;4.46257301717596&lt;/D&gt;&lt;D xsi:type="xsd:double"&gt;4.6080991286748&lt;/D&gt;&lt;D xsi:type="xsd:double"&gt;4.65472749993113&lt;/D&gt;&lt;D xsi:type="xsd:double"&gt;5.04516185646594&lt;/D&gt;&lt;D xsi:type="xsd:double"&gt;5.07712740249552&lt;/D&gt;&lt;D xsi:type="xsd:double"&gt;5.20160432570628&lt;/D&gt;&lt;D xsi:type="xsd:double"&gt;5.17574795645191&lt;/D&gt;&lt;D xsi:type="xsd:double"&gt;4.96950996209654&lt;/D&gt;&lt;D xsi:type="xsd:double"&gt;4.78481487032746&lt;/D&gt;&lt;D xsi:type="xsd:double"&gt;4.60573267049852&lt;/D&gt;&lt;D xsi:type="xsd:double"&gt;4.93079680949019&lt;/D&gt;&lt;D xsi:type="xsd:double"&gt;4.96835009208324&lt;/D&gt;&lt;D xsi:type="xsd:double"&gt;4.63363573748548&lt;/D&gt;&lt;D xsi:type="xsd:double"&gt;5.04894267945203&lt;/D&gt;&lt;D xsi:type="xsd:double"&gt;4.70821635919761&lt;/D&gt;&lt;D xsi:type="xsd:double"&gt;4.7333996357681&lt;/D&gt;&lt;D xsi:type="xsd:double"&gt;4.51835598405834&lt;/D&gt;&lt;D xsi:type="xsd:double"&gt;4.52960154149881&lt;/D&gt;&lt;D xsi:type="xsd:double"&gt;4.45945605089597&lt;/D&gt;&lt;D xsi:type="xsd:double"&gt;4.4307764711402&lt;/D&gt;&lt;D xsi:type="xsd:double"&gt;6.82627287687372&lt;/D&gt;&lt;D xsi:type="xsd:double"&gt;5.80567880104967&lt;/D&gt;&lt;D xsi:type="xsd:double"&gt;5.06326000305229&lt;/D&gt;&lt;D xsi:type="xsd:double"&gt;4.3719146224742&lt;/D&gt;&lt;D xsi:type="xsd:double"&gt;4.27336214624298&lt;/D&gt;&lt;D xsi:type="xsd:double"&gt;3.88620213078819&lt;/D&gt;&lt;D xsi:type="xsd:double"&gt;4.02482703489546&lt;/D&gt;&lt;D xsi:type="xsd:double"&gt;4.10045676667587&lt;/D&gt;&lt;D xsi:type="xsd:double"&gt;4.02388761022947&lt;/D&gt;&lt;D xsi:type="xsd:double"&gt;3.9945362949049&lt;/D&gt;&lt;D xsi:type="xsd:double"&gt;3.90210553477827&lt;/D&gt;&lt;D xsi:type="xsd:double"&gt;3.91190722889868&lt;/D&gt;&lt;D xsi:type="xsd:double"&gt;4.04639910196407&lt;/D&gt;&lt;D xsi:type="xsd:double"&gt;4.06756659132507&lt;/D&gt;&lt;D xsi:type="xsd:double"&gt;4.2125918357505&lt;/D&gt;&lt;D xsi:type="xsd:double"&gt;4.0376420161648&lt;/D&gt;&lt;D xsi:type="xsd:double"&gt;4.17815172794649&lt;/D&gt;&lt;D xsi:type="xsd:double"&gt;4.22900145640868&lt;/D&gt;&lt;D xsi:type="xsd:double"&gt;4.47960397558075&lt;/D&gt;&lt;D xsi:type="xsd:double"&gt;4.48476285795121&lt;/D&gt;&lt;D xsi:type="xsd:double"&gt;4.30408854354832&lt;/D&gt;&lt;D xsi:type="xsd:double"&gt;4.6461787413316&lt;/D&gt;&lt;D xsi:type="xsd:double"&gt;4.54924447272488&lt;/D&gt;&lt;D xsi:type="xsd:double"&gt;4.79913352155837&lt;/D&gt;&lt;D xsi:type="xsd:double"&gt;5.46323114399036&lt;/D&gt;&lt;D xsi:type="xsd:double"&gt;5.0694829818105&lt;/D&gt;&lt;D xsi:type="xsd:double"&gt;5.1828956207796&lt;/D&gt;&lt;D xsi:type="xsd:double"&gt;5.78914108564182&lt;/D&gt;&lt;D xsi:type="xsd:double"&gt;5.96827281377975&lt;/D&gt;&lt;D xsi:type="xsd:double"&gt;5.55776897783925&lt;/D&gt;&lt;D xsi:type="xsd:double"&gt;5.57999330695904&lt;/D&gt;&lt;D xsi:type="xsd:double"&gt;6.19522251924086&lt;/D&gt;&lt;D xsi:type="xsd:double"&gt;5.40669456173364&lt;/D&gt;&lt;D xsi:type="xsd:double"&gt;5.70545748600147&lt;/D&gt;&lt;D xsi:type="xsd:double"&gt;5.43108017361592&lt;/D&gt;&lt;D xsi:type="xsd:double"&gt;5.40584032640907&lt;/D&gt;&lt;D xsi:type="xsd:double"&gt;5.57671115104713&lt;/D&gt;&lt;D xsi:type="xsd:double"&gt;5.3319519783375&lt;/D&gt;&lt;D xsi:type="xsd:double"&gt;5.50974108942095&lt;/D&gt;&lt;D xsi:type="xsd:double"&gt;5.3696184168316&lt;/D&gt;&lt;D xsi:type="xsd:double"&gt;5.23359801471571&lt;/D&gt;&lt;D xsi:type="xsd:double"&gt;5.53065548535624&lt;/D&gt;&lt;D xsi:type="xsd:double"&gt;5.46015279122617&lt;/D&gt;&lt;D xsi:type="xsd:double"&gt;5.57875546866944&lt;/D&gt;&lt;D xsi:type="xsd:double"&gt;5.58526433968946&lt;/D&gt;&lt;D xsi:type="xsd:double"&gt;5.47985189887594&lt;/D&gt;&lt;D xsi:type="xsd:double"&gt;5.41268848837577&lt;/D&gt;&lt;D xsi:type="xsd:double"&gt;5.52883201139658&lt;/D&gt;&lt;D xsi:type="xsd:double"&gt;5.15574368488674&lt;/D&gt;&lt;D xsi:type="xsd:double"&gt;5.26978852056497&lt;/D&gt;&lt;D xsi:type="xsd:double"&gt;5.17354222163735&lt;/D&gt;&lt;D xsi:type="xsd:double"&gt;5.26419167069935&lt;/D&gt;&lt;/FQL&gt;&lt;FQL&gt;&lt;Q&gt;SPY^FMA_PE(LTMA,-10AY,0,AM,"PORTAGG","MEANR")&lt;/Q&gt;&lt;R&gt;121&lt;/R&gt;&lt;C&gt;1&lt;/C&gt;&lt;D xsi:type="xsd:double"&gt;16.3092176938252&lt;/D&gt;&lt;D xsi:type="xsd:double"&gt;16.4061713621471&lt;/D&gt;&lt;D xsi:type="xsd:double"&gt;16.2272193754051&lt;/D&gt;&lt;D xsi:type="xsd:double"&gt;16.4536586232447&lt;/D&gt;&lt;D xsi:type="xsd:double"&gt;15.7668499743705&lt;/D&gt;&lt;D xsi:type="xsd:double"&gt;16.8893448390625&lt;/D&gt;&lt;D xsi:type="xsd:double"&gt;16.6886501133442&lt;/D&gt;&lt;D xsi:type="xsd:double"&gt;16.9860160339227&lt;/D&gt;&lt;D xsi:type="xsd:double"&gt;17.5494875429706&lt;/D&gt;&lt;D xsi:type="xsd:double"&gt;17.5030515248939&lt;/D&gt;&lt;D xsi:type="xsd:double"&gt;17.536277227099&lt;/D&gt;&lt;D xsi:type="xsd:double"&gt;17.5053562037937&lt;/D&gt;&lt;D xsi:type="xsd:double"&gt;17.4577741585105&lt;/D&gt;&lt;D xsi:type="xsd:double"&gt;17.4743187768083&lt;/D&gt;&lt;D xsi:type="xsd:double"&gt;17.4266631502481&lt;/D&gt;&lt;D xsi:type="xsd:double"&gt;16.7380542891142&lt;/D&gt;&lt;D xsi:type="xsd:double"&gt;17.0069449824204&lt;/D&gt;&lt;D xsi:type="xsd:double"&gt;17.0159669718827&lt;/D&gt;&lt;D xsi:type="xsd:double"&gt;16.8741555215366&lt;/D&gt;&lt;D xsi:type="xsd:double"&gt;15.8637772617823&lt;/D&gt;&lt;D xsi:type="xsd:double"&gt;16.2966838906097&lt;/D&gt;&lt;D xsi:type="xsd:double"&gt;16.18819342752&lt;/D&gt;&lt;D xsi:type="xsd:double"&gt;16.4452153070474&lt;/D&gt;&lt;D xsi:type="xsd:double"&gt;16.565182572191&lt;/D&gt;&lt;D xsi:type="xsd:double"&gt;16.735797146648&lt;/D&gt;&lt;D xsi:type="xsd:double"&gt;17.1961593236981&lt;/D&gt;&lt;D xsi:type="xsd:double"&gt;17.5214305052838&lt;/D&gt;&lt;D xsi:type="xsd:double"&gt;17.4018094593175&lt;/D&gt;&lt;D xsi:type="xsd:double"&gt;17.5971166608252&lt;/D&gt;&lt;D xsi:type="xsd:double"&gt;17.9034217539695&lt;/D&gt;&lt;D xsi:type="xsd:double"&gt;18.9182337374197&lt;/D&gt;&lt;D xsi:type="xsd:double"&gt;19.0233107786646&lt;/D&gt;&lt;D xsi:type="xsd:double"&gt;19.2758652705837&lt;/D&gt;&lt;D xsi:type="xsd:double"&gt;19.4479737927027&lt;/D&gt;&lt;D xsi:type="xsd:double"&gt;19.2070548104936&lt;/D&gt;&lt;D xsi:type="xsd:double"&gt;19.1845115873076&lt;/D&gt;&lt;D xsi:type="xsd:double"&gt;19.2103487563967&lt;/D&gt;&lt;D xsi:type="xsd:double"&gt;19.145321085296&lt;/D&gt;&lt;D xsi:type="xsd:double"&gt;18.996217932583&lt;/D&gt;&lt;D xsi:type="xsd:double"&gt;19.1948078045286&lt;/D&gt;&lt;D xsi:type="xsd:double"&gt;19.5510217651472&lt;/D&gt;&lt;D xsi:type="xsd:double"&gt;19.6132607604751&lt;/D&gt;&lt;D xsi:type="xsd:double"&gt;20.1515579514961&lt;/D&gt;&lt;D xsi:type="xsd:double"&gt;20.9981464084675&lt;/D&gt;&lt;D xsi:type="xsd:double"&gt;19.5558135553168&lt;/D&gt;&lt;D xsi:type="xsd:double"&gt;19.7491178253693&lt;/D&gt;&lt;D xsi:type="xsd:double"&gt;19.3137726161765&lt;/D&gt;&lt;D xsi:type="xsd:double"&gt;19.1192241658292&lt;/D&gt;&lt;D xsi:type="xsd:double"&gt;18.9360882193246&lt;/D&gt;&lt;D xsi:type="xsd:double"&gt;18.7507653360432&lt;/D&gt;&lt;D xsi:type="xsd:double"&gt;18.5170877495636&lt;/D&gt;&lt;D xsi:type="xsd:double"&gt;18.6219363528265&lt;/D&gt;&lt;D xsi:type="xsd:double"&gt;17.8149109554598&lt;/D&gt;&lt;D xsi:type="xsd:double"&gt;17.2035638738972&lt;/D&gt;&lt;D xsi:type="xsd:double"&gt;16.5223765031123&lt;/D&gt;&lt;D xsi:type="xsd:double"&gt;16.0581802784709&lt;/D&gt;&lt;D xsi:type="xsd:double"&gt;16.9270696425445&lt;/D&gt;&lt;D xsi:type="xsd:double"&gt;17.1168154267796&lt;/D&gt;&lt;D xsi:type="xsd:double"&gt;17.2579523709202&lt;/D&gt;&lt;D xsi:type="xsd:double"&gt;17.0413116703749&lt;/D&gt;&lt;D xsi:type="xsd:double"&gt;17.2206489552745&lt;/D&gt;&lt;D xsi:type="xsd:double"&gt;17.6891546594218&lt;/D&gt;&lt;D xsi:type="xsd:double"&gt;17.5012079913308&lt;/D&gt;&lt;D xsi:type="xsd:double"&gt;17.9046492896832&lt;/D&gt;&lt;D xsi:type="xsd:double"&gt;17.9258770909434&lt;/D&gt;&lt;D xsi:type="xsd:double"&gt;18.6908130466183&lt;/D&gt;&lt;D xsi:type="xsd:double"&gt;19.3381208953261&lt;/D&gt;&lt;D xsi:type="xsd:double"&gt;20.1941263096042&lt;/D&gt;&lt;D xsi:type="xsd:double"&gt;20.4864841432036&lt;/D&gt;&lt;D xsi:type="xsd:double"&gt;17.6446337337643&lt;/D&gt;&lt;D xsi:type="xsd:double"&gt;18.2772830272402&lt;/D&gt;&lt;D xsi:type="xsd:double"&gt;19.4707061213507&lt;/D&gt;&lt;D xsi:type="xsd:double"&gt;20.652926900225&lt;/D&gt;&lt;D xsi:type="xsd:double"&gt;21.7263208067181&lt;/D&gt;&lt;D xsi:type="xsd:double"&gt;22.7577442172589&lt;/D&gt;&lt;D xsi:type="xsd:double"&gt;23.0686106960665&lt;/D&gt;&lt;D xsi:type="xsd:double"&gt;24.5453119083262&lt;/D&gt;&lt;D xsi:type="xsd:double"&gt;24.8600215202272&lt;/D&gt;&lt;D xsi:type="xsd:double"&gt;25.799554263603&lt;/D&gt;&lt;D xsi:type="xsd:double"&gt;27.5764271639661&lt;/D&gt;&lt;D xsi:type="xsd:double"&gt;27.430274730116&lt;/D&gt;&lt;D xsi:type="xsd:double"&gt;26.2151677081304&lt;/D&gt;&lt;D xsi:type="xsd:double"&gt;26.0598286949278&lt;/D&gt;&lt;D xsi:type="xsd:double"&gt;25.2006846060918&lt;/D&gt;&lt;D xsi:type="xsd:double"&gt;24.9985388815836&lt;/D&gt;&lt;D xsi:type="xsd:double"&gt;24.7912428375722&lt;/D&gt;&lt;D xsi:type="xsd:double"&gt;24.1138366728083&lt;/D&gt;&lt;D xsi:type="xsd:double"&gt;23.6584511907215&lt;/D&gt;&lt;D xsi:type="xsd:double"&gt;22.8735860622303&lt;/D&gt;&lt;D xsi:type="xsd:double"&gt;23.4119556787583&lt;/D&gt;&lt;D xsi:type="xsd:double"&gt;22.9207480535333&lt;/D&gt;&lt;D xsi:type="xsd:double"&gt;22.6220640985211&lt;/D&gt;&lt;D xsi:type="xsd:double"&gt;21.0611907636365&lt;/D&gt;&lt;D xsi:type="xsd:double"&gt;20.5004977585334&lt;/D&gt;&lt;D xsi:type="xsd:double"&gt;20.5464646977486&lt;/D&gt;&lt;D xsi:type="xsd:double"&gt;19.7265749922789&lt;/D&gt;&lt;D xsi:type="xsd:double"&gt;18.859968792309&lt;/D&gt;&lt;D xsi:type="xsd:double"&gt;18.6261463985812&lt;/D&gt;&lt;D xsi:type="xsd:double"&gt;19.705838755221&lt;/D&gt;&lt;D xsi:type="xsd:double"&gt;18.468411444679&lt;/D&gt;&lt;D xsi:type="xsd:double"&gt;17.443826702958&lt;/D&gt;&lt;D xsi:type="xsd:double"&gt;18.4569392169563&lt;/D&gt;&lt;D xsi:type="xsd:double"&gt;18.3282078757894&lt;/D&gt;&lt;D xsi:type="xsd:double"&gt;18.1304510051977&lt;/D&gt;&lt;D xsi:type="xsd:double"&gt;18.7960847431544&lt;/D&gt;&lt;D xsi:type="xsd:double"&gt;17.9431822921594&lt;/D&gt;&lt;D xsi:type="xsd:double"&gt;18.3073355618071&lt;/D&gt;&lt;D xsi:type="xsd:double"&gt;18.2949501632028&lt;/D&gt;&lt;D xsi:type="xsd:double"&gt;18.8243861824065&lt;/D&gt;&lt;D xsi:type="xsd:double"&gt;19.3941559456807&lt;/D&gt;&lt;D xsi:type="xsd:double"&gt;19.3625547386727&lt;/D&gt;&lt;D xsi:type="xsd:double"&gt;19.5074753498606&lt;/D&gt;&lt;D xsi:type="xsd:double"&gt;19.2232433644658&lt;/D&gt;&lt;D xsi:type="xsd:double"&gt;19.7410265130092&lt;/D&gt;&lt;D xsi:type="xsd:double"&gt;21.1691331187443&lt;/D&gt;&lt;D xsi:type="xsd:double"&gt;22.1443359550488&lt;/D&gt;&lt;D xsi:type="xsd:double"&gt;22.5779296756215&lt;/D&gt;&lt;D xsi:type="xsd:double"&gt;23.141316878803&lt;/D&gt;&lt;D xsi:type="xsd:double"&gt;22.9872994472782&lt;/D&gt;&lt;D xsi:type="xsd:double"&gt;22.9414625600533&lt;/D&gt;&lt;D xsi:type="xsd:double"&gt;22.8189686508357&lt;/D&gt;&lt;/FQL&gt;&lt;FQL&gt;&lt;Q&gt;PASP-FDS^FG_PRICE_MAVG(0,,,,30)&lt;/Q&gt;&lt;R&gt;1&lt;/R&gt;&lt;C&gt;1&lt;/C&gt;&lt;D xsi:type="xsd:double"&gt;969.13336&lt;/D&gt;&lt;/FQL&gt;&lt;FQL&gt;&lt;Q&gt;PLATI-FDS^FG_PRICE_MAVG(0,,,,30)&lt;/Q&gt;&lt;R&gt;1&lt;/R&gt;&lt;C&gt;1&lt;/C&gt;&lt;D xsi:type="xsd:double"&gt;1013.06665&lt;/D&gt;&lt;/FQL&gt;&lt;FQL&gt;&lt;Q&gt;W-FDS^FG_PRICE_MAVG(0,,,,30)&lt;/Q&gt;&lt;R&gt;1&lt;/R&gt;&lt;C&gt;1&lt;/C&gt;&lt;D xsi:type="xsd:double"&gt;6.5270834&lt;/D&gt;&lt;/FQL&gt;&lt;FQL&gt;&lt;Q&gt;COPP-FDS^FG_PRICE_MAVG(0,,,,30)&lt;/Q&gt;&lt;R&gt;1&lt;/R&gt;&lt;C&gt;1&lt;/C&gt;&lt;D xsi:type="xsd:double"&gt;4.72325&lt;/D&gt;&lt;/FQL&gt;&lt;FQL&gt;&lt;Q&gt;EWI^FG_PRICE_MAVG(0,,,,30)&lt;/Q&gt;&lt;R&gt;1&lt;/R&gt;&lt;C&gt;1&lt;/C&gt;&lt;D xsi:type="xsd:double"&gt;38.240334&lt;/D&gt;&lt;/FQL&gt;&lt;FQL&gt;&lt;Q&gt;SPY^FG_PRICE_MAVG(0,,,,30)&lt;/Q&gt;&lt;R&gt;1&lt;/R&gt;&lt;C&gt;1&lt;/C&gt;&lt;D xsi:type="xsd:double"&gt;526.9617&lt;/D&gt;&lt;/FQL&gt;&lt;FQL&gt;&lt;Q&gt;EWJ^FG_PRICE_MAVG(0,,,,30)&lt;/Q&gt;&lt;R&gt;1&lt;/R&gt;&lt;C&gt;1&lt;/C&gt;&lt;D xsi:type="xsd:double"&gt;68.572&lt;/D&gt;&lt;/FQL&gt;&lt;FQL&gt;&lt;Q&gt;ENZL^FG_PRICE_MAVG(0,,,,30)&lt;/Q&gt;&lt;R&gt;1&lt;/R&gt;&lt;C&gt;1&lt;/C&gt;&lt;D xsi:type="xsd:double"&gt;45.616665&lt;/D&gt;&lt;/FQL&gt;&lt;FQL&gt;&lt;Q&gt;FXI^FG_TOTAL_RETURNC(0,-12AM)&lt;/Q&gt;&lt;R&gt;1&lt;/R&gt;&lt;C&gt;1&lt;/C&gt;&lt;D xsi:type="xsd:double"&gt;-3.1831324&lt;/D&gt;&lt;/FQL&gt;&lt;FQL&gt;&lt;Q&gt;URTH^FG_TOTAL_RETURNC(0,-1AM)&lt;/Q&gt;&lt;R&gt;1&lt;/R&gt;&lt;C&gt;1&lt;/C&gt;&lt;D xsi:type="xsd:double"&gt;2.715218&lt;/D&gt;&lt;/FQL&gt;&lt;FQL&gt;&lt;Q&gt;VGK^FG_TOTAL_RETURNC(0,-6AM)&lt;/Q&gt;&lt;R&gt;1&lt;/R&gt;&lt;C&gt;1&lt;/C&gt;&lt;D xsi:type="xsd:double"&gt;9.661591&lt;/D&gt;&lt;/FQL&gt;&lt;FQL&gt;&lt;Q&gt;EWN^FMA_PCT_ABOVE_MAVG(200,0,,,,"PORTAGG")&lt;/Q&gt;&lt;R&gt;1&lt;/R&gt;&lt;C&gt;1&lt;/C&gt;&lt;D xsi:type="xsd:double"&gt;66.0377358490566&lt;/D&gt;&lt;/FQL&gt;&lt;FQL&gt;&lt;Q&gt;SPY^PERCENT_CHANGE(FMA_EPS(+1,0,,,,"PORTAGG","MEAN"),FMA_EPS(+1,-3AM,,,,"PORTAGG","MEAN"))&lt;/Q&gt;&lt;R&gt;1&lt;/R&gt;&lt;C&gt;1&lt;/C&gt;&lt;D xsi:type="xsd:double"&gt;2.77222972174988&lt;/D&gt;&lt;/FQL&gt;&lt;FQL&gt;&lt;Q&gt;EWU^FG_TOTAL_RETURNC(0,-3AM)&lt;/Q&gt;&lt;R&gt;1&lt;/R&gt;&lt;C&gt;1&lt;/C&gt;&lt;D xsi:type="xsd:double"&gt;5.9750795&lt;/D&gt;&lt;/FQL&gt;&lt;FQL&gt;&lt;Q&gt;EWC^FG_TOTAL_RETURNC(0,-12AM)&lt;/Q&gt;&lt;R&gt;1&lt;/R&gt;&lt;C&gt;1&lt;/C&gt;&lt;D xsi:type="xsd:double"&gt;8.961142&lt;/D&gt;&lt;/FQL&gt;&lt;FQL&gt;&lt;Q&gt;EWA^PERCENT_CHANGE(FMA_EPS(+1,0,,,,"PORTAGG","MEAN"),FMA_EPS(+1,-1AM,,,,"PORTAGG","MEAN"))&lt;/Q&gt;&lt;R&gt;1&lt;/R&gt;&lt;C&gt;1&lt;/C&gt;&lt;D xsi:type="xsd:double"&gt;-2.62998087478129&lt;/D&gt;&lt;/FQL&gt;&lt;FQL&gt;&lt;Q&gt;EWD^SIZE(FG_CONSTITUENTS)&lt;/Q&gt;&lt;R&gt;1&lt;/R&gt;&lt;C&gt;1&lt;/C&gt;&lt;D xsi:type="xsd:long"&gt;46&lt;/D&gt;&lt;/FQL&gt;&lt;FQL&gt;&lt;Q&gt;EWU^FMA_COS_DOWN("EPS","1M",+1,0,,,"PORTAGG","MEANR")&lt;/Q&gt;&lt;R&gt;1&lt;/R&gt;&lt;C&gt;1&lt;/C&gt;&lt;D xsi:type="xsd:double"&gt;26&lt;/D&gt;&lt;/FQL&gt;&lt;FQL&gt;&lt;Q&gt;CAGDPY@NL^EE_ACTUAL_ANNUAL(MED,0)&lt;/Q&gt;&lt;R&gt;1&lt;/R&gt;&lt;C&gt;1&lt;/C&gt;&lt;D xsi:type="xsd:double"&gt;10.0884806997308&lt;/D&gt;&lt;/FQL&gt;&lt;FQL&gt;&lt;Q&gt;CAGDPY@CA^EE_ACTUAL_ANNUAL(MED,0)&lt;/Q&gt;&lt;R&gt;1&lt;/R&gt;&lt;C&gt;1&lt;/C&gt;&lt;D xsi:type="xsd:double"&gt;-0.725414399026327&lt;/D&gt;&lt;/FQL&gt;&lt;FQL&gt;&lt;Q&gt;USDITL^FG_PRICE_CHANGE(0,-6AM)&lt;/Q&gt;&lt;R&gt;1&lt;/R&gt;&lt;C&gt;1&lt;/C&gt;&lt;D xsi:type="xsd:double"&gt;0.21352768&lt;/D&gt;&lt;/FQL&gt;&lt;FQL&gt;&lt;Q&gt;USDANG^FG_PRICE_CHANGE(0,-6AM)&lt;/Q&gt;&lt;R&gt;1&lt;/R&gt;&lt;C&gt;1&lt;/C&gt;&lt;D xsi:type="xsd:double"&gt;0&lt;/D&gt;&lt;/FQL&gt;&lt;FQL&gt;&lt;Q&gt;USDGBP^FG_PRICE_CHANGE(0,-6AM)&lt;/Q&gt;&lt;R&gt;1&lt;/R&gt;&lt;C&gt;1&lt;/C&gt;&lt;D xsi:type="xsd:double"&gt;-1.8877506&lt;/D&gt;&lt;/FQL&gt;&lt;FQL&gt;&lt;Q&gt;USDJPY^FG_PRICE_CHANGE(0,-6AM)&lt;/Q&gt;&lt;R&gt;1&lt;/R&gt;&lt;C&gt;1&lt;/C&gt;&lt;D xsi:type="xsd:double"&gt;8.10858&lt;/D&gt;&lt;/FQL&gt;&lt;FQL&gt;&lt;Q&gt;USDCAD^FG_PRICE_CHANGE(0,-6AM)&lt;/Q&gt;&lt;R&gt;1&lt;/R&gt;&lt;C&gt;1&lt;/C&gt;&lt;D xsi:type="xsd:double"&gt;1.3408542&lt;/D&gt;&lt;/FQL&gt;&lt;FQL&gt;&lt;Q&gt;USDNZD^FG_PRICE_CHANGE(0,-6AM)&lt;/Q&gt;&lt;R&gt;1&lt;/R&gt;&lt;C&gt;1&lt;/C&gt;&lt;D xsi:type="xsd:double"&gt;-0.72939396&lt;/D&gt;&lt;/FQL&gt;&lt;FQL&gt;&lt;Q&gt;EWC^FMA_EPS(NTMA,-20AY,0,CY,,"PORTAGG","MEANR")&lt;/Q&gt;&lt;R&gt;20&lt;/R&gt;&lt;C&gt;1&lt;/C&gt;&lt;D xsi:type="xsd:double"&gt;1.20309203563583&lt;/D&gt;&lt;D xsi:type="xsd:double"&gt;1.51116357259943&lt;/D&gt;&lt;D xsi:type="xsd:double"&gt;1.75142389864603&lt;/D&gt;&lt;D xsi:type="xsd:double"&gt;2.13167450038286&lt;/D&gt;&lt;D xsi:type="xsd:double"&gt;1.71974218387406&lt;/D&gt;&lt;D xsi:type="xsd:double"&gt;1.79551827424964&lt;/D&gt;&lt;D xsi:type="xsd:double"&gt;2.09754276006241&lt;/D&gt;&lt;D xsi:type="xsd:double"&gt;2.2894893869441&lt;/D&gt;&lt;D xsi:type="xsd:double"&gt;2.21761530023934&lt;/D&gt;&lt;D xsi:type="xsd:double"&gt;2.02017545762442&lt;/D&gt;&lt;D xsi:type="xsd:double"&gt;1.86130476812284&lt;/D&gt;&lt;D xsi:type="xsd:double"&gt;1.52246252495242&lt;/D&gt;&lt;D xsi:type="xsd:double"&gt;1.66157074539786&lt;/D&gt;&lt;D xsi:type="xsd:double"&gt;1.86172454535832&lt;/D&gt;&lt;D xsi:type="xsd:double"&gt;1.97740509819126&lt;/D&gt;&lt;D xsi:type="xsd:double"&gt;2.07393921799229&lt;/D&gt;&lt;D xsi:type="xsd:double"&gt;1.95784087398727&lt;/D&gt;&lt;D xsi:type="xsd:double"&gt;2.66448337817763&lt;/D&gt;&lt;D xsi:type="xsd:double"&gt;2.74920456102042&lt;/D&gt;&lt;D xsi:type="xsd:double"&gt;2.68263358415049&lt;/D&gt;&lt;/FQL&gt;&lt;FQL&gt;&lt;Q&gt;ENZL^P_PRICE_RETURNS_PR('52W',2,-10AY,0,AM)&lt;/Q&gt;&lt;R&gt;121&lt;/R&gt;&lt;C&gt;1&lt;/C&gt;&lt;D xsi:type="xsd:double"&gt;25.44458&lt;/D&gt;&lt;D xsi:type="xsd:double"&gt;25.300968&lt;/D&gt;&lt;D xsi:type="xsd:double"&gt;18.68266&lt;/D&gt;&lt;D xsi:type="xsd:double"&gt;13.207542&lt;/D&gt;&lt;D xsi:type="xsd:double"&gt;2.5747895&lt;/D&gt;&lt;D xsi:type="xsd:double"&gt;5.936599&lt;/D&gt;&lt;D xsi:type="xsd:double"&gt;10.927284&lt;/D&gt;&lt;D xsi:type="xsd:double"&gt;7.55558&lt;/D&gt;&lt;D xsi:type="xsd:double"&gt;7.020557&lt;/D&gt;&lt;D xsi:type="xsd:double"&gt;0.11053085&lt;/D&gt;&lt;D xsi:type="xsd:double"&gt;-0.72289705&lt;/D&gt;&lt;D xsi:type="xsd:double"&gt;-3.6756516&lt;/D&gt;&lt;D xsi:type="xsd:double"&gt;-8.061039&lt;/D&gt;&lt;D xsi:type="xsd:double"&gt;-14.1816025&lt;/D&gt;&lt;D xsi:type="xsd:double"&gt;-11.2136&lt;/D&gt;&lt;D xsi:type="xsd:double"&gt;-16.481596&lt;/D&gt;&lt;D xsi:type="xsd:double"&gt;-5.964094&lt;/D&gt;&lt;D xsi:type="xsd:double"&gt;-9.730446&lt;/D&gt;&lt;D xsi:type="xsd:double"&gt;-5.984229&lt;/D&gt;&lt;D xsi:type="xsd:double"&gt;-9.302515&lt;/D&gt;&lt;D xsi:type="xsd:double"&gt;-9.108484&lt;/D&gt;&lt;D xsi:type="xsd:double"&gt;4.0916443&lt;/D&gt;&lt;D xsi:type="xsd:double"&gt;8.012449&lt;/D&gt;&lt;D xsi:type="xsd:double"&gt;8.688677&lt;/D&gt;&lt;D xsi:type="xsd:double"&gt;19.341755&lt;/D&gt;&lt;D xsi:type="xsd:double"&gt;35.944664&lt;/D&gt;&lt;D xsi:type="xsd:double"&gt;39.81091&lt;/D&gt;&lt;D xsi:type="xsd:double"&gt;47.616302&lt;/D&gt;&lt;D xsi:type="xsd:double"&gt;32.82654&lt;/D&gt;&lt;D xsi:type="xsd:double"&gt;20.130657&lt;/D&gt;&lt;D xsi:type="xsd:double"&gt;21.980022&lt;/D&gt;&lt;D xsi:type="xsd:double"&gt;26.470364&lt;/D&gt;&lt;D xsi:type="xsd:double"&gt;30.830908&lt;/D&gt;&lt;D xsi:type="xsd:double"&gt;12.663376&lt;/D&gt;&lt;D xsi:type="xsd:double"&gt;6.8704367&lt;/D&gt;&lt;D xsi:type="xsd:double"&gt;8.551847&lt;/D&gt;&lt;D xsi:type="xsd:double"&gt;10.914183&lt;/D&gt;&lt;D xsi:type="xsd:double"&gt;8.17238&lt;/D&gt;&lt;D xsi:type="xsd:double"&gt;5.658245&lt;/D&gt;&lt;D xsi:type="xsd:double"&gt;8.159471&lt;/D&gt;&lt;D xsi:type="xsd:double"&gt;14.9060135&lt;/D&gt;&lt;D xsi:type="xsd:double"&gt;15.478587&lt;/D&gt;&lt;D xsi:type="xsd:double"&gt;17.23349&lt;/D&gt;&lt;D xsi:type="xsd:double"&gt;18.062126&lt;/D&gt;&lt;D xsi:type="xsd:double"&gt;13.224638&lt;/D&gt;&lt;D xsi:type="xsd:double"&gt;24.233318&lt;/D&gt;&lt;D xsi:type="xsd:double"&gt;22.964752&lt;/D&gt;&lt;D xsi:type="xsd:double"&gt;16.628874&lt;/D&gt;&lt;D xsi:type="xsd:double"&gt;15.867245&lt;/D&gt;&lt;D xsi:type="xsd:double"&gt;8.211732&lt;/D&gt;&lt;D xsi:type="xsd:double"&gt;3.903091&lt;/D&gt;&lt;D xsi:type="xsd:double"&gt;6.647563&lt;/D&gt;&lt;D xsi:type="xsd:double"&gt;-0.22950172&lt;/D&gt;&lt;D xsi:type="xsd:double"&gt;9.467125&lt;/D&gt;&lt;D xsi:type="xsd:double"&gt;4.116559&lt;/D&gt;&lt;D xsi:type="xsd:double"&gt;3.4255147&lt;/D&gt;&lt;D xsi:type="xsd:double"&gt;9.047079&lt;/D&gt;&lt;D xsi:type="xsd:double"&gt;4.5094967&lt;/D&gt;&lt;D xsi:type="xsd:double"&gt;6.591928&lt;/D&gt;&lt;D xsi:type="xsd:double"&gt;9.226286&lt;/D&gt;&lt;D xsi:type="xsd:double"&gt;5.203438&lt;/D&gt;&lt;D xsi:type="xsd:double"&gt;16.444016&lt;/D&gt;&lt;D xsi:type="xsd:double"&gt;18.027615&lt;/D&gt;&lt;D xsi:type="xsd:double"&gt;13.270271&lt;/D&gt;&lt;D xsi:type="xsd:double"&gt;21.851086&lt;/D&gt;&lt;D xsi:type="xsd:double"&gt;15.042019&lt;/D&gt;&lt;D xsi:type="xsd:double"&gt;22.502338&lt;/D&gt;&lt;D xsi:type="xsd:double"&gt;24.125671&lt;/D&gt;&lt;D xsi:type="xsd:double"&gt;20.141876&lt;/D&gt;&lt;D xsi:type="xsd:double"&gt;1.3254881&lt;/D&gt;&lt;D xsi:type="xsd:double"&gt;-6.3364925&lt;/D&gt;&lt;D xsi:type="xsd:double"&gt;-1.1032999&lt;/D&gt;&lt;D xsi:type="xsd:double"&gt;7.6381564&lt;/D&gt;&lt;D xsi:type="xsd:double"&gt;5.985391&lt;/D&gt;&lt;D xsi:type="xsd:double"&gt;10.387039&lt;/D&gt;&lt;D xsi:type="xsd:double"&gt;11.142933&lt;/D&gt;&lt;D xsi:type="xsd:double"&gt;20.591843&lt;/D&gt;&lt;D xsi:type="xsd:double"&gt;26.410389&lt;/D&gt;&lt;D xsi:type="xsd:double"&gt;22.654093&lt;/D&gt;&lt;D xsi:type="xsd:double"&gt;21.52487&lt;/D&gt;&lt;D xsi:type="xsd:double"&gt;15.659534&lt;/D&gt;&lt;D xsi:type="xsd:double"&gt;43.169083&lt;/D&gt;&lt;D xsi:type="xsd:double"&gt;38.607822&lt;/D&gt;&lt;D xsi:type="xsd:double"&gt;31.220222&lt;/D&gt;&lt;D xsi:type="xsd:double"&gt;21.244324&lt;/D&gt;&lt;D xsi:type="xsd:double"&gt;11.49441&lt;/D&gt;&lt;D xsi:type="xsd:double"&gt;9.650839&lt;/D&gt;&lt;D xsi:type="xsd:double"&gt;12.058294&lt;/D&gt;&lt;D xsi:type="xsd:double"&gt;2.5655508&lt;/D&gt;&lt;D xsi:type="xsd:double"&gt;-2.6449263&lt;/D&gt;&lt;D xsi:type="xsd:double"&gt;-11.332762&lt;/D&gt;&lt;D xsi:type="xsd:double"&gt;-12.844211&lt;/D&gt;&lt;D xsi:type="xsd:double"&gt;-17.338526&lt;/D&gt;&lt;D xsi:type="xsd:double"&gt;-13.08403&lt;/D&gt;&lt;D xsi:type="xsd:double"&gt;-14.255661&lt;/D&gt;&lt;D xsi:type="xsd:double"&gt;-24.977701&lt;/D&gt;&lt;D xsi:type="xsd:double"&gt;-27.402061&lt;/D&gt;&lt;D xsi:type="xsd:double"&gt;-24.777824&lt;/D&gt;&lt;D xsi:type="xsd:double"&gt;-15.405637&lt;/D&gt;&lt;D xsi:type="xsd:double"&gt;-25.949532&lt;/D&gt;&lt;D xsi:type="xsd:double"&gt;-32.52659&lt;/D&gt;&lt;D xsi:type="xsd:double"&gt;-24.119658&lt;/D&gt;&lt;D xsi:type="xsd:double"&gt;-12.428838&lt;/D&gt;&lt;D xsi:type="xsd:double"&gt;-11.444986&lt;/D&gt;&lt;D xsi:type="xsd:double"&gt;-2.3054302&lt;/D&gt;&lt;D xsi:type="xsd:double"&gt;-9.657264&lt;/D&gt;&lt;D xsi:type="xsd:double"&gt;-3.201884&lt;/D&gt;&lt;D xsi:type="xsd:double"&gt;10.86775&lt;/D&gt;&lt;D xsi:type="xsd:double"&gt;11.232555&lt;/D&gt;&lt;D xsi:type="xsd:double"&gt;15.5484915&lt;/D&gt;&lt;D xsi:type="xsd:double"&gt;-3.9346159&lt;/D&gt;&lt;D xsi:type="xsd:double"&gt;-2.2518635&lt;/D&gt;&lt;D xsi:type="xsd:double"&gt;8.081043&lt;/D&gt;&lt;D xsi:type="xsd:double"</t>
        </r>
      </text>
    </comment>
    <comment ref="A14" authorId="0" shapeId="0" xr:uid="{8B6F0253-93FC-4050-98AF-5C0E8ABF5BFA}">
      <text>
        <r>
          <rPr>
            <b/>
            <sz val="9"/>
            <color indexed="81"/>
            <rFont val="Tahoma"/>
            <charset val="1"/>
          </rPr>
          <t>&gt;-4.5482635&lt;/D&gt;&lt;D xsi:type="xsd:double"&gt;-3.2242&lt;/D&gt;&lt;D xsi:type="xsd:double"&gt;-0.2150178&lt;/D&gt;&lt;D xsi:type="xsd:double"&gt;-10.767115&lt;/D&gt;&lt;D xsi:type="xsd:double"&gt;-1.4407277&lt;/D&gt;&lt;D xsi:type="xsd:double"&gt;-7.3499975&lt;/D&gt;&lt;D xsi:type="xsd:double"&gt;-7.4982347&lt;/D&gt;&lt;D xsi:type="xsd:double"&gt;-1.4807045&lt;/D&gt;&lt;/FQL&gt;&lt;FQL&gt;&lt;Q&gt;EWN^FMA_PE(NTMA,-10AY,0,AM,"PORTAGG","MEANR")&lt;/Q&gt;&lt;R&gt;121&lt;/R&gt;&lt;C&gt;1&lt;/C&gt;&lt;D xsi:type="xsd:double"&gt;14.5116842271613&lt;/D&gt;&lt;D xsi:type="xsd:double"&gt;14.0701072000707&lt;/D&gt;&lt;D xsi:type="xsd:double"&gt;13.8137393451007&lt;/D&gt;&lt;D xsi:type="xsd:double"&gt;14.6202063653862&lt;/D&gt;&lt;D xsi:type="xsd:double"&gt;13.7083022679716&lt;/D&gt;&lt;D xsi:type="xsd:double"&gt;14.743014665001&lt;/D&gt;&lt;D xsi:type="xsd:double"&gt;14.5120042300371&lt;/D&gt;&lt;D xsi:type="xsd:double"&gt;14.8770201428969&lt;/D&gt;&lt;D xsi:type="xsd:double"&gt;16.1618023240271&lt;/D&gt;&lt;D xsi:type="xsd:double"&gt;17.5215378807294&lt;/D&gt;&lt;D xsi:type="xsd:double"&gt;17.8308798559578&lt;/D&gt;&lt;D xsi:type="xsd:double"&gt;16.7156514288883&lt;/D&gt;&lt;D xsi:type="xsd:double"&gt;16.3770760510902&lt;/D&gt;&lt;D xsi:type="xsd:double"&gt;16.7351828576205&lt;/D&gt;&lt;D xsi:type="xsd:double"&gt;16.0179244031779&lt;/D&gt;&lt;D xsi:type="xsd:double"&gt;14.559729005272&lt;/D&gt;&lt;D xsi:type="xsd:double"&gt;14.8403754448652&lt;/D&gt;&lt;D xsi:type="xsd:double"&gt;15.8843692170388&lt;/D&gt;&lt;D xsi:type="xsd:double"&gt;15.2061614074946&lt;/D&gt;&lt;D xsi:type="xsd:double"&gt;14.6882143047197&lt;/D&gt;&lt;D xsi:type="xsd:double"&gt;13.605002475377&lt;/D&gt;&lt;D xsi:type="xsd:double"&gt;15.303880693061&lt;/D&gt;&lt;D xsi:type="xsd:double"&gt;15.3349018220921&lt;/D&gt;&lt;D xsi:type="xsd:double"&gt;14.7373383813247&lt;/D&gt;&lt;D xsi:type="xsd:double"&gt;14.2350997769634&lt;/D&gt;&lt;D xsi:type="xsd:double"&gt;14.4632447492935&lt;/D&gt;&lt;D xsi:type="xsd:double"&gt;15.0113317918091&lt;/D&gt;&lt;D xsi:type="xsd:double"&gt;14.6296602348364&lt;/D&gt;&lt;D xsi:type="xsd:double"&gt;14.6110665271798&lt;/D&gt;&lt;D xsi:type="xsd:double"&gt;14.4101590514397&lt;/D&gt;&lt;D xsi:type="xsd:double"&gt;14.8975298601526&lt;/D&gt;&lt;D xsi:type="xsd:double"&gt;15.0630903257718&lt;/D&gt;&lt;D xsi:type="xsd:double"&gt;15.372873861171&lt;/D&gt;&lt;D xsi:type="xsd:double"&gt;16.0356059715939&lt;/D&gt;&lt;D xsi:type="xsd:double"&gt;16.115731773968&lt;/D&gt;&lt;D xsi:type="xsd:double"&gt;16.5092772337628&lt;/D&gt;&lt;D xsi:type="xsd:double"&gt;16.1259119199914&lt;/D&gt;&lt;D xsi:type="xsd:double"&gt;15.945953192606&lt;/D&gt;&lt;D xsi:type="xsd:double"&gt;15.70057747508&lt;/D&gt;&lt;D xsi:type="xsd:double"&gt;15.8804752643569&lt;/D&gt;&lt;D xsi:type="xsd:double"&gt;16.2009077344754&lt;/D&gt;&lt;D xsi:type="xsd:double"&gt;16.0596192666378&lt;/D&gt;&lt;D xsi:type="xsd:double"&gt;16.1324077139827&lt;/D&gt;&lt;D xsi:type="xsd:double"&gt;16.2257148449815&lt;/D&gt;&lt;D xsi:type="xsd:double"&gt;15.1531161729397&lt;/D&gt;&lt;D xsi:type="xsd:double"&gt;15.6199427825257&lt;/D&gt;&lt;D xsi:type="xsd:double"&gt;15.6594941513437&lt;/D&gt;&lt;D xsi:type="xsd:double"&gt;15.7079210668555&lt;/D&gt;&lt;D xsi:type="xsd:double"&gt;15.9874821448579&lt;/D&gt;&lt;D xsi:type="xsd:double"&gt;15.7128073876759&lt;/D&gt;&lt;D xsi:type="xsd:double"&gt;15.5699399182855&lt;/D&gt;&lt;D xsi:type="xsd:double"&gt;14.9336395882478&lt;/D&gt;&lt;D xsi:type="xsd:double"&gt;14.0187873257544&lt;/D&gt;&lt;D xsi:type="xsd:double"&gt;14.365900283083&lt;/D&gt;&lt;D xsi:type="xsd:double"&gt;13.7186615962607&lt;/D&gt;&lt;D xsi:type="xsd:double"&gt;13.4132960063511&lt;/D&gt;&lt;D xsi:type="xsd:double"&gt;14.6783927874871&lt;/D&gt;&lt;D xsi:type="xsd:double"&gt;14.9352636237222&lt;/D&gt;&lt;D xsi:type="xsd:double"&gt;15.5421307089545&lt;/D&gt;&lt;D xsi:type="xsd:double"&gt;14.965751592973&lt;/D&gt;&lt;D xsi:type="xsd:double"&gt;15.3527159765368&lt;/D&gt;&lt;D xsi:type="xsd:double"&gt;15.5320360973095&lt;/D&gt;&lt;D xsi:type="xsd:double"&gt;15.0876187246097&lt;/D&gt;&lt;D xsi:type="xsd:double"&gt;16.1181213310252&lt;/D&gt;&lt;D xsi:type="xsd:double"&gt;16.2028148063799&lt;/D&gt;&lt;D xsi:type="xsd:double"&gt;16.6789387394031&lt;/D&gt;&lt;D xsi:type="xsd:double"&gt;16.9839682495427&lt;/D&gt;&lt;D xsi:type="xsd:double"&gt;17.1363924078988&lt;/D&gt;&lt;D xsi:type="xsd:double"&gt;18.2403988486678&lt;/D&gt;&lt;D xsi:type="xsd:double"&gt;12.7281715927993&lt;/D&gt;&lt;D xsi:type="xsd:double"&gt;15.8340587395076&lt;/D&gt;&lt;D xsi:type="xsd:double"&gt;17.3293964591816&lt;/D&gt;&lt;D xsi:type="xsd:double"&gt;18.9755303928697&lt;/D&gt;&lt;D xsi:type="xsd:double"&gt;20.4303220343925&lt;/D&gt;&lt;D xsi:type="xsd:double"&gt;20.1529887816564&lt;/D&gt;&lt;D xsi:type="xsd:double"&gt;19.5586880386938&lt;/D&gt;&lt;D xsi:type="xsd:double"&gt;20.1435839850444&lt;/D&gt;&lt;D xsi:type="xsd:double"&gt;20.6206156253231&lt;/D&gt;&lt;D xsi:type="xsd:double"&gt;20.2011656746262&lt;/D&gt;&lt;D xsi:type="xsd:double"&gt;21.0143990772005&lt;/D&gt;&lt;D xsi:type="xsd:double"&gt;22.6498308645117&lt;/D&gt;&lt;D xsi:type="xsd:double"&gt;21.7226899216766&lt;/D&gt;&lt;D xsi:type="xsd:double"&gt;22.5940663307976&lt;/D&gt;&lt;D xsi:type="xsd:double"&gt;20.851550624197&lt;/D&gt;&lt;D xsi:type="xsd:double"&gt;21.6370786908485&lt;/D&gt;&lt;D xsi:type="xsd:double"&gt;21.3520986355989&lt;/D&gt;&lt;D xsi:type="xsd:double"&gt;21.6936533213419&lt;/D&gt;&lt;D xsi:type="xsd:double"&gt;21.7272426646121&lt;/D&gt;&lt;D xsi:type="xsd:double"&gt;20.2268086487732&lt;/D&gt;&lt;D xsi:type="xsd:double"&gt;21.6160294510135&lt;/D&gt;&lt;D xsi:type="xsd:double"&gt;20.2110599892131&lt;/D&gt;&lt;D xsi:type="xsd:double"&gt;20.0003450364659&lt;/D&gt;&lt;D xsi:type="xsd:double"&gt;18.4049098222676&lt;/D&gt;&lt;D xsi:type="xsd:double"&gt;16.6233333739332&lt;/D&gt;&lt;D xsi:type="xsd:double"&gt;17.6516338676948&lt;/D&gt;&lt;D xsi:type="xsd:double"&gt;16.3451223716021&lt;/D&gt;&lt;D xsi:type="xsd:double"&gt;15.8846200813349&lt;/D&gt;&lt;D xsi:type="xsd:double"&gt;15.9721264664424&lt;/D&gt;&lt;D xsi:type="xsd:double"&gt;17.8869214966046&lt;/D&gt;&lt;D xsi:type="xsd:double"&gt;16.0089835034738&lt;/D&gt;&lt;D xsi:type="xsd:double"&gt;14.0140559868967&lt;/D&gt;&lt;D xsi:type="xsd:double"&gt;16.2938652611738&lt;/D&gt;&lt;D xsi:type="xsd:double"&gt;16.5888504351928&lt;/D&gt;&lt;D xsi:type="xsd:double"&gt;16.9773889745446&lt;/D&gt;&lt;D xsi:type="xsd:double"&gt;17.0365253502119&lt;/D&gt;&lt;D xsi:type="xsd:double"&gt;15.8322847032466&lt;/D&gt;&lt;D xsi:type="xsd:double"&gt;16.331261729855&lt;/D&gt;&lt;D xsi:type="xsd:double"&gt;15.5724399339578&lt;/D&gt;&lt;D xsi:type="xsd:double"&gt;15.9004309409629&lt;/D&gt;&lt;D xsi:type="xsd:double"&gt;16.1638014844584&lt;/D&gt;&lt;D xsi:type="xsd:double"&gt;15.2821923786263&lt;/D&gt;&lt;D xsi:type="xsd:double"&gt;14.1088091661035&lt;/D&gt;&lt;D xsi:type="xsd:double"&gt;13.4636668232915&lt;/D&gt;&lt;D xsi:type="xsd:double"&gt;14.2393302503546&lt;/D&gt;&lt;D xsi:type="xsd:double"&gt;15.0134529920789&lt;/D&gt;&lt;D xsi:type="xsd:double"&gt;14.8052593904608&lt;/D&gt;&lt;D xsi:type="xsd:double"&gt;16.0262604260841&lt;/D&gt;&lt;D xsi:type="xsd:double"&gt;16.151201124973&lt;/D&gt;&lt;D xsi:type="xsd:double"&gt;15.9973256066722&lt;/D&gt;&lt;D xsi:type="xsd:double"&gt;16.1573048950441&lt;/D&gt;&lt;D xsi:type="xsd:double"&gt;16.6164272183828&lt;/D&gt;&lt;/FQL&gt;&lt;FQL&gt;&lt;Q&gt;DDR3512M-FDS^FG_PRICE_MAVG(0,,,,30)&lt;/Q&gt;&lt;R&gt;1&lt;/R&gt;&lt;C&gt;1&lt;/C&gt;&lt;D xsi:type="xsd:double"&gt;0.9633727&lt;/D&gt;&lt;/FQL&gt;&lt;FQL&gt;&lt;Q&gt;EWD^P_PRICE(0)/P_PRICE_LOW_PR(0,,,,,,"PRICE","INTRA","52W")-1&lt;/Q&gt;&lt;R&gt;1&lt;/R&gt;&lt;C&gt;1&lt;/C&gt;&lt;D xsi:type="xsd:double"&gt;0.33550596&lt;/D&gt;&lt;/FQL&gt;&lt;FQL&gt;&lt;Q&gt;EWI^FMA_ROE(NTMA,-20AY,NOW,FY,"PORTAGG","MEANR")&lt;/Q&gt;&lt;R&gt;20&lt;/R&gt;&lt;C&gt;1&lt;/C&gt;&lt;D xsi:type="xsd:double"&gt;12.7201174133668&lt;/D&gt;&lt;D xsi:type="xsd:double"&gt;14.3538872460945&lt;/D&gt;&lt;D xsi:type="xsd:double"&gt;15.0689086026843&lt;/D&gt;&lt;D xsi:type="xsd:double"&gt;13.8121430445963&lt;/D&gt;&lt;D xsi:type="xsd:double"&gt;10.7897502226351&lt;/D&gt;&lt;D xsi:type="xsd:double"&gt;8.0585564947071&lt;/D&gt;&lt;D xsi:type="xsd:double"&gt;8.81990423698703&lt;/D&gt;&lt;D xsi:type="xsd:double"&gt;8.11660136585425&lt;/D&gt;&lt;D xsi:type="xsd:double"&gt;7.83939542493847&lt;/D&gt;&lt;D xsi:type="xsd:double"&gt;7.34575996709421&lt;/D&gt;&lt;D xsi:type="xsd:double"&gt;7.29870487123998&lt;/D&gt;&lt;D xsi:type="xsd:double"&gt;7.28937842659948&lt;/D&gt;&lt;D xsi:type="xsd:double"&gt;7.64480507807432&lt;/D&gt;&lt;D xsi:type="xsd:double"&gt;9.05384965064241&lt;/D&gt;&lt;D xsi:type="xsd:double"&gt;10.3909656073461&lt;/D&gt;&lt;D xsi:type="xsd:double"&gt;10.2353053584578&lt;/D&gt;&lt;D xsi:type="xsd:double"&gt;8.27578853786002&lt;/D&gt;&lt;D xsi:type="xsd:double"&gt;11.7277999998841&lt;/D&gt;&lt;D xsi:type="xsd:double"&gt;13.3202789860828&lt;/D&gt;&lt;D xsi:type="xsd:double"&gt;13.3572149047324&lt;/D&gt;&lt;/FQL&gt;&lt;FQL&gt;&lt;Q&gt;TRYVN10Y-FDS^FG_YIELD(-10AY,0,Y,,"YTM")&lt;/Q&gt;&lt;R&gt;10&lt;/R&gt;&lt;C&gt;1&lt;/C&gt;&lt;D xsi:type="xsd:double"&gt;7.3&lt;/D&gt;&lt;D xsi:type="xsd:double"&gt;6.277413&lt;/D&gt;&lt;D xsi:type="xsd:double"&gt;7.1117578&lt;/D&gt;&lt;D xsi:type="xsd:double"&gt;5.6717234&lt;/D&gt;&lt;D xsi:type="xsd:double"&gt;4.738006&lt;/D&gt;&lt;D xsi:type="xsd:double"&gt;3.5404546&lt;/D&gt;&lt;D xsi:type="xsd:double"&gt;2.4877946&lt;/D&gt;&lt;D xsi:type="xsd:double"&gt;2.059403&lt;/D&gt;&lt;D xsi:type="xsd:double"&gt;4.687226&lt;/D&gt;&lt;D xsi:type="xsd:double"&gt;2.9473283&lt;/D&gt;&lt;/FQL&gt;&lt;FQL&gt;&lt;Q&gt;TRYTW10Y-FDS^FG_YIELD(-10AY,0,Y,,"YTM")&lt;/Q&gt;&lt;R&gt;10&lt;/R&gt;&lt;C&gt;1&lt;/C&gt;&lt;D xsi:type="xsd:double"&gt;1.6015&lt;/D&gt;&lt;D xsi:type="xsd:double"&gt;1.015&lt;/D&gt;&lt;D xsi:type="xsd:double"&gt;1.2037&lt;/D&gt;&lt;D xsi:type="xsd:double"&gt;0.9478&lt;/D&gt;&lt;D xsi:type="xsd:double"&gt;0.8648&lt;/D&gt;&lt;D xsi:type="xsd:double"&gt;0.672&lt;/D&gt;&lt;D xsi:type="xsd:double"&gt;0.315&lt;/D&gt;&lt;D xsi:type="xsd:double"&gt;0.7413&lt;/D&gt;&lt;D xsi:type="xsd:double"&gt;1.2812&lt;/D&gt;&lt;D xsi:type="xsd:double"&gt;1.211&lt;/D&gt;&lt;/FQL&gt;&lt;FQL&gt;&lt;Q&gt;EWD^FMA_COS_DOWN("EPS","1M",+1,0,,,"PORTAGG","MEANR")&lt;/Q&gt;&lt;R&gt;1&lt;/R&gt;&lt;C&gt;1&lt;/C&gt;&lt;D xsi:type="xsd:double"&gt;12&lt;/D&gt;&lt;/FQL&gt;&lt;FQL&gt;&lt;Q&gt;EWU^FMA_COS_UP("EPS","1M",+1,0,,,"PORTAGG","MEANR")&lt;/Q&gt;&lt;R&gt;1&lt;/R&gt;&lt;C&gt;1&lt;/C&gt;&lt;D xsi:type="xsd:double"&gt;44&lt;/D&gt;&lt;/FQL&gt;&lt;FQL&gt;&lt;Q&gt;ENZL^SIZE(FG_CONSTITUENTS)&lt;/Q&gt;&lt;R&gt;1&lt;/R&gt;&lt;C&gt;1&lt;/C&gt;&lt;D xsi:type="xsd:long"&gt;14&lt;/D&gt;&lt;/FQL&gt;&lt;FQL&gt;&lt;Q&gt;EWI^FMA_RBICS_REV_CURRENT(30, LOC, "PORTAGG")&lt;/Q&gt;&lt;R&gt;1&lt;/R&gt;&lt;C&gt;1&lt;/C&gt;&lt;D xsi:type="xsd:double"&gt;37.3007280733583&lt;/D&gt;&lt;/FQL&gt;&lt;FQL&gt;&lt;Q&gt;EWQ^FG_ROE(0)&lt;/Q&gt;&lt;R&gt;1&lt;/R&gt;&lt;C&gt;1&lt;/C&gt;&lt;D xsi:type="xsd:double"&gt;12.8431304453786&lt;/D&gt;&lt;/FQL&gt;&lt;FQL&gt;&lt;Q&gt;TRYGB10Y-FDS^FG_YIELD_NAME&lt;/Q&gt;&lt;R&gt;1&lt;/R&gt;&lt;C&gt;1&lt;/C&gt;&lt;D xsi:type="xsd:string"&gt;United Kingdom Benchmark Bond - 10 Year&lt;/D&gt;&lt;/FQL&gt;&lt;FQL&gt;&lt;Q&gt;REFFFUND-FDS^(SUBARRAY(NOT_NA(NO_REPEAT_F(FG_YIELD(NOW,-10AY,D))),0,1)-SUBARRAY(NOT_NA(NO_REPEAT_F(FG_YIELD(NOW,-10AY,D))),1,1))*100&lt;/Q&gt;&lt;R&gt;1&lt;/R&gt;&lt;C&gt;1&lt;/C&gt;&lt;D xsi:type="xsd:double"&gt;25&lt;/D&gt;&lt;/FQL&gt;&lt;FQL&gt;&lt;Q&gt;REFEUREFI-FDS^FG_YIELD(NOW,,,0)&lt;/Q&gt;&lt;R&gt;1&lt;/R&gt;&lt;C&gt;1&lt;/C&gt;&lt;D xsi:type="xsd:double"&gt;4.25&lt;/D&gt;&lt;/FQL&gt;&lt;FQL&gt;&lt;Q&gt;TRYNL10Y-FDS^PCTCHG(FG_YIELD(0,,,,"YTM"),FG_YIELD(-1AM,,,,"YTM"))&lt;/Q&gt;&lt;R&gt;1&lt;/R&gt;&lt;C&gt;1&lt;/C&gt;&lt;D xsi:type="xsd:double"&gt;1.8604583&lt;/D&gt;&lt;/FQL&gt;&lt;FQL&gt;&lt;Q&gt;TRYCA10Y-FDS^PCTCHG(FG_YIELD(0,,,,"YTM"),FG_YIELD(-1AM,,,,"YTM"))&lt;/Q&gt;&lt;R&gt;1&lt;/R&gt;&lt;C&gt;1&lt;/C&gt;&lt;D xsi:type="xsd:double"&gt;-9.600974&lt;/D&gt;&lt;/FQL&gt;&lt;FQL&gt;&lt;Q&gt;TRYNZ10Y-FDS^FG_YIELD_NAME&lt;/Q&gt;&lt;R&gt;1&lt;/R&gt;&lt;C&gt;1&lt;/C&gt;&lt;D xsi:type="xsd:string"&gt;New Zealand Benchmark Bond - 10 Year&lt;/D&gt;&lt;/FQL&gt;&lt;FQL&gt;&lt;Q&gt;VWO^FG_FCF_YIELD_NTM(0)&lt;/Q&gt;&lt;R&gt;1&lt;/R&gt;&lt;C&gt;1&lt;/C&gt;&lt;D xsi:type="xsd:double"&gt;5.38301205579797&lt;/D&gt;&lt;/FQL&gt;&lt;FQL&gt;&lt;Q&gt;WL-FDS^FG_PRICE_CHANGE(0,-6AM)&lt;/Q&gt;&lt;R&gt;1&lt;/R&gt;&lt;C&gt;1&lt;/C&gt;&lt;D xsi:type="xsd:double"&gt;-9.59209687699172&lt;/D&gt;&lt;/FQL&gt;&lt;FQL&gt;&lt;Q&gt;VWO^P_PRICE(0)/P_PRICE_HIGH_PR(0,,,,,,"PRICE","INTRA","52W")&lt;/Q&gt;&lt;R&gt;1&lt;/R&gt;&lt;C&gt;1&lt;/C&gt;&lt;D xsi:type="xsd:double"&gt;0.97051316&lt;/D&gt;&lt;/FQL&gt;&lt;FQL&gt;&lt;Q&gt;EWQ^FG_TOTAL_RETURNC(0,-3AM)&lt;/Q&gt;&lt;R&gt;1&lt;/R&gt;&lt;C&gt;1&lt;/C&gt;&lt;D xsi:type="xsd:double"&gt;-4.241127&lt;/D&gt;&lt;/FQL&gt;&lt;FQL&gt;&lt;Q&gt;EWJ^PERCENT_CHANGE(FMA_EPS(+1,0,,,,"PORTAGG","MEAN"),FMA_EPS(+1,-3AM,,,,"PORTAGG","MEAN"))&lt;/Q&gt;&lt;R&gt;1&lt;/R&gt;&lt;C&gt;1&lt;/C&gt;&lt;D xsi:type="xsd:double"&gt;-4.59492111249102&lt;/D&gt;&lt;/FQL&gt;&lt;FQL&gt;&lt;Q&gt;SPY^FMA_COS_DOWN("EPS","1M",+1,0,,,"PORTAGG","MEANR")&lt;/Q&gt;&lt;R&gt;1&lt;/R&gt;&lt;C&gt;1&lt;/C&gt;&lt;D xsi:type="xsd:double"&gt;151&lt;/D&gt;&lt;/FQL&gt;&lt;FQL&gt;&lt;Q&gt;EWA^SIZE(FG_CONSTITUENTS)&lt;/Q&gt;&lt;R&gt;1&lt;/R&gt;&lt;C&gt;1&lt;/C&gt;&lt;D xsi:type="xsd:long"&gt;60&lt;/D&gt;&lt;/FQL&gt;&lt;FQL&gt;&lt;Q&gt;EWA^FG_ROE(0)&lt;/Q&gt;&lt;R&gt;1&lt;/R&gt;&lt;C&gt;1&lt;/C&gt;&lt;D xsi:type="xsd:double"&gt;12.6094423204978&lt;/D&gt;&lt;/FQL&gt;&lt;FQL&gt;&lt;Q&gt;TRYUS10Y-FDS^PCTCHG(FG_YIELD(0,,,,"YTM"),FG_YIELD(-1AM,,,,"YTM"))&lt;/Q&gt;&lt;R&gt;1&lt;/R&gt;&lt;C&gt;1&lt;/C&gt;&lt;D xsi:type="xsd:double"&gt;-5.457667&lt;/D&gt;&lt;/FQL&gt;&lt;FQL&gt;&lt;Q&gt;EWN^FMA_PE(LTM,0,,,"PORTAGG","MEANR")&lt;/Q&gt;&lt;R&gt;1&lt;/R&gt;&lt;C&gt;1&lt;/C&gt;&lt;D xsi:type="xsd:double"&gt;20.7523189074417&lt;/D&gt;&lt;/FQL&gt;&lt;FQL&gt;&lt;Q&gt;EWU^FMA_PE(NTMA,0,,,"PORTAGG","MEANR")&lt;/Q&gt;&lt;R&gt;1&lt;/R&gt;&lt;C&gt;1&lt;/C&gt;&lt;D xsi:type="xsd:double"&gt;11.5536772783788&lt;/D&gt;&lt;/FQL&gt;&lt;FQL&gt;&lt;Q&gt;EWC^FMA_PE(NTMA,0,,,"PORTAGG","MEANR")&lt;/Q&gt;&lt;R&gt;1&lt;/R&gt;&lt;C&gt;1&lt;/C&gt;&lt;D xsi:type="xsd:double"&gt;13.9988174459701&lt;/D&gt;&lt;/FQL&gt;&lt;FQL&gt;&lt;Q&gt;SPY^FG_TOTAL_RETURNC(0,-6AM)&lt;/Q&gt;&lt;R&gt;1&lt;/R&gt;&lt;C&gt;1&lt;/C&gt;&lt;D xsi:type="xsd:double"&gt;16.122616&lt;/D&gt;&lt;/FQL&gt;&lt;FQL&gt;&lt;Q&gt;TLT^FG_TOTAL_RETURNC(0,-3AM)&lt;/Q&gt;&lt;R&gt;1&lt;/R&gt;&lt;C&gt;1&lt;/C&gt;&lt;D xsi:type="xsd:double"&gt;0.44734478&lt;/D&gt;&lt;/FQL&gt;&lt;FQL&gt;&lt;Q&gt;SPY^FG_TOTAL_RETURNC(0,-3AM)&lt;/Q&gt;&lt;R&gt;1&lt;/R&gt;&lt;C&gt;1&lt;/C&gt;&lt;D xsi:type="xsd:double"&gt;5.4609776&lt;/D&gt;&lt;/FQL&gt;&lt;FQL&gt;&lt;Q&gt;EWQ^FG_FCF_YIELD_NTM(0)&lt;/Q&gt;&lt;R&gt;1&lt;/R&gt;&lt;C&gt;1&lt;/C&gt;&lt;D xsi:type="xsd:double"&gt;5.80004921234364&lt;/D&gt;&lt;/FQL&gt;&lt;FQL&gt;&lt;Q&gt;EWG^P_PRICE(0)/P_PRICE_HIGH_PR(0,,,,,,"PRICE","INTRA","52W")&lt;/Q&gt;&lt;R&gt;1&lt;/R&gt;&lt;C&gt;1&lt;/C&gt;&lt;D xsi:type="xsd:double"&gt;0.93472785&lt;/D&gt;&lt;/FQL&gt;&lt;FQL&gt;&lt;Q&gt;VWO^FG_TOTAL_RETURNC(0,-1AM)&lt;/Q&gt;&lt;R&gt;1&lt;/R&gt;&lt;C&gt;1&lt;/C&gt;&lt;D xsi:type="xsd:double"&gt;-0.365299&lt;/D&gt;&lt;/FQL&gt;&lt;FQL&gt;&lt;Q&gt;REFCHMPR-FDS^(SUBARRAY(NOT_NA(NO_REPEAT_F(FG_YIELD(NOW,-10AY,D))),0,1)-SUBARRAY(NOT_NA(NO_REPEAT_F(FG_YIELD(NOW,-10AY,D))),1,1))*100&lt;/Q&gt;&lt;R&gt;1&lt;/R&gt;&lt;C&gt;1&lt;/C&gt;&lt;D xsi:type="xsd:double"&gt;-25&lt;/D&gt;&lt;/FQL&gt;&lt;FQL&gt;&lt;Q&gt;EWQ^JULIAN(FMA_DIV_YLD(NTMA,NOW,NOW,M,"PORTAGG","MEANR").DATES)&lt;/Q&gt;&lt;R&gt;1&lt;/R&gt;&lt;C&gt;1&lt;/C&gt;&lt;D xsi:type="xsd:long"&gt;45443&lt;/D&gt;&lt;/FQL&gt;&lt;FQL&gt;&lt;Q&gt;EWL^JULIAN(FMA_DIV_YLD(NTMA,NOW,NOW,M,"PORTAGG","MEANR").DATES)&lt;/Q&gt;&lt;R&gt;1&lt;/R&gt;&lt;C&gt;1&lt;/C&gt;&lt;D xsi:type="xsd:long"&gt;45443&lt;/D&gt;&lt;/FQL&gt;&lt;FQL&gt;&lt;Q&gt;USO^FG_TOTAL_RETURNC(0,-1AM)&lt;/Q&gt;&lt;R&gt;1&lt;/R&gt;&lt;C&gt;1&lt;/C&gt;&lt;D xsi:type="xsd:double"&gt;-0.5122781&lt;/D&gt;&lt;/FQL&gt;&lt;FQL&gt;&lt;Q&gt;TRYCA10Y-FDS^PCTCHG(FG_YIELD(0,,,,"YTM"),FG_YIELD(-3AM,,,,"YTM"))&lt;/Q&gt;&lt;R&gt;1&lt;/R&gt;&lt;C&gt;1&lt;/C&gt;&lt;D xsi:type="xsd:double"&gt;-2.8075292&lt;/D&gt;&lt;/FQL&gt;&lt;FQL&gt;&lt;Q&gt;EWI^FG_TOTAL_RETURNC(0,-6AM)&lt;/Q&gt;&lt;R&gt;1&lt;/R&gt;&lt;C&gt;1&lt;/C&gt;&lt;D xsi:type="xsd:double"&gt;11.242723&lt;/D&gt;&lt;/FQL&gt;&lt;FQL&gt;&lt;Q&gt;REFJPTON-FDS^PROPER_NAME(0,,,"SECURITY","NAME")&lt;/Q&gt;&lt;R&gt;1&lt;/R&gt;&lt;C&gt;1&lt;/C&gt;&lt;D xsi:type="xsd:string"&gt;Japan Policy Rate&lt;/D&gt;&lt;/FQL&gt;&lt;FQL&gt;&lt;Q&gt;TRYNZ10Y-FDS^PCTCHG(FG_YIELD(0,,,,"YTM"),FG_YIELD(-3AM,,,,"YTM"))&lt;/Q&gt;&lt;R&gt;1&lt;/R&gt;&lt;C&gt;1&lt;/C&gt;&lt;D xsi:type="xsd:double"&gt;0.51522017&lt;/D&gt;&lt;/FQL&gt;&lt;FQL&gt;&lt;Q&gt;EWJ^FMA_DIV_YLD(NTMA,NOW,NOW,M,"PORTAGG","MEANR")&lt;/Q&gt;&lt;R&gt;1&lt;/R&gt;&lt;C&gt;1&lt;/C&gt;&lt;D xsi:type="xsd:double"&gt;2.22796624506812&lt;/D&gt;&lt;/FQL&gt;&lt;FQL&gt;&lt;Q&gt;QQQ^FMA_RBICS_REV_CURRENT(30, LOC, "PORTAGG")&lt;/Q&gt;&lt;R&gt;1&lt;/R&gt;&lt;C&gt;1&lt;/C&gt;&lt;D xsi:type="xsd:double"&gt;0.853987069260758&lt;/D&gt;&lt;/FQL&gt;&lt;FQL&gt;&lt;Q&gt;QQQ^FMA_EVAL_EBIT(LTMA,NOW,NOW,M,"PORTAGG","MEANR")&lt;/Q&gt;&lt;R&gt;1&lt;/R&gt;&lt;C&gt;1&lt;/C&gt;&lt;D xsi:type="xsd:double"&gt;24.3335701457271&lt;/D&gt;&lt;/FQL&gt;&lt;FQL&gt;&lt;Q&gt;EWJ^JULIAN(FMA_DIV_YLD(NTMA,NOW,NOW,M,"PORTAGG","MEANR").DATES)&lt;/Q&gt;&lt;R&gt;1&lt;/R&gt;&lt;C&gt;1&lt;/C&gt;&lt;D xsi:type="xsd:long"&gt;45443&lt;/D&gt;&lt;/FQL&gt;&lt;FQL&gt;&lt;Q&gt;CC_CH^IMF_IFS_RCPI_Q(0)&lt;/Q&gt;&lt;R&gt;1&lt;/R&gt;&lt;C&gt;1&lt;/C&gt;&lt;D xsi:type="xsd:double"&gt;1.1636324&lt;/D&gt;&lt;/FQL&gt;&lt;FQL&gt;&lt;Q&gt;CC_JP^IMF_IFS_RCPI_Q(0)&lt;/Q&gt;&lt;R&gt;1&lt;/R&gt;&lt;C&gt;1&lt;/C&gt;&lt;D xsi:type="xsd:double"&gt;2.5231562&lt;/D&gt;&lt;/FQL&gt;&lt;FQL&gt;&lt;Q&gt;EWL^FG_TOTAL_RETURNC(0,-3AM)&lt;/Q&gt;&lt;R&gt;1&lt;/R&gt;&lt;C&gt;1&lt;/C&gt;&lt;D xsi:type="xsd:double"&gt;2.5586605&lt;/D&gt;&lt;/FQL&gt;&lt;FQL&gt;&lt;Q&gt;NI-FDS^FG_PRICE_CHANGE(0,-6AM)&lt;/Q&gt;&lt;R&gt;1&lt;/R&gt;&lt;C&gt;1&lt;/C&gt;&lt;D xsi:type="xsd:double"&gt;9.00621118012421&lt;/D&gt;&lt;/FQL&gt;&lt;FQL&gt;&lt;Q&gt;VWO^FG_TOTAL_RETURNC(0,-6AM)&lt;/Q&gt;&lt;R&gt;1&lt;/R&gt;&lt;C&gt;1&lt;/C&gt;&lt;D xsi:type="xsd:double"&gt;9.443628&lt;/D&gt;&lt;/FQL&gt;&lt;FQL&gt;&lt;Q&gt;EWQ^FG_TOTAL_RETURNC(0,-1AM)&lt;/Q&gt;&lt;R&gt;1&lt;/R&gt;&lt;C&gt;1&lt;/C&gt;&lt;D xsi:type="xsd:double"&gt;-5.175245&lt;/D&gt;&lt;/FQL&gt;&lt;FQL&gt;&lt;Q&gt;EWJ^PERCENT_CHANGE(FMA_EPS(+1,0,,,,"PORTAGG","MEAN"),FMA_EPS(+1,-1AM,,,,"PORTAGG","MEAN"))&lt;/Q&gt;&lt;R&gt;1&lt;/R&gt;&lt;C&gt;1&lt;/C&gt;&lt;D xsi:type="xsd:double"&gt;-0.676967138243988&lt;/D&gt;&lt;/FQL&gt;&lt;FQL&gt;&lt;Q&gt;URTH^SIZE(FG_CONSTITUENTS)&lt;/Q&gt;&lt;R&gt;1&lt;/R&gt;&lt;C&gt;1&lt;/C&gt;&lt;D xsi:type="xsd:long"&gt;1432&lt;/D&gt;&lt;/FQL&gt;&lt;FQL&gt;&lt;Q&gt;EWA^FMA_COS_DOWN("EPS","1M",+1,0,,,"PORTAGG","MEANR")&lt;/Q&gt;&lt;R&gt;1&lt;/R&gt;&lt;C&gt;1&lt;/C&gt;&lt;D xsi:type="xsd:double"&gt;33&lt;/D&gt;&lt;/FQL&gt;&lt;FQL&gt;&lt;Q&gt;ENZL^FG_ROE(0)&lt;/Q&gt;&lt;R&gt;1&lt;/R&gt;&lt;C&gt;1&lt;/C&gt;&lt;D xsi:type="xsd:double"&gt;5.00833786470608&lt;/D&gt;&lt;/FQL&gt;&lt;FQL&gt;&lt;Q&gt;TRYUS10Y-FDS^PCTCHG(FG_YIELD(0,,,,"YTM"),FG_YIELD(-3AM,,,,"YTM"))&lt;/Q&gt;&lt;R&gt;1&lt;/R&gt;&lt;C&gt;1&lt;/C&gt;&lt;D xsi:type="xsd:double"&gt;1.1574088&lt;/D&gt;&lt;/FQL&gt;&lt;FQL&gt;&lt;Q&gt;VGK^FMA_EVAL_EBITDA(NTMA,0,,,"PORTAGG","MEANR")&lt;/Q&gt;&lt;R&gt;1&lt;/R&gt;&lt;C&gt;1&lt;/C&gt;&lt;D xsi:type="xsd:double"&gt;8.84021404539311&lt;/D&gt;&lt;/FQL&gt;&lt;FQL&gt;&lt;Q&gt;EWN^JULIAN(FMA_DIV_YLD(NTMA,NOW,NOW,M,"PORTAGG","MEANR").DATES)&lt;/Q&gt;&lt;R&gt;1&lt;/R&gt;&lt;C&gt;1&lt;/C&gt;&lt;D xsi:type="xsd:long"&gt;45443&lt;/D&gt;&lt;/FQL&gt;&lt;FQL&gt;&lt;Q&gt;VGK^FG_FCF_YIELD_NTM(0)&lt;/Q&gt;&lt;R&gt;1&lt;/R&gt;&lt;C&gt;1&lt;/C&gt;&lt;D xsi:type="xsd:double"&gt;5.34772248371043&lt;/D&gt;&lt;/FQL&gt;&lt;FQL&gt;&lt;Q&gt;TLT^FG_TOTAL_RETURNC(0,-1AM)&lt;/Q&gt;&lt;R&gt;1&lt;/R&gt;&lt;C&gt;1&lt;/C&gt;&lt;D xsi:type="xsd:double"&gt;4.256749&lt;/D&gt;&lt;/FQL&gt;&lt;FQL&gt;&lt;Q&gt;EWL^FMA_EVAL_EBITDA(NTMA,0,,,"PORTAGG","MEANR")&lt;/Q&gt;&lt;R&gt;1&lt;/R&gt;&lt;C&gt;1&lt;/C&gt;&lt;D xsi:type="xsd:double"&gt;12.9470800748405&lt;/D&gt;&lt;/FQL&gt;&lt;FQL&gt;&lt;Q&gt;EWA^FMA_EVAL_EBIT(LTMA,NOW,NOW,M,"PORTAGG","MEANR")&lt;/Q&gt;&lt;R&gt;1&lt;/R&gt;&lt;C&gt;1&lt;/C&gt;&lt;D xsi:type="xsd:double"&gt;12.4410798879827&lt;/D&gt;&lt;/FQL&gt;&lt;FQL&gt;&lt;Q&gt;REFEUREFI-FDS^(SUBARRAY(NOT_NA(NO_REPEAT_F(FG_YIELD(NOW,-10AY,D))),0,1)-SUBARRAY(NOT_NA(NO_REPEAT_F(FG_YIELD(NOW,-10AY,D))),1,1))*100&lt;/Q&gt;&lt;R&gt;1&lt;/R&gt;&lt;C&gt;1&lt;/C&gt;&lt;D xsi:type="xsd:double"&gt;-25&lt;/D&gt;&lt;/FQL&gt;&lt;FQL&gt;&lt;Q&gt;QQQ^FG_FCF_YIELD_NTM(0)&lt;/Q&gt;&lt;R&gt;1&lt;/R&gt;&lt;C&gt;1&lt;/C&gt;&lt;D xsi:type="xsd:double"&gt;3.53498259226178&lt;/D&gt;&lt;/FQL&gt;&lt;FQL&gt;&lt;Q&gt;EWG^FMA_EVAL_EBIT(LTMA,NOW,NOW,M,"PORTAGG","MEANR")&lt;/Q&gt;&lt;R&gt;1&lt;/R&gt;&lt;C&gt;1&lt;/C&gt;&lt;D xsi:type="xsd:double"&gt;13.3890558261127&lt;/D&gt;&lt;/FQL&gt;&lt;FQL&gt;&lt;Q&gt;TRYFR10Y-FDS^FG_YIELD(0,,,,"YTM")&lt;/Q&gt;&lt;R&gt;1&lt;/R&gt;&lt;C&gt;1&lt;/C&gt;&lt;D xsi:type="xsd:double"&gt;3.172&lt;/D&gt;&lt;/FQL&gt;&lt;FQL&gt;&lt;Q&gt;NI-FDS^FG_PRICE_CHANGE(0,-1AM)&lt;/Q&gt;&lt;R&gt;1&lt;/R&gt;&lt;C&gt;1&lt;/C&gt;&lt;D xsi:type="xsd:double"&gt;-7.19196192490745&lt;/D&gt;&lt;/FQL&gt;&lt;FQL&gt;&lt;Q&gt;EWI^FG_PRICE_MAVG(0,,,,200)&lt;/Q&gt;&lt;R&gt;1&lt;/R&gt;&lt;C&gt;1&lt;/C&gt;&lt;D xsi:type="xsd:double"&gt;34.2438&lt;/D&gt;&lt;/FQL&gt;&lt;FQL&gt;&lt;Q&gt;EWQ^PERCENT_CHANGE(FMA_EPS(+1,0,,,,"PORTAGG","MEAN"),FMA_EPS(+1,-3AM,,,,"PORTAGG","MEAN"))&lt;/Q&gt;&lt;R&gt;1&lt;/R&gt;&lt;C&gt;1&lt;/C&gt;&lt;D xsi:type="xsd:double"&gt;0.0159167308333491&lt;/D&gt;&lt;/FQL&gt;&lt;FQL&gt;&lt;Q&gt;EWJ^FMA_PCT_ABOVE_MAVG(200,0,,,,"PORTAGG")&lt;/Q&gt;&lt;R&gt;1&lt;/R&gt;&lt;C&gt;1&lt;/C&gt;&lt;D xsi:type="xsd:double"&gt;71.078431372549&lt;/D&gt;&lt;/FQL&gt;&lt;FQL&gt;&lt;Q&gt;URTH^FMA_COS_DOWN("EPS","1M",+1,0,,,"PORTAGG","MEANR")&lt;/Q&gt;&lt;R&gt;1&lt;/R&gt;&lt;C&gt;1&lt;/C&gt;&lt;D xsi:type="xsd:double"&gt;474&lt;/D&gt;&lt;/FQL&gt;&lt;FQL&gt;&lt;Q&gt;EWA^FMA_COS_UP("EPS","1M",+1,0,,,"PORTAGG","MEANR")&lt;/Q&gt;&lt;R&gt;1&lt;/R&gt;&lt;C&gt;1&lt;/C&gt;&lt;D xsi:type="xsd:double"&gt;22&lt;/D&gt;&lt;/FQL&gt;&lt;FQL&gt;&lt;Q&gt;TRYSE10Y-FDS^FG_YIELD_NAME&lt;/Q&gt;&lt;R&gt;1&lt;/R&gt;&lt;C&gt;1&lt;/C&gt;&lt;D xsi:type="xsd:string"&gt;Sweden Benchmark Bond - 10 Year&lt;/D&gt;&lt;/FQL&gt;&lt;FQL&gt;&lt;Q&gt;TRYJP10Y-FDS^FG_YIELD(0,,,,"YTM")&lt;/Q&gt;&lt;R&gt;1&lt;/R&gt;&lt;C&gt;1&lt;/C&gt;&lt;D xsi:type="xsd:double"&gt;0.9789&lt;/D&gt;&lt;/FQL&gt;&lt;FQL&gt;&lt;Q&gt;EWQ^FMA_EVAL_EBIT(LTMA,NOW,NOW,M,"PORTAGG","MEANR")&lt;/Q&gt;&lt;R&gt;1&lt;/R&gt;&lt;C&gt;1&lt;/C&gt;&lt;D xsi:type="xsd:double"&gt;13.2734432451935&lt;/D&gt;&lt;/FQL&gt;&lt;FQL&gt;&lt;Q&gt;EWU^FMA_PE(LTM,0,,,"PORTAGG","MEANR")&lt;/Q&gt;&lt;R&gt;1&lt;/R&gt;&lt;C&gt;1&lt;/C&gt;&lt;D xsi:type="xsd:double"&gt;12.7982430531843&lt;/D&gt;&lt;/FQL&gt;&lt;FQL&gt;&lt;Q&gt;EWC^FMA_PE(LTM,0,,,"PORTAGG","MEANR")&lt;/Q&gt;&lt;R&gt;1&lt;/R&gt;&lt;C&gt;1&lt;/C&gt;&lt;D xsi:type="xsd:double"&gt;16.8214668603451&lt;/D&gt;&lt;/FQL&gt;&lt;FQL&gt;&lt;Q&gt;SPY^FG_TOTAL_RETURNC(0,-1AM)&lt;/Q&gt;&lt;R&gt;1&lt;/R&gt;&lt;C&gt;1&lt;/C&gt;&lt;D xsi:type="xsd:double"&gt;4.135084&lt;/D&gt;&lt;/FQL&gt;&lt;FQL&gt;&lt;Q&gt;EWQ^PERCENT_CHANGE(FMA_EPS(+1,0,,,,"PORTAGG","MEAN"),FMA_EPS(+1,-1AM,,,,"PORTAGG","MEAN"))&lt;/Q&gt;&lt;R&gt;1&lt;/R&gt;&lt;C&gt;1&lt;/C&gt;&lt;D xsi:type="xsd:double"&gt;1.11049444830559&lt;/D&gt;&lt;/FQL&gt;&lt;FQL&gt;&lt;Q&gt;URTH^FMA_COS_UP("EPS","1M",+1,0,,,"PORTAGG","MEANR")&lt;/Q&gt;&lt;R&gt;1&lt;/R&gt;&lt;C&gt;1&lt;/C&gt;&lt;D xsi:type="xsd:double"&gt;574&lt;/D&gt;&lt;/FQL&gt;&lt;FQL&gt;&lt;Q&gt;TRYNL10Y-FDS^FG_YIELD_NAME&lt;/Q&gt;&lt;R&gt;1&lt;/R&gt;&lt;C&gt;1&lt;/C&gt;&lt;D xsi:type="xsd:string"&gt;Netherlands Benchmark Bond - 10 Year&lt;/D&gt;&lt;/FQL&gt;&lt;FQL&gt;&lt;Q&gt;TRYDE10Y-FDS^FG_YIELD(0,,,,"YTM")&lt;/Q&gt;&lt;R&gt;1&lt;/R&gt;&lt;C&gt;1&lt;/C&gt;&lt;D xsi:type="xsd:double"&gt;2.519&lt;/D&gt;&lt;/FQL&gt;&lt;FQL&gt;&lt;Q&gt;VGK^FMA_DIV_YLD(NTMA,NOW,NOW,M,"PORTAGG","MEANR")&lt;/Q&gt;&lt;R&gt;1&lt;/R&gt;&lt;C&gt;1&lt;/C&gt;&lt;D xsi:type="xsd:double"&gt;3.51828355632521&lt;/D&gt;&lt;/FQL&gt;&lt;FQL&gt;&lt;Q&gt;USO^FG_TOTAL_RETURNC(0,-3AM)&lt;/Q&gt;&lt;R&gt;1&lt;/R&gt;&lt;C&gt;1&lt;/C&gt;&lt;D xsi:type="xsd:double"&gt;0.86562634&lt;/D&gt;&lt;/FQL&gt;&lt;FQL&gt;&lt;Q&gt;TRYAU10Y-FDS^FG_YIELD_NAME&lt;/Q&gt;&lt;R&gt;1&lt;/R&gt;&lt;C&gt;1&lt;/C&gt;&lt;D xsi:type="xsd:string"&gt;Australia Benchmark Bond - 10 Year&lt;/D&gt;&lt;/FQL&gt;&lt;FQL&gt;&lt;Q&gt;TRYDE10Y-FDS^PCTCHG(FG_YIELD(0,,,,"YTM"),FG_YIELD(-1AM,,,,"YTM"))&lt;/Q&gt;&lt;R&gt;1&lt;/R&gt;&lt;C&gt;1&lt;/C&gt;&lt;D xsi:type="xsd:double"&gt;0.88106024&lt;/D&gt;&lt;/FQL&gt;&lt;FQL&gt;&lt;Q&gt;EWN^FMA_COS_UP("EPS","1M",+1,0,,,"PORTAGG","MEANR")&lt;/Q&gt;&lt;R&gt;1&lt;/R&gt;&lt;C&gt;1&lt;/C&gt;&lt;D xsi:type="xsd:double"&gt;17&lt;/D&gt;&lt;/FQL&gt;&lt;FQL&gt;&lt;Q&gt;CC_FR^IMF_IFS_RCPI_Q(0)&lt;/Q&gt;&lt;R&gt;1&lt;/R&gt;&lt;C&gt;1&lt;/C&gt;&lt;D xsi:type="xsd:double"&gt;2.79402&lt;/D&gt;&lt;/FQL&gt;&lt;FQL&gt;&lt;Q&gt;EWQ^FMA_COS_UP("EPS","1M",+1,0,,,"PORTAGG","MEANR")&lt;/Q&gt;&lt;R&gt;1&lt;/R&gt;&lt;C&gt;1&lt;/C&gt;&lt;D xsi:type="xsd:double"&gt;22&lt;/D&gt;&lt;/FQL&gt;&lt;FQL&gt;&lt;Q&gt;ENZL^FMA_PE(LTM,0,,,"PORTAGG","MEANR")&lt;/Q&gt;&lt;R&gt;1&lt;/R&gt;&lt;C&gt;1&lt;/C&gt;&lt;D xsi:type="xsd:double"&gt;32.3891061176791&lt;/D&gt;&lt;/FQL&gt;&lt;FQL&gt;&lt;Q&gt;PLATI-FDS^FG_PRICE_CHANGE(0,-6AM)&lt;/Q&gt;&lt;R&gt;1&lt;/R&gt;&lt;C&gt;1&lt;/C&gt;&lt;D xsi:type="xsd:double"&gt;4.21166306695464&lt;/D&gt;&lt;/FQL&gt;&lt;FQL&gt;&lt;Q&gt;EWD^FG_PRICE(0)&lt;/Q&gt;&lt;R&gt;1&lt;/R&gt;&lt;C&gt;1&lt;/C&gt;&lt;D xsi:type="xsd:double"&gt;40.98&lt;/D&gt;&lt;/FQL&gt;&lt;FQL&gt;&lt;Q&gt;EWG^FG_TOTAL_RETURNC(0,-12AM)&lt;/Q&gt;&lt;R&gt;1&lt;/R&gt;&lt;C&gt;1&lt;/C&gt;&lt;D xsi:type="xsd:double"&gt;10.48491&lt;/D&gt;&lt;/FQL&gt;&lt;FQL&gt;&lt;Q&gt;EWU^JULIAN(FMA_DIV_YLD(NTMA,NOW,NOW,M,"PORTAGG","MEANR").DATES)&lt;/Q&gt;&lt;R&gt;1&lt;/R&gt;&lt;C&gt;1&lt;/C&gt;&lt;D xsi:type="xsd:long"&gt;45443&lt;/D&gt;&lt;/FQL&gt;&lt;FQL&gt;&lt;Q&gt;VWO^P_PRICE(0)/P_PRICE_HIGH_PR(0,,,USD,,,"PRICE","INTRA","52W")&lt;/Q&gt;&lt;R&gt;1&lt;/R&gt;&lt;C&gt;1&lt;/C&gt;&lt;D xsi:type="xsd:double"&gt;0.97051316&lt;/D&gt;&lt;/FQL&gt;&lt;FQL&gt;&lt;Q&gt;VWO^FMA_COS_DOWN("EPS","1M",+1,0,,,"PORTAGG","MEANR")&lt;/Q&gt;&lt;R&gt;1&lt;/R&gt;&lt;C&gt;1&lt;/C&gt;&lt;D xsi:type="xsd:double"&gt;1618&lt;/D&gt;&lt;/FQL&gt;&lt;FQL&gt;&lt;Q&gt;USO^P_PRICE(0)/P_PRICE_HIGH_PR(0,,,USD,,,"PRICE","INTRA","52W")&lt;/Q&gt;&lt;R&gt;1&lt;/R&gt;&lt;C&gt;1&lt;/C&gt;&lt;D xsi:type="xsd:double"&gt;0.9080445&lt;/D&gt;&lt;/FQL&gt;&lt;FQL&gt;&lt;Q&gt;SPY^FMA_EVAL_EBIT(LTMA,NOW,NOW,M,"PORTAGG","MEANR")&lt;/Q&gt;&lt;R&gt;1&lt;/R&gt;&lt;C&gt;1&lt;/C&gt;&lt;D xsi:type="xsd:double"&gt;20.483884578052&lt;/D&gt;&lt;/FQL&gt;&lt;FQL&gt;&lt;Q&gt;REFJPTON-FDS^(SUBARRAY(NOT_NA(NO_REPEAT_F(FG_YIELD(NOW,-10AY,D))),0,1)-SUBARRAY(NOT_NA(NO_REPEAT_F(FG_YIELD(NOW,-10AY,D))),1,1))*100&lt;/Q&gt;&lt;R&gt;1&lt;/R&gt;&lt;C&gt;1&lt;/C&gt;&lt;D xsi:type="xsd:double"&gt;10&lt;/D&gt;&lt;/FQL&gt;&lt;FQL&gt;&lt;Q&gt;SPY^FMA_EVAL_EBITDA(NTMA,0,,,"PORTAGG","MEANR")&lt;/Q&gt;&lt;R&gt;1&lt;/R&gt;&lt;C&gt;1&lt;/C&gt;&lt;D xsi:type="xsd:double"&gt;14.4645745107867&lt;/D&gt;&lt;/FQL&gt;&lt;FQL&gt;&lt;Q&gt;EWJ^FG_FCF_YIELD_NTM(0)&lt;/Q&gt;&lt;R&gt;1&lt;/R&gt;&lt;C&gt;1&lt;/C&gt;&lt;D xsi:type="xsd:double"&gt;3.91493271717402&lt;/D&gt;&lt;/FQL&gt;&lt;FQL&gt;&lt;Q&gt;SPY^FMA_RBICS_REV_CURRENT(30, LOC, "PORTAGG")&lt;/Q&gt;&lt;R&gt;1&lt;/R&gt;&lt;C&gt;1&lt;/C&gt;&lt;D xsi:type="xsd:double"&gt;12.3968672783064&lt;/D&gt;&lt;/FQL&gt;&lt;FQL&gt;&lt;Q&gt;EWI^PERCENT_CHANGE(FMA_EPS(+1,0,,,,"PORTAGG","MEAN"),FMA_EPS(+1,-1AM,,,,"PORTAGG","MEAN"))&lt;/Q&gt;&lt;R&gt;1&lt;/R&gt;&lt;C&gt;1&lt;/C&gt;&lt;D xsi:type="xsd:double"&gt;0.378823891148141&lt;/D&gt;&lt;/FQL&gt;&lt;FQL&gt;&lt;Q&gt;TRYIT10Y-FDS^FG_YIELD(0,,,,"YTM")&lt;/Q&gt;&lt;R&gt;1&lt;/R&gt;&lt;C&gt;1&lt;/C&gt;&lt;D xsi:type="xsd:double"&gt;3.976&lt;/D&gt;&lt;/FQL&gt;&lt;FQL&gt;&lt;Q&gt;CPALM-FDS^FG_PRICE_CHANGE(0,-6AM)&lt;/Q&gt;&lt;R&gt;1&lt;/R&gt;&lt;C&gt;1&lt;/C&gt;&lt;D xsi:type="xsd:double"&gt;9.73500697350069&lt;/D&gt;&lt;/FQL&gt;&lt;FQL&gt;&lt;Q&gt;EWN^FG_PRICE_MAVG(0,,,,200)&lt;/Q&gt;&lt;R&gt;1&lt;/R&gt;&lt;C&gt;1&lt;/C&gt;&lt;D xsi:type="xsd:double"&gt;44.775303&lt;/D&gt;&lt;/FQL&gt;&lt;FQL&gt;&lt;Q&gt;VWO^PERCENT_CHANGE(FMA_EPS(+1,0,,,,"PORTAGG","MEAN"),FMA_EPS(+1,-3AM,,,,"PORTAGG","MEAN"))&lt;/Q&gt;&lt;R&gt;1&lt;/R&gt;&lt;C&gt;1&lt;/C&gt;&lt;D xsi:type="xsd:double"&gt;-2.61660581570786&lt;/D&gt;&lt;/FQL&gt;&lt;FQL&gt;&lt;Q&gt;EWQ^FMA_PCT_ABOVE_MAVG(200,0,,,,"PORTAGG")&lt;/Q&gt;&lt;R&gt;1&lt;/R&gt;&lt;C&gt;1&lt;/C&gt;&lt;D xsi:type="xsd:double"&gt;64.5161290322581&lt;/D&gt;&lt;/FQL&gt;&lt;FQL&gt;&lt;Q&gt;EWG^P_PRICE(0)/P_PRICE_LOW_PR(0,,,,,,"PRICE","INTRA","52W")-1&lt;/Q&gt;&lt;R&gt;1&lt;/R&gt;&lt;C&gt;1&lt;/C&gt;&lt;D xsi:type="xsd:double"&gt;0.23902047&lt;/D&gt;&lt;/FQL&gt;&lt;FQL&gt;&lt;Q&gt;VWO^SIZE(FG_CONSTITUENTS)&lt;/Q&gt;&lt;R&gt;1&lt;/R&gt;&lt;C&gt;1&lt;/C&gt;&lt;D xsi:type="xsd:long"&gt;1&lt;/D&gt;&lt;/FQL&gt;&lt;FQL&gt;&lt;Q&gt;TRYFR10Y-FDS^FG_YIELD_NAME&lt;/Q&gt;&lt;R&gt;1&lt;/R&gt;&lt;C&gt;1&lt;/C&gt;&lt;D xsi:type="xsd:string"&gt;France Benchmark Bond - 10 Year&lt;/D&gt;&lt;/FQL&gt;&lt;FQL&gt;&lt;Q&gt;TRYGB10Y-FDS^PCTCHG(FG_YIELD(0,,,,"YTM"),FG_YIELD(-3AM,,,,"YTM"))&lt;/Q&gt;&lt;R&gt;1&lt;/R&gt;&lt;C&gt;1&lt;/C&gt;&lt;D xsi:type="xsd:double"&gt;1.1695873&lt;/D&gt;&lt;/FQL&gt;&lt;FQL&gt;&lt;Q&gt;EWQ^FMA_DIV_YLD(NTMA,NOW,NOW,M,"PORTAGG","MEANR")&lt;/Q&gt;&lt;R&gt;1&lt;/R&gt;&lt;C&gt;1&lt;/C&gt;&lt;D xsi:type="xsd:double"&gt;3.15898100881901&lt;/D&gt;&lt;/FQL&gt;&lt;FQL&gt;&lt;Q&gt;EWL^FMA_EVAL_EBIT(LTMA,NOW,NOW,M,"PORTAGG","MEANR")&lt;/Q&gt;&lt;R&gt;1&lt;/R&gt;&lt;C&gt;1&lt;/C&gt;&lt;D xsi:type="xsd:double"&gt;16.5943928309281&lt;/D&gt;&lt;/FQL&gt;&lt;FQL&gt;&lt;Q&gt;EWC^JULIAN(FMA_DIV_YLD(NTMA,NOW,NOW,M,"PORTAGG","MEANR").DATES)&lt;/Q&gt;&lt;R&gt;1&lt;/R&gt;&lt;C&gt;1&lt;/C&gt;&lt;D xsi:type="xsd:long"&gt;45443&lt;/D&gt;&lt;/FQL&gt;&lt;FQL&gt;&lt;Q&gt;CPALM-FDS^FG_PRICE_CHANGE(0,-1AM)&lt;/Q&gt;&lt;R&gt;1&lt;/R&gt;&lt;C&gt;1&lt;/C&gt;&lt;D xsi:type="xsd:double"&gt;0.665301944728758&lt;/D&gt;&lt;/FQL&gt;&lt;FQL&gt;&lt;Q&gt;EWN^FG_PRICE_MAVG(0,,,,60)&lt;/Q&gt;&lt;R&gt;1&lt;/R&gt;&lt;C&gt;1&lt;/C&gt;&lt;D xsi:type="xsd:double"&gt;49.921333&lt;/D&gt;&lt;/FQL&gt;&lt;FQL&gt;&lt;Q&gt;VWO^FMA_PCT_ABOVE_MAVG(200,0,,,,"PORTAGG")&lt;/Q&gt;&lt;R&gt;1&lt;/R&gt;&lt;C&gt;1&lt;/C&gt;&lt;D xsi:type="xsd:double"&gt;46.8958109559613&lt;/D&gt;&lt;/FQL&gt;&lt;FQL&gt;&lt;Q&gt;SPY^FG_TOTAL_RETURNC(0,-12AM)&lt;/Q&gt;&lt;R&gt;1&lt;/R&gt;&lt;C&gt;1&lt;/C&gt;&lt;D xsi:type="xsd:double"&gt;26.036728&lt;/D&gt;&lt;/FQL&gt;&lt;FQL&gt;&lt;Q&gt;REFGBBANK-FDS^(SUBARRAY(NOT_NA(NO_REPEAT_F(FG_YIELD(NOW,-10AY,D))),0,1)-SUBARRAY(NOT_NA(NO_REPEAT_F(FG_YIELD(NOW,-10AY,D))),1,1))*100&lt;/Q&gt;&lt;R&gt;1&lt;/R&gt;&lt;C&gt;1&lt;/C&gt;&lt;D xsi:type="xsd:double"&gt;25&lt;/D&gt;&lt;/FQL&gt;&lt;FQL&gt;&lt;Q&gt;CC_IT^IMF_IFS_RCPI_Q(0)&lt;/Q&gt;&lt;R&gt;1&lt;/R&gt;&lt;C&gt;1&lt;/C&gt;&lt;D xsi:type="xsd:double"&gt;0.92385906&lt;/D&gt;&lt;/FQL&gt;&lt;FQL&gt;&lt;Q&gt;EWA^JULIAN(FMA_DIV_YLD(NTMA,NOW,NOW,M,"PORTAGG","MEANR").DATES)&lt;/Q&gt;&lt;R&gt;1&lt;/R&gt;&lt;C&gt;1&lt;/C&gt;&lt;D xsi:type="xsd:long"&gt;45443&lt;/D&gt;&lt;/FQL&gt;&lt;FQL&gt;&lt;Q&gt;EWQ^FMA_PE(NTMA,0,,,"PORTAGG","MEANR")&lt;/Q&gt;&lt;R&gt;1&lt;/R&gt;&lt;C&gt;1&lt;/C&gt;&lt;D xsi:type="xsd:double"&gt;14.1059265451474&lt;/D&gt;&lt;/FQL&gt;&lt;FQL&gt;&lt;Q&gt;EWQ^FMA_PE(LTM,0,,,"PORTAGG","MEANR")&lt;/Q&gt;&lt;R&gt;1&lt;/R&gt;&lt;C&gt;1&lt;/C&gt;&lt;D xsi:type="xsd:double"&gt;16.1584831085531&lt;/D&gt;&lt;/FQL&gt;&lt;FQL&gt;&lt;Q&gt;EWL^FMA_DIV_YLD(NTMA,NOW,NOW,M,"PORTAGG","MEANR")&lt;/Q&gt;&lt;R&gt;1&lt;/R&gt;&lt;C&gt;1&lt;/C&gt;&lt;D xsi:type="xsd:double"&gt;3.19702705627753&lt;/D&gt;&lt;/FQL&gt;&lt;FQL&gt;&lt;Q&gt;DBA^P_PRICE(0)/P_PRICE_HIGH_PR(0,,,USD,,,"PRICE","INTRA","52W")&lt;/Q&gt;&lt;R&gt;1&lt;/R&gt;&lt;C&gt;1&lt;/C&gt;&lt;D xsi:type="xsd:double"&gt;0.97162193&lt;/D&gt;&lt;/FQL&gt;&lt;FQL&gt;&lt;Q&gt;CC_NL^IMF_IFS_RCPI_Q(0)&lt;/Q&gt;&lt;R&gt;1&lt;/R&gt;&lt;C&gt;1&lt;/C&gt;&lt;D xsi:type="xsd:double"&gt;3.0237906&lt;/D&gt;&lt;/FQL&gt;&lt;FQL&gt;&lt;Q&gt;EWI^FMA_DIV_YLD(NTMA,NOW,NOW,M,"PORTAGG","MEANR")&lt;/Q&gt;&lt;R&gt;1&lt;/R&gt;&lt;C&gt;1&lt;/C&gt;&lt;D xsi:type="xsd:double"&gt;5.24661167333255&lt;/D&gt;&lt;/FQL&gt;&lt;FQL&gt;&lt;Q&gt;EWC^PERCENT_CHANGE(FMA_EPS(+1,0,,,,"PORTAGG","MEAN"),FMA_EPS(+1,-1AM,,,,"PORTAGG","MEAN"))&lt;/Q&gt;&lt;R&gt;1&lt;/R&gt;&lt;C&gt;1&lt;/C&gt;&lt;D xsi:type="xsd:double"&gt;1.28514447212788&lt;/D&gt;&lt;/FQL&gt;&lt;FQL&gt;&lt;Q&gt;SPY^SIZE(FG_CONSTITUENTS)&lt;/Q&gt;&lt;R&gt;1&lt;/R&gt;&lt;C&gt;1&lt;/C&gt;&lt;D xsi:type="xsd:long"&gt;504&lt;/D&gt;&lt;/FQL&gt;&lt;FQL&gt;&lt;Q&gt;EWG^FMA_RBICS_REV_CURRENT(30, LOC, "PORTAGG")&lt;/Q&gt;&lt;R&gt;1&lt;/R&gt;&lt;C&gt;1&lt;/C&gt;&lt;D xsi:type="xsd:double"&gt;23.4356830968268&lt;/D&gt;&lt;/FQL&gt;&lt;FQL&gt;&lt;Q&gt;EWN^FG_ROE(0)&lt;/Q&gt;&lt;R&gt;1&lt;/R&gt;&lt;C&gt;1&lt;/C&gt;&lt;D xsi:type="xsd:double"&gt;11.7296788704561&lt;/D&gt;&lt;/FQL&gt;&lt;FQL&gt;&lt;Q&gt;TRYIT10Y-FDS^PCTCHG(FG_YIELD(0,,,,"YTM"),FG_YIELD(-3AM,,,,"YTM"))&lt;/Q&gt;&lt;R&gt;1&lt;/R&gt;&lt;C&gt;1&lt;/C&gt;&lt;D xsi:type="xsd:double"&gt;10.937499&lt;/D&gt;&lt;/FQL&gt;&lt;FQL&gt;&lt;Q&gt;W-FDS^FG_PRICE_CHANGE(0,-6AM)&lt;/Q&gt;&lt;R&gt;1&lt;/R&gt;&lt;C&gt;1&lt;/C&gt;&lt;D xsi:type="xsd:double"&gt;5.93763348996155&lt;/D&gt;&lt;/FQL&gt;&lt;FQL&gt;&lt;Q&gt;EWN^FG_PRICE(0)&lt;/Q&gt;&lt;R&gt;1&lt;/R&gt;&lt;C&gt;1&lt;/C&gt;&lt;D xsi:type="xsd:double"&gt;51.16&lt;/D&gt;&lt;/FQL&gt;&lt;FQL&gt;&lt;Q&gt;VGK^FG_TOTAL_RETURNC(0,-12AM)&lt;/Q&gt;&lt;R&gt;1&lt;/R&gt;&lt;C&gt;1&lt;/C&gt;&lt;D xsi:type="xsd:double"&gt;14.277399&lt;/D&gt;&lt;/FQL&gt;&lt;FQL&gt;&lt;Q&gt;EWG^FG_TOTAL_RETURNC(0,-6AM)&lt;/Q&gt;&lt;R&gt;1&lt;/R&gt;&lt;C&gt;1&lt;/C&gt;&lt;D xsi:type="xsd:double"&gt;6.3637376&lt;/D&gt;&lt;/FQL&gt;&lt;FQL&gt;&lt;Q&gt;VWO^FMA_COS_UP("EPS","1M",+1,0,,,"PORTAGG","MEANR")&lt;/Q&gt;&lt;R&gt;1&lt;/R&gt;&lt;C&gt;1&lt;/C&gt;&lt;D xsi:type="xsd:double"&gt;857&lt;/D&gt;&lt;/FQL&gt;&lt;FQL&gt;&lt;Q&gt;REFGBBANK-FDS^FG_YIELD(NOW,,,0)&lt;/Q&gt;&lt;R&gt;1&lt;/R&gt;&lt;C&gt;1&lt;/C&gt;&lt;D xsi:type="xsd:double"&gt;5.25&lt;/D&gt;&lt;/FQL&gt;&lt;FQL&gt;&lt;Q&gt;TRYGB10Y-FDS^PCTCHG(FG_YIELD(0,,,,"YTM"),FG_YIELD(-1AM,,,,"YTM"))&lt;/Q&gt;&lt;R&gt;1&lt;/R&gt;&lt;C&gt;1&lt;/C&gt;&lt;D xsi:type="xsd:double"&gt;-0.048142873&lt;/D&gt;&lt;/FQL&gt;&lt;FQL&gt;&lt;Q&gt;TRYDE10Y-FDS^FG_YIELD_NAME&lt;/Q&gt;&lt;R&gt;1&lt;/R&gt;&lt;C&gt;1&lt;/C&gt;&lt;D xsi:type="xsd:string"&gt;Germany Benchmark Bond - 10 Year&lt;/D&gt;&lt;/FQL&gt;&lt;FQL&gt;&lt;Q&gt;VGK^FG_PE_NTM(0,,,90,0)&lt;/Q&gt;&lt;R&gt;1&lt;/R&gt;&lt;C&gt;1&lt;/C&gt;&lt;D xsi:type="xsd:double"&gt;13.3039597645461&lt;/D&gt;&lt;/FQL&gt;&lt;FQL&gt;&lt;Q&gt;EWL^FG_FCF_YIELD_NTM(0)&lt;/Q&gt;&lt;R&gt;1&lt;/R&gt;&lt;C&gt;1&lt;/C&gt;&lt;D xsi:type="xsd:double"&gt;4.84547452349708&lt;/D&gt;&lt;/FQL&gt;&lt;FQL&gt;&lt;Q&gt;EWA^FMA_EVAL_EBITDA(NTMA,0,,,"PORTAGG","MEANR")&lt;/Q&gt;&lt;R&gt;1&lt;/R&gt;&lt;C&gt;1&lt;/C&gt;&lt;D xsi:type="xsd:double"&gt;8.63050300299101&lt;/D&gt;&lt;/FQL&gt;&lt;FQL&gt;&lt;Q&gt;USO^FG_TOTAL_RETURNC(0,-6AM)&lt;/Q&gt;&lt;R&gt;1&lt;/R&gt;&lt;C&gt;1&lt;/C&gt;&lt;D xsi:type="xsd:double"&gt;15.934479&lt;/D&gt;&lt;/FQL&gt;&lt;FQL&gt;&lt;Q&gt;BRENT-FDS^FG_PRICE_CHANGE(0,-6AM)&lt;/Q&gt;&lt;R&gt;1&lt;/R&gt;&lt;C&gt;1&lt;/C&gt;&lt;D xsi:type="xsd:double"&gt;0&lt;/D&gt;&lt;/FQL&gt;&lt;FQL&gt;&lt;Q&gt;EWQ^FG_PRICE_MAVG(0,,,,30)&lt;/Q&gt;&lt;R&gt;1&lt;/R&gt;&lt;C&gt;1&lt;/C&gt;&lt;D xsi:type="xsd:double"&gt;41.463&lt;/D&gt;&lt;/FQL&gt;&lt;FQL&gt;&lt;Q&gt;VGK^P_PRICE(0)/P_PRICE_LOW_PR(0,,,,,,"PRICE","INTRA","52W")-1&lt;/Q&gt;&lt;R&gt;1&lt;/R&gt;&lt;C&gt;1&lt;/C&gt;&lt;D xsi:type="xsd:double"&gt;0.24791133&lt;/D&gt;&lt;/FQL&gt;&lt;FQL&gt;&lt;Q&gt;EWG^FG_TOTAL_RETURNC(0,-1AM)&lt;/Q&gt;&lt;R&gt;1&lt;/R&gt;&lt;C&gt;1&lt;/C&gt;&lt;D xsi:type="xsd:double"&gt;-2.5022507&lt;/D&gt;&lt;/FQL&gt;&lt;FQL&gt;&lt;Q&gt;VGK^SIZE(FG_CONSTITUENTS)&lt;/Q&gt;&lt;R&gt;1&lt;/R&gt;&lt;C&gt;1&lt;/C&gt;&lt;D xsi:type="xsd:long"&gt;1281&lt;/D&gt;&lt;/FQL&gt;&lt;FQL&gt;&lt;Q&gt;TRYCH10Y-FDS^PCTCHG(FG_YIELD(0,,,,"YTM"),FG_YIELD(-3AM,,,,"YTM"))&lt;/Q&gt;&lt;R&gt;1&lt;/R&gt;&lt;C&gt;1&lt;/C&gt;&lt;D xsi:type="xsd:double"&gt;2.207795&lt;/D&gt;&lt;/FQL&gt;&lt;FQL&gt;&lt;Q&gt;TRYCA10Y-FDS^FG_YIELD(0,,,,"YTM")&lt;/Q&gt;&lt;R&gt;1&lt;/R&gt;&lt;C&gt;1&lt;/C&gt;&lt;D xsi:type="xsd:double"&gt;3.3303&lt;/D&gt;&lt;/FQL&gt;&lt;FQL&gt;&lt;Q&gt;VGK^FG_PE(0)&lt;/Q&gt;&lt;R&gt;1&lt;/R&gt;&lt;C&gt;1&lt;/C&gt;&lt;D xsi:type="xsd:double"&gt;12.9336206201944&lt;/D&gt;&lt;/FQL&gt;&lt;FQL&gt;&lt;Q&gt;EWG^PERCENT_CHANGE(FMA_EPS(+1,0,,,,"PORTAGG","MEAN"),FMA_EPS(+1,-1AM,,,,"PORTAGG","MEAN"))&lt;/Q&gt;&lt;R&gt;1&lt;/R&gt;&lt;C&gt;1&lt;/C&gt;&lt;D xsi:type="xsd:double"&gt;0.510159850077686&lt;/D&gt;&lt;/FQL&gt;&lt;FQL&gt;&lt;Q&gt;EWA^FMA_DIV_YLD(NTMA,NOW,NOW,M,"PORTAGG","MEANR")&lt;/Q&gt;&lt;R&gt;1&lt;/R&gt;&lt;C&gt;1&lt;/C&gt;&lt;D xsi:type="xsd:double"&gt;3.99280646326719&lt;/D&gt;&lt;/FQL&gt;&lt;FQL&gt;&lt;Q&gt;REFCATARG-FDS^FG_YIELD(NOW,,,0)&lt;/Q&gt;&lt;R&gt;1&lt;/R&gt;&lt;C&gt;1&lt;/C&gt;&lt;D xsi:type="xsd:double"&gt;4.75&lt;/D&gt;&lt;/FQL&gt;&lt;FQL&gt;&lt;Q&gt;EWJ^FMA_PE(NTMA,0,,,"PORTAGG","MEANR")&lt;/Q&gt;&lt;R&gt;1&lt;/R&gt;&lt;C&gt;1&lt;/C&gt;&lt;D xsi:type="xsd:double"&gt;15.6247245899874&lt;/D&gt;&lt;/FQL&gt;&lt;FQL&gt;&lt;Q&gt;ENZL^JULIAN(FMA_DIV_YLD(NTMA,NOW,NOW,M,"PORTAGG","MEANR").DATES)&lt;/Q&gt;&lt;R&gt;1&lt;/R&gt;&lt;C&gt;1&lt;/C&gt;&lt;D xsi:type="xsd:long"&gt;45443&lt;/D&gt;&lt;/FQL&gt;&lt;FQL&gt;&lt;Q&gt;UUP^FG_TOTAL_RETURNC(0,-6AM)&lt;/Q&gt;&lt;R&gt;1&lt;/R&gt;&lt;C&gt;1&lt;/C&gt;&lt;D xsi:type="xsd:double"&gt;5.253947&lt;/D&gt;&lt;/FQL&gt;&lt;FQL&gt;&lt;Q&gt;EWA^PERCENT_CHANGE(FMA_EPS(+1,0,,,,"PORTAGG","MEAN"),FMA_EPS(+1,-3AM,,,,"PORTAGG","MEAN"))&lt;/Q&gt;&lt;R&gt;1&lt;/R&gt;&lt;C&gt;1&lt;/C&gt;&lt;D xsi:type="xsd:double"&gt;-3.89817046709621&lt;/D&gt;&lt;/FQL&gt;&lt;FQL&gt;&lt;Q&gt;CC_US^IMF_IFS_RCPI_Q(0)&lt;/Q&gt;&lt;R&gt;1&lt;/R&gt;&lt;C&gt;1&lt;/C&gt;&lt;D xsi:type="xsd:double"&gt;3.209516&lt;/D&gt;&lt;/FQL&gt;&lt;FQL&gt;&lt;Q&gt;VGK^JULIAN(FMA_DIV_YLD(NTMA,NOW,NOW,M,"PORTAGG","MEANR").DATES)&lt;/Q&gt;&lt;R&gt;1&lt;/R&gt;&lt;C&gt;1&lt;/C&gt;&lt;D xsi:type="xsd:long"&gt;45412&lt;/D&gt;&lt;/FQL&gt;&lt;FQL&gt;&lt;Q&gt;EWA^FMA_PE(LTM,0,,,"PORTAGG","MEANR")&lt;/Q&gt;&lt;R&gt;1&lt;/R&gt;&lt;C&gt;1&lt;/C&gt;&lt;D xsi:type="xsd:double"&gt;18.9178203016696&lt;/D&gt;&lt;/FQL&gt;&lt;FQL&gt;&lt;Q&gt;DBA^FG_TOTAL_RETURNC(0,-3AM)&lt;/Q&gt;&lt;R&gt;1&lt;/R&gt;&lt;C&gt;1&lt;/C&gt;&lt;D xsi:type="xsd:double"&gt;12.587118&lt;/D&gt;&lt;/FQL&gt;&lt;FQL&gt;&lt;Q&gt;EWQ^SIZE(FG_CONSTITUENTS)&lt;/Q&gt;&lt;R&gt;1&lt;/R&gt;&lt;C&gt;1&lt;/C&gt;&lt;D xsi:type="xsd:long"&gt;63&lt;/D&gt;&lt;/FQL&gt;&lt;FQL&gt;&lt;Q&gt;EWI^FMA_PE(NTMA,0,,,"PORTAGG","MEANR")&lt;/Q&gt;&lt;R&gt;1&lt;/R&gt;&lt;C&gt;1&lt;/C&gt;&lt;D xsi:type="xsd:double"&gt;9.69643585829533&lt;/D&gt;&lt;/FQL&gt;&lt;FQL&gt;&lt;Q&gt;EWA^FG_TOTAL_RETURNC(0,-12AM)&lt;/Q&gt;&lt;R&gt;1&lt;/R&gt;&lt;C&gt;1&lt;/C&gt;&lt;D xsi:type="xsd:double"&gt;11.052823&lt;/D&gt;&lt;/FQL&gt;&lt;FQL&gt;&lt;Q&gt;SPY^FMA_PE(NTMA,0,,,"PORTAGG","MEANR")&lt;/Q&gt;&lt;R&gt;1&lt;/R&gt;&lt;C&gt;1&lt;/C&gt;&lt;D xsi:type="xsd:double"&gt;20.7559183470507&lt;/D&gt;&lt;/FQL&gt;&lt;FQL&gt;&lt;Q&gt;REFCATARG-FDS^PROPER_NAME(0,,,"SECURITY","NAME")&lt;/Q&gt;&lt;R&gt;1&lt;/R&gt;&lt;C&gt;1&lt;/C&gt;&lt;D xsi:type="xsd:string"&gt;Canada Target Rate&lt;/D&gt;&lt;/FQL&gt;&lt;FQL&gt;&lt;Q&gt;EWD^FMA_EVAL_EBITDA(NTMA,0,,,"PORTAGG","MEANR")&lt;/Q&gt;&lt;R&gt;1&lt;/R&gt;&lt;C&gt;1&lt;/C&gt;&lt;D xsi:type="xsd:double"&gt;11.2151279299786&lt;/D&gt;&lt;/FQL&gt;&lt;FQL&gt;&lt;Q&gt;QQQ^FG_TOTAL_RETURNC(0,-1AM)&lt;/Q&gt;&lt;R&gt;1&lt;/R&gt;&lt;C&gt;1&lt;/C&gt;&lt;D xsi:type="xsd:double"&gt;7.5923085&lt;/D&gt;&lt;/FQL&gt;&lt;FQL&gt;&lt;Q&gt;EWN^FMA_EVAL_EBIT(LTMA,NOW,NOW,M,"PORTAGG","MEANR")&lt;/Q&gt;&lt;R&gt;1&lt;/R&gt;&lt;C&gt;1&lt;/C&gt;&lt;D xsi:type="xsd:double"&gt;21.8192755017014&lt;/D&gt;&lt;/FQL&gt;&lt;FQL&gt;&lt;Q&gt;BRENT-FDS^FG_PRICE_CHANGE(0,-1AM)&lt;/Q&gt;&lt;R&gt;1&lt;/R&gt;&lt;C&gt;1&lt;/C&gt;&lt;D xsi:type="xsd:double"&gt;0&lt;/D&gt;&lt;/FQL&gt;&lt;FQL&gt;&lt;Q&gt;EWQ^FG_PRICE(0)&lt;/Q&gt;&lt;R&gt;1&lt;/R&gt;&lt;C&gt;1&lt;/C&gt;&lt;D xsi:type="xsd:double"&gt;38.95&lt;/D&gt;&lt;/FQL&gt;&lt;FQL&gt;&lt;Q&gt;VGK^P_PRICE(0)/P_PRICE_HIGH_PR(0,,,,,,"PRICE","INTRA","52W")&lt;/Q&gt;&lt;R&gt;1&lt;/R&gt;&lt;C&gt;1&lt;/C&gt;&lt;D xsi:type="xsd:double"&gt;0.97219664&lt;/D&gt;&lt;/FQL&gt;&lt;FQL&gt;&lt;Q&gt;EWG^PERCENT_CHANGE(FMA_EPS(+1,0,,,,"PORTAGG","MEAN"),FMA_EPS(+1,-3AM,,,,"PORTAGG","MEAN"))&lt;/Q&gt;&lt;R&gt;1&lt;/R&gt;&lt;C&gt;1&lt;/C&gt;&lt;D xsi:type="xsd:double"&gt;0.860840706944117&lt;/D&gt;&lt;/FQL&gt;&lt;FQL&gt;&lt;Q&gt;VGK^FMA_COS_UP("EPS","1M",+1,0,,,"PORTAGG","MEANR")&lt;/Q&gt;&lt;R&gt;1&lt;/R&gt;&lt;C&gt;1&lt;/C&gt;&lt;D xsi:type="xsd:double"&gt;466&lt;/D&gt;&lt;/FQL&gt;&lt;FQL&gt;&lt;Q&gt;TRYCA10Y-FDS^FG_YIELD_NAME&lt;/Q&gt;&lt;R&gt;1&lt;/R&gt;&lt;C&gt;1&lt;/C&gt;&lt;D xsi:type="xsd:string"&gt;Canada Benchmark Bond - 10 Year&lt;/D&gt;&lt;/FQL&gt;&lt;FQL&gt;&lt;Q&gt;REFGBBANK-FDS^PROPER_NAME(0,,,"SECURITY","NAME")&lt;/Q&gt;&lt;R&gt;1&lt;/R&gt;&lt;C&gt;1&lt;/C&gt;&lt;D xsi:type="xsd:string"&gt;UK Bank Rate&lt;/D&gt;&lt;/FQL&gt;&lt;FQL&gt;&lt;Q&gt;TRYCH10Y-FDS^PCTCHG(FG_YIELD(0,,,,"YTM"),FG_YIELD(-1AM,,,,"YTM"))&lt;/Q&gt;&lt;R&gt;1&lt;/R&gt;&lt;C&gt;1&lt;/C&gt;&lt;D xsi:type="xsd:double"&gt;1.2870001&lt;/D&gt;&lt;/FQL&gt;&lt;FQL&gt;&lt;Q&gt;EWL^FMA_PE(NTMA,0,,,"PORTAGG","MEANR")&lt;/Q&gt;&lt;R&gt;1&lt;/R&gt;&lt;C&gt;1&lt;/C&gt;&lt;D xsi:type="xsd:double"&gt;17.3747150332983&lt;/D&gt;&lt;/FQL&gt;&lt;FQL&gt;&lt;Q&gt;EWA^FG_FCF_YIELD_NTM(0)&lt;/Q&gt;&lt;R&gt;1&lt;/R&gt;&lt;C&gt;1&lt;/C&gt;&lt;D xsi:type="xsd:double"&gt;5.17541985227699&lt;/D&gt;&lt;/FQL&gt;&lt;FQL&gt;&lt;Q&gt;VGK^PERCENT_CHANGE(FMA_EPS(+1,0,,,,"PORTAGG","MEAN"),FMA_EPS(+1,-1AM,,,,"PORTAGG","MEAN"))&lt;/Q&gt;&lt;R&gt;1&lt;/R&gt;&lt;C&gt;1&lt;/C&gt;&lt;D xsi:type="xsd:double"&gt;0&lt;/D&gt;&lt;/FQL&gt;&lt;FQL&gt;&lt;Q&gt;EWI^SIZE(FG_CONSTITUENTS)&lt;/Q&gt;&lt;R&gt;1&lt;/R&gt;&lt;C&gt;1&lt;/C&gt;&lt;D xsi:type="xsd:long"&gt;28&lt;/D&gt;&lt;/FQL&gt;&lt;FQL&gt;&lt;Q&gt;TRYJP10Y-FDS^PCTCHG(FG_YIELD(0,,,,"YTM"),FG_YIELD(-3AM,,,,"YTM"))&lt;/Q&gt;&lt;R&gt;1&lt;/R&gt;&lt;C&gt;1&lt;/C&gt;&lt;D xsi:type="xsd:double"&gt;28.717949&lt;/D&gt;&lt;/FQL&gt;&lt;FQL&gt;&lt;Q&gt;EWA^FMA_PE(NTMA,0,,,"PORTAGG","MEANR")&lt;/Q&gt;&lt;R&gt;1&lt;/R&gt;&lt;C&gt;1&lt;/C&gt;&lt;D xsi:type="xsd:double"&gt;16.7429612216722&lt;/D&gt;&lt;/FQL&gt;&lt;FQL&gt;&lt;Q&gt;EWJ^FMA_EVAL_EBITDA(NTMA,0,,,"PORTAGG","MEANR")&lt;/Q&gt;&lt;R&gt;1&lt;/R&gt;&lt;C&gt;1&lt;/C&gt;&lt;D xsi:type="xsd:double"&gt;10.4500983628174&lt;/D&gt;&lt;/FQL&gt;&lt;FQL&gt;&lt;Q&gt;EWI^FG_FCF_YIELD_NTM(0)&lt;/Q&gt;&lt;R&gt;1&lt;/R&gt;&lt;C&gt;1&lt;/C&gt;&lt;D xsi:type="xsd:double"&gt;6.09493884351382&lt;/D&gt;&lt;/FQL&gt;&lt;FQL&gt;&lt;Q&gt;DBA^FG_TOTAL_RETURNC(0,-6AM)&lt;/Q&gt;&lt;R&gt;1&lt;/R&gt;&lt;C&gt;1&lt;/C&gt;&lt;D xsi:type="xsd:double"&gt;24.452782&lt;/D&gt;&lt;/FQL&gt;&lt;FQL&gt;&lt;Q&gt;REFJPTON-FDS^FG_YIELD(NOW,,,0)&lt;/Q&gt;&lt;R&gt;1&lt;/R&gt;&lt;C&gt;1&lt;/C&gt;&lt;D xsi:type="xsd:double"&gt;0.1&lt;/D&gt;&lt;/FQL&gt;&lt;FQL&gt;&lt;Q&gt;DBA^FG_TOTAL_RETURNC(0,-1AM)&lt;/Q&gt;&lt;R&gt;1&lt;/R&gt;&lt;C&gt;1&lt;/C&gt;&lt;D xsi:type="xsd:double"&gt;10.14061&lt;/D&gt;&lt;/FQL&gt;&lt;FQL&gt;&lt;Q&gt;QQQ^FMA_EVAL_EBITDA(NTMA,0,,,"PORTAGG","MEANR")&lt;/Q&gt;&lt;R&gt;1&lt;/R&gt;&lt;C&gt;1&lt;/C&gt;&lt;D xsi:type="xsd:double"&gt;16.8822459048021&lt;/D&gt;&lt;/FQL&gt;&lt;FQL&gt;&lt;Q&gt;COPP-FDS^FG_PRICE_CHANGE(0,-6AM)&lt;/Q&gt;&lt;R&gt;1&lt;/R&gt;&lt;C&gt;1&lt;/C&gt;&lt;D xsi:type="xsd:double"&gt;19.0570522979398&lt;/D&gt;&lt;/FQL&gt;&lt;FQL&gt;&lt;Q&gt;SPY^FG_PRICE_MAVG(0,,,,200)&lt;/Q&gt;&lt;R&gt;1&lt;/R&gt;&lt;C&gt;1&lt;/C&gt;&lt;D xsi:type="xsd:double"&gt;480.5105&lt;/D&gt;&lt;/FQL&gt;&lt;FQL&gt;&lt;Q&gt;TRYAU10Y-FDS^FG_YIELD(0,,,,"YTM")&lt;/Q&gt;&lt;R&gt;1&lt;/R&gt;&lt;C&gt;1&lt;/C&gt;&lt;D xsi:type="xsd:double"&gt;4.191&lt;/D&gt;&lt;/FQL&gt;&lt;FQL&gt;&lt;Q&gt;ENZL^FMA_EVAL_EBIT(LTMA,NOW,NOW,M,"PORTAGG","MEANR")&lt;/Q&gt;&lt;R&gt;1&lt;/R&gt;&lt;C&gt;1&lt;/C&gt;&lt;D xsi:type="xsd:double"&gt;20.7796575161614&lt;/D&gt;&lt;/FQL&gt;&lt;FQL&gt;&lt;Q&gt;EWA^P_PRICE(0)/P_PRICE_LOW_PR(0,,,,,,"PRICE","INTRA","52W")-1&lt;/Q&gt;&lt;R&gt;1&lt;/R&gt;&lt;C&gt;1&lt;/C&gt;&lt;D xsi:type="xsd:double"&gt;0.18572831&lt;/D&gt;&lt;/FQL&gt;&lt;FQL&gt;&lt;Q&gt;TIOS-FDS^FG_PRICE_CHANGE(0,-6AM)&lt;/Q&gt;&lt;R&gt;1&lt;/R&gt;&lt;C&gt;1&lt;/C&gt;&lt;D xsi:type="xsd:double"&gt;-20.669480856106&lt;/D&gt;&lt;/FQL&gt;&lt;FQL&gt;&lt;Q&gt;QQQ^FG_PRICE(0)&lt;/Q&gt;&lt;R&gt;1&lt;/R&gt;&lt;C&gt;1&lt;/C&gt;&lt;D xsi:type="xsd:double"&gt;476.72&lt;/D&gt;&lt;/FQL&gt;&lt;FQL&gt;&lt;Q&gt;VGK^FMA_PCT_ABOVE_MAVG(200,0,,,,"PORTAGG")&lt;/Q&gt;&lt;R&gt;1&lt;/R&gt;&lt;C&gt;1&lt;/C&gt;&lt;D xsi:type="xsd:double"&gt;67.3015873015873&lt;/D&gt;&lt;/FQL&gt;&lt;FQL&gt;&lt;Q&gt;QQQ^P_PRICE(0)/P_PRICE_LOW_PR(0,,,,,,"PRICE","INTRA","52W")-1&lt;/Q&gt;&lt;R&gt;1&lt;/R&gt;&lt;C&gt;1&lt;/C&gt;&lt;D xsi:type="xsd:double"&gt;0.392493&lt;/D&gt;&lt;/FQL&gt;&lt;FQL&gt;&lt;Q&gt;EWG^FMA_PCT_ABOVE_MAVG(200,0,,,,"PORTAGG")&lt;/Q&gt;&lt;R&gt;1&lt;/R&gt;&lt;C&gt;1&lt;/C&gt;&lt;D xsi:type="xsd:double"&gt;68.9655172413793&lt;/D&gt;&lt;/FQL&gt;&lt;FQL&gt;&lt;Q&gt;EWI^FMA_COS_DOWN("EPS","1M",+1,0,,,"PORTAGG","MEANR")&lt;/Q&gt;&lt;R&gt;1&lt;/R&gt;&lt;C&gt;1&lt;/C&gt;&lt;D xsi:type="xsd:double"&gt;6&lt;/D&gt;&lt;/FQL&gt;&lt;FQL&gt;&lt;Q&gt;REFCHMPR-FDS^FG_YIELD(NOW,,,0)&lt;/Q&gt;&lt;R&gt;1&lt;/R&gt;&lt;C&gt;1&lt;/C&gt;&lt;D xsi:type="xsd:double"&gt;1.5&lt;/D&gt;&lt;/FQL&gt;&lt;FQL&gt;&lt;Q&gt;TRYJP10Y-FDS^PCTCHG(FG_YIELD(0,,,,"YTM"),FG_YIELD(-1AM,,,,"YTM"))&lt;/Q&gt;&lt;R&gt;1&lt;/R&gt;&lt;C&gt;1&lt;/C&gt;&lt;D xsi:type="xsd:double"&gt;3.9282303&lt;/D&gt;&lt;/FQL&gt;&lt;FQL&gt;&lt;Q&gt;EWI^FMA_EVAL_EBIT(LTMA,NOW,NOW,M,"PORTAGG","MEANR")&lt;/Q&gt;&lt;R&gt;1&lt;/R&gt;&lt;C&gt;1&lt;/C&gt;&lt;D xsi:type="xsd:double"&gt;10.8518583483408&lt;/D&gt;&lt;/FQL&gt;&lt;FQL&gt;&lt;Q&gt;EWJ^FMA_EVAL_EBIT(LTMA,NOW,NOW,M,"PORTAGG","MEANR")&lt;/Q&gt;&lt;R&gt;1&lt;/R&gt;&lt;C&gt;1&lt;/C&gt;&lt;D xsi:type="xsd:double"&gt;17.7843590700785&lt;/D&gt;&lt;/FQL&gt;&lt;FQL&gt;&lt;Q&gt;TIOS-FDS^FG_PRICE_CHANGE(0,-3AM)&lt;/Q&gt;&lt;R&gt;1&lt;/R&gt;&lt;C&gt;1&lt;/C&gt;&lt;D xsi:type="xsd:double"&gt;-4.16032924756195&lt;/D&gt;&lt;/FQL&gt;&lt;FQL&gt;&lt;Q&gt;EWU^FG_PRICE_MAVG(0,,,,200)&lt;/Q&gt;&lt;R&gt;1&lt;/R&gt;&lt;C&gt;1&lt;/C&gt;&lt;D xsi:type="xsd:double"&gt;33.0644&lt;/D&gt;&lt;/FQL&gt;&lt;FQL&gt;&lt;Q&gt;FXI^FG_TOTAL_RETURNC(0,-1AM)&lt;/Q&gt;&lt;R&gt;1&lt;/R&gt;&lt;C&gt;1&lt;/C&gt;&lt;D xsi:type="xsd:double"&gt;-6.6482964&lt;/D&gt;&lt;/FQL&gt;&lt;FQL&gt;&lt;Q&gt;EWI^FG_TOTAL_RETURNC(0,-12AM)&lt;/Q&gt;&lt;R&gt;1&lt;/R&gt;&lt;C&gt;1&lt;/C&gt;&lt;D xsi:type="xsd:double"&gt;22.68567&lt;/D&gt;&lt;/FQL&gt;&lt;FQL&gt;&lt;Q&gt;QQQ^P_PRICE(0)/P_PRICE_HIGH_PR(0,,,,,,"PRICE","INTRA","52W")&lt;/Q&gt;&lt;R&gt;1&lt;/R&gt;&lt;C&gt;1&lt;/C&gt;&lt;D xsi:type="xsd:double"&gt;0.9965091&lt;/D&gt;&lt;/FQL&gt;&lt;FQL&gt;&lt;Q&gt;EWC^FG_TOTAL_RETURNC(0,-3AM)&lt;/Q&gt;&lt;R&gt;1&lt;/R&gt;&lt;C&gt;1&lt;/C&gt;&lt;D xsi:type="xsd:double"&gt;-3.154558&lt;/D&gt;&lt;/FQL&gt;&lt;FQL&gt;&lt;Q&gt;EWI^FMA_COS_UP("EPS","1M",+1,0,,,"PORTAGG","MEANR")&lt;/Q&gt;&lt;R&gt;1&lt;/R&gt;&lt;C&gt;1&lt;/C&gt;&lt;D xsi:type="xsd:double"&gt;12&lt;/D&gt;&lt;/FQL&gt;&lt;FQL&gt;&lt;Q&gt;REFCHMP</t>
        </r>
      </text>
    </comment>
    <comment ref="A15" authorId="0" shapeId="0" xr:uid="{B00F8982-6E7E-4A37-AEB7-8621E22A87CB}">
      <text>
        <r>
          <rPr>
            <b/>
            <sz val="9"/>
            <color indexed="81"/>
            <rFont val="Tahoma"/>
            <charset val="1"/>
          </rPr>
          <t>R-FDS^PROPER_NAME(0,,,"SECURITY","NAME")&lt;/Q&gt;&lt;R&gt;1&lt;/R&gt;&lt;C&gt;1&lt;/C&gt;&lt;D xsi:type="xsd:string"&gt;Swiss Policy Rate - Sight Deposit Rate&lt;/D&gt;&lt;/FQL&gt;&lt;FQL&gt;&lt;Q&gt;TRYDE10Y-FDS^PCTCHG(FG_YIELD(0,,,,"YTM"),FG_YIELD(-3AM,,,,"YTM"))&lt;/Q&gt;&lt;R&gt;1&lt;/R&gt;&lt;C&gt;1&lt;/C&gt;&lt;D xsi:type="xsd:double"&gt;7.282794&lt;/D&gt;&lt;/FQL&gt;&lt;FQL&gt;&lt;Q&gt;TRYNZ10Y-FDS^FG_YIELD(0,,,,"YTM")&lt;/Q&gt;&lt;R&gt;1&lt;/R&gt;&lt;C&gt;1&lt;/C&gt;&lt;D xsi:type="xsd:double"&gt;4.6627&lt;/D&gt;&lt;/FQL&gt;&lt;FQL&gt;&lt;Q&gt;EWI^FMA_EVAL_EBITDA(NTMA,0,,,"PORTAGG","MEANR")&lt;/Q&gt;&lt;R&gt;1&lt;/R&gt;&lt;C&gt;1&lt;/C&gt;&lt;D xsi:type="xsd:double"&gt;6.84765805648134&lt;/D&gt;&lt;/FQL&gt;&lt;FQL&gt;&lt;Q&gt;TIOS-FDS^FG_PRICE_CHANGE(0,-1AM)&lt;/Q&gt;&lt;R&gt;1&lt;/R&gt;&lt;C&gt;1&lt;/C&gt;&lt;D xsi:type="xsd:double"&gt;-8.6863864973148&lt;/D&gt;&lt;/FQL&gt;&lt;FQL&gt;&lt;Q&gt;EWU^FG_PRICE_MAVG(0,,,,60)&lt;/Q&gt;&lt;R&gt;1&lt;/R&gt;&lt;C&gt;1&lt;/C&gt;&lt;D xsi:type="xsd:double"&gt;35.043167&lt;/D&gt;&lt;/FQL&gt;&lt;FQL&gt;&lt;Q&gt;FXI^PERCENT_CHANGE(FMA_EPS(+1,0,,,,"PORTAGG","MEAN"),FMA_EPS(+1,-3AM,,,,"PORTAGG","MEAN"))&lt;/Q&gt;&lt;R&gt;1&lt;/R&gt;&lt;C&gt;1&lt;/C&gt;&lt;D xsi:type="xsd:double"&gt;-0.0174111350113912&lt;/D&gt;&lt;/FQL&gt;&lt;FQL&gt;&lt;Q&gt;EWI^P_PRICE(0)/P_PRICE_LOW_PR(0,,,,,,"PRICE","INTRA","52W")-1&lt;/Q&gt;&lt;R&gt;1&lt;/R&gt;&lt;C&gt;1&lt;/C&gt;&lt;D xsi:type="xsd:double"&gt;0.25176632&lt;/D&gt;&lt;/FQL&gt;&lt;FQL&gt;&lt;Q&gt;QQQ^FG_TOTAL_RETURNC(0,-6AM)&lt;/Q&gt;&lt;R&gt;1&lt;/R&gt;&lt;C&gt;1&lt;/C&gt;&lt;D xsi:type="xsd:double"&gt;18.52765&lt;/D&gt;&lt;/FQL&gt;&lt;FQL&gt;&lt;Q&gt;EWC^FG_TOTAL_RETURNC(0,-1AM)&lt;/Q&gt;&lt;R&gt;1&lt;/R&gt;&lt;C&gt;1&lt;/C&gt;&lt;D xsi:type="xsd:double"&gt;-3.0529082&lt;/D&gt;&lt;/FQL&gt;&lt;FQL&gt;&lt;Q&gt;EWN^FMA_COS_DOWN("EPS","1M",+1,0,,,"PORTAGG","MEANR")&lt;/Q&gt;&lt;R&gt;1&lt;/R&gt;&lt;C&gt;1&lt;/C&gt;&lt;D xsi:type="xsd:double"&gt;20&lt;/D&gt;&lt;/FQL&gt;&lt;FQL&gt;&lt;Q&gt;SPY^FG_FCF_YIELD_NTM(0)&lt;/Q&gt;&lt;R&gt;1&lt;/R&gt;&lt;C&gt;1&lt;/C&gt;&lt;D xsi:type="xsd:double"&gt;4.14564100442618&lt;/D&gt;&lt;/FQL&gt;&lt;FQL&gt;&lt;Q&gt;QQQ^PERCENT_CHANGE(FMA_EPS(+1,0,,,,"PORTAGG","MEAN"),FMA_EPS(+1,-1AM,,,,"PORTAGG","MEAN"))&lt;/Q&gt;&lt;R&gt;1&lt;/R&gt;&lt;C&gt;1&lt;/C&gt;&lt;D xsi:type="xsd:double"&gt;5.07368528857077&lt;/D&gt;&lt;/FQL&gt;&lt;FQL&gt;&lt;Q&gt;EWD^FMA_EVAL_EBIT(LTMA,NOW,NOW,M,"PORTAGG","MEANR")&lt;/Q&gt;&lt;R&gt;1&lt;/R&gt;&lt;C&gt;1&lt;/C&gt;&lt;D xsi:type="xsd:double"&gt;15.9881022680904&lt;/D&gt;&lt;/FQL&gt;&lt;FQL&gt;&lt;Q&gt;ENZL^FMA_PE(NTMA,0,,,"PORTAGG","MEANR")&lt;/Q&gt;&lt;R&gt;1&lt;/R&gt;&lt;C&gt;1&lt;/C&gt;&lt;D xsi:type="xsd:double"&gt;24.0579982596121&lt;/D&gt;&lt;/FQL&gt;&lt;FQL&gt;&lt;Q&gt;EWU^FG_TOTAL_RETURNC(0,-12AM)&lt;/Q&gt;&lt;R&gt;1&lt;/R&gt;&lt;C&gt;1&lt;/C&gt;&lt;D xsi:type="xsd:double"&gt;13.210106&lt;/D&gt;&lt;/FQL&gt;&lt;FQL&gt;&lt;Q&gt;SPY^FMA_PE(LTM,0,,,"PORTAGG","MEANR")&lt;/Q&gt;&lt;R&gt;1&lt;/R&gt;&lt;C&gt;1&lt;/C&gt;&lt;D xsi:type="xsd:double"&gt;25.8508705977659&lt;/D&gt;&lt;/FQL&gt;&lt;FQL&gt;&lt;Q&gt;UUP^FG_TOTAL_RETURNC(0,-3AM)&lt;/Q&gt;&lt;R&gt;1&lt;/R&gt;&lt;C&gt;1&lt;/C&gt;&lt;D xsi:type="xsd:double"&gt;3.8129568&lt;/D&gt;&lt;/FQL&gt;&lt;FQL&gt;&lt;Q&gt;QQQ^JULIAN(FMA_DIV_YLD(NTMA,NOW,NOW,M,"PORTAGG","MEANR").DATES)&lt;/Q&gt;&lt;R&gt;1&lt;/R&gt;&lt;C&gt;1&lt;/C&gt;&lt;D xsi:type="xsd:long"&gt;45443&lt;/D&gt;&lt;/FQL&gt;&lt;FQL&gt;&lt;Q&gt;VWO^FMA_EVAL_EBIT(LTMA,NOW,NOW,M,"PORTAGG","MEANR")&lt;/Q&gt;&lt;R&gt;1&lt;/R&gt;&lt;C&gt;1&lt;/C&gt;&lt;D xsi:type="xsd:double"&gt;14.3813872657677&lt;/D&gt;&lt;/FQL&gt;&lt;FQL&gt;&lt;Q&gt;EWU^FG_PRICE(0)&lt;/Q&gt;&lt;R&gt;1&lt;/R&gt;&lt;C&gt;1&lt;/C&gt;&lt;D xsi:type="xsd:double"&gt;35.09&lt;/D&gt;&lt;/FQL&gt;&lt;FQL&gt;&lt;Q&gt;FXI^PERCENT_CHANGE(FMA_EPS(+1,0,,,,"PORTAGG","MEAN"),FMA_EPS(+1,-1AM,,,,"PORTAGG","MEAN"))&lt;/Q&gt;&lt;R&gt;1&lt;/R&gt;&lt;C&gt;1&lt;/C&gt;&lt;D xsi:type="xsd:double"&gt;-0.0198361902477945&lt;/D&gt;&lt;/FQL&gt;&lt;FQL&gt;&lt;Q&gt;EWI^P_PRICE(0)/P_PRICE_HIGH_PR(0,,,,,,"PRICE","INTRA","52W")&lt;/Q&gt;&lt;R&gt;1&lt;/R&gt;&lt;C&gt;1&lt;/C&gt;&lt;D xsi:type="xsd:double"&gt;0.9225299&lt;/D&gt;&lt;/FQL&gt;&lt;FQL&gt;&lt;Q&gt;EWC^PERCENT_CHANGE(FMA_EPS(+1,0,,,,"PORTAGG","MEAN"),FMA_EPS(+1,-3AM,,,,"PORTAGG","MEAN"))&lt;/Q&gt;&lt;R&gt;1&lt;/R&gt;&lt;C&gt;1&lt;/C&gt;&lt;D xsi:type="xsd:double"&gt;0.632542525326709&lt;/D&gt;&lt;/FQL&gt;&lt;FQL&gt;&lt;Q&gt;ENZL^FMA_EVAL_EBITDA(NTMA,0,,,"PORTAGG","MEANR")&lt;/Q&gt;&lt;R&gt;1&lt;/R&gt;&lt;C&gt;1&lt;/C&gt;&lt;D xsi:type="xsd:double"&gt;11.5929264707262&lt;/D&gt;&lt;/FQL&gt;&lt;FQL&gt;&lt;Q&gt;ENZL^FMA_DIV_YLD(NTMA,NOW,NOW,M,"PORTAGG","MEANR")&lt;/Q&gt;&lt;R&gt;1&lt;/R&gt;&lt;C&gt;1&lt;/C&gt;&lt;D xsi:type="xsd:double"&gt;2.70122124532592&lt;/D&gt;&lt;/FQL&gt;&lt;FQL&gt;&lt;Q&gt;QQQ^P_PRICE(0)/P_PRICE_HIGH_PR(0,,,USD,,,"PRICE","INTRA","52W")&lt;/Q&gt;&lt;R&gt;1&lt;/R&gt;&lt;C&gt;1&lt;/C&gt;&lt;D xsi:type="xsd:double"&gt;0.9965091&lt;/D&gt;&lt;/FQL&gt;&lt;FQL&gt;&lt;Q&gt;EWL^FG_PRICE_MAVG(0,,,,200)&lt;/Q&gt;&lt;R&gt;1&lt;/R&gt;&lt;C&gt;1&lt;/C&gt;&lt;D xsi:type="xsd:double"&gt;46.2223&lt;/D&gt;&lt;/FQL&gt;&lt;FQL&gt;&lt;Q&gt;FXI^FMA_PCT_ABOVE_MAVG(200,0,,,,"PORTAGG")&lt;/Q&gt;&lt;R&gt;1&lt;/R&gt;&lt;C&gt;1&lt;/C&gt;&lt;D xsi:type="xsd:double"&gt;74.5098039215686&lt;/D&gt;&lt;/FQL&gt;&lt;FQL&gt;&lt;Q&gt;EWL^FG_PRICE_MAVG(0,,,,30)&lt;/Q&gt;&lt;R&gt;1&lt;/R&gt;&lt;C&gt;1&lt;/C&gt;&lt;D xsi:type="xsd:double"&gt;48.434334&lt;/D&gt;&lt;/FQL&gt;&lt;FQL&gt;&lt;Q&gt;EWI^FG_TOTAL_RETURNC(0,-3AM)&lt;/Q&gt;&lt;R&gt;1&lt;/R&gt;&lt;C&gt;1&lt;/C&gt;&lt;D xsi:type="xsd:double"&gt;-0.081944466&lt;/D&gt;&lt;/FQL&gt;&lt;FQL&gt;&lt;Q&gt;QQQ^PERCENT_CHANGE(FMA_EPS(+1,0,,,,"PORTAGG","MEAN"),FMA_EPS(+1,-3AM,,,,"PORTAGG","MEAN"))&lt;/Q&gt;&lt;R&gt;1&lt;/R&gt;&lt;C&gt;1&lt;/C&gt;&lt;D xsi:type="xsd:double"&gt;4.42674848938096&lt;/D&gt;&lt;/FQL&gt;&lt;FQL&gt;&lt;Q&gt;EWC^FMA_PCT_ABOVE_MAVG(200,0,,,,"PORTAGG")&lt;/Q&gt;&lt;R&gt;1&lt;/R&gt;&lt;C&gt;1&lt;/C&gt;&lt;D xsi:type="xsd:double"&gt;67.0454545454545&lt;/D&gt;&lt;/FQL&gt;&lt;FQL&gt;&lt;Q&gt;EWQ^FMA_COS_DOWN("EPS","1M",+1,0,,,"PORTAGG","MEANR")&lt;/Q&gt;&lt;R&gt;1&lt;/R&gt;&lt;C&gt;1&lt;/C&gt;&lt;D xsi:type="xsd:double"&gt;25&lt;/D&gt;&lt;/FQL&gt;&lt;FQL&gt;&lt;Q&gt;EWQ^FMA_RBICS_REV_CURRENT(30, LOC, "PORTAGG")&lt;/Q&gt;&lt;R&gt;1&lt;/R&gt;&lt;C&gt;1&lt;/C&gt;&lt;D xsi:type="xsd:double"&gt;11.8223044537398&lt;/D&gt;&lt;/FQL&gt;&lt;FQL&gt;&lt;Q&gt;TRYNZ10Y-FDS^PCTCHG(FG_YIELD(0,,,,"YTM"),FG_YIELD(-1AM,,,,"YTM"))&lt;/Q&gt;&lt;R&gt;1&lt;/R&gt;&lt;C&gt;1&lt;/C&gt;&lt;D xsi:type="xsd:double"&gt;-1.31434&lt;/D&gt;&lt;/FQL&gt;&lt;FQL&gt;&lt;Q&gt;EWI^FMA_PE(LTM,0,,,"PORTAGG","MEANR")&lt;/Q&gt;&lt;R&gt;1&lt;/R&gt;&lt;C&gt;1&lt;/C&gt;&lt;D xsi:type="xsd:double"&gt;10.1070740861593&lt;/D&gt;&lt;/FQL&gt;&lt;FQL&gt;&lt;Q&gt;SPY^FMA_DIV_YLD(NTMA,NOW,NOW,M,"PORTAGG","MEANR")&lt;/Q&gt;&lt;R&gt;1&lt;/R&gt;&lt;C&gt;1&lt;/C&gt;&lt;D xsi:type="xsd:double"&gt;1.45391594360208&lt;/D&gt;&lt;/FQL&gt;&lt;FQL&gt;&lt;Q&gt;EWG^FMA_PE(LTM,0,,,"PORTAGG","MEANR")&lt;/Q&gt;&lt;R&gt;1&lt;/R&gt;&lt;C&gt;1&lt;/C&gt;&lt;D xsi:type="xsd:double"&gt;16.1746754567149&lt;/D&gt;&lt;/FQL&gt;&lt;FQL&gt;&lt;Q&gt;EWL^FG_PRICE(0)&lt;/Q&gt;&lt;R&gt;1&lt;/R&gt;&lt;C&gt;1&lt;/C&gt;&lt;D xsi:type="xsd:double"&gt;48.95&lt;/D&gt;&lt;/FQL&gt;&lt;FQL&gt;&lt;Q&gt;EWI^PERCENT_CHANGE(FMA_EPS(+1,0,,,,"PORTAGG","MEAN"),FMA_EPS(+1,-3AM,,,,"PORTAGG","MEAN"))&lt;/Q&gt;&lt;R&gt;1&lt;/R&gt;&lt;C&gt;1&lt;/C&gt;&lt;D xsi:type="xsd:double"&gt;0.437027022342648&lt;/D&gt;&lt;/FQL&gt;&lt;FQL&gt;&lt;Q&gt;EWJ^FG_PRICE_MAVG(0,,,,200)&lt;/Q&gt;&lt;R&gt;1&lt;/R&gt;&lt;C&gt;1&lt;/C&gt;&lt;D xsi:type="xsd:double"&gt;65.2178&lt;/D&gt;&lt;/FQL&gt;&lt;FQL&gt;&lt;Q&gt;EWD^FMA_DIV_YLD(NTMA,NOW,NOW,M,"PORTAGG","MEANR")&lt;/Q&gt;&lt;R&gt;1&lt;/R&gt;&lt;C&gt;1&lt;/C&gt;&lt;D xsi:type="xsd:double"&gt;3.19182312279385&lt;/D&gt;&lt;/FQL&gt;&lt;FQL&gt;&lt;Q&gt;REFAUCASH-FDS^PROPER_NAME(0,,,"SECURITY","NAME")&lt;/Q&gt;&lt;R&gt;1&lt;/R&gt;&lt;C&gt;1&lt;/C&gt;&lt;D xsi:type="xsd:string"&gt;Australia Target Cash Rate&lt;/D&gt;&lt;/FQL&gt;&lt;FQL&gt;&lt;Q&gt;ENZL^PERCENT_CHANGE(FMA_EPS(+1,0,,,,"PORTAGG","MEAN"),FMA_EPS(+1,-3AM,,,,"PORTAGG","MEAN"))&lt;/Q&gt;&lt;R&gt;1&lt;/R&gt;&lt;C&gt;1&lt;/C&gt;&lt;D xsi:type="xsd:double"&gt;0.926122863765727&lt;/D&gt;&lt;/FQL&gt;&lt;FQL&gt;&lt;Q&gt;EWG^FG_PRICE(0)&lt;/Q&gt;&lt;R&gt;1&lt;/R&gt;&lt;C&gt;1&lt;/C&gt;&lt;D xsi:type="xsd:double"&gt;30.61&lt;/D&gt;&lt;/FQL&gt;&lt;FQL&gt;&lt;Q&gt;EWI^FMA_PCT_ABOVE_MAVG(200,0,,,,"PORTAGG")&lt;/Q&gt;&lt;R&gt;1&lt;/R&gt;&lt;C&gt;1&lt;/C&gt;&lt;D xsi:type="xsd:double"&gt;64&lt;/D&gt;&lt;/FQL&gt;&lt;FQL&gt;&lt;Q&gt;EWU^P_PRICE(0)/P_PRICE_LOW_PR(0,,,,,,"PRICE","INTRA","52W")-1&lt;/Q&gt;&lt;R&gt;1&lt;/R&gt;&lt;C&gt;1&lt;/C&gt;&lt;D xsi:type="xsd:double"&gt;0.16423357&lt;/D&gt;&lt;/FQL&gt;&lt;FQL&gt;&lt;Q&gt;EWA^FG_TOTAL_RETURNC(0,-6AM)&lt;/Q&gt;&lt;R&gt;1&lt;/R&gt;&lt;C&gt;1&lt;/C&gt;&lt;D xsi:type="xsd:double"&gt;6.8683624&lt;/D&gt;&lt;/FQL&gt;&lt;FQL&gt;&lt;Q&gt;EWU^FMA_RBICS_REV_CURRENT(30, LOC, "PORTAGG")&lt;/Q&gt;&lt;R&gt;1&lt;/R&gt;&lt;C&gt;1&lt;/C&gt;&lt;D xsi:type="xsd:double"&gt;19.3898803393085&lt;/D&gt;&lt;/FQL&gt;&lt;FQL&gt;&lt;Q&gt;REFAUCASH-FDS^(SUBARRAY(NOT_NA(NO_REPEAT_F(FG_YIELD(NOW,-10AY,D))),0,1)-SUBARRAY(NOT_NA(NO_REPEAT_F(FG_YIELD(NOW,-10AY,D))),1,1))*100&lt;/Q&gt;&lt;R&gt;1&lt;/R&gt;&lt;C&gt;1&lt;/C&gt;&lt;D xsi:type="xsd:double"&gt;25&lt;/D&gt;&lt;/FQL&gt;&lt;FQL&gt;&lt;Q&gt;CC_GB^IMF_IFS_RCPI_Q(0)&lt;/Q&gt;&lt;R&gt;1&lt;/R&gt;&lt;C&gt;1&lt;/C&gt;&lt;D xsi:type="xsd:double"&gt;3.9194994&lt;/D&gt;&lt;/FQL&gt;&lt;FQL&gt;&lt;Q&gt;EWD^FG_FCF_YIELD_NTM(0)&lt;/Q&gt;&lt;R&gt;1&lt;/R&gt;&lt;C&gt;1&lt;/C&gt;&lt;D xsi:type="xsd:double"&gt;4.99417909499724&lt;/D&gt;&lt;/FQL&gt;&lt;FQL&gt;&lt;Q&gt;SPY^JULIAN(FMA_DIV_YLD(NTMA,NOW,NOW,M,"PORTAGG","MEANR").DATES)&lt;/Q&gt;&lt;R&gt;1&lt;/R&gt;&lt;C&gt;1&lt;/C&gt;&lt;D xsi:type="xsd:long"&gt;45443&lt;/D&gt;&lt;/FQL&gt;&lt;FQL&gt;&lt;Q&gt;EWJ^FMA_PE(LTM,0,,,"PORTAGG","MEANR")&lt;/Q&gt;&lt;R&gt;1&lt;/R&gt;&lt;C&gt;1&lt;/C&gt;&lt;D xsi:type="xsd:double"&gt;16.1198556455721&lt;/D&gt;&lt;/FQL&gt;&lt;FQL&gt;&lt;Q&gt;UUP^P_PRICE(0)/P_PRICE_HIGH_PR(0,,,USD,,,"PRICE","INTRA","52W")&lt;/Q&gt;&lt;R&gt;1&lt;/R&gt;&lt;C&gt;1&lt;/C&gt;&lt;D xsi:type="xsd:double"&gt;0.95673794&lt;/D&gt;&lt;/FQL&gt;&lt;FQL&gt;&lt;Q&gt;QQQ^SIZE(FG_CONSTITUENTS)&lt;/Q&gt;&lt;R&gt;1&lt;/R&gt;&lt;C&gt;1&lt;/C&gt;&lt;D xsi:type="xsd:long"&gt;102&lt;/D&gt;&lt;/FQL&gt;&lt;FQL&gt;&lt;Q&gt;EWC^FG_PRICE_MAVG(0,,,,200)&lt;/Q&gt;&lt;R&gt;1&lt;/R&gt;&lt;C&gt;1&lt;/C&gt;&lt;D xsi:type="xsd:double"&gt;35.91555&lt;/D&gt;&lt;/FQL&gt;&lt;FQL&gt;&lt;Q&gt;EWD^FG_TOTAL_RETURNC(0,-12AM)&lt;/Q&gt;&lt;R&gt;1&lt;/R&gt;&lt;C&gt;1&lt;/C&gt;&lt;D xsi:type="xsd:double"&gt;18.425226&lt;/D&gt;&lt;/FQL&gt;&lt;FQL&gt;&lt;Q&gt;EWU^P_PRICE(0)/P_PRICE_HIGH_PR(0,,,,,,"PRICE","INTRA","52W")&lt;/Q&gt;&lt;R&gt;1&lt;/R&gt;&lt;C&gt;1&lt;/C&gt;&lt;D xsi:type="xsd:double"&gt;0.95444036&lt;/D&gt;&lt;/FQL&gt;&lt;FQL&gt;&lt;Q&gt;EWA^FG_TOTAL_RETURNC(0,-3AM)&lt;/Q&gt;&lt;R&gt;1&lt;/R&gt;&lt;C&gt;1&lt;/C&gt;&lt;D xsi:type="xsd:double"&gt;0.58044195&lt;/D&gt;&lt;/FQL&gt;&lt;FQL&gt;&lt;Q&gt;EWL^FMA_RBICS_REV_CURRENT(30, LOC, "PORTAGG")&lt;/Q&gt;&lt;R&gt;1&lt;/R&gt;&lt;C&gt;1&lt;/C&gt;&lt;D xsi:type="xsd:double"&gt;18.424673270129&lt;/D&gt;&lt;/FQL&gt;&lt;FQL&gt;&lt;Q&gt;EWC^FG_PRICE_MAVG(0,,,,60)&lt;/Q&gt;&lt;R&gt;1&lt;/R&gt;&lt;C&gt;1&lt;/C&gt;&lt;D xsi:type="xsd:double"&gt;37.776333&lt;/D&gt;&lt;/FQL&gt;&lt;FQL&gt;&lt;Q&gt;EWD^FG_TOTAL_RETURNC(0,-1AM)&lt;/Q&gt;&lt;R&gt;1&lt;/R&gt;&lt;C&gt;1&lt;/C&gt;&lt;D xsi:type="xsd:double"&gt;2.3103833&lt;/D&gt;&lt;/FQL&gt;&lt;FQL&gt;&lt;Q&gt;EWU^FG_TOTAL_RETURNC(0,-6AM)&lt;/Q&gt;&lt;R&gt;1&lt;/R&gt;&lt;C&gt;1&lt;/C&gt;&lt;D xsi:type="xsd:double"&gt;10.978866&lt;/D&gt;&lt;/FQL&gt;&lt;FQL&gt;&lt;Q&gt;EWA^FG_TOTAL_RETURNC(0,-1AM)&lt;/Q&gt;&lt;R&gt;1&lt;/R&gt;&lt;C&gt;1&lt;/C&gt;&lt;D xsi:type="xsd:double"&gt;0.86758137&lt;/D&gt;&lt;/FQL&gt;&lt;FQL&gt;&lt;Q&gt;QQQ^FMA_COS_DOWN("EPS","1M",+1,0,,,"PORTAGG","MEANR")&lt;/Q&gt;&lt;R&gt;1&lt;/R&gt;&lt;C&gt;1&lt;/C&gt;&lt;D xsi:type="xsd:double"&gt;30&lt;/D&gt;&lt;/FQL&gt;&lt;FQL&gt;&lt;Q&gt;EWC^FG_PRICE(0)&lt;/Q&gt;&lt;R&gt;1&lt;/R&gt;&lt;C&gt;1&lt;/C&gt;&lt;D xsi:type="xsd:double"&gt;36.6&lt;/D&gt;&lt;/FQL&gt;&lt;FQL&gt;&lt;Q&gt;EWD^PERCENT_CHANGE(FMA_EPS(+1,0,,,,"PORTAGG","MEAN"),FMA_EPS(+1,-3AM,,,,"PORTAGG","MEAN"))&lt;/Q&gt;&lt;R&gt;1&lt;/R&gt;&lt;C&gt;1&lt;/C&gt;&lt;D xsi:type="xsd:double"&gt;3.28805445692336&lt;/D&gt;&lt;/FQL&gt;&lt;FQL&gt;&lt;Q&gt;EWU^FMA_PCT_ABOVE_MAVG(200,0,,,,"PORTAGG")&lt;/Q&gt;&lt;R&gt;1&lt;/R&gt;&lt;C&gt;1&lt;/C&gt;&lt;D xsi:type="xsd:double"&gt;66.25&lt;/D&gt;&lt;/FQL&gt;&lt;FQL&gt;&lt;Q&gt;EWA^FG_PRICE_MAVG(0,,,,200)&lt;/Q&gt;&lt;R&gt;1&lt;/R&gt;&lt;C&gt;1&lt;/C&gt;&lt;D xsi:type="xsd:double"&gt;23.224&lt;/D&gt;&lt;/FQL&gt;&lt;FQL&gt;&lt;Q&gt;EWD^PERCENT_CHANGE(FMA_EPS(+1,0,,,,"PORTAGG","MEAN"),FMA_EPS(+1,-1AM,,,,"PORTAGG","MEAN"))&lt;/Q&gt;&lt;R&gt;1&lt;/R&gt;&lt;C&gt;1&lt;/C&gt;&lt;D xsi:type="xsd:double"&gt;4.36862708683952&lt;/D&gt;&lt;/FQL&gt;&lt;FQL&gt;&lt;Q&gt;EWL^FG_TOTAL_RETURNC(0,-12AM)&lt;/Q&gt;&lt;R&gt;1&lt;/R&gt;&lt;C&gt;1&lt;/C&gt;&lt;D xsi:type="xsd:double"&gt;9.000742&lt;/D&gt;&lt;/FQL&gt;&lt;FQL&gt;&lt;Q&gt;ENZL^P_PRICE(0)/P_PRICE_HIGH_PR(0,,,,,,"PRICE","INTRA","52W")&lt;/Q&gt;&lt;R&gt;1&lt;/R&gt;&lt;C&gt;1&lt;/C&gt;&lt;D xsi:type="xsd:double"&gt;0.8976409&lt;/D&gt;&lt;/FQL&gt;&lt;FQL&gt;&lt;Q&gt;EWU^SIZE(FG_CONSTITUENTS)&lt;/Q&gt;&lt;R&gt;1&lt;/R&gt;&lt;C&gt;1&lt;/C&gt;&lt;D xsi:type="xsd:long"&gt;82&lt;/D&gt;&lt;/FQL&gt;&lt;FQL&gt;&lt;Q&gt;EWA^FMA_RBICS_REV_CURRENT(30, LOC, "PORTAGG")&lt;/Q&gt;&lt;R&gt;1&lt;/R&gt;&lt;C&gt;1&lt;/C&gt;&lt;D xsi:type="xsd:double"&gt;41.3569255279872&lt;/D&gt;&lt;/FQL&gt;&lt;FQL&gt;&lt;Q&gt;TRYSE10Y-FDS^FG_YIELD(0,,,,"YTM")&lt;/Q&gt;&lt;R&gt;1&lt;/R&gt;&lt;C&gt;1&lt;/C&gt;&lt;D xsi:type="xsd:double"&gt;2.227&lt;/D&gt;&lt;/FQL&gt;&lt;FQL&gt;&lt;Q&gt;CC_DE^IMF_IFS_RCPI_Q(0)&lt;/Q&gt;&lt;R&gt;1&lt;/R&gt;&lt;C&gt;1&lt;/C&gt;&lt;D xsi:type="xsd:double"&gt;2.5173564&lt;/D&gt;&lt;/FQL&gt;&lt;FQL&gt;&lt;Q&gt;EWD^FMA_PE(NTMA,0,,,"PORTAGG","MEANR")&lt;/Q&gt;&lt;R&gt;1&lt;/R&gt;&lt;C&gt;1&lt;/C&gt;&lt;D xsi:type="xsd:double"&gt;16.1268941501946&lt;/D&gt;&lt;/FQL&gt;&lt;FQL&gt;&lt;Q&gt;QQQ^FMA_PE(NTMA,0,,,"PORTAGG","MEANR")&lt;/Q&gt;&lt;R&gt;1&lt;/R&gt;&lt;C&gt;1&lt;/C&gt;&lt;D xsi:type="xsd:double"&gt;26.8396717940978&lt;/D&gt;&lt;/FQL&gt;&lt;FQL&gt;&lt;Q&gt;EWG^FMA_EVAL_EBITDA(NTMA,0,,,"PORTAGG","MEANR")&lt;/Q&gt;&lt;R&gt;1&lt;/R&gt;&lt;C&gt;1&lt;/C&gt;&lt;D xsi:type="xsd:double"&gt;8.48298853590435&lt;/D&gt;&lt;/FQL&gt;&lt;FQL&gt;&lt;Q&gt;EWJ^P_PRICE(0)/P_PRICE_HIGH_PR(0,,,USD,,,"PRICE","INTRA","52W")&lt;/Q&gt;&lt;R&gt;1&lt;/R&gt;&lt;C&gt;1&lt;/C&gt;&lt;D xsi:type="xsd:double"&gt;0.9317977&lt;/D&gt;&lt;/FQL&gt;&lt;FQL&gt;&lt;Q&gt;EWG^FG_FCF_YIELD_NTM(0)&lt;/Q&gt;&lt;R&gt;1&lt;/R&gt;&lt;C&gt;1&lt;/C&gt;&lt;D xsi:type="xsd:double"&gt;5.80715632796194&lt;/D&gt;&lt;/FQL&gt;&lt;FQL&gt;&lt;Q&gt;UUP^FG_TOTAL_RETURNC(0,-1AM)&lt;/Q&gt;&lt;R&gt;1&lt;/R&gt;&lt;C&gt;1&lt;/C&gt;&lt;D xsi:type="xsd:double"&gt;0.45249462&lt;/D&gt;&lt;/FQL&gt;&lt;FQL&gt;&lt;Q&gt;EWN^FG_TOTAL_RETURNC(0,-12AM)&lt;/Q&gt;&lt;R&gt;1&lt;/R&gt;&lt;C&gt;1&lt;/C&gt;&lt;D xsi:type="xsd:double"&gt;21.70788&lt;/D&gt;&lt;/FQL&gt;&lt;FQL&gt;&lt;Q&gt;EWL^P_PRICE(0)/P_PRICE_HIGH_PR(0,,,,,,"PRICE","INTRA","52W")&lt;/Q&gt;&lt;R&gt;1&lt;/R&gt;&lt;C&gt;1&lt;/C&gt;&lt;D xsi:type="xsd:double"&gt;0.9668181&lt;/D&gt;&lt;/FQL&gt;&lt;FQL&gt;&lt;Q&gt;ENZL^FG_TOTAL_RETURNC(0,-3AM)&lt;/Q&gt;&lt;R&gt;1&lt;/R&gt;&lt;C&gt;1&lt;/C&gt;&lt;D xsi:type="xsd:double"&gt;1.3606906&lt;/D&gt;&lt;/FQL&gt;&lt;FQL&gt;&lt;Q&gt;EWI^FG_ROE(0)&lt;/Q&gt;&lt;R&gt;1&lt;/R&gt;&lt;C&gt;1&lt;/C&gt;&lt;D xsi:type="xsd:double"&gt;13.9884929483028&lt;/D&gt;&lt;/FQL&gt;&lt;FQL&gt;&lt;Q&gt;REFNZOCR-FDS^FG_YIELD(NOW,,,0)&lt;/Q&gt;&lt;R&gt;1&lt;/R&gt;&lt;C&gt;1&lt;/C&gt;&lt;D xsi:type="xsd:double"&gt;5.5&lt;/D&gt;&lt;/FQL&gt;&lt;FQL&gt;&lt;Q&gt;CC_AU^IMF_IFS_RCPI_Q(0)&lt;/Q&gt;&lt;R&gt;1&lt;/R&gt;&lt;C&gt;1&lt;/C&gt;&lt;D xsi:type="xsd:double"&gt;3.61991&lt;/D&gt;&lt;/FQL&gt;&lt;FQL&gt;&lt;Q&gt;EWD^FMA_PE(LTM,0,,,"PORTAGG","MEANR")&lt;/Q&gt;&lt;R&gt;1&lt;/R&gt;&lt;C&gt;1&lt;/C&gt;&lt;D xsi:type="xsd:double"&gt;14.1635360264242&lt;/D&gt;&lt;/FQL&gt;&lt;FQL&gt;&lt;Q&gt;EWG^FMA_DIV_YLD(NTMA,NOW,NOW,M,"PORTAGG","MEANR")&lt;/Q&gt;&lt;R&gt;1&lt;/R&gt;&lt;C&gt;1&lt;/C&gt;&lt;D xsi:type="xsd:double"&gt;3.38056906878235&lt;/D&gt;&lt;/FQL&gt;&lt;FQL&gt;&lt;Q&gt;EWA^FG_PRICE_MAVG(0,,,,30)&lt;/Q&gt;&lt;R&gt;1&lt;/R&gt;&lt;C&gt;1&lt;/C&gt;&lt;D xsi:type="xsd:double"&gt;24.625334&lt;/D&gt;&lt;/FQL&gt;&lt;FQL&gt;&lt;Q&gt;EWD^FMA_PCT_ABOVE_MAVG(200,0,,,,"PORTAGG")&lt;/Q&gt;&lt;R&gt;1&lt;/R&gt;&lt;C&gt;1&lt;/C&gt;&lt;D xsi:type="xsd:double"&gt;88.6363636363636&lt;/D&gt;&lt;/FQL&gt;&lt;FQL&gt;&lt;Q&gt;EWL^P_PRICE(0)/P_PRICE_LOW_PR(0,,,,,,"PRICE","INTRA","52W")-1&lt;/Q&gt;&lt;R&gt;1&lt;/R&gt;&lt;C&gt;1&lt;/C&gt;&lt;D xsi:type="xsd:double"&gt;0.17809868&lt;/D&gt;&lt;/FQL&gt;&lt;FQL&gt;&lt;Q&gt;ENZL^FG_TOTAL_RETURNC(0,-6AM)&lt;/Q&gt;&lt;R&gt;1&lt;/R&gt;&lt;C&gt;1&lt;/C&gt;&lt;D xsi:type="xsd:double"&gt;-1.0690868&lt;/D&gt;&lt;/FQL&gt;&lt;FQL&gt;&lt;Q&gt;EWL^FMA_COS_UP("EPS","1M",+1,0,,,"PORTAGG","MEANR")&lt;/Q&gt;&lt;R&gt;1&lt;/R&gt;&lt;C&gt;1&lt;/C&gt;&lt;D xsi:type="xsd:double"&gt;22&lt;/D&gt;&lt;/FQL&gt;&lt;FQL&gt;&lt;Q&gt;ENZL^FMA_RBICS_REV_CURRENT(30, LOC, "PORTAGG")&lt;/Q&gt;&lt;R&gt;1&lt;/R&gt;&lt;C&gt;1&lt;/C&gt;&lt;D xsi:type="xsd:double"&gt;14.3512586842186&lt;/D&gt;&lt;/FQL&gt;&lt;FQL&gt;&lt;Q&gt;REFNZOCR-FDS^(SUBARRAY(NOT_NA(NO_REPEAT_F(FG_YIELD(NOW,-10AY,D))),0,1)-SUBARRAY(NOT_NA(NO_REPEAT_F(FG_YIELD(NOW,-10AY,D))),1,1))*100&lt;/Q&gt;&lt;R&gt;1&lt;/R&gt;&lt;C&gt;1&lt;/C&gt;&lt;D xsi:type="xsd:double"&gt;25&lt;/D&gt;&lt;/FQL&gt;&lt;FQL&gt;&lt;Q&gt;CC_CA^IMF_IFS_RCPI_Q(0)&lt;/Q&gt;&lt;R&gt;1&lt;/R&gt;&lt;C&gt;1&lt;/C&gt;&lt;D xsi:type="xsd:double"&gt;2.8466706&lt;/D&gt;&lt;/FQL&gt;&lt;FQL&gt;&lt;Q&gt;QQQ^FMA_PE(LTM,0,,,"PORTAGG","MEANR")&lt;/Q&gt;&lt;R&gt;1&lt;/R&gt;&lt;C&gt;1&lt;/C&gt;&lt;D xsi:type="xsd:double"&gt;34.9010897541141&lt;/D&gt;&lt;/FQL&gt;&lt;FQL&gt;&lt;Q&gt;REFSEREPO-FDS^(SUBARRAY(NOT_NA(NO_REPEAT_F(FG_YIELD(NOW,-10AY,D))),0,1)-SUBARRAY(NOT_NA(NO_REPEAT_F(FG_YIELD(NOW,-10AY,D))),1,1))*100&lt;/Q&gt;&lt;R&gt;1&lt;/R&gt;&lt;C&gt;1&lt;/C&gt;&lt;D xsi:type="xsd:double"&gt;-25&lt;/D&gt;&lt;/FQL&gt;&lt;FQL&gt;&lt;Q&gt;EWA^FG_PRICE(0)&lt;/Q&gt;&lt;R&gt;1&lt;/R&gt;&lt;C&gt;1&lt;/C&gt;&lt;D xsi:type="xsd:double"&gt;24.26&lt;/D&gt;&lt;/FQL&gt;&lt;FQL&gt;&lt;Q&gt;TRYNL10Y-FDS^FG_YIELD(0,,,,"YTM")&lt;/Q&gt;&lt;R&gt;1&lt;/R&gt;&lt;C&gt;1&lt;/C&gt;&lt;D xsi:type="xsd:double"&gt;2.847&lt;/D&gt;&lt;/FQL&gt;&lt;FQL&gt;&lt;Q&gt;GLD^FG_TOTAL_RETURNC(0,-6AM)&lt;/Q&gt;&lt;R&gt;1&lt;/R&gt;&lt;C&gt;1&lt;/C&gt;&lt;D xsi:type="xsd:double"&gt;13.505304&lt;/D&gt;&lt;/FQL&gt;&lt;FQL&gt;&lt;Q&gt;ENZL^FG_PRICE_MAVG(0,,,,200)&lt;/Q&gt;&lt;R&gt;1&lt;/R&gt;&lt;C&gt;1&lt;/C&gt;&lt;D xsi:type="xsd:double"&gt;45.348488&lt;/D&gt;&lt;/FQL&gt;&lt;FQL&gt;&lt;Q&gt;EWN^P_PRICE(0)/P_PRICE_LOW_PR(0,,,,,,"PRICE","INTRA","52W")-1&lt;/Q&gt;&lt;R&gt;1&lt;/R&gt;&lt;C&gt;1&lt;/C&gt;&lt;D xsi:type="xsd:double"&gt;0.40975475&lt;/D&gt;&lt;/FQL&gt;&lt;FQL&gt;&lt;Q&gt;EWL^FG_TOTAL_RETURNC(0,-6AM)&lt;/Q&gt;&lt;R&gt;1&lt;/R&gt;&lt;C&gt;1&lt;/C&gt;&lt;D xsi:type="xsd:double"&gt;6.333697&lt;/D&gt;&lt;/FQL&gt;&lt;FQL&gt;&lt;Q&gt;ENZL^FG_TOTAL_RETURNC(0,-1AM)&lt;/Q&gt;&lt;R&gt;1&lt;/R&gt;&lt;C&gt;1&lt;/C&gt;&lt;D xsi:type="xsd:double"&gt;3.4398794&lt;/D&gt;&lt;/FQL&gt;&lt;FQL&gt;&lt;Q&gt;EWD^FG_ROE(0)&lt;/Q&gt;&lt;R&gt;1&lt;/R&gt;&lt;C&gt;1&lt;/C&gt;&lt;D xsi:type="xsd:double"&gt;17.0313165564188&lt;/D&gt;&lt;/FQL&gt;&lt;FQL&gt;&lt;Q&gt;REFSEREPO-FDS^FG_YIELD(NOW,,,0)&lt;/Q&gt;&lt;R&gt;1&lt;/R&gt;&lt;C&gt;1&lt;/C&gt;&lt;D xsi:type="xsd:double"&gt;3.75&lt;/D&gt;&lt;/FQL&gt;&lt;FQL&gt;&lt;Q&gt;REFNZOCR-FDS^PROPER_NAME(0,,,"SECURITY","NAME")&lt;/Q&gt;&lt;R&gt;1&lt;/R&gt;&lt;C&gt;1&lt;/C&gt;&lt;D xsi:type="xsd:string"&gt;New Zealand Official Cash Rate&lt;/D&gt;&lt;/FQL&gt;&lt;FQL&gt;&lt;Q&gt;CC_NZ^IMF_IFS_RCPI_Q(0)&lt;/Q&gt;&lt;R&gt;1&lt;/R&gt;&lt;C&gt;1&lt;/C&gt;&lt;D xsi:type="xsd:double"&gt;4.022989&lt;/D&gt;&lt;/FQL&gt;&lt;FQL&gt;&lt;Q&gt;EWD^JULIAN(FMA_DIV_YLD(NTMA,NOW,NOW,M,"PORTAGG","MEANR").DATES)&lt;/Q&gt;&lt;R&gt;1&lt;/R&gt;&lt;C&gt;1&lt;/C&gt;&lt;D xsi:type="xsd:long"&gt;45443&lt;/D&gt;&lt;/FQL&gt;&lt;FQL&gt;&lt;Q&gt;EWG^FMA_PE(NTMA,0,,,"PORTAGG","MEANR")&lt;/Q&gt;&lt;R&gt;1&lt;/R&gt;&lt;C&gt;1&lt;/C&gt;&lt;D xsi:type="xsd:double"&gt;11.9196932818141&lt;/D&gt;&lt;/FQL&gt;&lt;FQL&gt;&lt;Q&gt;GLD^P_PRICE(0)/P_PRICE_HIGH_PR(0,,,USD,,,"PRICE","INTRA","52W")&lt;/Q&gt;&lt;R&gt;1&lt;/R&gt;&lt;C&gt;1&lt;/C&gt;&lt;D xsi:type="xsd:double"&gt;0.9437649&lt;/D&gt;&lt;/FQL&gt;&lt;FQL&gt;&lt;Q&gt;REFSEREPO-FDS^PROPER_NAME(0,,,"SECURITY","NAME")&lt;/Q&gt;&lt;R&gt;1&lt;/R&gt;&lt;C&gt;1&lt;/C&gt;&lt;D xsi:type="xsd:string"&gt;Sweden Repo Rate&lt;/D&gt;&lt;/FQL&gt;&lt;FQL&gt;&lt;Q&gt;EWN^P_PRICE(0)/P_PRICE_HIGH_PR(0,,,,,,"PRICE","INTRA","52W")&lt;/Q&gt;&lt;R&gt;1&lt;/R&gt;&lt;C&gt;1&lt;/C&gt;&lt;D xsi:type="xsd:double"&gt;0.9709622&lt;/D&gt;&lt;/FQL&gt;&lt;FQL&gt;&lt;Q&gt;URTH^P_PRICE(0)/P_PRICE_LOW_PR(0,,,,,,"PRICE","INTRA","52W")-1&lt;/Q&gt;&lt;R&gt;1&lt;/R&gt;&lt;C&gt;1&lt;/C&gt;&lt;D xsi:type="xsd:double"&gt;0.2816913&lt;/D&gt;&lt;/FQL&gt;&lt;FQL&gt;&lt;Q&gt;EWN^FG_TOTAL_RETURNC(0,-3AM)&lt;/Q&gt;&lt;R&gt;1&lt;/R&gt;&lt;C&gt;1&lt;/C&gt;&lt;D xsi:type="xsd:double"&gt;5.693865&lt;/D&gt;&lt;/FQL&gt;&lt;FQL&gt;&lt;Q&gt;EWL^FG_TOTAL_RETURNC(0,-1AM)&lt;/Q&gt;&lt;R&gt;1&lt;/R&gt;&lt;C&gt;1&lt;/C&gt;&lt;D xsi:type="xsd:double"&gt;4.751289&lt;/D&gt;&lt;/FQL&gt;&lt;FQL&gt;&lt;Q&gt;ENZL^PERCENT_CHANGE(FMA_EPS(+1,0,,,,"PORTAGG","MEAN"),FMA_EPS(+1,-1AM,,,,"PORTAGG","MEAN"))&lt;/Q&gt;&lt;R&gt;1&lt;/R&gt;&lt;C&gt;1&lt;/C&gt;&lt;D xsi:type="xsd:double"&gt;8.04808701561673&lt;/D&gt;&lt;/FQL&gt;&lt;FQL&gt;&lt;Q&gt;EWG^SIZE(FG_CONSTITUENTS)&lt;/Q&gt;&lt;R&gt;1&lt;/R&gt;&lt;C&gt;1&lt;/C&gt;&lt;D xsi:type="xsd:long"&gt;59&lt;/D&gt;&lt;/FQL&gt;&lt;FQL&gt;&lt;Q&gt;EWU^FG_ROE(0)&lt;/Q&gt;&lt;R&gt;1&lt;/R&gt;&lt;C&gt;1&lt;/C&gt;&lt;D xsi:type="xsd:double"&gt;14.5721360921698&lt;/D&gt;&lt;/FQL&gt;&lt;FQL&gt;&lt;Q&gt;TRYIT10Y-FDS^PCTCHG(FG_YIELD(0,,,,"YTM"),FG_YIELD(-1AM,,,,"YTM"))&lt;/Q&gt;&lt;R&gt;1&lt;/R&gt;&lt;C&gt;1&lt;/C&gt;&lt;D xsi:type="xsd:double"&gt;4.6866765&lt;/D&gt;&lt;/FQL&gt;&lt;FQL&gt;&lt;Q&gt;VWO^FMA_EVAL_EBITDA(NTMA,0,,,"PORTAGG","MEANR")&lt;/Q&gt;&lt;R&gt;1&lt;/R&gt;&lt;C&gt;1&lt;/C&gt;&lt;D xsi:type="xsd:double"&gt;8.90503783222872&lt;/D&gt;&lt;/FQL&gt;&lt;FQL&gt;&lt;Q&gt;EWG^JULIAN(FMA_DIV_YLD(NTMA,NOW,NOW,M,"PORTAGG","MEANR").DATES)&lt;/Q&gt;&lt;R&gt;1&lt;/R&gt;&lt;C&gt;1&lt;/C&gt;&lt;D xsi:type="xsd:long"&gt;45443&lt;/D&gt;&lt;/FQL&gt;&lt;FQL&gt;&lt;Q&gt;VGK^P_PRICE(0)/P_PRICE_HIGH_PR(0,,,USD,,,"PRICE","INTRA","52W")&lt;/Q&gt;&lt;R&gt;1&lt;/R&gt;&lt;C&gt;1&lt;/C&gt;&lt;D xsi:type="xsd:double"&gt;0.97219664&lt;/D&gt;&lt;/FQL&gt;&lt;FQL&gt;&lt;Q&gt;GLD^FG_TOTAL_RETURNC(0,-3AM)&lt;/Q&gt;&lt;R&gt;1&lt;/R&gt;&lt;C&gt;1&lt;/C&gt;&lt;D xsi:type="xsd:double"&gt;5.855167&lt;/D&gt;&lt;/FQL&gt;&lt;FQL&gt;&lt;Q&gt;URTH^P_PRICE(0)/P_PRICE_HIGH_PR(0,,,,,,"PRICE","INTRA","52W")&lt;/Q&gt;&lt;R&gt;1&lt;/R&gt;&lt;C&gt;1&lt;/C&gt;&lt;D xsi:type="xsd:double"&gt;0.9924049&lt;/D&gt;&lt;/FQL&gt;&lt;FQL&gt;&lt;Q&gt;EWN^FG_TOTAL_RETURNC(0,-1AM)&lt;/Q&gt;&lt;R&gt;1&lt;/R&gt;&lt;C&gt;1&lt;/C&gt;&lt;D xsi:type="xsd:double"&gt;1.9652009&lt;/D&gt;&lt;/FQL&gt;&lt;FQL&gt;&lt;Q&gt;EWL^PERCENT_CHANGE(FMA_EPS(+1,0,,,,"PORTAGG","MEAN"),FMA_EPS(+1,-1AM,,,,"PORTAGG","MEAN"))&lt;/Q&gt;&lt;R&gt;1&lt;/R&gt;&lt;C&gt;1&lt;/C&gt;&lt;D xsi:type="xsd:double"&gt;2.43118482977243&lt;/D&gt;&lt;/FQL&gt;&lt;FQL&gt;&lt;Q&gt;ENZL^FMA_PCT_ABOVE_MAVG(200,0,,,,"PORTAGG")&lt;/Q&gt;&lt;R&gt;1&lt;/R&gt;&lt;C&gt;1&lt;/C&gt;&lt;D xsi:type="xsd:double"&gt;42.8571428571429&lt;/D&gt;&lt;/FQL&gt;&lt;FQL&gt;&lt;Q&gt;EWG^FMA_COS_DOWN("EPS","1M",+1,0,,,"PORTAGG","MEANR")&lt;/Q&gt;&lt;R&gt;1&lt;/R&gt;&lt;C&gt;1&lt;/C&gt;&lt;D xsi:type="xsd:double"&gt;24&lt;/D&gt;&lt;/FQL&gt;&lt;FQL&gt;&lt;Q&gt;EWL^FG_ROE(0)&lt;/Q&gt;&lt;R&gt;1&lt;/R&gt;&lt;C&gt;1&lt;/C&gt;&lt;D xsi:type="xsd:double"&gt;24.1031193432502&lt;/D&gt;&lt;/FQL&gt;&lt;FQL&gt;&lt;Q&gt;TRYSE10Y-FDS^PCTCHG(FG_YIELD(0,,,,"YTM"),FG_YIELD(-3AM,,,,"YTM"))&lt;/Q&gt;&lt;R&gt;1&lt;/R&gt;&lt;C&gt;1&lt;/C&gt;&lt;D xsi:type="xsd:double"&gt;-3.0052269&lt;/D&gt;&lt;/FQL&gt;&lt;FQL&gt;&lt;Q&gt;VWO^FMA_DIV_YLD(NTMA,NOW,NOW,M,"PORTAGG","MEANR")&lt;/Q&gt;&lt;R&gt;1&lt;/R&gt;&lt;C&gt;1&lt;/C&gt;&lt;D xsi:type="xsd:double"&gt;3.06464943449253&lt;/D&gt;&lt;/FQL&gt;&lt;FQL&gt;&lt;Q&gt;EWN^FMA_EVAL_EBITDA(NTMA,0,,,"PORTAGG","MEANR")&lt;/Q&gt;&lt;R&gt;1&lt;/R&gt;&lt;C&gt;1&lt;/C&gt;&lt;D xsi:type="xsd:double"&gt;12.878590682966&lt;/D&gt;&lt;/FQL&gt;&lt;FQL&gt;&lt;Q&gt;EWU^FMA_EVAL_EBITDA(NTMA,0,,,"PORTAGG","MEANR")&lt;/Q&gt;&lt;R&gt;1&lt;/R&gt;&lt;C&gt;1&lt;/C&gt;&lt;D xsi:type="xsd:double"&gt;7.46262658772965&lt;/D&gt;&lt;/FQL&gt;&lt;FQL&gt;&lt;Q&gt;EWC^FMA_EVAL_EBITDA(NTMA,0,,,"PORTAGG","MEANR")&lt;/Q&gt;&lt;R&gt;1&lt;/R&gt;&lt;C&gt;1&lt;/C&gt;&lt;D xsi:type="xsd:double"&gt;9.70752582126086&lt;/D&gt;&lt;/FQL&gt;&lt;FQL&gt;&lt;Q&gt;GLD^FG_TOTAL_RETURNC(0,-1AM)&lt;/Q&gt;&lt;R&gt;1&lt;/R&gt;&lt;C&gt;1&lt;/C&gt;&lt;D xsi:type="xsd:double"&gt;-1.5213132&lt;/D&gt;&lt;/FQL&gt;&lt;FQL&gt;&lt;Q&gt;SPY^P_PRICE(0)/P_PRICE_HIGH_PR(0,,,USD,,,"PRICE","INTRA","52W")&lt;/Q&gt;&lt;R&gt;1&lt;/R&gt;&lt;C&gt;1&lt;/C&gt;&lt;D xsi:type="xsd:double"&gt;0.99693084&lt;/D&gt;&lt;/FQL&gt;&lt;FQL&gt;&lt;Q&gt;URTH^FG_TOTAL_RETURNC(0,-6AM)&lt;/Q&gt;&lt;R&gt;1&lt;/R&gt;&lt;C&gt;1&lt;/C&gt;&lt;D xsi:type="xsd:double"&gt;13.498699&lt;/D&gt;&lt;/FQL&gt;&lt;FQL&gt;&lt;Q&gt;EWN^PERCENT_CHANGE(FMA_EPS(+1,0,,,,"PORTAGG","MEAN"),FMA_EPS(+1,-3AM,,,,"PORTAGG","MEAN"))&lt;/Q&gt;&lt;R&gt;1&lt;/R&gt;&lt;C&gt;1&lt;/C&gt;&lt;D xsi:type="xsd:double"&gt;-3.19409441555172&lt;/D&gt;&lt;/FQL&gt;&lt;FQL&gt;&lt;Q&gt;EWL^FMA_PCT_ABOVE_MAVG(200,0,,,,"PORTAGG")&lt;/Q&gt;&lt;R&gt;1&lt;/R&gt;&lt;C&gt;1&lt;/C&gt;&lt;D xsi:type="xsd:double"&gt;71.1111111111111&lt;/D&gt;&lt;/FQL&gt;&lt;FQL&gt;&lt;Q&gt;FXI^FMA_COS_DOWN("EPS","1M",+1,0,,,"PORTAGG","MEANR")&lt;/Q&gt;&lt;R&gt;1&lt;/R&gt;&lt;C&gt;1&lt;/C&gt;&lt;D xsi:type="xsd:double"&gt;18&lt;/D&gt;&lt;/FQL&gt;&lt;FQL&gt;&lt;Q&gt;EWG^FMA_COS_UP("EPS","1M",+1,0,,,"PORTAGG","MEANR")&lt;/Q&gt;&lt;R&gt;1&lt;/R&gt;&lt;C&gt;1&lt;/C&gt;&lt;D xsi:type="xsd:double"&gt;26&lt;/D&gt;&lt;/FQL&gt;&lt;FQL&gt;&lt;Q&gt;EWJ^FG_ROE(0)&lt;/Q&gt;&lt;R&gt;1&lt;/R&gt;&lt;C&gt;1&lt;/C&gt;&lt;D xsi:type="xsd:double"&gt;9.50993100698904&lt;/D&gt;&lt;/FQL&gt;&lt;FQL&gt;&lt;Q&gt;TRYSE10Y-FDS^PCTCHG(FG_YIELD(0,,,,"YTM"),FG_YIELD(-1AM,,,,"YTM"))&lt;/Q&gt;&lt;R&gt;1&lt;/R&gt;&lt;C&gt;1&lt;/C&gt;&lt;D xsi:type="xsd:double"&gt;-5.1129055&lt;/D&gt;&lt;/FQL&gt;&lt;FQL&gt;&lt;Q&gt;TRYGB10Y-FDS^FG_YIELD(0,,,,"YTM")&lt;/Q&gt;&lt;R&gt;1&lt;/R&gt;&lt;C&gt;1&lt;/C&gt;&lt;D xsi:type="xsd:double"&gt;4.152&lt;/D&gt;&lt;/FQL&gt;&lt;FQL&gt;&lt;Q&gt;VWO^FG_PE(0)&lt;/Q&gt;&lt;R&gt;1&lt;/R&gt;&lt;C&gt;1&lt;/C&gt;&lt;D xsi:type="xsd:double"&gt;14.3840817226485&lt;/D&gt;&lt;/FQL&gt;&lt;FQL&gt;&lt;Q&gt;EWN^FG_FCF_YIELD_NTM(0)&lt;/Q&gt;&lt;R&gt;1&lt;/R&gt;&lt;C&gt;1&lt;/C&gt;&lt;D xsi:type="xsd:double"&gt;3.46764644066718&lt;/D&gt;&lt;/FQL&gt;&lt;FQL&gt;&lt;Q&gt;EWC^FG_FCF_YIELD_NTM(0)&lt;/Q&gt;&lt;R&gt;1&lt;/R&gt;&lt;C&gt;1&lt;/C&gt;&lt;D xsi:type="xsd:double"&gt;6.15749927201455&lt;/D&gt;&lt;/FQL&gt;&lt;FQL&gt;&lt;Q&gt;URTH^FG_TOTAL_RETURNC(0,-3AM)&lt;/Q&gt;&lt;R&gt;1&lt;/R&gt;&lt;C&gt;1&lt;/C&gt;&lt;D xsi:type="xsd:double"&gt;3.6200643&lt;/D&gt;&lt;/FQL&gt;&lt;FQL&gt;&lt;Q&gt;EWN^PERCENT_CHANGE(FMA_EPS(+1,0,,,,"PORTAGG","MEAN"),FMA_EPS(+1,-1AM,,,,"PORTAGG","MEAN"))&lt;/Q&gt;&lt;R&gt;1&lt;/R&gt;&lt;C&gt;1&lt;/C&gt;&lt;D xsi:type="xsd:double"&gt;-3.87623940185019&lt;/D&gt;&lt;/FQL&gt;&lt;FQL&gt;&lt;Q&gt;FXI^FMA_COS_UP("EPS","1M",+1,0,,,"PORTAGG","MEANR")&lt;/Q&gt;&lt;R&gt;1&lt;/R&gt;&lt;C&gt;1&lt;/C&gt;&lt;D xsi:type="xsd:double"&gt;21&lt;/D&gt;&lt;/FQL&gt;&lt;FQL&gt;&lt;Q&gt;EWC^FMA_COS_DOWN("EPS","1M",+1,0,,,"PORTAGG","MEANR")&lt;/Q&gt;&lt;R&gt;1&lt;/R&gt;&lt;C&gt;1&lt;/C&gt;&lt;D xsi:type="xsd:double"&gt;32&lt;/D&gt;&lt;/FQL&gt;&lt;FQL&gt;&lt;Q&gt;EWG^FG_ROE(0)&lt;/Q&gt;&lt;R&gt;1&lt;/R&gt;&lt;C&gt;1&lt;/C&gt;&lt;D xsi:type="xsd:double"&gt;9.51864625736087&lt;/D&gt;&lt;/FQL&gt;&lt;FQL&gt;&lt;Q&gt;TRYNL10Y-FDS^PCTCHG(FG_YIELD(0,,,,"YTM"),FG_YIELD(-3AM,,,,"YTM"))&lt;/Q&gt;&lt;R&gt;1&lt;/R&gt;&lt;C&gt;1&lt;/C&gt;&lt;D xsi:type="xsd:double"&gt;7.8817716&lt;/D&gt;&lt;/FQL&gt;&lt;FQL&gt;&lt;Q&gt;VWO^JULIAN(FMA_DIV_YLD(NTMA,NOW,NOW,M,"PORTAGG","MEANR").DATES)&lt;/Q&gt;&lt;R&gt;1&lt;/R&gt;&lt;C&gt;1&lt;/C&gt;&lt;D xsi:type="xsd:long"&gt;45412&lt;/D&gt;&lt;/FQL&gt;&lt;FQL&gt;&lt;Q&gt;EWN^FMA_DIV_YLD(NTMA,NOW,NOW,M,"PORTAGG","MEANR")&lt;/Q&gt;&lt;R&gt;1&lt;/R&gt;&lt;C&gt;1&lt;/C&gt;&lt;D xsi:type="xsd:double"&gt;2.51422504808819&lt;/D&gt;&lt;/FQL&gt;&lt;FQL&gt;&lt;Q&gt;EWU^FG_FCF_YIELD_NTM(0)&lt;/Q&gt;&lt;R&gt;1&lt;/R&gt;&lt;C&gt;1&lt;/C&gt;&lt;D xsi:type="xsd:double"&gt;6.1409359671938&lt;/D&gt;&lt;/FQL&gt;&lt;FQL&gt;&lt;Q&gt;EWC^FMA_DIV_YLD(NTMA,NOW,NOW,M,"PORTAGG","MEANR")&lt;/Q&gt;&lt;R&gt;1&lt;/R&gt;&lt;C&gt;1&lt;/C&gt;&lt;D xsi:type="xsd:double"&gt;3.26086593722445&lt;/D&gt;&lt;/FQL&gt;&lt;FQL&gt;&lt;Q&gt;TLT^P_PRICE(0)/P_PRICE_HIGH_PR(0,,,USD,,,"PRICE","INTRA","52W")&lt;/Q&gt;&lt;R&gt;1&lt;/R&gt;&lt;C&gt;1&lt;/C&gt;&lt;D xsi:type="xsd:double"&gt;0.9031265&lt;/D&gt;&lt;/FQL&gt;&lt;FQL&gt;&lt;Q&gt;REFAUCASH-FDS^FG_YIELD(NOW,,,0)&lt;/Q&gt;&lt;R&gt;1&lt;/R&gt;&lt;C&gt;1&lt;/C&gt;&lt;D xsi:type="xsd:double"&gt;4.35&lt;/D&gt;&lt;/FQL&gt;&lt;FQL&gt;&lt;Q&gt;QQQ^FMA_COS_UP("EPS","1M",+1,0,,,"PORTAGG","MEANR")&lt;/Q&gt;&lt;R&gt;1&lt;/R&gt;&lt;C&gt;1&lt;/C&gt;&lt;D xsi:type="xsd:double"&gt;39&lt;/D&gt;&lt;/FQL&gt;&lt;FQL&gt;&lt;Q&gt;EWU^FMA_EVAL_EBIT(LTMA,NOW,NOW,M,"PORTAGG","MEANR")&lt;/Q&gt;&lt;R&gt;1&lt;/R&gt;&lt;C&gt;1&lt;/C&gt;&lt;D xsi:type="xsd:double"&gt;10.5863534136979&lt;/D&gt;&lt;/FQL&gt;&lt;FQL&gt;&lt;Q&gt;VWO^P_PRICE(0)/P_PRICE_LOW_PR(0,,,,,,"PRICE","INTRA","52W")-1&lt;/Q&gt;&lt;R&gt;1&lt;/R&gt;&lt;C&gt;1&lt;/C&gt;&lt;D xsi:type="xsd:double"&gt;0.16513145&lt;/D&gt;&lt;/FQL&gt;&lt;FQL&gt;&lt;Q&gt;EWQ^FG_TOTAL_RETURNC(0,-6AM)&lt;/Q&gt;&lt;R&gt;1&lt;/R&gt;&lt;C&gt;1&lt;/C&gt;&lt;D xsi:type="xsd:double"&gt;2.9102564&lt;/D&gt;&lt;/FQL&gt;&lt;FQL&gt;&lt;Q&gt;EWC^FMA_COS_UP("EPS","1M",+1,0,,,"PORTAGG","MEANR")&lt;/Q&gt;&lt;R&gt;1&lt;/R&gt;&lt;C&gt;1&lt;/C&gt;&lt;D xsi:type="xsd:double"&gt;34&lt;/D&gt;&lt;/FQL&gt;&lt;FQL&gt;&lt;Q&gt;EWC^FG_ROE(0)&lt;/Q&gt;&lt;R&gt;1&lt;/R&gt;&lt;C&gt;1&lt;/C&gt;&lt;D xsi:type="xsd:double"&gt;11.0183343696392&lt;/D&gt;&lt;/FQL&gt;&lt;FQL&gt;&lt;Q&gt;TRYCH10Y-FDS^FG_YIELD(0,,,,"YTM")&lt;/Q&gt;&lt;R&gt;1&lt;/R&gt;&lt;C&gt;1&lt;/C&gt;&lt;D xsi:type="xsd:double"&gt;0.787&lt;/D&gt;&lt;/FQL&gt;&lt;FQL&gt;&lt;Q&gt;VGK^FMA_EVAL_EBIT(LTMA,NOW,NOW,M,"PORTAGG","MEANR")&lt;/Q&gt;&lt;R&gt;1&lt;/R&gt;&lt;C&gt;1&lt;/C&gt;&lt;D xsi:type="xsd:double"&gt;13.2004532321572&lt;/D&gt;&lt;/FQL&gt;&lt;FQL&gt;&lt;Q&gt;EWN^FMA_PE(NTMA,0,,,"PORTAGG","MEANR")&lt;/Q&gt;&lt;R&gt;1&lt;/R&gt;&lt;C&gt;1&lt;/C&gt;&lt;D xsi:type="xsd:double"&gt;16.6164272183828&lt;/D&gt;&lt;/FQL&gt;&lt;FQL&gt;&lt;Q&gt;EWU^FMA_DIV_YLD(NTMA,NOW,NOW,M,"PORTAGG","MEANR")&lt;/Q&gt;&lt;R&gt;1&lt;/R&gt;&lt;C&gt;1&lt;/C&gt;&lt;D xsi:type="xsd:double"&gt;3.86610992627663&lt;/D&gt;&lt;/FQL&gt;&lt;FQL&gt;&lt;Q&gt;TLT^FG_TOTAL_RETURNC(0,-6AM)&lt;/Q&gt;&lt;R&gt;1&lt;/R&gt;&lt;C&gt;1&lt;/C&gt;&lt;D xsi:type="xsd:double"&gt;-1.1375785&lt;/D&gt;&lt;/FQL&gt;&lt;FQL&gt;&lt;Q&gt;EWJ^FMA_RBICS_REV_CURRENT(30, LOC, "PORTAGG")&lt;/Q&gt;&lt;R&gt;1&lt;/R&gt;&lt;C&gt;1&lt;/C&gt;&lt;D xsi:type="xsd:double"&gt;18.8758256480554&lt;/D&gt;&lt;/FQL&gt;&lt;FQL&gt;&lt;Q&gt;DUMMY^ECON_DATE(45426,,, 'MM/YYYY')&lt;/Q&gt;&lt;R&gt;1&lt;/R&gt;&lt;C&gt;1&lt;/C&gt;&lt;D xsi:type="xsd:string"&gt;05/2024&lt;/D&gt;&lt;/FQL&gt;&lt;FQL&gt;&lt;Q&gt;DUMMY^ECON_DATE(45336,,, 'MM/YYYY')&lt;/Q&gt;&lt;R&gt;1&lt;/R&gt;&lt;C&gt;1&lt;/C&gt;&lt;D xsi:type="xsd:string"&gt;02/2024&lt;/D&gt;&lt;/FQL&gt;&lt;FQL&gt;&lt;Q&gt;DUMMY^ECON_EXPR_DATA('FDS_ECON[PMIDMMANHE]',05/2024,,Q)&lt;/Q&gt;&lt;R&gt;1&lt;/R&gt;&lt;C&gt;1&lt;/C&gt;&lt;D xsi:type="xsd:double"&gt;49.135414&lt;/D&gt;&lt;/FQL&gt;&lt;FQL&gt;&lt;Q&gt;DUMMY^ECON_EXPR_DATA('FDS_ECON[PMIDMMANHE]',02/2024,,Q)&lt;/Q&gt;&lt;R&gt;1&lt;/R&gt;&lt;C&gt;1&lt;/C&gt;&lt;D xsi:type="xsd:double"&gt;47.377968&lt;/D&gt;&lt;/FQL&gt;&lt;FQL&gt;&lt;Q&gt;DUMMY^ECON_EXPR_DATA('FDS_ECON[NTCPMIMFGSA@EME]',05/2024,,Q)&lt;/Q&gt;&lt;R&gt;1&lt;/R&gt;&lt;C&gt;1&lt;/C&gt;&lt;D xsi:type="xsd:double"&gt;51.51058&lt;/D&gt;&lt;/FQL&gt;&lt;FQL&gt;&lt;Q&gt;DUMMY^ECON_EXPR_DATA('FDS_ECON[NTCPMIMFGSA@EME]',02/2024,,Q)&lt;/Q&gt;&lt;R&gt;1&lt;/R&gt;&lt;C&gt;1&lt;/C&gt;&lt;D xsi:type="xsd:double"&gt;50.624123&lt;/D&gt;&lt;/FQL&gt;&lt;FQL&gt;&lt;Q&gt;DUMMY^ECON_EXPR_DATA('FDS_ECON[NTCPMIMFGSA@NZ]',05/2024,,Q)&lt;/Q&gt;&lt;R&gt;1&lt;/R&gt;&lt;C&gt;1&lt;/C&gt;&lt;D xsi:type="xsd:double"&gt;47.779373&lt;/D&gt;&lt;/FQL&gt;&lt;FQL&gt;&lt;Q&gt;DUMMY^ECON_EXPR_DATA('FDS_ECON[NTCPMIMFGSA@NZ]',02/2024,,Q)&lt;/Q&gt;&lt;R&gt;1&lt;/R&gt;&lt;C&gt;1&lt;/C&gt;&lt;D xsi:type="xsd:double"&gt;44.485992&lt;/D&gt;&lt;/FQL&gt;&lt;FQL&gt;&lt;Q&gt;DUMMY^ECON_EXPR_DATA('FDS_ECON[NTCPMIMFGSA@AU]',05/2024,,Q)&lt;/Q&gt;&lt;R&gt;1&lt;/R&gt;&lt;C&gt;1&lt;/C&gt;&lt;D xsi:type="xsd:double"&gt;48.39547&lt;/D&gt;&lt;/FQL&gt;&lt;FQL&gt;&lt;Q&gt;DUMMY^ECON_EXPR_DATA('FDS_ECON[NTCPMIMFGSA@AU]',02/2024,,Q)&lt;/Q&gt;&lt;R&gt;1&lt;/R&gt;&lt;C&gt;1&lt;/C&gt;&lt;D xsi:type="xsd:double"&gt;47.862293&lt;/D&gt;&lt;/FQL&gt;&lt;FQL&gt;&lt;Q&gt;DUMMY^ECON_EXPR_DATA('FDS_ECON[NTCPMIMFGSA@CA]',05/2024,,Q)&lt;/Q&gt;&lt;R&gt;1&lt;/R&gt;&lt;C&gt;1&lt;/C&gt;&lt;D xsi:type="xsd:double"&gt;49.30091&lt;/D&gt;&lt;/FQL&gt;&lt;FQL&gt;&lt;Q&gt;DUMMY^ECON_EXPR_DATA('FDS_ECON[NTCPMIMFGSA@CA]',02/2024,,Q)&lt;/Q&gt;&lt;R&gt;1&lt;/R&gt;&lt;C&gt;1&lt;/C&gt;&lt;D xsi:type="xsd:double"&gt;47.255585&lt;/D&gt;&lt;/FQL&gt;&lt;FQL&gt;&lt;Q&gt;DUMMY^ECON_EXPR_DATA('FDS_ECON[NTCPMIMFGSA@DE]',05/2024,,Q)&lt;/Q&gt;&lt;R&gt;1&lt;/R&gt;&lt;C&gt;1&lt;/C&gt;&lt;D xsi:type="xsd:double"&gt;43.319096&lt;/D&gt;&lt;/FQL&gt;&lt;FQL&gt;&lt;Q&gt;DUMMY^ECON_EXPR_DATA('FDS_ECON[NTCPMIMFGSA@DE]',02/2024,,Q)&lt;/Q&gt;&lt;R&gt;1&lt;/R&gt;&lt;C&gt;1&lt;/C&gt;&lt;D xsi:type="xsd:double"&gt;42.238945&lt;/D&gt;&lt;/FQL&gt;&lt;FQL&gt;&lt;Q&gt;DUMMY^ECON_EXPR_DATA('FDS_ECON[NTCPMIMFGSA@JP]',05/2024,,Q)&lt;/Q&gt;&lt;R&gt;1&lt;/R&gt;&lt;C&gt;1&lt;/C&gt;&lt;D xsi:type="xsd:double"&gt;47.808857&lt;/D&gt;&lt;/FQL&gt;&lt;FQL&gt;&lt;Q&gt;DUMMY^ECON_EXPR_DATA('FDS_ECON[NTCPMIMFGSA@JP]',02/2024,,Q)&lt;/Q&gt;&lt;R&gt;1&lt;/R&gt;&lt;C&gt;1&lt;/C&gt;&lt;D xsi:type="xsd:double"&gt;48.31877&lt;/D&gt;&lt;/FQL&gt;&lt;FQL&gt;&lt;Q&gt;DUMMY^ECON_EXPR_DATA('FDS_ECON[NTCPMIMFGSA@CH]',05/2024,,Q)&lt;/Q&gt;&lt;R&gt;1&lt;/R&gt;&lt;C&gt;1&lt;/C&gt;&lt;D xsi:type="xsd:double"&gt;44.08605&lt;/D&gt;&lt;/FQL&gt;&lt;FQL&gt;&lt;Q&gt;DUMMY^ECON_EXPR_DATA('FDS_ECON[NTCPMIMFGSA@CH]',02/2024,,Q)&lt;/Q&gt;&lt;R&gt;1&lt;/R&gt;&lt;C&gt;1&lt;/C&gt;&lt;D xsi:type="xsd:double"&gt;41.921543&lt;/D&gt;&lt;/FQL&gt;&lt;FQL&gt;&lt;Q&gt;DUMMY^ECON_EXPR_DATA('FDS_ECON[NTCPMIMFGSA@GB]',05/2024,,Q)&lt;/Q&gt;&lt;R&gt;1&lt;/R&gt;&lt;C&gt;1&lt;/C&gt;&lt;D xsi:type="xsd:double"&gt;48.24796&lt;/D&gt;&lt;/FQL&gt;&lt;FQL&gt;&lt;Q&gt;DUMMY^ECON_EXPR_DATA('FDS_ECON[NTCPMIMFGSA@GB]',02/2024,,Q)&lt;/Q&gt;&lt;R&gt;1&lt;/R&gt;&lt;C&gt;1&lt;/C&gt;&lt;D xsi:type="xsd:double"&gt;46.0587&lt;/D&gt;&lt;/FQL&gt;&lt;FQL&gt;&lt;Q&gt;DUMMY^ECON_EXPR_DATA('FDS_ECON[NTCPMIMFGMESA@US]',05/2024,,Q)&lt;/Q&gt;&lt;R&gt;1&lt;/R&gt;&lt;C&gt;1&lt;/C&gt;&lt;D xsi:type="xsd:double"&gt;51.582687&lt;/D&gt;&lt;/FQL&gt;&lt;FQL&gt;&lt;Q&gt;DUMMY^ECON_EXPR_DATA('FDS_ECON[NTCPMIMFGMESA@US]',02/2024,,Q)&lt;/Q&gt;&lt;R&gt;1&lt;/R&gt;&lt;C&gt;1&lt;/C&gt;&lt;D xsi:type="xsd:double"&gt;49.098827&lt;/D&gt;&lt;/FQL&gt;&lt;FQL&gt;&lt;Q&gt;DUMMY^ECON_EXPR_DATA('FDS_ECON[NTCPMIMFGSA@FR]',05/2024,,Q)&lt;/Q&gt;&lt;R&gt;1&lt;/R&gt;&lt;C&gt;1&lt;/C&gt;&lt;D xsi:type="xsd:double"&gt;45.498753&lt;/D&gt;&lt;/FQL&gt;&lt;FQL&gt;&lt;Q&gt;DUMMY^ECON_EXPR_DATA('FDS_ECON[NTCPMIMFGSA@FR]',02/2024,,Q)&lt;/Q&gt;&lt;R&gt;1&lt;/R&gt;&lt;C&gt;1&lt;/C&gt;&lt;D xsi:type="xsd:double"&gt;42.573967&lt;/D&gt;&lt;/FQL&gt;&lt;FQL&gt;&lt;Q&gt;DUMMY^ECON_EXPR_DATA('FDS_ECON[NTCPMIMFGSA@NL]',05/2024,,Q)&lt;/Q&gt;&lt;R&gt;1&lt;/R&gt;&lt;C&gt;1&lt;/C&gt;&lt;D xsi:type="xsd:double"&gt;49.325874&lt;/D&gt;&lt;/FQL&gt;&lt;FQL&gt;&lt;Q&gt;DUMMY^ECON_EXPR_DATA('FDS_ECON[NTCPMIMFGSA@NL]',02/2024,,Q)&lt;/Q&gt;&lt;R&gt;1&lt;/R&gt;&lt;C&gt;1&lt;/C&gt;&lt;D xsi:type="xsd:double"&gt;44.495136&lt;/D&gt;&lt;/FQL&gt;&lt;FQL&gt;&lt;Q&gt;DUMMY^ECON_EXPR_DATA('FDS_ECON[]',05/2024,,Q)&lt;/Q&gt;&lt;R&gt;0&lt;/R&gt;&lt;C&gt;0&lt;/C&gt;&lt;/FQL&gt;&lt;FQL&gt;&lt;Q&gt;DUMMY^ECON_EXPR_DATA('FDS_ECON[]',02/2024,,Q)&lt;/Q&gt;&lt;R&gt;0&lt;/R&gt;&lt;C&gt;0&lt;/C&gt;&lt;/FQL&gt;&lt;FQL&gt;&lt;Q&gt;DUMMY^ECON_EXPR_DATA('FDS_ECON[NTCPMIMFGSA@IT]',05/2024,,Q)&lt;/Q&gt;&lt;R&gt;1&lt;/R&gt;&lt;C&gt;1&lt;/C&gt;&lt;D xsi:type="xsd:double"&gt;49.208153&lt;/D&gt;&lt;/FQL&gt;&lt;FQL&gt;&lt;Q&gt;DUMMY^ECON_EXPR_DATA('FDS_ECON[NTCPMIMFGSA@IT]',02/2024,,Q)&lt;/Q&gt;&lt;R&gt;1&lt;/R&gt;&lt;C&gt;1&lt;/C&gt;&lt;D xsi:type="xsd:double"&gt;44.859455&lt;/D&gt;&lt;/FQL&gt;&lt;/Schema&gt;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<sst xmlns="http://schemas.openxmlformats.org/spreadsheetml/2006/main" count="2053" uniqueCount="915">
  <si>
    <t>ETF name</t>
  </si>
  <si>
    <t>SPY</t>
  </si>
  <si>
    <t>PE trailing</t>
  </si>
  <si>
    <t>PE forward</t>
  </si>
  <si>
    <t>3 month return</t>
  </si>
  <si>
    <t>6 month return</t>
  </si>
  <si>
    <t>VWO</t>
  </si>
  <si>
    <t>EWW</t>
  </si>
  <si>
    <t>FCF yield</t>
  </si>
  <si>
    <t>Price / 52 week high</t>
  </si>
  <si>
    <t>Liquidity</t>
  </si>
  <si>
    <t>EWG</t>
  </si>
  <si>
    <t>EWZ</t>
  </si>
  <si>
    <t>This sheet contains FactSet XML data for use with this workbook's =FDS codes.  Modifying the worksheet's contents may damage the workbook's =FDS functionality.</t>
  </si>
  <si>
    <t>TRYUS10Y-FDS</t>
  </si>
  <si>
    <t>TRYMX10Y-FDS</t>
  </si>
  <si>
    <t>Number of companies with downward revisions (1 month)</t>
  </si>
  <si>
    <t>TRYCN10Y-FDS</t>
  </si>
  <si>
    <t>TRYIN10Y-FDS</t>
  </si>
  <si>
    <t>TRYDE10Y-FDS</t>
  </si>
  <si>
    <t>TRYBR10Y-FDS</t>
  </si>
  <si>
    <t>EWY</t>
  </si>
  <si>
    <t>EZA</t>
  </si>
  <si>
    <t>EPOL</t>
  </si>
  <si>
    <t>EWT</t>
  </si>
  <si>
    <t>TUR</t>
  </si>
  <si>
    <t>MCHI</t>
  </si>
  <si>
    <t>ECH</t>
  </si>
  <si>
    <t>GREK</t>
  </si>
  <si>
    <t>EPU</t>
  </si>
  <si>
    <t>EPHE</t>
  </si>
  <si>
    <t>QAT</t>
  </si>
  <si>
    <t>INDA</t>
  </si>
  <si>
    <t>EWM</t>
  </si>
  <si>
    <t>UAE</t>
  </si>
  <si>
    <t>EIDO</t>
  </si>
  <si>
    <t>KSA</t>
  </si>
  <si>
    <t>VNM</t>
  </si>
  <si>
    <t>iShares MSCI South Korea ETF</t>
  </si>
  <si>
    <t>iShares MSCI Germany ETF</t>
  </si>
  <si>
    <t>iShares MSCI Taiwan ETF</t>
  </si>
  <si>
    <t>iShares MSCI China ETF</t>
  </si>
  <si>
    <t>EWL</t>
  </si>
  <si>
    <t>iShares MSCI Switzerland ETF</t>
  </si>
  <si>
    <t>EWA</t>
  </si>
  <si>
    <t>iShares MSCI Australia ETF</t>
  </si>
  <si>
    <t>EWJ</t>
  </si>
  <si>
    <t>iShares MSCI Japan ETF</t>
  </si>
  <si>
    <t>EWU</t>
  </si>
  <si>
    <t>EWC</t>
  </si>
  <si>
    <t>iShares MSCI Canada ETF</t>
  </si>
  <si>
    <t>QQQ</t>
  </si>
  <si>
    <t>iShares Trust - iShares MSCI India ETF</t>
  </si>
  <si>
    <t>iShares MSCI Mexico ETF</t>
  </si>
  <si>
    <t>iShares MSCI Brazil ETF</t>
  </si>
  <si>
    <t>Momnetum</t>
  </si>
  <si>
    <t xml:space="preserve"> 3month</t>
  </si>
  <si>
    <t>6 month</t>
  </si>
  <si>
    <t>Contra momentum</t>
  </si>
  <si>
    <t>12 month percentile</t>
  </si>
  <si>
    <t>Value</t>
  </si>
  <si>
    <t>Price</t>
  </si>
  <si>
    <t>Upgardes</t>
  </si>
  <si>
    <t>1 month%</t>
  </si>
  <si>
    <t>3 month%</t>
  </si>
  <si>
    <t>% of times Index drwdown more than</t>
  </si>
  <si>
    <t xml:space="preserve">Number of companies </t>
  </si>
  <si>
    <t>EV/EBITDA</t>
  </si>
  <si>
    <t>% of Fund/Index above moving average</t>
  </si>
  <si>
    <t>Downgrades</t>
  </si>
  <si>
    <t>Breadth</t>
  </si>
  <si>
    <t>6 month rank</t>
  </si>
  <si>
    <t>12 month return</t>
  </si>
  <si>
    <t>% of index above 200D</t>
  </si>
  <si>
    <t>Total Momentum</t>
  </si>
  <si>
    <t>Index breadth</t>
  </si>
  <si>
    <t>upgardes %</t>
  </si>
  <si>
    <t>U/D</t>
  </si>
  <si>
    <t>Revison</t>
  </si>
  <si>
    <t>Upgrades</t>
  </si>
  <si>
    <t>Revsion</t>
  </si>
  <si>
    <t>% of model</t>
  </si>
  <si>
    <t>weights</t>
  </si>
  <si>
    <t>Score</t>
  </si>
  <si>
    <t>Diffusiion</t>
  </si>
  <si>
    <t>Worst</t>
  </si>
  <si>
    <t>Count</t>
  </si>
  <si>
    <t>times darwdown</t>
  </si>
  <si>
    <t>%</t>
  </si>
  <si>
    <t xml:space="preserve">Freq </t>
  </si>
  <si>
    <t>Growth</t>
  </si>
  <si>
    <t>Min</t>
  </si>
  <si>
    <t>Max</t>
  </si>
  <si>
    <t>Current percentile</t>
  </si>
  <si>
    <t>12 month return -prentile</t>
  </si>
  <si>
    <t>1  month return percentile</t>
  </si>
  <si>
    <t>Country Code</t>
  </si>
  <si>
    <t>10Y Treasury</t>
  </si>
  <si>
    <t>Yield Name</t>
  </si>
  <si>
    <t>ZA</t>
  </si>
  <si>
    <t>PL</t>
  </si>
  <si>
    <t>KR</t>
  </si>
  <si>
    <t>DE</t>
  </si>
  <si>
    <t>TW</t>
  </si>
  <si>
    <t>CN</t>
  </si>
  <si>
    <t>TR</t>
  </si>
  <si>
    <t>FR</t>
  </si>
  <si>
    <t>CL</t>
  </si>
  <si>
    <t>TIPSCL10Y-FDS</t>
  </si>
  <si>
    <t>EU</t>
  </si>
  <si>
    <t>CH</t>
  </si>
  <si>
    <t>GR</t>
  </si>
  <si>
    <t>PE</t>
  </si>
  <si>
    <t>AU</t>
  </si>
  <si>
    <t>JP</t>
  </si>
  <si>
    <t>GB</t>
  </si>
  <si>
    <t>CA</t>
  </si>
  <si>
    <t>PH</t>
  </si>
  <si>
    <t>IN</t>
  </si>
  <si>
    <t>US</t>
  </si>
  <si>
    <t>QA</t>
  </si>
  <si>
    <t>MX</t>
  </si>
  <si>
    <t>MY</t>
  </si>
  <si>
    <t>AE</t>
  </si>
  <si>
    <t>ID</t>
  </si>
  <si>
    <t>SA</t>
  </si>
  <si>
    <t>VN</t>
  </si>
  <si>
    <t>BR</t>
  </si>
  <si>
    <t>TRYZA10Y-FDS</t>
  </si>
  <si>
    <t>TRYPL10Y-FDS</t>
  </si>
  <si>
    <t>TRYKR10Y-FDS</t>
  </si>
  <si>
    <t>TRYTW10Y-FDS</t>
  </si>
  <si>
    <t>TRYTR7Y-FDS</t>
  </si>
  <si>
    <t>TRYFR10Y-FDS</t>
  </si>
  <si>
    <t>TRYEU10Y-FDS</t>
  </si>
  <si>
    <t>TRYCH10Y-FDS</t>
  </si>
  <si>
    <t>TRYGR10Y-FDS</t>
  </si>
  <si>
    <t>TRYPE10Y-FDS</t>
  </si>
  <si>
    <t>TRYAU10Y-FDS</t>
  </si>
  <si>
    <t>TRYJP10Y-FDS</t>
  </si>
  <si>
    <t>TRY10Y-FDS</t>
  </si>
  <si>
    <t>TRYGB10Y-FDS</t>
  </si>
  <si>
    <t>TRYCA10Y-FDS</t>
  </si>
  <si>
    <t>TRYPH10Y-FDS</t>
  </si>
  <si>
    <t>TRYQA10Y-FDS</t>
  </si>
  <si>
    <t>TRYMY10Y-FDS</t>
  </si>
  <si>
    <t>TRYAE10Y-FDS</t>
  </si>
  <si>
    <t>TRYID10Y-FDS</t>
  </si>
  <si>
    <t>TRYSA10Y-FDS</t>
  </si>
  <si>
    <t>TRYVN10Y-FDS</t>
  </si>
  <si>
    <t/>
  </si>
  <si>
    <t>POLICY RATE</t>
  </si>
  <si>
    <t>Country ISO</t>
  </si>
  <si>
    <t>Econ Country ID</t>
  </si>
  <si>
    <t>Rate Name</t>
  </si>
  <si>
    <t>Symbol</t>
  </si>
  <si>
    <t>G7</t>
  </si>
  <si>
    <t>CC_CA</t>
  </si>
  <si>
    <t>Canada Target Rate</t>
  </si>
  <si>
    <t>REFCATARG-FDS</t>
  </si>
  <si>
    <t>EUZ</t>
  </si>
  <si>
    <t>CC_EUZ</t>
  </si>
  <si>
    <t>Eurozone Main Refinancing Operations Minimum Bid Rate</t>
  </si>
  <si>
    <t>REFEUREFI-FDS</t>
  </si>
  <si>
    <t>CC_JP</t>
  </si>
  <si>
    <t>Japan Policy Rate</t>
  </si>
  <si>
    <t>REFJPTON-FDS</t>
  </si>
  <si>
    <t>CC_GB</t>
  </si>
  <si>
    <t>UK Bank Rate</t>
  </si>
  <si>
    <t>REFGBBANK-FDS</t>
  </si>
  <si>
    <t>CC_US</t>
  </si>
  <si>
    <t>US Federal Funds Target Rate</t>
  </si>
  <si>
    <t>REFFFUND-FDS</t>
  </si>
  <si>
    <t>Asia Pacific</t>
  </si>
  <si>
    <t>CC_AU</t>
  </si>
  <si>
    <t>Australia Target Cash Rate</t>
  </si>
  <si>
    <t>REFAUCASH-FDS</t>
  </si>
  <si>
    <t>CC_CN</t>
  </si>
  <si>
    <t>China Loan Prime Rate (LPR) - 1 Year</t>
  </si>
  <si>
    <t>REFCNRMB-FDS</t>
  </si>
  <si>
    <t>HK</t>
  </si>
  <si>
    <t>CC_HK</t>
  </si>
  <si>
    <t>Hong Kong China Discount Window Base Rate</t>
  </si>
  <si>
    <t>REFHKBASE-FDS</t>
  </si>
  <si>
    <t>CC_IN</t>
  </si>
  <si>
    <t>India Repo Rate</t>
  </si>
  <si>
    <t>REFINREPO-FDS</t>
  </si>
  <si>
    <t>CC_ID</t>
  </si>
  <si>
    <t>Indonesia BI (Reverse) Repo Rate - 7 Day</t>
  </si>
  <si>
    <t>REFIDRREPO-FDS</t>
  </si>
  <si>
    <t>KZ</t>
  </si>
  <si>
    <t>CC_KZ</t>
  </si>
  <si>
    <t>Kazakhstan Base Interest Rate</t>
  </si>
  <si>
    <t>REFKZBASE-FDS</t>
  </si>
  <si>
    <t>CC_MY</t>
  </si>
  <si>
    <t>Malaysia Policy Rate - Overnight</t>
  </si>
  <si>
    <t>REFMYON-FDS</t>
  </si>
  <si>
    <t>NZ</t>
  </si>
  <si>
    <t>CC_NZ</t>
  </si>
  <si>
    <t>New Zealand Official Cash Rate</t>
  </si>
  <si>
    <t>REFNZOCR-FDS</t>
  </si>
  <si>
    <t>PK</t>
  </si>
  <si>
    <t>CC_PK</t>
  </si>
  <si>
    <t>Pakistan Policy Rate</t>
  </si>
  <si>
    <t>REFPKMPR-FDS</t>
  </si>
  <si>
    <t>CC_PH</t>
  </si>
  <si>
    <t>Philippines Reverse Repo Rate - Overnight</t>
  </si>
  <si>
    <t>REFPHRREPO-FDS</t>
  </si>
  <si>
    <t>SG</t>
  </si>
  <si>
    <t>CC_SG</t>
  </si>
  <si>
    <t>CC_KR</t>
  </si>
  <si>
    <t>South Korea Base Rate</t>
  </si>
  <si>
    <t>REFKRBASE-FDS</t>
  </si>
  <si>
    <t>LK</t>
  </si>
  <si>
    <t>CC_LK</t>
  </si>
  <si>
    <t>Sri Lanka Repo rate</t>
  </si>
  <si>
    <t>REFLKREPO-FDS</t>
  </si>
  <si>
    <t>CC_TW</t>
  </si>
  <si>
    <t>Taiwan China Discount Rate</t>
  </si>
  <si>
    <t>REFTWDISC-FDS</t>
  </si>
  <si>
    <t>TH</t>
  </si>
  <si>
    <t>CC_TH</t>
  </si>
  <si>
    <t>Thailand Repo Rate - 1 Day</t>
  </si>
  <si>
    <t>REFTHREPO-FDS</t>
  </si>
  <si>
    <t>CC_VN</t>
  </si>
  <si>
    <t>Vietnam Discount Rate</t>
  </si>
  <si>
    <t>REFVNDISC-FDS</t>
  </si>
  <si>
    <t>Europe</t>
  </si>
  <si>
    <t>AL</t>
  </si>
  <si>
    <t>CC_AL</t>
  </si>
  <si>
    <t>Albania Repo Rate - 1 Week</t>
  </si>
  <si>
    <t>REFAL1WREPO-FDS</t>
  </si>
  <si>
    <t>BY</t>
  </si>
  <si>
    <t>CC_BY</t>
  </si>
  <si>
    <t>Belarus Refinancing Rate</t>
  </si>
  <si>
    <t>REFBYREF-FDS</t>
  </si>
  <si>
    <t>CZ</t>
  </si>
  <si>
    <t>CC_CZ</t>
  </si>
  <si>
    <t>Czech Republic Repo Rate - 2 Week</t>
  </si>
  <si>
    <t>REFCZREPO-FDS</t>
  </si>
  <si>
    <t>DK</t>
  </si>
  <si>
    <t>CC_DK</t>
  </si>
  <si>
    <t>Denmark Certificates of Deposit Rate</t>
  </si>
  <si>
    <t>REFDKDEP-FDS</t>
  </si>
  <si>
    <t>UZ</t>
  </si>
  <si>
    <t>HU</t>
  </si>
  <si>
    <t>CC_HU</t>
  </si>
  <si>
    <t>Hungary Base Rate</t>
  </si>
  <si>
    <t>REFHUBASE-FDS</t>
  </si>
  <si>
    <t>IS</t>
  </si>
  <si>
    <t>CC_IS</t>
  </si>
  <si>
    <t>Iceland Term Deposit Rate - 7 Day</t>
  </si>
  <si>
    <t>REFISDEP-FDS</t>
  </si>
  <si>
    <t>NO</t>
  </si>
  <si>
    <t>CC_NO</t>
  </si>
  <si>
    <t>Norway Key Sight Deposit Rate</t>
  </si>
  <si>
    <t>REFNOSIGHT-FDS</t>
  </si>
  <si>
    <t>CC_PL</t>
  </si>
  <si>
    <t>Poland Reference Rate - 7 Day</t>
  </si>
  <si>
    <t>REFPL7D-FDS</t>
  </si>
  <si>
    <t>RO</t>
  </si>
  <si>
    <t>CC_RO</t>
  </si>
  <si>
    <t>Romania Policy Rate</t>
  </si>
  <si>
    <t>REFROMPR-FDS</t>
  </si>
  <si>
    <t>RU</t>
  </si>
  <si>
    <t>CC_RU</t>
  </si>
  <si>
    <t>Disc. Russia Repo Rate - 1 Week</t>
  </si>
  <si>
    <t>REFRU1WREPO-FDS</t>
  </si>
  <si>
    <t>RS</t>
  </si>
  <si>
    <t>CC_RS</t>
  </si>
  <si>
    <t>Serbia Policy Rate</t>
  </si>
  <si>
    <t>REFRSMPR-FDS</t>
  </si>
  <si>
    <t>SE</t>
  </si>
  <si>
    <t>CC_SE</t>
  </si>
  <si>
    <t>Sweden Repo Rate</t>
  </si>
  <si>
    <t>REFSEREPO-FDS</t>
  </si>
  <si>
    <t>CC_CH</t>
  </si>
  <si>
    <t>Swiss Policy Rate - Sight Deposit Rate</t>
  </si>
  <si>
    <t>REFCHMPR-FDS</t>
  </si>
  <si>
    <t>CC_TR</t>
  </si>
  <si>
    <t>Turkey Repo Rate - 1 Week</t>
  </si>
  <si>
    <t>REFTR1WREPO-FDS</t>
  </si>
  <si>
    <t>UA</t>
  </si>
  <si>
    <t>CC_UA</t>
  </si>
  <si>
    <t>Ukraine Discount Rate</t>
  </si>
  <si>
    <t>REFUADISC-FDS</t>
  </si>
  <si>
    <t>Latin America</t>
  </si>
  <si>
    <t>AR</t>
  </si>
  <si>
    <t>CC_AR</t>
  </si>
  <si>
    <t>Argentina Monetary Policy Rate</t>
  </si>
  <si>
    <t>REFARPR-FDS</t>
  </si>
  <si>
    <t>CC_BR</t>
  </si>
  <si>
    <t>Brazil Target Selic Rate</t>
  </si>
  <si>
    <t>REFBRSELIC-FDS</t>
  </si>
  <si>
    <t>CC_CL</t>
  </si>
  <si>
    <t>Chile Monetary Policy Rate</t>
  </si>
  <si>
    <t>REFCLMPR-FDS</t>
  </si>
  <si>
    <t>CO</t>
  </si>
  <si>
    <t>CC_CO</t>
  </si>
  <si>
    <t>Colombia Minimum Intervention Rate</t>
  </si>
  <si>
    <t>REFCOMININT-FDS</t>
  </si>
  <si>
    <t>CC_MX</t>
  </si>
  <si>
    <t>Mexico Target Rate - Overnight</t>
  </si>
  <si>
    <t>REFMXTON-FDS</t>
  </si>
  <si>
    <t>CC_PE</t>
  </si>
  <si>
    <t>Peru Policy Rate</t>
  </si>
  <si>
    <t>REFPEMPR-FDS</t>
  </si>
  <si>
    <t>UY</t>
  </si>
  <si>
    <t>CC_UY</t>
  </si>
  <si>
    <t>Uruguay Policy Rate</t>
  </si>
  <si>
    <t>REFUYMPR-FDS</t>
  </si>
  <si>
    <t>Middle East &amp; Africa</t>
  </si>
  <si>
    <t>BH</t>
  </si>
  <si>
    <t>CC_BH</t>
  </si>
  <si>
    <t>Bahrain Deposit Rate - 1 Week</t>
  </si>
  <si>
    <t>REFBH1WDEP-FDS</t>
  </si>
  <si>
    <t>BW</t>
  </si>
  <si>
    <t>CC_BW</t>
  </si>
  <si>
    <t>Disc. Botswana Bank Rate</t>
  </si>
  <si>
    <t>REFBWBANK-FDS</t>
  </si>
  <si>
    <t>EG</t>
  </si>
  <si>
    <t>CC_EG</t>
  </si>
  <si>
    <t>Egypt Deposit Rate - Overnight</t>
  </si>
  <si>
    <t>REFEGDEP-FDS</t>
  </si>
  <si>
    <t>GH</t>
  </si>
  <si>
    <t>CC_GH</t>
  </si>
  <si>
    <t>Ghana Policy Rate</t>
  </si>
  <si>
    <t>REFGHMPR-FDS</t>
  </si>
  <si>
    <t>IL</t>
  </si>
  <si>
    <t>CC_IL</t>
  </si>
  <si>
    <t>Israel Headline Short-Term Interest Rate</t>
  </si>
  <si>
    <t>REFILMPR-FDS</t>
  </si>
  <si>
    <t>JO</t>
  </si>
  <si>
    <t>CC_JO</t>
  </si>
  <si>
    <t>Jordan Monetary Policy Rate</t>
  </si>
  <si>
    <t>REFJOMPR-FDS</t>
  </si>
  <si>
    <t>KE</t>
  </si>
  <si>
    <t>CC_KE</t>
  </si>
  <si>
    <t>Kenya Policy Rate</t>
  </si>
  <si>
    <t>REFKEMPR-FDS</t>
  </si>
  <si>
    <t>KW</t>
  </si>
  <si>
    <t>CC_KW</t>
  </si>
  <si>
    <t>Kuwait Discount Rate</t>
  </si>
  <si>
    <t>REFKWDISC-FDS</t>
  </si>
  <si>
    <t>MU</t>
  </si>
  <si>
    <t>CC_MU</t>
  </si>
  <si>
    <t>Mauritius Repo Rate</t>
  </si>
  <si>
    <t>REFMUREPO-FDS</t>
  </si>
  <si>
    <t>MA</t>
  </si>
  <si>
    <t>CC_MA</t>
  </si>
  <si>
    <t>Morocco Policy Rate</t>
  </si>
  <si>
    <t>REFMAMPR-FDS</t>
  </si>
  <si>
    <t>NA</t>
  </si>
  <si>
    <t>CC_NA</t>
  </si>
  <si>
    <t>Namibia Repo Rate</t>
  </si>
  <si>
    <t>REFNAREPO-FDS</t>
  </si>
  <si>
    <t>NG</t>
  </si>
  <si>
    <t>CC_NG</t>
  </si>
  <si>
    <t>Nigeria Policy Rate</t>
  </si>
  <si>
    <t>RENGMPR-FDS</t>
  </si>
  <si>
    <t>CC_QA</t>
  </si>
  <si>
    <t>Qatar Lending Rate - Overnight</t>
  </si>
  <si>
    <t>REFQALEND-FDS</t>
  </si>
  <si>
    <t>CC_SA</t>
  </si>
  <si>
    <t>Saudi Arabia Repo Rate</t>
  </si>
  <si>
    <t>REFSAREPO-FDS</t>
  </si>
  <si>
    <t>CC_ZA</t>
  </si>
  <si>
    <t>South Africa Repo Rate</t>
  </si>
  <si>
    <t>REFZAREPO-FDS</t>
  </si>
  <si>
    <t>TN</t>
  </si>
  <si>
    <t>CC_TN</t>
  </si>
  <si>
    <t>Tunisia Policy Rate - Rate of Call for Tender (TAO)</t>
  </si>
  <si>
    <t>REFTNMPR-FDS</t>
  </si>
  <si>
    <t>CC_AE</t>
  </si>
  <si>
    <t>United Arab Emirates Repo Rate</t>
  </si>
  <si>
    <t>REFAEREPO-FDS</t>
  </si>
  <si>
    <t>ZM</t>
  </si>
  <si>
    <t>CC_ZM</t>
  </si>
  <si>
    <t>Zambia Policy Rate</t>
  </si>
  <si>
    <t>REFZMMPR-FDS</t>
  </si>
  <si>
    <t>Current Rates</t>
  </si>
  <si>
    <t>3 month change</t>
  </si>
  <si>
    <t>6 month change</t>
  </si>
  <si>
    <t>Currency Pairs</t>
  </si>
  <si>
    <t>Name of Currency Pair</t>
  </si>
  <si>
    <t>Currency change last 12 month</t>
  </si>
  <si>
    <t>Currency change last 3  month</t>
  </si>
  <si>
    <t>Currency change last 1 month</t>
  </si>
  <si>
    <t>Rolling 12 month returns</t>
  </si>
  <si>
    <t xml:space="preserve"> 1 month revison</t>
  </si>
  <si>
    <t>3 month revsion</t>
  </si>
  <si>
    <t>Rev 1 month</t>
  </si>
  <si>
    <t>Rev 3 month</t>
  </si>
  <si>
    <t>Best</t>
  </si>
  <si>
    <t>median</t>
  </si>
  <si>
    <t>Monthly ( % )</t>
  </si>
  <si>
    <t xml:space="preserve">Yearly ( % </t>
  </si>
  <si>
    <t>% drawdown</t>
  </si>
  <si>
    <t>C</t>
  </si>
  <si>
    <t>Percentile 1montsh back</t>
  </si>
  <si>
    <t>Percentile 2months</t>
  </si>
  <si>
    <t xml:space="preserve">Cuurent </t>
  </si>
  <si>
    <t>Max monthly  Drawdown</t>
  </si>
  <si>
    <t>Yearly drawdown freq</t>
  </si>
  <si>
    <t>High is good , means low risk</t>
  </si>
  <si>
    <t>12 month return percentile</t>
  </si>
  <si>
    <t>DY</t>
  </si>
  <si>
    <t>EV/ EBIT</t>
  </si>
  <si>
    <t>ROE</t>
  </si>
  <si>
    <t>Cuurency Volataility annlualzied</t>
  </si>
  <si>
    <t>DY -Shor term rates</t>
  </si>
  <si>
    <t>FCF -rates</t>
  </si>
  <si>
    <t>Trailing PE percentile</t>
  </si>
  <si>
    <t>Forward PE percentile</t>
  </si>
  <si>
    <t>Central bank Direction</t>
  </si>
  <si>
    <t>A</t>
  </si>
  <si>
    <t>A.1</t>
  </si>
  <si>
    <t>A.2</t>
  </si>
  <si>
    <t>A.3</t>
  </si>
  <si>
    <t xml:space="preserve">B. </t>
  </si>
  <si>
    <t>C.1</t>
  </si>
  <si>
    <t>C.2</t>
  </si>
  <si>
    <t>D</t>
  </si>
  <si>
    <t>Final model</t>
  </si>
  <si>
    <t xml:space="preserve">E. </t>
  </si>
  <si>
    <t>e.1</t>
  </si>
  <si>
    <t>Currency  volatality</t>
  </si>
  <si>
    <t>e.2</t>
  </si>
  <si>
    <t>Imbalances</t>
  </si>
  <si>
    <t>ROE - rates</t>
  </si>
  <si>
    <t>CNYA</t>
  </si>
  <si>
    <t>ENZL</t>
  </si>
  <si>
    <t>iShares MSCI China A ETF</t>
  </si>
  <si>
    <t>iShares MSCI Chile ETF</t>
  </si>
  <si>
    <t>iShares MSCI Indonesia ETF</t>
  </si>
  <si>
    <t>iShares MSCI Philippines ETF</t>
  </si>
  <si>
    <t>iShares MSCI Poland ETF</t>
  </si>
  <si>
    <t>iShares MSCI Peru ETF</t>
  </si>
  <si>
    <t>iShares MSCI Malaysia ETF</t>
  </si>
  <si>
    <t>iShares MSCI South Africa ETF</t>
  </si>
  <si>
    <t>Global X MSCI Greece ETF</t>
  </si>
  <si>
    <t>iShares MSCI Qatar ETF</t>
  </si>
  <si>
    <t>iShares MSCI Turkey ETF</t>
  </si>
  <si>
    <t>iShares MSCI UAE ETF</t>
  </si>
  <si>
    <t>VanEck Vietnam ETF</t>
  </si>
  <si>
    <t xml:space="preserve">Saudi Arabia </t>
  </si>
  <si>
    <t>iShares MSCI New Zealand ETF</t>
  </si>
  <si>
    <t xml:space="preserve">United kingdom </t>
  </si>
  <si>
    <t>Nasdaq</t>
  </si>
  <si>
    <t>TRYNZ10Y-FDS</t>
  </si>
  <si>
    <t>Equity attractivess</t>
  </si>
  <si>
    <t>EY</t>
  </si>
  <si>
    <t>EY - traling</t>
  </si>
  <si>
    <t>FF reate</t>
  </si>
  <si>
    <t xml:space="preserve">10 year </t>
  </si>
  <si>
    <t>Spread -FF</t>
  </si>
  <si>
    <t>Spread - 30 year</t>
  </si>
  <si>
    <t>Oil</t>
  </si>
  <si>
    <t>3 month change%</t>
  </si>
  <si>
    <t>Cb action</t>
  </si>
  <si>
    <t>market based Indicator- 3month</t>
  </si>
  <si>
    <t>C.3</t>
  </si>
  <si>
    <t>market based Indicator- 6 month</t>
  </si>
  <si>
    <t>Average last 3 months</t>
  </si>
  <si>
    <t>USDEUR</t>
  </si>
  <si>
    <t>USDJPY</t>
  </si>
  <si>
    <t>USDAUD</t>
  </si>
  <si>
    <t>USDCAD</t>
  </si>
  <si>
    <t>USDGBP</t>
  </si>
  <si>
    <t>USDNZD</t>
  </si>
  <si>
    <t>USDCHF</t>
  </si>
  <si>
    <t>Currency Annualized yearly  volatility (3 years)</t>
  </si>
  <si>
    <t>12 month out</t>
  </si>
  <si>
    <t>earnings growth</t>
  </si>
  <si>
    <t>rank - 1 month</t>
  </si>
  <si>
    <t>rank 3 month</t>
  </si>
  <si>
    <t>rank 6 month</t>
  </si>
  <si>
    <t>Currency change last 6  month</t>
  </si>
  <si>
    <t>Cuurency Momnetum</t>
  </si>
  <si>
    <t>CA- trailing as % of GDP</t>
  </si>
  <si>
    <t>CA forcasted as % of GDP</t>
  </si>
  <si>
    <t>CAGDPY@</t>
  </si>
  <si>
    <t>CY 2022</t>
  </si>
  <si>
    <t>CY 2023</t>
  </si>
  <si>
    <t>Country Name</t>
  </si>
  <si>
    <t>CC Code</t>
  </si>
  <si>
    <t>Mnemonic</t>
  </si>
  <si>
    <t>CC_GR</t>
  </si>
  <si>
    <t>Cuuremncy Momentum</t>
  </si>
  <si>
    <t>Cuurency Volatality</t>
  </si>
  <si>
    <t>In rate Dffe</t>
  </si>
  <si>
    <t>CAD</t>
  </si>
  <si>
    <t>Rank</t>
  </si>
  <si>
    <t>Currency Score</t>
  </si>
  <si>
    <t>G</t>
  </si>
  <si>
    <t>Quality</t>
  </si>
  <si>
    <t>Current</t>
  </si>
  <si>
    <t>% of Financials</t>
  </si>
  <si>
    <t>Growth Track Record</t>
  </si>
  <si>
    <t>Worst Historical Return</t>
  </si>
  <si>
    <t>F</t>
  </si>
  <si>
    <t>Prioce / 52 week low</t>
  </si>
  <si>
    <t>Closeness - 52W- H</t>
  </si>
  <si>
    <t>Closeness -52WL</t>
  </si>
  <si>
    <t>Contra</t>
  </si>
  <si>
    <t>A-4</t>
  </si>
  <si>
    <t>Away-52W L</t>
  </si>
  <si>
    <t>Closeness - 52w L</t>
  </si>
  <si>
    <t>rank Currency</t>
  </si>
  <si>
    <t>CURRENT RATES</t>
  </si>
  <si>
    <t>DY - Current Rates</t>
  </si>
  <si>
    <t>FCF - Current Rates</t>
  </si>
  <si>
    <t>ROE - Current Rates</t>
  </si>
  <si>
    <t>DY - Current Rate Percentile</t>
  </si>
  <si>
    <t>FCF - Current Rate Percentile</t>
  </si>
  <si>
    <t>ROE - Current Rate  Percentile</t>
  </si>
  <si>
    <t>PE trailing Percentile</t>
  </si>
  <si>
    <t>PE forward Percentile</t>
  </si>
  <si>
    <t>ETF</t>
  </si>
  <si>
    <t>ETF Name</t>
  </si>
  <si>
    <t>Yearly freq</t>
  </si>
  <si>
    <t>Risk Score</t>
  </si>
  <si>
    <t>Yearly Drawdwn</t>
  </si>
  <si>
    <t>Monthly  Drawdwin</t>
  </si>
  <si>
    <t>Long term Econmic growth</t>
  </si>
  <si>
    <t>Current Long termRates</t>
  </si>
  <si>
    <t>Policy rates</t>
  </si>
  <si>
    <t>" Higher weight = poor score , so reverse scores</t>
  </si>
  <si>
    <t>Worst drawdown</t>
  </si>
  <si>
    <t xml:space="preserve">Average ROE </t>
  </si>
  <si>
    <t>Overall Value Score</t>
  </si>
  <si>
    <t>country</t>
  </si>
  <si>
    <t>Financilas As % of earnings</t>
  </si>
  <si>
    <t>Worst Drawdown percentile</t>
  </si>
  <si>
    <t>Overall Quality Score</t>
  </si>
  <si>
    <t>Other data</t>
  </si>
  <si>
    <t>VGK</t>
  </si>
  <si>
    <t>Europe ETF</t>
  </si>
  <si>
    <t>EM ETF</t>
  </si>
  <si>
    <t>Average ROE - currenr rate</t>
  </si>
  <si>
    <t>Avg ROE - Current Rates</t>
  </si>
  <si>
    <t>Value Percentile</t>
  </si>
  <si>
    <t>Quality Percentile</t>
  </si>
  <si>
    <t>MOMENTUM</t>
  </si>
  <si>
    <t>COUNTRY</t>
  </si>
  <si>
    <t>VALUE</t>
  </si>
  <si>
    <t>LIQUIDITY</t>
  </si>
  <si>
    <t>QUALITY</t>
  </si>
  <si>
    <t>RISK</t>
  </si>
  <si>
    <t>CURRENCY</t>
  </si>
  <si>
    <t>OVERALL SCORE</t>
  </si>
  <si>
    <t>UPGRADES</t>
  </si>
  <si>
    <t>LIQUIDITY_SCORE</t>
  </si>
  <si>
    <t>SCORE</t>
  </si>
  <si>
    <t>USDUSD</t>
  </si>
  <si>
    <t>CC_DE</t>
  </si>
  <si>
    <t>Back to Index</t>
  </si>
  <si>
    <r>
      <t xml:space="preserve">Data in GDP PPP Constant price terms, modified by updated Base Years and Informal Economy data. </t>
    </r>
    <r>
      <rPr>
        <b/>
        <u/>
        <sz val="11"/>
        <color indexed="30"/>
        <rFont val="Calibri"/>
        <family val="2"/>
      </rPr>
      <t>Read more</t>
    </r>
  </si>
  <si>
    <t>Compound Annual Growth Rate</t>
  </si>
  <si>
    <t>Year on Year Growth Rate</t>
  </si>
  <si>
    <t>Region</t>
  </si>
  <si>
    <t>Country</t>
  </si>
  <si>
    <t>CAGR 3 Year %</t>
  </si>
  <si>
    <t>CAGR 5 Year %</t>
  </si>
  <si>
    <t>CAGR 10 Year %</t>
  </si>
  <si>
    <t>Asia-Pacific</t>
  </si>
  <si>
    <t>Afghanistan</t>
  </si>
  <si>
    <t>E</t>
  </si>
  <si>
    <t>Albania</t>
  </si>
  <si>
    <t>Africa</t>
  </si>
  <si>
    <t>Algeria</t>
  </si>
  <si>
    <t>B</t>
  </si>
  <si>
    <t>Angola</t>
  </si>
  <si>
    <t>Americas</t>
  </si>
  <si>
    <t>Argentina</t>
  </si>
  <si>
    <t>Armenia</t>
  </si>
  <si>
    <t>Australia</t>
  </si>
  <si>
    <t>Austria</t>
  </si>
  <si>
    <t>Azerbaijan</t>
  </si>
  <si>
    <t>Bahamas, The</t>
  </si>
  <si>
    <t>Middle East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</si>
  <si>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</si>
  <si>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</si>
  <si>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</si>
  <si>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</si>
  <si>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</si>
  <si>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</si>
  <si>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</si>
  <si>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</si>
  <si>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</si>
  <si>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</si>
  <si>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</si>
  <si>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</si>
  <si>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</si>
  <si>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</si>
  <si>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</si>
  <si>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</si>
  <si>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</si>
  <si>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</si>
  <si>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</si>
  <si>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</si>
  <si>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</si>
  <si>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</si>
  <si>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</si>
  <si>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</si>
  <si>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</si>
  <si>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</si>
  <si>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</si>
  <si>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</si>
  <si>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</si>
  <si>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</si>
  <si>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</si>
  <si>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</si>
  <si>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</si>
  <si>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</si>
  <si>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</si>
  <si>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</si>
  <si>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</si>
  <si>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</si>
  <si>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</si>
  <si>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</si>
  <si>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</si>
  <si>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</si>
  <si>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</si>
  <si>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</si>
  <si>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</si>
  <si>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</si>
  <si>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</si>
  <si>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</si>
  <si>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</si>
  <si>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</si>
  <si>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</si>
  <si>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</si>
  <si>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</si>
  <si>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</si>
  <si>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</si>
  <si>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</si>
  <si>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</si>
  <si>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</si>
  <si>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</si>
  <si>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</si>
  <si>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</si>
  <si>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</si>
  <si>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</si>
  <si>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</si>
  <si>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</si>
  <si>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</si>
  <si>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</si>
  <si>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</si>
  <si>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</si>
  <si>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</si>
  <si>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</si>
  <si>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</si>
  <si>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</si>
  <si>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</si>
  <si>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</si>
  <si>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</si>
  <si>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</si>
  <si>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</si>
  <si>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</si>
  <si>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</si>
  <si>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</si>
  <si>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</si>
  <si>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</si>
  <si>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</si>
  <si>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</si>
  <si>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</si>
  <si>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</si>
  <si>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</si>
  <si>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</si>
  <si>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</si>
  <si>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</si>
  <si>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</si>
  <si>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</si>
  <si>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</si>
  <si>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</si>
  <si>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</si>
  <si>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</si>
  <si>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</si>
  <si>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</si>
  <si>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</si>
  <si>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</si>
  <si>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</si>
  <si>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</si>
  <si>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</si>
  <si>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</si>
  <si>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</si>
  <si>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</si>
  <si>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</si>
  <si>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</si>
  <si>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</si>
  <si>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</si>
  <si>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</si>
  <si>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</si>
  <si>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</si>
  <si>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</si>
  <si>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</si>
  <si>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</si>
  <si>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</si>
  <si>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</si>
  <si>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</si>
  <si>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</si>
  <si>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</si>
  <si>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</si>
  <si>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</si>
  <si>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</si>
  <si>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</si>
  <si>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</si>
  <si>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</si>
  <si>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</si>
  <si>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</si>
  <si>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</si>
  <si>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</si>
  <si>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</si>
  <si>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</si>
  <si>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</si>
  <si>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</si>
  <si>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</si>
  <si>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</si>
  <si>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</si>
  <si>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</si>
  <si>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</si>
  <si>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</si>
  <si>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</si>
  <si>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Yemen, Rep.</t>
  </si>
  <si>
    <t>Zambia</t>
  </si>
  <si>
    <t>Zimbabwe</t>
  </si>
  <si>
    <t>Compound Annual Growth Rates Over 3, 5, 10 year periods  - By Region</t>
  </si>
  <si>
    <t>DQR PPP Grade</t>
  </si>
  <si>
    <t>DQR PPP Index</t>
  </si>
  <si>
    <t>DQR PPP Global Rank</t>
  </si>
  <si>
    <t>DQR PPP Regional Rank</t>
  </si>
  <si>
    <t>Forcecasts</t>
  </si>
  <si>
    <t xml:space="preserve">Avg. ROE - Curr Rates </t>
  </si>
  <si>
    <t xml:space="preserve">Financilas As % of earnings </t>
  </si>
  <si>
    <t>Earnings  track record</t>
  </si>
  <si>
    <t xml:space="preserve">Earnings track record </t>
  </si>
  <si>
    <t>OVERALL RANK</t>
  </si>
  <si>
    <t>AVG 5 &amp; 10 YR CAGR</t>
  </si>
  <si>
    <t>CAGR RANK</t>
  </si>
  <si>
    <t>COUNTRY NAME</t>
  </si>
  <si>
    <t>INFLATION RATES</t>
  </si>
  <si>
    <t>ROE- Inflation Rates</t>
  </si>
  <si>
    <t>ROE - Inflation Rate Percentile</t>
  </si>
  <si>
    <t>SET-BKK</t>
  </si>
  <si>
    <t>Thailand SET Index</t>
  </si>
  <si>
    <t>ROE - Inflation</t>
  </si>
  <si>
    <t>level</t>
  </si>
  <si>
    <t>Quarrerly Pint Change</t>
  </si>
  <si>
    <t>EM</t>
  </si>
  <si>
    <t>DM</t>
  </si>
  <si>
    <t>NTCPMIMFGMESA@US</t>
  </si>
  <si>
    <t>NTCPMIMFGSA@CA</t>
  </si>
  <si>
    <t>NTCPMIMFGSA@AU</t>
  </si>
  <si>
    <t>NTCPMIMFGSA@JP</t>
  </si>
  <si>
    <t>NTCPMIMFGSA@NZ</t>
  </si>
  <si>
    <t>NTCPMIMFGSA@DE</t>
  </si>
  <si>
    <t>NTCPMIMFGSA@GB</t>
  </si>
  <si>
    <t>NTCPMIMFGSA@CH</t>
  </si>
  <si>
    <t>PMIDMMANHE</t>
  </si>
  <si>
    <t>Developed Markets</t>
  </si>
  <si>
    <t>NTCPMIMFGSA@EME</t>
  </si>
  <si>
    <t>Emerging Markets</t>
  </si>
  <si>
    <t>USA</t>
  </si>
  <si>
    <t>Country_Code</t>
  </si>
  <si>
    <t>PMI</t>
  </si>
  <si>
    <t>A-5</t>
  </si>
  <si>
    <t>Economic Momentm</t>
  </si>
  <si>
    <t>Q-Q Change</t>
  </si>
  <si>
    <t>GDP AVG 5 &amp; 10 YR CAGR</t>
  </si>
  <si>
    <t>GDP Percentile</t>
  </si>
  <si>
    <t>Start Date</t>
  </si>
  <si>
    <t>End Date</t>
  </si>
  <si>
    <t>Q-Q CHANGE</t>
  </si>
  <si>
    <t>PMI RANK</t>
  </si>
  <si>
    <t>Q-Q CHANGE RANK</t>
  </si>
  <si>
    <t>CODE</t>
  </si>
  <si>
    <t>INFLATION RATE</t>
  </si>
  <si>
    <t>COMPOSITE VALUE</t>
  </si>
  <si>
    <t>Top down</t>
  </si>
  <si>
    <t>URTH</t>
  </si>
  <si>
    <t>World</t>
  </si>
  <si>
    <t>max</t>
  </si>
  <si>
    <t>Monthly Return Percentile</t>
  </si>
  <si>
    <t>name</t>
  </si>
  <si>
    <t>Spot</t>
  </si>
  <si>
    <t>30day Moving Avg.</t>
  </si>
  <si>
    <t>% change 1 month</t>
  </si>
  <si>
    <t>3 Month change</t>
  </si>
  <si>
    <t>6 month  cahnge</t>
  </si>
  <si>
    <t>12 month change</t>
  </si>
  <si>
    <t>Price / 52weeek high</t>
  </si>
  <si>
    <t>5 year high</t>
  </si>
  <si>
    <t>Commodity Indicator</t>
  </si>
  <si>
    <t>TIOS-FDS</t>
  </si>
  <si>
    <t>Iron Ore</t>
  </si>
  <si>
    <t>COPP-FDS</t>
  </si>
  <si>
    <t>Copper</t>
  </si>
  <si>
    <t>BRENT-FDS</t>
  </si>
  <si>
    <t>W-FDS</t>
  </si>
  <si>
    <t>Wheat</t>
  </si>
  <si>
    <t>CPALM-FDS</t>
  </si>
  <si>
    <t>Palm Oil</t>
  </si>
  <si>
    <t>PLATI-FDS</t>
  </si>
  <si>
    <t>Platinum</t>
  </si>
  <si>
    <t>NI-FDS</t>
  </si>
  <si>
    <t>Nickel</t>
  </si>
  <si>
    <t>PASP-FDS</t>
  </si>
  <si>
    <t>Palaadium</t>
  </si>
  <si>
    <t>WL-FDS</t>
  </si>
  <si>
    <t>DDR3512M-FDS</t>
  </si>
  <si>
    <t>DRAM</t>
  </si>
  <si>
    <t>COMPOSITE VALUE SCORE</t>
  </si>
  <si>
    <t xml:space="preserve">Cut off (-ve) </t>
  </si>
  <si>
    <t>Cut off (+ve)</t>
  </si>
  <si>
    <t>Total</t>
  </si>
  <si>
    <t>japan</t>
  </si>
  <si>
    <t>30da MA index</t>
  </si>
  <si>
    <t>Index Level</t>
  </si>
  <si>
    <t xml:space="preserve">200D MA index </t>
  </si>
  <si>
    <t>ETF Ticker</t>
  </si>
  <si>
    <t>COUNTRY CODE</t>
  </si>
  <si>
    <t>Weight in momnetum</t>
  </si>
  <si>
    <t>Cut off</t>
  </si>
  <si>
    <t>Cut Off</t>
  </si>
  <si>
    <t>Weight in value</t>
  </si>
  <si>
    <t>value Cut  off</t>
  </si>
  <si>
    <t>ETF TICKER</t>
  </si>
  <si>
    <t>VOLATILITY</t>
  </si>
  <si>
    <t>STD_DEV</t>
  </si>
  <si>
    <t>Annualized Volatility</t>
  </si>
  <si>
    <t>Weight in Currency</t>
  </si>
  <si>
    <t>Momentum_vol</t>
  </si>
  <si>
    <t>Value_Vol</t>
  </si>
  <si>
    <t>Liquidity_Vol</t>
  </si>
  <si>
    <t>Currency_Vol</t>
  </si>
  <si>
    <t>Weight in Liquidity</t>
  </si>
  <si>
    <t>60D MA index</t>
  </si>
  <si>
    <t>FC0000GR</t>
  </si>
  <si>
    <t>FC0000NZ</t>
  </si>
  <si>
    <t>FC0000AU</t>
  </si>
  <si>
    <t>FC0000CA</t>
  </si>
  <si>
    <t>FC0000JP</t>
  </si>
  <si>
    <t>FC0000CH</t>
  </si>
  <si>
    <t>FC0000GB</t>
  </si>
  <si>
    <t>FC0000US</t>
  </si>
  <si>
    <t>ETF Market_Cap</t>
  </si>
  <si>
    <t>Country Index Ticker</t>
  </si>
  <si>
    <t>Index Market Cap</t>
  </si>
  <si>
    <t xml:space="preserve">WEIGHTED_AVG </t>
  </si>
  <si>
    <t>CUT-OFF</t>
  </si>
  <si>
    <t>Number of Bets</t>
  </si>
  <si>
    <t>NQG00809</t>
  </si>
  <si>
    <t>MOMENTUM_WEIGHT</t>
  </si>
  <si>
    <t>LIQUIDITY_WEIGHT</t>
  </si>
  <si>
    <t>CURRENCY_WEIGHT</t>
  </si>
  <si>
    <t>WEIGHTED_AVERAGE</t>
  </si>
  <si>
    <t>NORMALIZED_WT_AVG</t>
  </si>
  <si>
    <t>VALUE_WEIGHT</t>
  </si>
  <si>
    <t>A- 6</t>
  </si>
  <si>
    <t>Size</t>
  </si>
  <si>
    <t>Mcap of Underlying</t>
  </si>
  <si>
    <t>No  comp. with upward revisions (1 month)</t>
  </si>
  <si>
    <t>Market_Cap Percentile</t>
  </si>
  <si>
    <t>EWD</t>
  </si>
  <si>
    <t>EWQ</t>
  </si>
  <si>
    <t>EWI</t>
  </si>
  <si>
    <t>EWN</t>
  </si>
  <si>
    <t>CC_IT</t>
  </si>
  <si>
    <t>CC_FR</t>
  </si>
  <si>
    <t>CC_NL</t>
  </si>
  <si>
    <t>iShares MSCI Italy ETF</t>
  </si>
  <si>
    <t>iShares MSCI Netherlands ETF</t>
  </si>
  <si>
    <t>iShares MSCI Sweden ETF</t>
  </si>
  <si>
    <t>iShares MSCI France ETF</t>
  </si>
  <si>
    <t>NL</t>
  </si>
  <si>
    <t>IT</t>
  </si>
  <si>
    <t>TRYNL10Y-FDS</t>
  </si>
  <si>
    <t>TRYSE10Y-FDS</t>
  </si>
  <si>
    <t>TRYIT10Y-FDS</t>
  </si>
  <si>
    <t>USDANG</t>
  </si>
  <si>
    <t>USDSEK</t>
  </si>
  <si>
    <t>USDITL</t>
  </si>
  <si>
    <t>NTCPMIMFGSA@FR</t>
  </si>
  <si>
    <t>NTCPMIMFGSA@NL</t>
  </si>
  <si>
    <t>NTCPMIMFGSA@IT</t>
  </si>
  <si>
    <t>Asset class momnetum</t>
  </si>
  <si>
    <t>Asset Class - Momnetum</t>
  </si>
  <si>
    <t>GLD</t>
  </si>
  <si>
    <t>UUP</t>
  </si>
  <si>
    <t>DBA</t>
  </si>
  <si>
    <t>TLT</t>
  </si>
  <si>
    <t>Earnings Revsion</t>
  </si>
  <si>
    <t>Upgrades 1 month</t>
  </si>
  <si>
    <t>Downgrades 1 month</t>
  </si>
  <si>
    <t>FXI</t>
  </si>
  <si>
    <t>Equity Global Attractiveness</t>
  </si>
  <si>
    <t>Clsoeness to 52 week</t>
  </si>
  <si>
    <t>1 month</t>
  </si>
  <si>
    <t>Closeness to 52 week</t>
  </si>
  <si>
    <t>rank</t>
  </si>
  <si>
    <t>USO</t>
  </si>
  <si>
    <t>techincal strength</t>
  </si>
  <si>
    <t>% of Countries above 30 day</t>
  </si>
  <si>
    <t>% of Countries above 60 day</t>
  </si>
  <si>
    <t>% of Countries above 200 day</t>
  </si>
  <si>
    <t>Sum</t>
  </si>
  <si>
    <t>1 month change</t>
  </si>
  <si>
    <t>1 month return</t>
  </si>
  <si>
    <t>PMI Q-Q Change</t>
  </si>
  <si>
    <t>Overall Safety Score</t>
  </si>
  <si>
    <t>SAFETY PERCENTILE</t>
  </si>
  <si>
    <t>Safety</t>
  </si>
  <si>
    <t>Monthly freq</t>
  </si>
  <si>
    <t>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</si>
</sst>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0.000"/>
    <numFmt numFmtId="170" formatCode="0.000000"/>
    <numFmt numFmtId="171" formatCode="0.0000000000000000%"/>
    <numFmt numFmtId="172" formatCode="&quot;$&quot;#,##0.00"/>
    <numFmt numFmtId="173" formatCode="_(&quot;$&quot;* #,##0.00_);_(&quot;$&quot;* \(#,##0.00\);_(&quot;$&quot;* &quot;-&quot;??_);_(@_)"/>
    <numFmt numFmtId="174" formatCode="_(&quot;$&quot;* #,##0_);_(&quot;$&quot;* \(#,##0\);_(&quot;$&quot;* &quot;-&quot;??_);_(@_)"/>
  </numFmts>
  <fonts count="4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9"/>
      <color rgb="FF00B0F0"/>
      <name val="Trebuchet MS"/>
      <family val="2"/>
    </font>
    <font>
      <sz val="10"/>
      <name val="Arial"/>
      <family val="2"/>
    </font>
    <font>
      <sz val="9"/>
      <color indexed="8"/>
      <name val="Trebuchet MS"/>
      <family val="2"/>
    </font>
    <font>
      <sz val="14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1"/>
      <scheme val="minor"/>
    </font>
    <font>
      <u/>
      <sz val="11"/>
      <color indexed="12"/>
      <name val="Calibri"/>
      <family val="2"/>
    </font>
    <font>
      <b/>
      <sz val="14"/>
      <color indexed="12"/>
      <name val="Calibri"/>
      <family val="2"/>
    </font>
    <font>
      <b/>
      <sz val="16"/>
      <color indexed="8"/>
      <name val="Calibri"/>
      <family val="2"/>
    </font>
    <font>
      <b/>
      <u/>
      <sz val="11"/>
      <color indexed="30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1"/>
      <scheme val="minor"/>
    </font>
    <font>
      <b/>
      <sz val="12"/>
      <color rgb="FF000118"/>
      <name val="Nunito Sans"/>
    </font>
    <font>
      <b/>
      <sz val="11"/>
      <color rgb="FFFF0000"/>
      <name val="Calibri"/>
      <family val="2"/>
      <scheme val="minor"/>
    </font>
    <font>
      <sz val="7"/>
      <name val="Courier New"/>
      <family val="3"/>
    </font>
    <font>
      <b/>
      <sz val="9"/>
      <color indexed="81"/>
      <name val="Tahoma"/>
      <charset val="1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2">
    <xf numFmtId="0" fontId="0" fillId="0" borderId="0"/>
    <xf numFmtId="164" fontId="2" fillId="0" borderId="0" applyFont="0" applyFill="0" applyBorder="0" applyAlignment="0" applyProtection="0"/>
    <xf numFmtId="0" fontId="5" fillId="4" borderId="0" applyNumberFormat="0" applyBorder="0" applyAlignment="0" applyProtection="0"/>
    <xf numFmtId="9" fontId="2" fillId="0" borderId="0" applyFont="0" applyFill="0" applyBorder="0" applyAlignment="0" applyProtection="0"/>
    <xf numFmtId="0" fontId="21" fillId="0" borderId="0"/>
    <xf numFmtId="0" fontId="22" fillId="0" borderId="0"/>
    <xf numFmtId="0" fontId="26" fillId="0" borderId="0"/>
    <xf numFmtId="0" fontId="27" fillId="0" borderId="27"/>
    <xf numFmtId="0" fontId="28" fillId="0" borderId="27"/>
    <xf numFmtId="0" fontId="29" fillId="0" borderId="6"/>
    <xf numFmtId="0" fontId="29" fillId="0" borderId="0"/>
    <xf numFmtId="0" fontId="30" fillId="14" borderId="0"/>
    <xf numFmtId="0" fontId="31" fillId="15" borderId="0"/>
    <xf numFmtId="0" fontId="32" fillId="16" borderId="0"/>
    <xf numFmtId="0" fontId="33" fillId="12" borderId="13"/>
    <xf numFmtId="0" fontId="34" fillId="17" borderId="13"/>
    <xf numFmtId="0" fontId="35" fillId="17" borderId="13"/>
    <xf numFmtId="0" fontId="36" fillId="0" borderId="28"/>
    <xf numFmtId="0" fontId="23" fillId="18" borderId="29"/>
    <xf numFmtId="0" fontId="24" fillId="0" borderId="0"/>
    <xf numFmtId="0" fontId="21" fillId="13" borderId="13"/>
    <xf numFmtId="0" fontId="37" fillId="0" borderId="0"/>
    <xf numFmtId="0" fontId="18" fillId="0" borderId="30"/>
    <xf numFmtId="0" fontId="25" fillId="19" borderId="0"/>
    <xf numFmtId="0" fontId="21" fillId="20" borderId="0"/>
    <xf numFmtId="0" fontId="21" fillId="21" borderId="0"/>
    <xf numFmtId="0" fontId="25" fillId="22" borderId="0"/>
    <xf numFmtId="0" fontId="25" fillId="23" borderId="0"/>
    <xf numFmtId="0" fontId="21" fillId="7" borderId="0"/>
    <xf numFmtId="0" fontId="21" fillId="5" borderId="0"/>
    <xf numFmtId="0" fontId="25" fillId="24" borderId="0"/>
    <xf numFmtId="0" fontId="25" fillId="25" borderId="0"/>
    <xf numFmtId="0" fontId="21" fillId="26" borderId="0"/>
    <xf numFmtId="0" fontId="21" fillId="3" borderId="0"/>
    <xf numFmtId="0" fontId="25" fillId="27" borderId="0"/>
    <xf numFmtId="0" fontId="25" fillId="28" borderId="0"/>
    <xf numFmtId="0" fontId="21" fillId="29" borderId="0"/>
    <xf numFmtId="0" fontId="21" fillId="6" borderId="0"/>
    <xf numFmtId="0" fontId="25" fillId="30" borderId="0"/>
    <xf numFmtId="0" fontId="25" fillId="31" borderId="0"/>
    <xf numFmtId="0" fontId="21" fillId="8" borderId="0"/>
    <xf numFmtId="0" fontId="21" fillId="32" borderId="0"/>
    <xf numFmtId="0" fontId="25" fillId="33" borderId="0"/>
    <xf numFmtId="0" fontId="25" fillId="34" borderId="0"/>
    <xf numFmtId="0" fontId="21" fillId="35" borderId="0"/>
    <xf numFmtId="0" fontId="21" fillId="36" borderId="0"/>
    <xf numFmtId="0" fontId="25" fillId="9" borderId="0"/>
    <xf numFmtId="0" fontId="22" fillId="0" borderId="0"/>
    <xf numFmtId="0" fontId="22" fillId="0" borderId="0"/>
    <xf numFmtId="0" fontId="21" fillId="0" borderId="0"/>
    <xf numFmtId="0" fontId="14" fillId="0" borderId="0"/>
    <xf numFmtId="0" fontId="21" fillId="0" borderId="0" applyFill="0" applyProtection="0"/>
  </cellStyleXfs>
  <cellXfs count="220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9" fontId="1" fillId="0" borderId="0" xfId="0" applyNumberFormat="1" applyFont="1"/>
    <xf numFmtId="164" fontId="0" fillId="0" borderId="0" xfId="1" applyFont="1" applyFill="1"/>
    <xf numFmtId="164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/>
    <xf numFmtId="0" fontId="1" fillId="0" borderId="3" xfId="0" applyFont="1" applyBorder="1"/>
    <xf numFmtId="9" fontId="0" fillId="0" borderId="6" xfId="0" applyNumberFormat="1" applyBorder="1"/>
    <xf numFmtId="9" fontId="4" fillId="0" borderId="0" xfId="0" applyNumberFormat="1" applyFont="1"/>
    <xf numFmtId="0" fontId="4" fillId="0" borderId="0" xfId="0" applyFont="1"/>
    <xf numFmtId="0" fontId="3" fillId="0" borderId="0" xfId="0" applyFont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168" fontId="0" fillId="0" borderId="0" xfId="0" applyNumberFormat="1"/>
    <xf numFmtId="0" fontId="0" fillId="5" borderId="0" xfId="0" applyFill="1"/>
    <xf numFmtId="4" fontId="0" fillId="0" borderId="0" xfId="0" applyNumberFormat="1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/>
    <xf numFmtId="2" fontId="6" fillId="0" borderId="0" xfId="0" applyNumberFormat="1" applyFont="1"/>
    <xf numFmtId="0" fontId="7" fillId="0" borderId="0" xfId="0" applyFont="1"/>
    <xf numFmtId="2" fontId="8" fillId="0" borderId="0" xfId="0" applyNumberFormat="1" applyFont="1" applyAlignment="1">
      <alignment horizontal="left"/>
    </xf>
    <xf numFmtId="0" fontId="9" fillId="4" borderId="10" xfId="2" applyFont="1" applyBorder="1"/>
    <xf numFmtId="0" fontId="9" fillId="4" borderId="0" xfId="2" applyFont="1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8" borderId="0" xfId="0" applyFill="1"/>
    <xf numFmtId="164" fontId="0" fillId="0" borderId="0" xfId="1" applyFont="1"/>
    <xf numFmtId="2" fontId="0" fillId="2" borderId="0" xfId="0" applyNumberFormat="1" applyFill="1"/>
    <xf numFmtId="169" fontId="10" fillId="0" borderId="0" xfId="0" applyNumberFormat="1" applyFont="1"/>
    <xf numFmtId="165" fontId="10" fillId="0" borderId="0" xfId="0" applyNumberFormat="1" applyFont="1"/>
    <xf numFmtId="165" fontId="11" fillId="0" borderId="0" xfId="0" applyNumberFormat="1" applyFont="1"/>
    <xf numFmtId="167" fontId="0" fillId="0" borderId="0" xfId="1" applyNumberFormat="1" applyFont="1"/>
    <xf numFmtId="0" fontId="0" fillId="2" borderId="0" xfId="0" applyFill="1"/>
    <xf numFmtId="2" fontId="0" fillId="0" borderId="0" xfId="0" applyNumberFormat="1"/>
    <xf numFmtId="168" fontId="0" fillId="0" borderId="0" xfId="3" applyNumberFormat="1" applyFont="1"/>
    <xf numFmtId="0" fontId="1" fillId="0" borderId="0" xfId="0" applyFont="1" applyAlignment="1">
      <alignment wrapText="1"/>
    </xf>
    <xf numFmtId="10" fontId="0" fillId="0" borderId="0" xfId="0" applyNumberFormat="1"/>
    <xf numFmtId="0" fontId="1" fillId="9" borderId="0" xfId="0" applyFont="1" applyFill="1"/>
    <xf numFmtId="170" fontId="0" fillId="0" borderId="0" xfId="0" applyNumberFormat="1"/>
    <xf numFmtId="166" fontId="0" fillId="0" borderId="0" xfId="0" applyNumberFormat="1"/>
    <xf numFmtId="0" fontId="4" fillId="0" borderId="11" xfId="0" applyFont="1" applyBorder="1"/>
    <xf numFmtId="167" fontId="4" fillId="0" borderId="12" xfId="0" applyNumberFormat="1" applyFont="1" applyBorder="1"/>
    <xf numFmtId="0" fontId="0" fillId="0" borderId="11" xfId="0" applyBorder="1"/>
    <xf numFmtId="167" fontId="0" fillId="0" borderId="12" xfId="0" applyNumberFormat="1" applyBorder="1"/>
    <xf numFmtId="0" fontId="0" fillId="0" borderId="12" xfId="0" applyBorder="1"/>
    <xf numFmtId="167" fontId="0" fillId="0" borderId="7" xfId="0" applyNumberFormat="1" applyBorder="1"/>
    <xf numFmtId="0" fontId="3" fillId="2" borderId="2" xfId="0" applyFont="1" applyFill="1" applyBorder="1"/>
    <xf numFmtId="0" fontId="4" fillId="2" borderId="4" xfId="0" applyFont="1" applyFill="1" applyBorder="1"/>
    <xf numFmtId="0" fontId="0" fillId="0" borderId="2" xfId="0" applyBorder="1"/>
    <xf numFmtId="0" fontId="4" fillId="0" borderId="4" xfId="0" applyFont="1" applyBorder="1"/>
    <xf numFmtId="9" fontId="0" fillId="0" borderId="12" xfId="0" applyNumberFormat="1" applyBorder="1"/>
    <xf numFmtId="171" fontId="0" fillId="0" borderId="0" xfId="0" applyNumberFormat="1"/>
    <xf numFmtId="9" fontId="0" fillId="2" borderId="0" xfId="0" applyNumberFormat="1" applyFill="1"/>
    <xf numFmtId="172" fontId="0" fillId="0" borderId="0" xfId="0" applyNumberFormat="1"/>
    <xf numFmtId="9" fontId="1" fillId="2" borderId="0" xfId="0" applyNumberFormat="1" applyFont="1" applyFill="1"/>
    <xf numFmtId="9" fontId="0" fillId="2" borderId="5" xfId="0" applyNumberFormat="1" applyFill="1" applyBorder="1"/>
    <xf numFmtId="9" fontId="0" fillId="2" borderId="6" xfId="0" applyNumberFormat="1" applyFill="1" applyBorder="1"/>
    <xf numFmtId="9" fontId="0" fillId="2" borderId="7" xfId="0" applyNumberFormat="1" applyFill="1" applyBorder="1"/>
    <xf numFmtId="0" fontId="0" fillId="0" borderId="0" xfId="0" applyAlignment="1">
      <alignment wrapText="1"/>
    </xf>
    <xf numFmtId="9" fontId="0" fillId="0" borderId="0" xfId="3" applyFont="1"/>
    <xf numFmtId="10" fontId="0" fillId="0" borderId="0" xfId="3" applyNumberFormat="1" applyFont="1"/>
    <xf numFmtId="0" fontId="0" fillId="5" borderId="0" xfId="0" applyFill="1" applyAlignment="1">
      <alignment wrapText="1"/>
    </xf>
    <xf numFmtId="10" fontId="0" fillId="5" borderId="0" xfId="3" applyNumberFormat="1" applyFont="1" applyFill="1" applyAlignment="1">
      <alignment wrapText="1"/>
    </xf>
    <xf numFmtId="0" fontId="0" fillId="0" borderId="17" xfId="0" applyBorder="1"/>
    <xf numFmtId="0" fontId="0" fillId="0" borderId="21" xfId="0" applyBorder="1"/>
    <xf numFmtId="0" fontId="0" fillId="0" borderId="19" xfId="0" applyBorder="1"/>
    <xf numFmtId="0" fontId="21" fillId="0" borderId="0" xfId="4"/>
    <xf numFmtId="0" fontId="19" fillId="0" borderId="0" xfId="4" applyFont="1"/>
    <xf numFmtId="0" fontId="15" fillId="0" borderId="0" xfId="50" applyFont="1"/>
    <xf numFmtId="3" fontId="21" fillId="0" borderId="0" xfId="4" applyNumberFormat="1"/>
    <xf numFmtId="0" fontId="16" fillId="0" borderId="0" xfId="4" applyFont="1"/>
    <xf numFmtId="1" fontId="21" fillId="0" borderId="0" xfId="4" applyNumberFormat="1" applyAlignment="1">
      <alignment horizontal="right"/>
    </xf>
    <xf numFmtId="1" fontId="18" fillId="11" borderId="1" xfId="4" applyNumberFormat="1" applyFont="1" applyFill="1" applyBorder="1" applyAlignment="1">
      <alignment horizontal="left" vertical="center"/>
    </xf>
    <xf numFmtId="1" fontId="18" fillId="11" borderId="1" xfId="4" applyNumberFormat="1" applyFont="1" applyFill="1" applyBorder="1" applyAlignment="1">
      <alignment horizontal="right" vertical="center"/>
    </xf>
    <xf numFmtId="1" fontId="18" fillId="11" borderId="20" xfId="4" applyNumberFormat="1" applyFont="1" applyFill="1" applyBorder="1" applyAlignment="1">
      <alignment horizontal="right" vertical="center"/>
    </xf>
    <xf numFmtId="165" fontId="19" fillId="0" borderId="21" xfId="4" applyNumberFormat="1" applyFont="1" applyBorder="1"/>
    <xf numFmtId="165" fontId="19" fillId="0" borderId="0" xfId="4" applyNumberFormat="1" applyFont="1"/>
    <xf numFmtId="165" fontId="19" fillId="0" borderId="22" xfId="4" applyNumberFormat="1" applyFont="1" applyBorder="1"/>
    <xf numFmtId="0" fontId="18" fillId="0" borderId="0" xfId="4" applyFont="1"/>
    <xf numFmtId="0" fontId="19" fillId="0" borderId="0" xfId="4" applyFont="1" applyAlignment="1">
      <alignment horizontal="center"/>
    </xf>
    <xf numFmtId="0" fontId="19" fillId="0" borderId="22" xfId="4" applyFont="1" applyBorder="1" applyAlignment="1">
      <alignment horizontal="center"/>
    </xf>
    <xf numFmtId="3" fontId="19" fillId="0" borderId="0" xfId="4" applyNumberFormat="1" applyFont="1"/>
    <xf numFmtId="0" fontId="18" fillId="11" borderId="24" xfId="4" applyFont="1" applyFill="1" applyBorder="1" applyAlignment="1">
      <alignment horizontal="center" vertical="center" wrapText="1"/>
    </xf>
    <xf numFmtId="0" fontId="18" fillId="11" borderId="26" xfId="4" applyFont="1" applyFill="1" applyBorder="1" applyAlignment="1">
      <alignment horizontal="center" vertical="center" wrapText="1"/>
    </xf>
    <xf numFmtId="0" fontId="18" fillId="11" borderId="25" xfId="4" applyFont="1" applyFill="1" applyBorder="1" applyAlignment="1">
      <alignment horizontal="center" vertical="center" wrapText="1"/>
    </xf>
    <xf numFmtId="0" fontId="18" fillId="0" borderId="0" xfId="4" applyFont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165" fontId="19" fillId="0" borderId="0" xfId="4" applyNumberFormat="1" applyFont="1" applyAlignment="1">
      <alignment horizontal="center"/>
    </xf>
    <xf numFmtId="0" fontId="21" fillId="10" borderId="0" xfId="50" applyFont="1" applyFill="1" applyAlignment="1">
      <alignment vertical="center"/>
    </xf>
    <xf numFmtId="0" fontId="18" fillId="0" borderId="21" xfId="4" applyFont="1" applyBorder="1" applyAlignment="1">
      <alignment horizontal="center"/>
    </xf>
    <xf numFmtId="0" fontId="18" fillId="11" borderId="19" xfId="4" applyFont="1" applyFill="1" applyBorder="1" applyAlignment="1">
      <alignment horizontal="right" vertical="center"/>
    </xf>
    <xf numFmtId="0" fontId="18" fillId="11" borderId="1" xfId="4" applyFont="1" applyFill="1" applyBorder="1" applyAlignment="1">
      <alignment horizontal="right" vertical="center"/>
    </xf>
    <xf numFmtId="0" fontId="18" fillId="11" borderId="20" xfId="4" applyFont="1" applyFill="1" applyBorder="1" applyAlignment="1">
      <alignment horizontal="right" vertical="center"/>
    </xf>
    <xf numFmtId="0" fontId="20" fillId="0" borderId="21" xfId="4" applyFont="1" applyBorder="1" applyAlignment="1">
      <alignment horizontal="center"/>
    </xf>
    <xf numFmtId="0" fontId="19" fillId="0" borderId="21" xfId="4" applyFont="1" applyBorder="1"/>
    <xf numFmtId="1" fontId="18" fillId="11" borderId="19" xfId="4" applyNumberFormat="1" applyFont="1" applyFill="1" applyBorder="1" applyAlignment="1">
      <alignment horizontal="right" vertical="center"/>
    </xf>
    <xf numFmtId="0" fontId="21" fillId="13" borderId="13" xfId="20"/>
    <xf numFmtId="0" fontId="38" fillId="0" borderId="0" xfId="5" applyFont="1"/>
    <xf numFmtId="0" fontId="38" fillId="0" borderId="0" xfId="5" applyFont="1" applyAlignment="1">
      <alignment horizontal="left"/>
    </xf>
    <xf numFmtId="0" fontId="39" fillId="0" borderId="0" xfId="0" applyFont="1"/>
    <xf numFmtId="0" fontId="13" fillId="0" borderId="0" xfId="0" applyFont="1"/>
    <xf numFmtId="0" fontId="40" fillId="0" borderId="0" xfId="0" applyFont="1" applyAlignment="1">
      <alignment wrapText="1"/>
    </xf>
    <xf numFmtId="14" fontId="41" fillId="0" borderId="0" xfId="0" applyNumberFormat="1" applyFont="1"/>
    <xf numFmtId="0" fontId="13" fillId="0" borderId="0" xfId="0" applyFont="1" applyAlignment="1">
      <alignment wrapText="1"/>
    </xf>
    <xf numFmtId="0" fontId="13" fillId="0" borderId="16" xfId="0" applyFont="1" applyBorder="1" applyAlignment="1">
      <alignment horizontal="center" vertical="center"/>
    </xf>
    <xf numFmtId="0" fontId="13" fillId="0" borderId="4" xfId="0" applyFont="1" applyBorder="1"/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0" fontId="13" fillId="0" borderId="0" xfId="0" applyNumberFormat="1" applyFont="1"/>
    <xf numFmtId="165" fontId="0" fillId="0" borderId="14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9" fontId="0" fillId="0" borderId="4" xfId="0" applyNumberFormat="1" applyBorder="1"/>
    <xf numFmtId="9" fontId="0" fillId="0" borderId="12" xfId="3" applyFont="1" applyBorder="1"/>
    <xf numFmtId="0" fontId="0" fillId="0" borderId="2" xfId="0" applyBorder="1" applyAlignment="1">
      <alignment horizontal="left"/>
    </xf>
    <xf numFmtId="9" fontId="0" fillId="0" borderId="4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9" fontId="0" fillId="0" borderId="12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10" fontId="0" fillId="0" borderId="0" xfId="3" applyNumberFormat="1" applyFont="1" applyBorder="1"/>
    <xf numFmtId="10" fontId="0" fillId="0" borderId="6" xfId="3" applyNumberFormat="1" applyFont="1" applyBorder="1"/>
    <xf numFmtId="2" fontId="0" fillId="0" borderId="6" xfId="0" applyNumberFormat="1" applyBorder="1"/>
    <xf numFmtId="0" fontId="13" fillId="37" borderId="2" xfId="0" applyFont="1" applyFill="1" applyBorder="1"/>
    <xf numFmtId="0" fontId="13" fillId="37" borderId="3" xfId="0" applyFont="1" applyFill="1" applyBorder="1"/>
    <xf numFmtId="164" fontId="10" fillId="0" borderId="0" xfId="1" applyFont="1" applyFill="1" applyBorder="1" applyAlignment="1"/>
    <xf numFmtId="173" fontId="0" fillId="0" borderId="0" xfId="0" applyNumberFormat="1"/>
    <xf numFmtId="174" fontId="0" fillId="0" borderId="0" xfId="0" applyNumberFormat="1"/>
    <xf numFmtId="0" fontId="0" fillId="0" borderId="31" xfId="0" applyBorder="1"/>
    <xf numFmtId="0" fontId="40" fillId="0" borderId="0" xfId="0" applyFont="1"/>
    <xf numFmtId="173" fontId="40" fillId="0" borderId="0" xfId="0" applyNumberFormat="1" applyFont="1"/>
    <xf numFmtId="9" fontId="0" fillId="0" borderId="7" xfId="3" applyFont="1" applyBorder="1"/>
    <xf numFmtId="0" fontId="0" fillId="0" borderId="32" xfId="0" applyBorder="1"/>
    <xf numFmtId="173" fontId="0" fillId="2" borderId="0" xfId="0" applyNumberFormat="1" applyFill="1"/>
    <xf numFmtId="0" fontId="13" fillId="0" borderId="2" xfId="0" applyFont="1" applyBorder="1"/>
    <xf numFmtId="9" fontId="0" fillId="0" borderId="7" xfId="0" applyNumberFormat="1" applyBorder="1"/>
    <xf numFmtId="0" fontId="13" fillId="0" borderId="14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37" borderId="4" xfId="0" applyFont="1" applyFill="1" applyBorder="1"/>
    <xf numFmtId="10" fontId="0" fillId="0" borderId="12" xfId="3" applyNumberFormat="1" applyFont="1" applyBorder="1"/>
    <xf numFmtId="10" fontId="0" fillId="0" borderId="7" xfId="3" applyNumberFormat="1" applyFont="1" applyBorder="1"/>
    <xf numFmtId="2" fontId="0" fillId="0" borderId="0" xfId="1" applyNumberFormat="1" applyFont="1" applyFill="1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9" fontId="0" fillId="0" borderId="0" xfId="3" applyFont="1" applyBorder="1" applyAlignment="1">
      <alignment horizontal="center" vertical="center"/>
    </xf>
    <xf numFmtId="165" fontId="0" fillId="0" borderId="23" xfId="0" applyNumberFormat="1" applyBorder="1" applyAlignment="1">
      <alignment horizontal="center" vertical="center"/>
    </xf>
    <xf numFmtId="9" fontId="0" fillId="0" borderId="23" xfId="3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9" fontId="0" fillId="0" borderId="1" xfId="3" applyFont="1" applyBorder="1" applyAlignment="1">
      <alignment horizontal="center" vertical="center"/>
    </xf>
    <xf numFmtId="0" fontId="0" fillId="0" borderId="14" xfId="0" applyBorder="1"/>
    <xf numFmtId="0" fontId="0" fillId="0" borderId="16" xfId="0" applyBorder="1"/>
    <xf numFmtId="0" fontId="0" fillId="0" borderId="15" xfId="0" applyBorder="1"/>
    <xf numFmtId="10" fontId="0" fillId="0" borderId="0" xfId="3" applyNumberFormat="1" applyFont="1" applyFill="1" applyBorder="1"/>
    <xf numFmtId="167" fontId="0" fillId="0" borderId="3" xfId="0" applyNumberFormat="1" applyBorder="1"/>
    <xf numFmtId="167" fontId="0" fillId="0" borderId="4" xfId="0" applyNumberFormat="1" applyBorder="1"/>
    <xf numFmtId="167" fontId="0" fillId="0" borderId="6" xfId="0" applyNumberFormat="1" applyBorder="1"/>
    <xf numFmtId="0" fontId="42" fillId="0" borderId="2" xfId="0" applyFont="1" applyBorder="1"/>
    <xf numFmtId="0" fontId="1" fillId="0" borderId="12" xfId="0" applyFont="1" applyBorder="1"/>
    <xf numFmtId="165" fontId="0" fillId="0" borderId="6" xfId="0" applyNumberFormat="1" applyBorder="1"/>
    <xf numFmtId="9" fontId="1" fillId="3" borderId="9" xfId="0" applyNumberFormat="1" applyFont="1" applyFill="1" applyBorder="1"/>
    <xf numFmtId="0" fontId="0" fillId="0" borderId="1" xfId="0" applyBorder="1"/>
    <xf numFmtId="0" fontId="0" fillId="0" borderId="33" xfId="0" applyBorder="1"/>
    <xf numFmtId="165" fontId="0" fillId="0" borderId="17" xfId="0" applyNumberFormat="1" applyBorder="1" applyAlignment="1">
      <alignment horizontal="center" vertical="center"/>
    </xf>
    <xf numFmtId="165" fontId="0" fillId="0" borderId="21" xfId="0" applyNumberFormat="1" applyBorder="1" applyAlignment="1">
      <alignment horizontal="center" vertical="center"/>
    </xf>
    <xf numFmtId="165" fontId="0" fillId="0" borderId="19" xfId="0" applyNumberFormat="1" applyBorder="1" applyAlignment="1">
      <alignment horizontal="center" vertical="center"/>
    </xf>
    <xf numFmtId="167" fontId="1" fillId="0" borderId="0" xfId="0" applyNumberFormat="1" applyFont="1"/>
    <xf numFmtId="0" fontId="0" fillId="38" borderId="0" xfId="0" applyFill="1"/>
    <xf numFmtId="0" fontId="1" fillId="38" borderId="0" xfId="0" applyFont="1" applyFill="1"/>
    <xf numFmtId="2" fontId="0" fillId="38" borderId="0" xfId="0" applyNumberFormat="1" applyFill="1"/>
    <xf numFmtId="14" fontId="43" fillId="0" borderId="4" xfId="0" applyNumberFormat="1" applyFont="1" applyBorder="1"/>
    <xf numFmtId="14" fontId="43" fillId="0" borderId="7" xfId="0" applyNumberFormat="1" applyFont="1" applyBorder="1"/>
    <xf numFmtId="0" fontId="1" fillId="0" borderId="4" xfId="0" applyFont="1" applyBorder="1"/>
    <xf numFmtId="0" fontId="1" fillId="0" borderId="11" xfId="0" applyFont="1" applyBorder="1"/>
    <xf numFmtId="9" fontId="1" fillId="2" borderId="12" xfId="0" applyNumberFormat="1" applyFont="1" applyFill="1" applyBorder="1"/>
    <xf numFmtId="0" fontId="3" fillId="0" borderId="5" xfId="0" applyFont="1" applyBorder="1"/>
    <xf numFmtId="9" fontId="4" fillId="0" borderId="6" xfId="0" applyNumberFormat="1" applyFont="1" applyBorder="1"/>
    <xf numFmtId="9" fontId="4" fillId="0" borderId="7" xfId="0" applyNumberFormat="1" applyFont="1" applyBorder="1"/>
    <xf numFmtId="166" fontId="0" fillId="0" borderId="3" xfId="0" applyNumberFormat="1" applyBorder="1"/>
    <xf numFmtId="9" fontId="0" fillId="0" borderId="3" xfId="0" applyNumberFormat="1" applyBorder="1"/>
    <xf numFmtId="9" fontId="0" fillId="2" borderId="12" xfId="0" applyNumberFormat="1" applyFill="1" applyBorder="1"/>
    <xf numFmtId="167" fontId="4" fillId="0" borderId="7" xfId="0" applyNumberFormat="1" applyFont="1" applyBorder="1"/>
    <xf numFmtId="9" fontId="0" fillId="2" borderId="4" xfId="0" applyNumberFormat="1" applyFill="1" applyBorder="1"/>
    <xf numFmtId="0" fontId="0" fillId="36" borderId="0" xfId="0" applyFill="1"/>
    <xf numFmtId="9" fontId="0" fillId="36" borderId="9" xfId="0" applyNumberFormat="1" applyFill="1" applyBorder="1"/>
    <xf numFmtId="1" fontId="0" fillId="36" borderId="0" xfId="0" applyNumberFormat="1" applyFill="1"/>
    <xf numFmtId="0" fontId="13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0" fontId="18" fillId="0" borderId="17" xfId="4" applyFont="1" applyBorder="1" applyAlignment="1">
      <alignment horizontal="center" vertical="center"/>
    </xf>
    <xf numFmtId="0" fontId="18" fillId="0" borderId="23" xfId="4" applyFont="1" applyBorder="1" applyAlignment="1">
      <alignment horizontal="center" vertical="center"/>
    </xf>
    <xf numFmtId="0" fontId="18" fillId="0" borderId="18" xfId="4" applyFont="1" applyBorder="1" applyAlignment="1">
      <alignment horizontal="center" vertical="center"/>
    </xf>
  </cellXfs>
  <cellStyles count="52">
    <cellStyle name="20% - Accent1 2" xfId="24" xr:uid="{6BF567C9-3E19-4630-AF0A-0733C7BFCE04}"/>
    <cellStyle name="20% - Accent2 2" xfId="28" xr:uid="{5F0600A4-5BB4-497F-9807-6F9D2A2A3D3D}"/>
    <cellStyle name="20% - Accent3 2" xfId="32" xr:uid="{DBF42285-B623-4F8B-BA82-E5910643416B}"/>
    <cellStyle name="20% - Accent4 2" xfId="36" xr:uid="{4DCDC153-26D1-4002-8E2D-81916D625F7E}"/>
    <cellStyle name="20% - Accent5 2" xfId="40" xr:uid="{8DAB878B-1406-49CB-A825-4A720222E27A}"/>
    <cellStyle name="20% - Accent6 2" xfId="44" xr:uid="{D7129595-6E29-4C9E-8A40-CB20ED27F2A1}"/>
    <cellStyle name="40% - Accent1 2" xfId="25" xr:uid="{EE5EFDA3-DAFB-44BD-9F41-B55E770AE017}"/>
    <cellStyle name="40% - Accent2 2" xfId="29" xr:uid="{E60B08D7-FCFC-4B75-949E-53F991A87A95}"/>
    <cellStyle name="40% - Accent3 2" xfId="33" xr:uid="{B55CEAC8-3FFC-42A0-9906-73D0C544EB86}"/>
    <cellStyle name="40% - Accent4 2" xfId="37" xr:uid="{59C4DF45-BCD5-46B6-8F9E-6EDD2098F372}"/>
    <cellStyle name="40% - Accent5 2" xfId="41" xr:uid="{B4421AFC-A7D7-4211-8102-F52CAE046248}"/>
    <cellStyle name="40% - Accent6 2" xfId="45" xr:uid="{4375B196-4796-4AEE-B670-08CF84FDA4DE}"/>
    <cellStyle name="60% - Accent1 2" xfId="26" xr:uid="{5AA6FCB0-CD17-4C34-8429-EDB769B7872A}"/>
    <cellStyle name="60% - Accent2 2" xfId="30" xr:uid="{725B5829-70DC-47F8-94AF-24E67FFE08A6}"/>
    <cellStyle name="60% - Accent3 2" xfId="34" xr:uid="{78968431-9ED7-4764-B0A6-174D90961FDE}"/>
    <cellStyle name="60% - Accent4 2" xfId="38" xr:uid="{2CDE5411-0817-42C7-9BE8-A3F5850D4E7C}"/>
    <cellStyle name="60% - Accent5 2" xfId="42" xr:uid="{AA76549F-F357-40F6-A8A0-F4D9C90E33C5}"/>
    <cellStyle name="60% - Accent6 2" xfId="46" xr:uid="{B834F776-29E6-442B-B2A4-13E499B88243}"/>
    <cellStyle name="Accent1 2" xfId="23" xr:uid="{E31E200E-E4F1-40BC-A964-614943D67F5F}"/>
    <cellStyle name="Accent2 2" xfId="27" xr:uid="{14CB3ABC-1D87-42A7-8EC9-22951DAB35B7}"/>
    <cellStyle name="Accent3 2" xfId="31" xr:uid="{FC8DFCD8-A5C1-453C-A832-7C7EEC8D3A45}"/>
    <cellStyle name="Accent4 2" xfId="35" xr:uid="{C984AEFA-60ED-4827-A0A8-CF53BC33DB1C}"/>
    <cellStyle name="Accent5 2" xfId="39" xr:uid="{C4C081E2-30E4-4FE8-9241-47C9A7D4F425}"/>
    <cellStyle name="Accent6 2" xfId="43" xr:uid="{ACBE0022-0325-4427-B342-7D198FC24C57}"/>
    <cellStyle name="Bad 2" xfId="12" xr:uid="{34FA6DDA-7C4A-4AAF-B54F-AC61B9198874}"/>
    <cellStyle name="Calculation 2" xfId="16" xr:uid="{4C103943-B964-476F-8DED-2CBBE8FF5AB3}"/>
    <cellStyle name="Check Cell 2" xfId="18" xr:uid="{A5B4E367-727F-4FF5-97CD-0B2AC393E0AC}"/>
    <cellStyle name="Comma" xfId="1" builtinId="3"/>
    <cellStyle name="Explanatory Text 2" xfId="21" xr:uid="{CA4E047B-78A0-4149-B455-DA7DEC1140AC}"/>
    <cellStyle name="Good" xfId="2" builtinId="26"/>
    <cellStyle name="Good 2" xfId="11" xr:uid="{ACD8C754-FD4D-4B70-9E33-7A7C7FD8649E}"/>
    <cellStyle name="Heading 1 2" xfId="7" xr:uid="{173B1166-3921-420C-8765-28E946828845}"/>
    <cellStyle name="Heading 2 2" xfId="8" xr:uid="{E323F497-5728-45A9-A83B-E5FFBE5F3B8D}"/>
    <cellStyle name="Heading 3 2" xfId="9" xr:uid="{842A6238-2186-496C-BA5F-D924F4DD879D}"/>
    <cellStyle name="Heading 4 2" xfId="10" xr:uid="{0E8A40DF-39D7-4BCE-B781-19E0C27BDDB5}"/>
    <cellStyle name="Hyperlink 2" xfId="50" xr:uid="{585E602A-854D-40CA-B45C-D7EC796A3C12}"/>
    <cellStyle name="Input 2" xfId="14" xr:uid="{9FB5D653-92B2-447E-A9C5-44E81D71809B}"/>
    <cellStyle name="Linked Cell 2" xfId="17" xr:uid="{4DC9DA3A-47A9-4697-9B4B-E2759465A1FF}"/>
    <cellStyle name="Neutral 2" xfId="13" xr:uid="{86A8DAC4-4E23-4DC3-8FAD-3DAEBC1B653E}"/>
    <cellStyle name="Normal" xfId="0" builtinId="0"/>
    <cellStyle name="Normal 2" xfId="5" xr:uid="{1B6474D5-B1FB-4CF3-894C-9CA566BA18CC}"/>
    <cellStyle name="Normal 2 2" xfId="47" xr:uid="{2D7C4D45-C813-4CC8-9258-BED30AB3C215}"/>
    <cellStyle name="Normal 2 2 2" xfId="48" xr:uid="{2C1E2A28-1B42-41ED-B6CB-85F988B9763D}"/>
    <cellStyle name="Normal 3" xfId="49" xr:uid="{D60CEBFB-F3B0-497F-A27B-E0BA49DFEF7C}"/>
    <cellStyle name="Normal 4" xfId="4" xr:uid="{958436DA-23C3-4F88-95CD-360D4C51F944}"/>
    <cellStyle name="Normal 5" xfId="51" xr:uid="{7B936215-C9A4-44ED-9EFF-D9C25E5F21B0}"/>
    <cellStyle name="Note 2" xfId="20" xr:uid="{DA5BF5B2-5940-424E-85C9-00F9C2454F44}"/>
    <cellStyle name="Output 2" xfId="15" xr:uid="{482649A2-BB86-4C01-9ED9-51DFAD926240}"/>
    <cellStyle name="Percent" xfId="3" builtinId="5"/>
    <cellStyle name="Title 2" xfId="6" xr:uid="{FB6D4149-6ABD-4DB4-95B3-0D1495DBAFEF}"/>
    <cellStyle name="Total 2" xfId="22" xr:uid="{AA230248-B9E2-4D03-991C-F308A812F75F}"/>
    <cellStyle name="Warning Text 2" xfId="19" xr:uid="{DCD35606-1851-419A-A761-DC327BEC07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4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hartsheet" Target="chartsheets/sheet1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6.xml"/><Relationship Id="rId30" Type="http://schemas.openxmlformats.org/officeDocument/2006/relationships/theme" Target="theme/theme1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dev.worldeconomics.com/Concepts/World-Economics-GDP-Database/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/>
  </sheetViews>
  <sheetFormatPr defaultRowHeight="14.5" x14ac:dyDescent="0.35"/>
  <sheetData>
    <row r="1" spans="1:2" x14ac:dyDescent="0.35">
      <c r="B1" t="s">
        <v>13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  <row r="10" spans="1:2" x14ac:dyDescent="0.35"/>
    <row r="11" spans="1:2" x14ac:dyDescent="0.35"/>
    <row r="12" spans="1:2" x14ac:dyDescent="0.35"/>
    <row r="13" spans="1:2" x14ac:dyDescent="0.35"/>
    <row r="14" spans="1:2" x14ac:dyDescent="0.35"/>
    <row r="15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8:V86"/>
  <sheetViews>
    <sheetView topLeftCell="A7" zoomScale="70" zoomScaleNormal="70" workbookViewId="0">
      <selection activeCell="H20" sqref="H20"/>
    </sheetView>
  </sheetViews>
  <sheetFormatPr defaultRowHeight="14.5" x14ac:dyDescent="0.35"/>
  <cols>
    <col min="3" max="3" width="18.54296875" customWidth="1"/>
    <col min="4" max="4" width="26.81640625" customWidth="1"/>
    <col min="5" max="5" width="24.81640625" bestFit="1" customWidth="1"/>
    <col min="6" max="6" width="18.81640625" customWidth="1"/>
    <col min="7" max="7" width="27" customWidth="1"/>
    <col min="8" max="8" width="22.453125" customWidth="1"/>
    <col min="9" max="9" width="19.453125" customWidth="1"/>
    <col min="10" max="10" width="24.453125" customWidth="1"/>
    <col min="11" max="11" width="16.453125" customWidth="1"/>
    <col min="13" max="13" width="21.54296875" customWidth="1"/>
    <col min="14" max="14" width="12" customWidth="1"/>
    <col min="15" max="15" width="13.453125" customWidth="1"/>
    <col min="19" max="19" width="20.453125" bestFit="1" customWidth="1"/>
    <col min="22" max="22" width="11.453125" customWidth="1"/>
  </cols>
  <sheetData>
    <row r="8" spans="3:19" x14ac:dyDescent="0.35">
      <c r="C8" s="51" t="s">
        <v>415</v>
      </c>
      <c r="D8" s="51" t="s">
        <v>55</v>
      </c>
    </row>
    <row r="9" spans="3:19" ht="15" thickBot="1" x14ac:dyDescent="0.4">
      <c r="M9" t="s">
        <v>473</v>
      </c>
      <c r="N9" s="66">
        <v>0.06</v>
      </c>
      <c r="S9" s="65"/>
    </row>
    <row r="10" spans="3:19" x14ac:dyDescent="0.35">
      <c r="C10" s="1" t="s">
        <v>416</v>
      </c>
      <c r="D10" s="62" t="s">
        <v>61</v>
      </c>
      <c r="E10" s="16" t="s">
        <v>9</v>
      </c>
      <c r="F10" s="16" t="s">
        <v>56</v>
      </c>
      <c r="G10" s="188" t="s">
        <v>57</v>
      </c>
    </row>
    <row r="11" spans="3:19" ht="15" thickBot="1" x14ac:dyDescent="0.4">
      <c r="D11" s="189" t="s">
        <v>82</v>
      </c>
      <c r="E11" s="68">
        <v>0.4</v>
      </c>
      <c r="F11" s="68">
        <v>0.3</v>
      </c>
      <c r="G11" s="190">
        <v>0.3</v>
      </c>
    </row>
    <row r="12" spans="3:19" s="19" customFormat="1" ht="15" thickBot="1" x14ac:dyDescent="0.4">
      <c r="D12" s="191" t="s">
        <v>81</v>
      </c>
      <c r="E12" s="192">
        <f>E11*$E$34</f>
        <v>0.4</v>
      </c>
      <c r="F12" s="192">
        <f t="shared" ref="F12:G12" si="0">F11*$E$34</f>
        <v>0.3</v>
      </c>
      <c r="G12" s="193">
        <f t="shared" si="0"/>
        <v>0.3</v>
      </c>
      <c r="H12" s="18"/>
      <c r="M12" s="60" t="s">
        <v>450</v>
      </c>
      <c r="N12" s="61"/>
      <c r="O12" s="63" t="s">
        <v>472</v>
      </c>
    </row>
    <row r="13" spans="3:19" s="19" customFormat="1" ht="15" thickBot="1" x14ac:dyDescent="0.4">
      <c r="D13" s="20"/>
      <c r="E13" s="18"/>
      <c r="F13" s="18"/>
      <c r="G13" s="18"/>
      <c r="M13" s="54" t="s">
        <v>451</v>
      </c>
      <c r="N13" s="55">
        <f>(1/'Value -2 '!H11)</f>
        <v>4.8179029387157637E-2</v>
      </c>
      <c r="O13" s="55">
        <f>N13*(1+N9)</f>
        <v>5.1069771150387099E-2</v>
      </c>
    </row>
    <row r="14" spans="3:19" x14ac:dyDescent="0.35">
      <c r="C14" s="1" t="s">
        <v>417</v>
      </c>
      <c r="D14" s="15" t="s">
        <v>78</v>
      </c>
      <c r="E14" s="194" t="s">
        <v>63</v>
      </c>
      <c r="F14" s="195" t="s">
        <v>64</v>
      </c>
      <c r="G14" s="195" t="s">
        <v>79</v>
      </c>
      <c r="H14" s="11" t="s">
        <v>77</v>
      </c>
      <c r="M14" s="56" t="s">
        <v>452</v>
      </c>
      <c r="N14" s="57">
        <f>(1/'Value -2 '!G11)</f>
        <v>3.8683416723552147E-2</v>
      </c>
      <c r="O14" s="58"/>
    </row>
    <row r="15" spans="3:19" x14ac:dyDescent="0.35">
      <c r="D15" s="189" t="s">
        <v>82</v>
      </c>
      <c r="E15" s="66">
        <v>0.2</v>
      </c>
      <c r="F15" s="66">
        <v>0.2</v>
      </c>
      <c r="G15" s="66">
        <v>0.3</v>
      </c>
      <c r="H15" s="196">
        <v>0.3</v>
      </c>
      <c r="M15" s="56"/>
      <c r="N15" s="58"/>
      <c r="O15" s="58"/>
    </row>
    <row r="16" spans="3:19" ht="15" thickBot="1" x14ac:dyDescent="0.4">
      <c r="D16" s="191" t="s">
        <v>81</v>
      </c>
      <c r="E16" s="192">
        <f t="shared" ref="E16:F16" si="1">E15*$F$34</f>
        <v>0</v>
      </c>
      <c r="F16" s="192">
        <f t="shared" si="1"/>
        <v>0</v>
      </c>
      <c r="G16" s="192">
        <f>G15*$F$34</f>
        <v>0</v>
      </c>
      <c r="H16" s="193">
        <f>H15*$F$34</f>
        <v>0</v>
      </c>
      <c r="M16" s="56" t="s">
        <v>453</v>
      </c>
      <c r="N16" s="57">
        <f>'LIQIDITY 2'!L11/100</f>
        <v>5.5E-2</v>
      </c>
      <c r="O16" s="64">
        <v>4.4999999999999998E-2</v>
      </c>
    </row>
    <row r="17" spans="3:22" ht="15" thickBot="1" x14ac:dyDescent="0.4">
      <c r="D17" s="20"/>
      <c r="E17" s="18"/>
      <c r="F17" s="18"/>
      <c r="G17" s="18"/>
      <c r="H17" s="18"/>
      <c r="M17" s="56" t="s">
        <v>454</v>
      </c>
      <c r="N17" s="57">
        <f>'LIQIDITY 2'!E10/100</f>
        <v>4.2389000000000003E-2</v>
      </c>
      <c r="O17" s="58"/>
    </row>
    <row r="18" spans="3:22" x14ac:dyDescent="0.35">
      <c r="C18" s="1" t="s">
        <v>418</v>
      </c>
      <c r="D18" s="62" t="s">
        <v>70</v>
      </c>
      <c r="E18" s="127" t="s">
        <v>73</v>
      </c>
      <c r="F18" s="5"/>
      <c r="M18" s="56"/>
      <c r="N18" s="58"/>
      <c r="O18" s="58"/>
    </row>
    <row r="19" spans="3:22" x14ac:dyDescent="0.35">
      <c r="D19" s="189" t="s">
        <v>82</v>
      </c>
      <c r="E19" s="196">
        <v>1</v>
      </c>
      <c r="F19" s="5"/>
      <c r="G19" s="5"/>
      <c r="M19" s="56"/>
      <c r="N19" s="58"/>
      <c r="O19" s="58"/>
    </row>
    <row r="20" spans="3:22" ht="15" thickBot="1" x14ac:dyDescent="0.4">
      <c r="D20" s="191" t="s">
        <v>81</v>
      </c>
      <c r="E20" s="197">
        <f>E19*$G$34</f>
        <v>0</v>
      </c>
      <c r="F20" s="5"/>
      <c r="G20" s="5"/>
      <c r="M20" s="56"/>
      <c r="N20" s="58"/>
      <c r="O20" s="58"/>
    </row>
    <row r="21" spans="3:22" ht="15" thickBot="1" x14ac:dyDescent="0.4">
      <c r="G21" s="5"/>
      <c r="M21" s="56" t="s">
        <v>455</v>
      </c>
      <c r="N21" s="57">
        <f>N13-N16</f>
        <v>-6.8209706128423628E-3</v>
      </c>
      <c r="O21" s="57">
        <f>O13-O16</f>
        <v>6.0697711503871002E-3</v>
      </c>
    </row>
    <row r="22" spans="3:22" ht="15" thickBot="1" x14ac:dyDescent="0.4">
      <c r="C22" s="1" t="s">
        <v>505</v>
      </c>
      <c r="D22" s="15" t="s">
        <v>58</v>
      </c>
      <c r="E22" s="16" t="s">
        <v>503</v>
      </c>
      <c r="F22" s="11" t="s">
        <v>59</v>
      </c>
      <c r="M22" s="12" t="s">
        <v>456</v>
      </c>
      <c r="N22" s="59">
        <f>N13-N17</f>
        <v>5.7900293871576344E-3</v>
      </c>
      <c r="O22" s="57"/>
    </row>
    <row r="23" spans="3:22" x14ac:dyDescent="0.35">
      <c r="D23" s="189" t="s">
        <v>82</v>
      </c>
      <c r="E23" s="66">
        <v>0</v>
      </c>
      <c r="F23" s="196">
        <v>0</v>
      </c>
      <c r="G23" s="5"/>
      <c r="M23" s="9"/>
      <c r="N23" s="5"/>
      <c r="T23" s="9"/>
    </row>
    <row r="24" spans="3:22" ht="15" thickBot="1" x14ac:dyDescent="0.4">
      <c r="D24" s="191" t="s">
        <v>81</v>
      </c>
      <c r="E24" s="17">
        <f>E23*$H$34</f>
        <v>0</v>
      </c>
      <c r="F24" s="151">
        <f t="shared" ref="F24" si="2">F23*$H$34</f>
        <v>0</v>
      </c>
      <c r="G24" s="5"/>
      <c r="Q24" s="5"/>
      <c r="R24" s="53"/>
      <c r="T24" s="9"/>
      <c r="V24" s="9"/>
    </row>
    <row r="25" spans="3:22" ht="15" thickBot="1" x14ac:dyDescent="0.4"/>
    <row r="26" spans="3:22" x14ac:dyDescent="0.35">
      <c r="C26" s="114" t="s">
        <v>766</v>
      </c>
      <c r="D26" s="150" t="s">
        <v>767</v>
      </c>
      <c r="E26" s="10" t="s">
        <v>765</v>
      </c>
      <c r="F26" s="11" t="s">
        <v>768</v>
      </c>
    </row>
    <row r="27" spans="3:22" x14ac:dyDescent="0.35">
      <c r="D27" s="189" t="s">
        <v>82</v>
      </c>
      <c r="E27" s="66">
        <v>0.6</v>
      </c>
      <c r="F27" s="196">
        <v>0.4</v>
      </c>
    </row>
    <row r="28" spans="3:22" ht="15" thickBot="1" x14ac:dyDescent="0.4">
      <c r="D28" s="191" t="s">
        <v>81</v>
      </c>
      <c r="E28" s="17">
        <f>E27*$I$34</f>
        <v>0</v>
      </c>
      <c r="F28" s="151">
        <f>F27*$I$34</f>
        <v>0</v>
      </c>
    </row>
    <row r="29" spans="3:22" ht="15" thickBot="1" x14ac:dyDescent="0.4"/>
    <row r="30" spans="3:22" x14ac:dyDescent="0.35">
      <c r="C30" t="s">
        <v>859</v>
      </c>
      <c r="D30" s="15" t="s">
        <v>860</v>
      </c>
      <c r="E30" s="198">
        <v>0.2</v>
      </c>
    </row>
    <row r="31" spans="3:22" ht="15" thickBot="1" x14ac:dyDescent="0.4">
      <c r="D31" s="12"/>
      <c r="E31" s="151">
        <f>E30*$J$34</f>
        <v>0</v>
      </c>
    </row>
    <row r="32" spans="3:22" ht="15" thickBot="1" x14ac:dyDescent="0.4"/>
    <row r="33" spans="3:12" x14ac:dyDescent="0.35">
      <c r="D33" s="15" t="s">
        <v>74</v>
      </c>
      <c r="E33" s="15" t="s">
        <v>61</v>
      </c>
      <c r="F33" s="16" t="s">
        <v>80</v>
      </c>
      <c r="G33" s="16" t="s">
        <v>70</v>
      </c>
      <c r="H33" s="16" t="s">
        <v>504</v>
      </c>
      <c r="I33" s="119" t="s">
        <v>767</v>
      </c>
      <c r="J33" s="119" t="s">
        <v>860</v>
      </c>
    </row>
    <row r="34" spans="3:12" ht="15" thickBot="1" x14ac:dyDescent="0.4">
      <c r="D34" s="12"/>
      <c r="E34" s="69">
        <v>1</v>
      </c>
      <c r="F34" s="70">
        <v>0</v>
      </c>
      <c r="G34" s="70">
        <v>0</v>
      </c>
      <c r="H34" s="70">
        <v>0</v>
      </c>
      <c r="I34" s="71">
        <v>0</v>
      </c>
      <c r="J34" s="71">
        <v>0</v>
      </c>
    </row>
    <row r="38" spans="3:12" x14ac:dyDescent="0.35">
      <c r="C38" s="51" t="s">
        <v>419</v>
      </c>
      <c r="D38" s="51" t="s">
        <v>60</v>
      </c>
    </row>
    <row r="39" spans="3:12" x14ac:dyDescent="0.35">
      <c r="E39" s="1" t="s">
        <v>410</v>
      </c>
      <c r="F39" t="s">
        <v>411</v>
      </c>
      <c r="G39" s="1" t="s">
        <v>412</v>
      </c>
      <c r="H39" t="s">
        <v>413</v>
      </c>
      <c r="I39" s="1" t="s">
        <v>429</v>
      </c>
      <c r="J39" s="1" t="s">
        <v>524</v>
      </c>
      <c r="K39" s="1" t="s">
        <v>746</v>
      </c>
    </row>
    <row r="40" spans="3:12" x14ac:dyDescent="0.35">
      <c r="E40" s="5">
        <v>0.05</v>
      </c>
      <c r="F40" s="5">
        <v>0.25</v>
      </c>
      <c r="G40" s="5">
        <v>0.25</v>
      </c>
      <c r="H40" s="5">
        <v>0.25</v>
      </c>
      <c r="I40" s="5">
        <v>0.1</v>
      </c>
      <c r="J40" s="5">
        <v>0</v>
      </c>
      <c r="K40" s="5">
        <v>0.1</v>
      </c>
      <c r="L40" s="5">
        <f>SUM(E40:K40)</f>
        <v>1</v>
      </c>
    </row>
    <row r="42" spans="3:12" x14ac:dyDescent="0.35">
      <c r="C42" s="51" t="s">
        <v>398</v>
      </c>
      <c r="D42" s="51" t="s">
        <v>10</v>
      </c>
    </row>
    <row r="43" spans="3:12" x14ac:dyDescent="0.35">
      <c r="C43" t="s">
        <v>420</v>
      </c>
      <c r="D43" t="s">
        <v>414</v>
      </c>
      <c r="E43" s="5">
        <v>0.5</v>
      </c>
    </row>
    <row r="44" spans="3:12" x14ac:dyDescent="0.35">
      <c r="C44" t="s">
        <v>421</v>
      </c>
      <c r="D44" t="s">
        <v>460</v>
      </c>
      <c r="E44" s="5">
        <v>0.25</v>
      </c>
      <c r="F44" s="5"/>
    </row>
    <row r="45" spans="3:12" x14ac:dyDescent="0.35">
      <c r="C45" t="s">
        <v>461</v>
      </c>
      <c r="D45" t="s">
        <v>462</v>
      </c>
      <c r="E45" s="5">
        <v>0.25</v>
      </c>
    </row>
    <row r="47" spans="3:12" x14ac:dyDescent="0.35">
      <c r="D47" s="1"/>
    </row>
    <row r="48" spans="3:12" x14ac:dyDescent="0.35">
      <c r="C48" s="51" t="s">
        <v>422</v>
      </c>
      <c r="D48" s="51" t="s">
        <v>912</v>
      </c>
    </row>
    <row r="49" spans="3:8" x14ac:dyDescent="0.35">
      <c r="E49" t="s">
        <v>395</v>
      </c>
      <c r="F49" t="s">
        <v>396</v>
      </c>
    </row>
    <row r="50" spans="3:8" x14ac:dyDescent="0.35">
      <c r="D50" t="s">
        <v>65</v>
      </c>
      <c r="E50" s="73">
        <v>-0.05</v>
      </c>
      <c r="F50">
        <v>-10</v>
      </c>
    </row>
    <row r="52" spans="3:8" x14ac:dyDescent="0.35">
      <c r="E52" s="1" t="s">
        <v>913</v>
      </c>
      <c r="F52" t="s">
        <v>520</v>
      </c>
      <c r="G52" t="s">
        <v>405</v>
      </c>
    </row>
    <row r="53" spans="3:8" x14ac:dyDescent="0.35">
      <c r="D53" s="1" t="s">
        <v>521</v>
      </c>
      <c r="E53" s="5">
        <v>0.25</v>
      </c>
      <c r="F53" s="5">
        <v>0.25</v>
      </c>
      <c r="G53" s="5">
        <v>0.5</v>
      </c>
    </row>
    <row r="55" spans="3:8" x14ac:dyDescent="0.35">
      <c r="C55" s="51" t="s">
        <v>424</v>
      </c>
      <c r="D55" s="51" t="s">
        <v>493</v>
      </c>
      <c r="F55" s="1">
        <v>1</v>
      </c>
      <c r="G55" s="1">
        <v>3</v>
      </c>
      <c r="H55" s="1">
        <v>6</v>
      </c>
    </row>
    <row r="56" spans="3:8" x14ac:dyDescent="0.35">
      <c r="C56" s="51" t="s">
        <v>425</v>
      </c>
      <c r="D56" t="s">
        <v>478</v>
      </c>
      <c r="E56" s="5">
        <v>0.5</v>
      </c>
      <c r="F56" s="5">
        <v>0.2</v>
      </c>
      <c r="G56" s="5">
        <v>0.4</v>
      </c>
      <c r="H56" s="5">
        <v>0.4</v>
      </c>
    </row>
    <row r="57" spans="3:8" x14ac:dyDescent="0.35">
      <c r="C57" t="s">
        <v>425</v>
      </c>
      <c r="D57" t="s">
        <v>426</v>
      </c>
      <c r="E57" s="5">
        <v>0.3</v>
      </c>
    </row>
    <row r="58" spans="3:8" x14ac:dyDescent="0.35">
      <c r="C58" t="s">
        <v>427</v>
      </c>
      <c r="D58" t="s">
        <v>428</v>
      </c>
      <c r="E58" s="5">
        <v>0.2</v>
      </c>
    </row>
    <row r="60" spans="3:8" x14ac:dyDescent="0.35">
      <c r="C60" s="51" t="s">
        <v>500</v>
      </c>
      <c r="D60" s="51" t="s">
        <v>495</v>
      </c>
    </row>
    <row r="61" spans="3:8" x14ac:dyDescent="0.35">
      <c r="D61" t="s">
        <v>497</v>
      </c>
      <c r="F61" s="5">
        <v>0.25</v>
      </c>
      <c r="G61" t="s">
        <v>527</v>
      </c>
    </row>
    <row r="62" spans="3:8" x14ac:dyDescent="0.35">
      <c r="D62" t="s">
        <v>498</v>
      </c>
      <c r="F62" s="5">
        <v>0.25</v>
      </c>
    </row>
    <row r="63" spans="3:8" x14ac:dyDescent="0.35">
      <c r="D63" t="s">
        <v>499</v>
      </c>
      <c r="F63" s="5">
        <v>0.25</v>
      </c>
    </row>
    <row r="64" spans="3:8" x14ac:dyDescent="0.35">
      <c r="D64" t="s">
        <v>539</v>
      </c>
      <c r="F64" s="5">
        <v>0.25</v>
      </c>
    </row>
    <row r="65" spans="3:9" x14ac:dyDescent="0.35">
      <c r="F65" s="5"/>
    </row>
    <row r="67" spans="3:9" x14ac:dyDescent="0.35">
      <c r="D67" s="1"/>
      <c r="E67" s="1"/>
      <c r="F67" s="1"/>
      <c r="G67" s="1"/>
      <c r="H67" s="1"/>
      <c r="I67" s="1"/>
    </row>
    <row r="68" spans="3:9" x14ac:dyDescent="0.35">
      <c r="D68" s="5"/>
      <c r="E68" s="5"/>
      <c r="F68" s="5"/>
      <c r="G68" s="5"/>
      <c r="H68" s="5"/>
      <c r="I68" s="5"/>
    </row>
    <row r="69" spans="3:9" x14ac:dyDescent="0.35">
      <c r="C69" s="51" t="s">
        <v>494</v>
      </c>
      <c r="D69" s="51" t="s">
        <v>423</v>
      </c>
    </row>
    <row r="71" spans="3:9" x14ac:dyDescent="0.35">
      <c r="C71" s="114" t="s">
        <v>778</v>
      </c>
      <c r="D71" s="6">
        <v>0.3</v>
      </c>
    </row>
    <row r="72" spans="3:9" x14ac:dyDescent="0.35">
      <c r="C72" s="19" t="s">
        <v>545</v>
      </c>
      <c r="D72" s="18">
        <v>0.33329999999999999</v>
      </c>
    </row>
    <row r="73" spans="3:9" x14ac:dyDescent="0.35">
      <c r="C73" s="19" t="s">
        <v>547</v>
      </c>
      <c r="D73" s="18">
        <v>0.33329999999999999</v>
      </c>
    </row>
    <row r="74" spans="3:9" x14ac:dyDescent="0.35">
      <c r="C74" s="19" t="s">
        <v>548</v>
      </c>
      <c r="D74" s="18">
        <v>0.33329999999999999</v>
      </c>
    </row>
    <row r="76" spans="3:9" x14ac:dyDescent="0.35">
      <c r="C76" s="114" t="s">
        <v>546</v>
      </c>
      <c r="D76" s="5">
        <v>0.2</v>
      </c>
    </row>
    <row r="77" spans="3:9" x14ac:dyDescent="0.35">
      <c r="G77" s="1"/>
      <c r="H77" s="1"/>
    </row>
    <row r="78" spans="3:9" x14ac:dyDescent="0.35">
      <c r="C78" s="114" t="s">
        <v>543</v>
      </c>
      <c r="D78" s="5">
        <v>0.4</v>
      </c>
    </row>
    <row r="80" spans="3:9" x14ac:dyDescent="0.35">
      <c r="C80" s="114" t="s">
        <v>549</v>
      </c>
      <c r="D80" s="5">
        <v>0.1</v>
      </c>
    </row>
    <row r="82" spans="3:8" x14ac:dyDescent="0.35">
      <c r="C82" t="s">
        <v>815</v>
      </c>
      <c r="D82" s="5">
        <f>D71+D76+D78+D80</f>
        <v>1</v>
      </c>
      <c r="G82" s="1"/>
      <c r="H82" s="1"/>
    </row>
    <row r="86" spans="3:8" x14ac:dyDescent="0.35">
      <c r="G86" s="1"/>
      <c r="H86" s="1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B6:O39"/>
  <sheetViews>
    <sheetView topLeftCell="A19" zoomScale="55" zoomScaleNormal="55" workbookViewId="0">
      <selection activeCell="F48" sqref="F48"/>
    </sheetView>
  </sheetViews>
  <sheetFormatPr defaultRowHeight="14.5" x14ac:dyDescent="0.35"/>
  <cols>
    <col min="2" max="2" width="14.54296875" customWidth="1"/>
    <col min="3" max="3" width="20.54296875" customWidth="1"/>
    <col min="4" max="4" width="12.54296875" customWidth="1"/>
    <col min="5" max="5" width="14.54296875" customWidth="1"/>
    <col min="6" max="6" width="10.54296875" customWidth="1"/>
    <col min="7" max="7" width="12" customWidth="1"/>
    <col min="8" max="8" width="26.81640625" bestFit="1" customWidth="1"/>
    <col min="9" max="9" width="20.1796875" customWidth="1"/>
    <col min="12" max="12" width="13.81640625" customWidth="1"/>
    <col min="13" max="13" width="14.453125" customWidth="1"/>
    <col min="14" max="14" width="14.54296875" customWidth="1"/>
    <col min="15" max="15" width="14.453125" customWidth="1"/>
    <col min="16" max="16" width="12" customWidth="1"/>
    <col min="17" max="17" width="15.1796875" customWidth="1"/>
  </cols>
  <sheetData>
    <row r="6" spans="3:9" x14ac:dyDescent="0.35">
      <c r="C6" s="1" t="s">
        <v>886</v>
      </c>
    </row>
    <row r="7" spans="3:9" ht="15" thickBot="1" x14ac:dyDescent="0.4">
      <c r="D7" t="s">
        <v>887</v>
      </c>
      <c r="H7" s="1" t="s">
        <v>902</v>
      </c>
    </row>
    <row r="8" spans="3:9" ht="15" thickBot="1" x14ac:dyDescent="0.4">
      <c r="C8" s="62" t="s">
        <v>6</v>
      </c>
      <c r="D8" s="10">
        <f>'Asset class'!S3</f>
        <v>6</v>
      </c>
      <c r="E8" s="11">
        <f t="shared" ref="E8:E17" si="0">D8</f>
        <v>6</v>
      </c>
    </row>
    <row r="9" spans="3:9" x14ac:dyDescent="0.35">
      <c r="C9" s="56" t="s">
        <v>1</v>
      </c>
      <c r="D9">
        <f>'Asset class'!S4</f>
        <v>3</v>
      </c>
      <c r="E9" s="58">
        <f t="shared" si="0"/>
        <v>3</v>
      </c>
      <c r="H9" s="62" t="s">
        <v>903</v>
      </c>
      <c r="I9" s="171">
        <f>Timing!L22</f>
        <v>0.38461538461538464</v>
      </c>
    </row>
    <row r="10" spans="3:9" x14ac:dyDescent="0.35">
      <c r="C10" s="56" t="s">
        <v>888</v>
      </c>
      <c r="D10">
        <f>'Asset class'!S5</f>
        <v>4</v>
      </c>
      <c r="E10" s="58">
        <f t="shared" si="0"/>
        <v>4</v>
      </c>
      <c r="H10" s="56" t="s">
        <v>904</v>
      </c>
      <c r="I10" s="57">
        <f>Timing!M22</f>
        <v>0.53846153846153844</v>
      </c>
    </row>
    <row r="11" spans="3:9" ht="15" thickBot="1" x14ac:dyDescent="0.4">
      <c r="C11" s="56" t="s">
        <v>889</v>
      </c>
      <c r="D11">
        <f>'Asset class'!S6</f>
        <v>7</v>
      </c>
      <c r="E11" s="58">
        <f t="shared" si="0"/>
        <v>7</v>
      </c>
      <c r="H11" s="12" t="s">
        <v>905</v>
      </c>
      <c r="I11" s="59">
        <f>Timing!N22</f>
        <v>1</v>
      </c>
    </row>
    <row r="12" spans="3:9" x14ac:dyDescent="0.35">
      <c r="C12" s="56" t="s">
        <v>51</v>
      </c>
      <c r="D12">
        <f>'Asset class'!S7</f>
        <v>1</v>
      </c>
      <c r="E12" s="58">
        <f t="shared" si="0"/>
        <v>1</v>
      </c>
    </row>
    <row r="13" spans="3:9" x14ac:dyDescent="0.35">
      <c r="C13" s="56" t="s">
        <v>890</v>
      </c>
      <c r="D13">
        <f>'Asset class'!S8</f>
        <v>2</v>
      </c>
      <c r="E13" s="58">
        <f t="shared" si="0"/>
        <v>2</v>
      </c>
    </row>
    <row r="14" spans="3:9" ht="15" thickBot="1" x14ac:dyDescent="0.4">
      <c r="C14" s="12" t="s">
        <v>457</v>
      </c>
      <c r="D14">
        <f>'Asset class'!S9</f>
        <v>8</v>
      </c>
      <c r="E14" s="14">
        <f t="shared" si="0"/>
        <v>8</v>
      </c>
    </row>
    <row r="15" spans="3:9" ht="15" thickBot="1" x14ac:dyDescent="0.4">
      <c r="C15" s="144" t="s">
        <v>891</v>
      </c>
      <c r="D15">
        <f>'Asset class'!S10</f>
        <v>10</v>
      </c>
      <c r="E15" s="14">
        <f t="shared" si="0"/>
        <v>10</v>
      </c>
    </row>
    <row r="16" spans="3:9" ht="15" thickBot="1" x14ac:dyDescent="0.4">
      <c r="C16" s="178" t="s">
        <v>536</v>
      </c>
      <c r="D16">
        <f>'Asset class'!S11</f>
        <v>5</v>
      </c>
      <c r="E16" s="14">
        <f t="shared" si="0"/>
        <v>5</v>
      </c>
    </row>
    <row r="17" spans="2:15" ht="15" thickBot="1" x14ac:dyDescent="0.4">
      <c r="C17" s="148" t="s">
        <v>46</v>
      </c>
      <c r="D17">
        <f>'Asset class'!S12</f>
        <v>9</v>
      </c>
      <c r="E17" s="14">
        <f t="shared" si="0"/>
        <v>9</v>
      </c>
    </row>
    <row r="20" spans="2:15" x14ac:dyDescent="0.35">
      <c r="C20" s="1" t="s">
        <v>892</v>
      </c>
    </row>
    <row r="22" spans="2:15" ht="15" thickBot="1" x14ac:dyDescent="0.4">
      <c r="C22" s="1" t="s">
        <v>893</v>
      </c>
      <c r="D22" s="1"/>
      <c r="E22" s="1" t="s">
        <v>894</v>
      </c>
    </row>
    <row r="23" spans="2:15" x14ac:dyDescent="0.35">
      <c r="B23" s="62" t="s">
        <v>1</v>
      </c>
      <c r="C23" s="170">
        <f>'Momnetum ranking'!H22</f>
        <v>0.32539682539682541</v>
      </c>
      <c r="D23" s="170"/>
      <c r="E23" s="171">
        <f>'Momnetum ranking'!I22</f>
        <v>0.29960317460317459</v>
      </c>
    </row>
    <row r="24" spans="2:15" x14ac:dyDescent="0.35">
      <c r="B24" s="56" t="s">
        <v>51</v>
      </c>
      <c r="C24" s="9">
        <f>'Momnetum ranking'!H10</f>
        <v>0.38235294117647056</v>
      </c>
      <c r="D24" s="9"/>
      <c r="E24" s="57">
        <f>'Momnetum ranking'!I10</f>
        <v>0.29411764705882354</v>
      </c>
    </row>
    <row r="25" spans="2:15" x14ac:dyDescent="0.35">
      <c r="B25" s="56" t="s">
        <v>895</v>
      </c>
      <c r="C25" s="9">
        <f>'Momnetum ranking'!H23</f>
        <v>0.39622641509433965</v>
      </c>
      <c r="D25" s="9"/>
      <c r="E25" s="57">
        <f>'Momnetum ranking'!I23</f>
        <v>0.33962264150943394</v>
      </c>
    </row>
    <row r="26" spans="2:15" x14ac:dyDescent="0.35">
      <c r="B26" s="56" t="s">
        <v>46</v>
      </c>
      <c r="C26" s="9">
        <f>'Momnetum ranking'!H21</f>
        <v>0.5024390243902439</v>
      </c>
      <c r="D26" s="9"/>
      <c r="E26" s="57">
        <f>'Momnetum ranking'!I21</f>
        <v>0.4195121951219512</v>
      </c>
    </row>
    <row r="27" spans="2:15" ht="15" thickBot="1" x14ac:dyDescent="0.4">
      <c r="B27" s="12" t="s">
        <v>536</v>
      </c>
      <c r="C27" s="172">
        <f>'Momnetum ranking'!H18</f>
        <v>0.36377829820452773</v>
      </c>
      <c r="D27" s="172"/>
      <c r="E27" s="59">
        <f>'Momnetum ranking'!I18</f>
        <v>0.42154566744730682</v>
      </c>
    </row>
    <row r="28" spans="2:15" x14ac:dyDescent="0.35">
      <c r="B28" s="62" t="s">
        <v>6</v>
      </c>
      <c r="C28" s="170">
        <f>'Momnetum ranking'!H19</f>
        <v>857</v>
      </c>
      <c r="D28" s="170"/>
      <c r="E28" s="171">
        <f>'Momnetum ranking'!I19</f>
        <v>1618</v>
      </c>
    </row>
    <row r="29" spans="2:15" ht="15" thickBot="1" x14ac:dyDescent="0.4">
      <c r="B29" s="12"/>
      <c r="C29" s="13"/>
      <c r="D29" s="13"/>
      <c r="E29" s="14"/>
    </row>
    <row r="31" spans="2:15" ht="15" thickBot="1" x14ac:dyDescent="0.4"/>
    <row r="32" spans="2:15" x14ac:dyDescent="0.35">
      <c r="C32" s="173" t="s">
        <v>896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1"/>
    </row>
    <row r="33" spans="3:15" ht="29" x14ac:dyDescent="0.35">
      <c r="C33" s="56"/>
      <c r="E33" t="s">
        <v>77</v>
      </c>
      <c r="F33" t="s">
        <v>70</v>
      </c>
      <c r="G33" s="72" t="s">
        <v>899</v>
      </c>
      <c r="H33" t="s">
        <v>4</v>
      </c>
      <c r="K33" t="s">
        <v>77</v>
      </c>
      <c r="L33" t="s">
        <v>70</v>
      </c>
      <c r="M33" s="72" t="s">
        <v>897</v>
      </c>
      <c r="N33" t="s">
        <v>4</v>
      </c>
      <c r="O33" s="174" t="s">
        <v>394</v>
      </c>
    </row>
    <row r="34" spans="3:15" x14ac:dyDescent="0.35">
      <c r="C34" s="56"/>
      <c r="O34" s="58"/>
    </row>
    <row r="35" spans="3:15" x14ac:dyDescent="0.35">
      <c r="C35" s="56" t="s">
        <v>227</v>
      </c>
      <c r="E35" s="9">
        <f>'Momnetum ranking'!J18</f>
        <v>-5.7767369242779087E-2</v>
      </c>
      <c r="F35" s="5">
        <f>'Momnetum ranking'!K18</f>
        <v>0.67301587301587307</v>
      </c>
      <c r="G35" s="9">
        <f>'Momnetum ranking'!Q18</f>
        <v>0.97219663999999995</v>
      </c>
      <c r="H35" s="3">
        <f>'Momnetum ranking'!O18</f>
        <v>2.1762967</v>
      </c>
      <c r="K35">
        <f>_xlfn.RANK.EQ(E35,$E$35:$E$39)</f>
        <v>4</v>
      </c>
      <c r="L35">
        <f>_xlfn.RANK.EQ(F35,$F$35:$F$39)</f>
        <v>3</v>
      </c>
      <c r="M35">
        <f>_xlfn.RANK.EQ(G35,$G$35:$G$39)</f>
        <v>3</v>
      </c>
      <c r="N35">
        <f>_xlfn.RANK.EQ(H35,$H$35:$H$39)</f>
        <v>4</v>
      </c>
      <c r="O35" s="58">
        <f>MEDIAN(K35:N35)</f>
        <v>3.5</v>
      </c>
    </row>
    <row r="36" spans="3:15" x14ac:dyDescent="0.35">
      <c r="C36" s="56" t="s">
        <v>749</v>
      </c>
      <c r="E36" s="9">
        <f>'Momnetum ranking'!J19</f>
        <v>-761</v>
      </c>
      <c r="F36" s="5">
        <f>'Momnetum ranking'!K19</f>
        <v>0.46895810955961303</v>
      </c>
      <c r="G36" s="9">
        <f>'Momnetum ranking'!Q19</f>
        <v>0.97051315999999999</v>
      </c>
      <c r="H36" s="3">
        <f>'Momnetum ranking'!O19</f>
        <v>4.0256860000000003</v>
      </c>
      <c r="K36">
        <f t="shared" ref="K36:K39" si="1">_xlfn.RANK.EQ(E36,$E$35:$E$39)</f>
        <v>5</v>
      </c>
      <c r="L36">
        <f t="shared" ref="L36:L39" si="2">_xlfn.RANK.EQ(F36,$F$35:$F$39)</f>
        <v>5</v>
      </c>
      <c r="M36">
        <f t="shared" ref="M36:M39" si="3">_xlfn.RANK.EQ(G36,$G$35:$G$39)</f>
        <v>4</v>
      </c>
      <c r="N36">
        <f t="shared" ref="N36:N39" si="4">_xlfn.RANK.EQ(H36,$H$35:$H$39)</f>
        <v>2</v>
      </c>
      <c r="O36" s="58">
        <f t="shared" ref="O36:O39" si="5">MEDIAN(K36:N36)</f>
        <v>4.5</v>
      </c>
    </row>
    <row r="37" spans="3:15" x14ac:dyDescent="0.35">
      <c r="C37" s="56" t="s">
        <v>781</v>
      </c>
      <c r="E37" s="9">
        <f>'Momnetum ranking'!J20</f>
        <v>6.9832402234636881E-2</v>
      </c>
      <c r="F37" s="5">
        <f>'Momnetum ranking'!K20</f>
        <v>0.68535388927820606</v>
      </c>
      <c r="G37" s="9">
        <f>'Momnetum ranking'!Q20</f>
        <v>0.99240490000000003</v>
      </c>
      <c r="H37" s="3">
        <f>'Momnetum ranking'!O20</f>
        <v>3.6200643000000001</v>
      </c>
      <c r="K37">
        <f t="shared" si="1"/>
        <v>2</v>
      </c>
      <c r="L37">
        <f t="shared" si="2"/>
        <v>2</v>
      </c>
      <c r="M37">
        <f t="shared" si="3"/>
        <v>2</v>
      </c>
      <c r="N37">
        <f t="shared" si="4"/>
        <v>3</v>
      </c>
      <c r="O37" s="58">
        <f t="shared" si="5"/>
        <v>2</v>
      </c>
    </row>
    <row r="38" spans="3:15" x14ac:dyDescent="0.35">
      <c r="C38" s="56" t="s">
        <v>816</v>
      </c>
      <c r="E38" s="9">
        <f>'Momnetum ranking'!J21</f>
        <v>8.2926829268292701E-2</v>
      </c>
      <c r="F38" s="5">
        <f>'Momnetum ranking'!K21</f>
        <v>0.71078431372549</v>
      </c>
      <c r="G38" s="9">
        <f>'Momnetum ranking'!Q21</f>
        <v>0.93179769999999995</v>
      </c>
      <c r="H38" s="3">
        <f>'Momnetum ranking'!O21</f>
        <v>-2.4767934999999999</v>
      </c>
      <c r="K38">
        <f t="shared" si="1"/>
        <v>1</v>
      </c>
      <c r="L38">
        <f t="shared" si="2"/>
        <v>1</v>
      </c>
      <c r="M38">
        <f t="shared" si="3"/>
        <v>5</v>
      </c>
      <c r="N38">
        <f t="shared" si="4"/>
        <v>5</v>
      </c>
      <c r="O38" s="58">
        <f t="shared" si="5"/>
        <v>3</v>
      </c>
    </row>
    <row r="39" spans="3:15" ht="15" thickBot="1" x14ac:dyDescent="0.4">
      <c r="C39" s="12" t="s">
        <v>119</v>
      </c>
      <c r="D39" s="13"/>
      <c r="E39" s="172">
        <f>'Momnetum ranking'!J22</f>
        <v>2.5793650793650813E-2</v>
      </c>
      <c r="F39" s="17">
        <f>'Momnetum ranking'!K22</f>
        <v>0.65668662674650702</v>
      </c>
      <c r="G39" s="172">
        <f>'Momnetum ranking'!Q22</f>
        <v>0.99693083999999998</v>
      </c>
      <c r="H39" s="175">
        <f>'Momnetum ranking'!O22</f>
        <v>5.4609775999999997</v>
      </c>
      <c r="I39" s="13"/>
      <c r="J39" s="13"/>
      <c r="K39" s="13">
        <f t="shared" si="1"/>
        <v>3</v>
      </c>
      <c r="L39" s="13">
        <f t="shared" si="2"/>
        <v>4</v>
      </c>
      <c r="M39" s="13">
        <f t="shared" si="3"/>
        <v>1</v>
      </c>
      <c r="N39" s="13">
        <f t="shared" si="4"/>
        <v>1</v>
      </c>
      <c r="O39" s="14">
        <f t="shared" si="5"/>
        <v>2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E8:E17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9"/>
  <sheetViews>
    <sheetView zoomScale="70" zoomScaleNormal="70" workbookViewId="0">
      <selection activeCell="A9" sqref="A9"/>
    </sheetView>
  </sheetViews>
  <sheetFormatPr defaultRowHeight="14.5" x14ac:dyDescent="0.35"/>
  <cols>
    <col min="1" max="1" width="12" customWidth="1"/>
    <col min="2" max="2" width="25.453125" customWidth="1"/>
    <col min="3" max="3" width="20.81640625" customWidth="1"/>
    <col min="4" max="4" width="0.453125" customWidth="1"/>
    <col min="5" max="5" width="18" customWidth="1"/>
    <col min="6" max="6" width="13.453125" customWidth="1"/>
    <col min="7" max="7" width="15.453125" customWidth="1"/>
    <col min="8" max="8" width="16.453125" customWidth="1"/>
    <col min="9" max="9" width="7.453125" customWidth="1"/>
    <col min="10" max="10" width="6.54296875" customWidth="1"/>
    <col min="11" max="11" width="18.81640625" customWidth="1"/>
    <col min="12" max="12" width="13.453125" customWidth="1"/>
    <col min="13" max="13" width="13" customWidth="1"/>
    <col min="14" max="14" width="13.453125" customWidth="1"/>
    <col min="15" max="15" width="5" customWidth="1"/>
    <col min="16" max="16" width="9.54296875" customWidth="1"/>
  </cols>
  <sheetData>
    <row r="1" spans="1:19" ht="15" thickBot="1" x14ac:dyDescent="0.4">
      <c r="C1" t="s">
        <v>0</v>
      </c>
      <c r="E1" t="s">
        <v>898</v>
      </c>
      <c r="F1" t="s">
        <v>4</v>
      </c>
      <c r="G1" t="s">
        <v>5</v>
      </c>
      <c r="H1" t="s">
        <v>9</v>
      </c>
      <c r="K1" t="s">
        <v>899</v>
      </c>
      <c r="L1" t="s">
        <v>4</v>
      </c>
      <c r="M1" t="s">
        <v>71</v>
      </c>
      <c r="N1" t="s">
        <v>72</v>
      </c>
      <c r="P1" s="1" t="s">
        <v>83</v>
      </c>
      <c r="Q1" t="s">
        <v>84</v>
      </c>
      <c r="S1" t="s">
        <v>900</v>
      </c>
    </row>
    <row r="2" spans="1:19" s="22" customFormat="1" ht="15" thickBot="1" x14ac:dyDescent="0.4">
      <c r="A2" s="21"/>
      <c r="K2" s="176">
        <v>0.33</v>
      </c>
      <c r="L2" s="176">
        <v>0.33</v>
      </c>
      <c r="M2" s="176">
        <v>0.33</v>
      </c>
    </row>
    <row r="3" spans="1:19" x14ac:dyDescent="0.35">
      <c r="A3" t="s">
        <v>6</v>
      </c>
      <c r="C3" t="str">
        <f>A3</f>
        <v>VWO</v>
      </c>
      <c r="E3" s="3" cm="1">
        <f t="array" ref="E3">_xll.FDS(C3,"FG_TOTAL_RETURNC(0,-1AM)")</f>
        <v>-0.36529899999999998</v>
      </c>
      <c r="F3" s="3" cm="1">
        <f t="array" ref="F3">_xll.FDS(C3,"FG_TOTAL_RETURNC(0,-3AM)")</f>
        <v>4.0256860000000003</v>
      </c>
      <c r="G3" s="3" cm="1">
        <f t="array" ref="G3">_xll.FDS(C3,"FG_TOTAL_RETURNC(0,-6AM)")</f>
        <v>9.4436280000000004</v>
      </c>
      <c r="H3" s="9" cm="1">
        <f t="array" ref="H3">_xll.FDS(C3,"P_PRICE(0)/P_PRICE_HIGH_PR(0,,,USD,,,""PRICE"",""INTRA"",""52W"")")</f>
        <v>0.97051315999999999</v>
      </c>
      <c r="K3" s="4">
        <f>_xlfn.RANK.EQ(H3,H$3:H$12)</f>
        <v>5</v>
      </c>
      <c r="L3" s="4">
        <f>_xlfn.RANK.EQ(F3,F$3:F$12)</f>
        <v>5</v>
      </c>
      <c r="M3" s="4">
        <f>_xlfn.RANK.EQ(G3,G$3:G$12)</f>
        <v>7</v>
      </c>
      <c r="N3" s="4"/>
      <c r="P3" s="3">
        <f t="shared" ref="P3:P12" si="0">SUMPRODUCT($K$2:$M$2,K3:M3)</f>
        <v>5.61</v>
      </c>
      <c r="Q3">
        <f t="shared" ref="Q3:Q12" si="1">COUNTIF(K3:N3,"&gt;70")</f>
        <v>0</v>
      </c>
      <c r="S3" s="3">
        <f>11-_xlfn.RANK.EQ(P3,$P$3:$P$12)</f>
        <v>6</v>
      </c>
    </row>
    <row r="4" spans="1:19" x14ac:dyDescent="0.35">
      <c r="A4" t="s">
        <v>1</v>
      </c>
      <c r="C4" t="str">
        <f t="shared" ref="C4:C12" si="2">A4</f>
        <v>SPY</v>
      </c>
      <c r="E4" s="3" cm="1">
        <f t="array" ref="E4">_xll.FDS(C4,"FG_TOTAL_RETURNC(0,-1AM)")</f>
        <v>4.135084</v>
      </c>
      <c r="F4" s="3" cm="1">
        <f t="array" ref="F4">_xll.FDS(C4,"FG_TOTAL_RETURNC(0,-3AM)")</f>
        <v>5.4609775999999997</v>
      </c>
      <c r="G4" s="3" cm="1">
        <f t="array" ref="G4">_xll.FDS(C4,"FG_TOTAL_RETURNC(0,-6AM)")</f>
        <v>16.122616000000001</v>
      </c>
      <c r="H4" s="9" cm="1">
        <f t="array" ref="H4">_xll.FDS(C4,"P_PRICE(0)/P_PRICE_HIGH_PR(0,,,USD,,,""PRICE"",""INTRA"",""52W"")")</f>
        <v>0.99693083999999998</v>
      </c>
      <c r="I4" s="177"/>
      <c r="K4" s="4">
        <f t="shared" ref="K4:K12" si="3">_xlfn.RANK.EQ(H4,H$3:H$12)</f>
        <v>1</v>
      </c>
      <c r="L4" s="4">
        <f t="shared" ref="L4:M12" si="4">_xlfn.RANK.EQ(F4,F$3:F$12)</f>
        <v>4</v>
      </c>
      <c r="M4" s="4">
        <f t="shared" si="4"/>
        <v>3</v>
      </c>
      <c r="N4" s="4"/>
      <c r="P4" s="3">
        <f t="shared" si="0"/>
        <v>2.64</v>
      </c>
      <c r="Q4">
        <f t="shared" si="1"/>
        <v>0</v>
      </c>
      <c r="S4" s="3">
        <f t="shared" ref="S4:S12" si="5">11-_xlfn.RANK.EQ(P4,$P$3:$P$12)</f>
        <v>3</v>
      </c>
    </row>
    <row r="5" spans="1:19" x14ac:dyDescent="0.35">
      <c r="A5" t="s">
        <v>888</v>
      </c>
      <c r="C5" t="str">
        <f t="shared" si="2"/>
        <v>GLD</v>
      </c>
      <c r="E5" s="3" cm="1">
        <f t="array" ref="E5">_xll.FDS(C5,"FG_TOTAL_RETURNC(0,-1AM)")</f>
        <v>-1.5213132</v>
      </c>
      <c r="F5" s="3" cm="1">
        <f t="array" ref="F5">_xll.FDS(C5,"FG_TOTAL_RETURNC(0,-3AM)")</f>
        <v>5.8551669999999998</v>
      </c>
      <c r="G5" s="3" cm="1">
        <f t="array" ref="G5">_xll.FDS(C5,"FG_TOTAL_RETURNC(0,-6AM)")</f>
        <v>13.505304000000001</v>
      </c>
      <c r="H5" s="9" cm="1">
        <f t="array" ref="H5">_xll.FDS(C5,"P_PRICE(0)/P_PRICE_HIGH_PR(0,,,USD,,,""PRICE"",""INTRA"",""52W"")")</f>
        <v>0.94376490000000002</v>
      </c>
      <c r="I5" s="177"/>
      <c r="K5" s="4">
        <f t="shared" si="3"/>
        <v>7</v>
      </c>
      <c r="L5" s="4">
        <f t="shared" si="4"/>
        <v>3</v>
      </c>
      <c r="M5" s="4">
        <f t="shared" si="4"/>
        <v>5</v>
      </c>
      <c r="N5" s="4"/>
      <c r="P5" s="3">
        <f t="shared" si="0"/>
        <v>4.95</v>
      </c>
      <c r="Q5">
        <f t="shared" si="1"/>
        <v>0</v>
      </c>
      <c r="S5" s="3">
        <f t="shared" si="5"/>
        <v>4</v>
      </c>
    </row>
    <row r="6" spans="1:19" x14ac:dyDescent="0.35">
      <c r="A6" t="s">
        <v>889</v>
      </c>
      <c r="C6" t="str">
        <f t="shared" si="2"/>
        <v>UUP</v>
      </c>
      <c r="E6" s="3" cm="1">
        <f t="array" ref="E6">_xll.FDS(C6,"FG_TOTAL_RETURNC(0,-1AM)")</f>
        <v>0.45249462000000001</v>
      </c>
      <c r="F6" s="3" cm="1">
        <f t="array" ref="F6">_xll.FDS(C6,"FG_TOTAL_RETURNC(0,-3AM)")</f>
        <v>3.8129567999999998</v>
      </c>
      <c r="G6" s="3" cm="1">
        <f t="array" ref="G6">_xll.FDS(C6,"FG_TOTAL_RETURNC(0,-6AM)")</f>
        <v>5.2539470000000001</v>
      </c>
      <c r="H6" s="9" cm="1">
        <f t="array" ref="H6">_xll.FDS(C6,"P_PRICE(0)/P_PRICE_HIGH_PR(0,,,USD,,,""PRICE"",""INTRA"",""52W"")")</f>
        <v>0.95673794000000001</v>
      </c>
      <c r="I6" s="177"/>
      <c r="K6" s="4">
        <f t="shared" si="3"/>
        <v>6</v>
      </c>
      <c r="L6" s="4">
        <f t="shared" si="4"/>
        <v>6</v>
      </c>
      <c r="M6" s="4">
        <f t="shared" si="4"/>
        <v>9</v>
      </c>
      <c r="N6" s="4"/>
      <c r="P6" s="3">
        <f t="shared" si="0"/>
        <v>6.93</v>
      </c>
      <c r="Q6">
        <f t="shared" si="1"/>
        <v>0</v>
      </c>
      <c r="S6" s="3">
        <f t="shared" si="5"/>
        <v>7</v>
      </c>
    </row>
    <row r="7" spans="1:19" x14ac:dyDescent="0.35">
      <c r="A7" t="s">
        <v>51</v>
      </c>
      <c r="C7" t="str">
        <f t="shared" si="2"/>
        <v>QQQ</v>
      </c>
      <c r="E7" s="3" cm="1">
        <f t="array" ref="E7">_xll.FDS(C7,"FG_TOTAL_RETURNC(0,-1AM)")</f>
        <v>7.5923084999999997</v>
      </c>
      <c r="F7" s="3" cm="1">
        <f t="array" ref="F7">_xll.FDS(C7,"FG_TOTAL_RETURNC(0,-3AM)")</f>
        <v>8.4258670000000002</v>
      </c>
      <c r="G7" s="3" cm="1">
        <f t="array" ref="G7">_xll.FDS(C7,"FG_TOTAL_RETURNC(0,-6AM)")</f>
        <v>18.527650000000001</v>
      </c>
      <c r="H7" s="9" cm="1">
        <f t="array" ref="H7">_xll.FDS(C7,"P_PRICE(0)/P_PRICE_HIGH_PR(0,,,USD,,,""PRICE"",""INTRA"",""52W"")")</f>
        <v>0.99650910000000004</v>
      </c>
      <c r="I7" s="1"/>
      <c r="K7" s="4">
        <f t="shared" si="3"/>
        <v>2</v>
      </c>
      <c r="L7" s="4">
        <f t="shared" si="4"/>
        <v>2</v>
      </c>
      <c r="M7" s="4">
        <f t="shared" si="4"/>
        <v>2</v>
      </c>
      <c r="N7" s="4"/>
      <c r="P7" s="3">
        <f t="shared" si="0"/>
        <v>1.98</v>
      </c>
      <c r="Q7">
        <f t="shared" si="1"/>
        <v>0</v>
      </c>
      <c r="S7" s="3">
        <f t="shared" si="5"/>
        <v>1</v>
      </c>
    </row>
    <row r="8" spans="1:19" x14ac:dyDescent="0.35">
      <c r="A8" t="s">
        <v>890</v>
      </c>
      <c r="C8" t="str">
        <f t="shared" si="2"/>
        <v>DBA</v>
      </c>
      <c r="E8" s="3" cm="1">
        <f t="array" ref="E8">_xll.FDS(C8,"FG_TOTAL_RETURNC(0,-1AM)")</f>
        <v>10.140610000000001</v>
      </c>
      <c r="F8" s="3" cm="1">
        <f t="array" ref="F8">_xll.FDS(C8,"FG_TOTAL_RETURNC(0,-3AM)")</f>
        <v>12.587118</v>
      </c>
      <c r="G8" s="3" cm="1">
        <f t="array" ref="G8">_xll.FDS(C8,"FG_TOTAL_RETURNC(0,-6AM)")</f>
        <v>24.452781999999999</v>
      </c>
      <c r="H8" s="9" cm="1">
        <f t="array" ref="H8">_xll.FDS(C8,"P_PRICE(0)/P_PRICE_HIGH_PR(0,,,USD,,,""PRICE"",""INTRA"",""52W"")")</f>
        <v>0.97162192999999997</v>
      </c>
      <c r="I8" s="1"/>
      <c r="K8" s="4">
        <f t="shared" si="3"/>
        <v>4</v>
      </c>
      <c r="L8" s="4">
        <f t="shared" si="4"/>
        <v>1</v>
      </c>
      <c r="M8" s="4">
        <f t="shared" si="4"/>
        <v>1</v>
      </c>
      <c r="N8" s="4"/>
      <c r="P8" s="3">
        <f t="shared" si="0"/>
        <v>1.9800000000000002</v>
      </c>
      <c r="Q8">
        <f t="shared" si="1"/>
        <v>0</v>
      </c>
      <c r="S8" s="3">
        <f t="shared" si="5"/>
        <v>2</v>
      </c>
    </row>
    <row r="9" spans="1:19" x14ac:dyDescent="0.35">
      <c r="A9" t="s">
        <v>901</v>
      </c>
      <c r="C9" t="str">
        <f t="shared" si="2"/>
        <v>USO</v>
      </c>
      <c r="E9" s="3" cm="1">
        <f t="array" ref="E9">_xll.FDS(C9,"FG_TOTAL_RETURNC(0,-1AM)")</f>
        <v>-0.51227809999999996</v>
      </c>
      <c r="F9" s="3" cm="1">
        <f t="array" ref="F9">_xll.FDS(C9,"FG_TOTAL_RETURNC(0,-3AM)")</f>
        <v>0.86562634000000005</v>
      </c>
      <c r="G9" s="3" cm="1">
        <f t="array" ref="G9">_xll.FDS(C9,"FG_TOTAL_RETURNC(0,-6AM)")</f>
        <v>15.934479</v>
      </c>
      <c r="H9" s="9" cm="1">
        <f t="array" ref="H9">_xll.FDS(C9,"P_PRICE(0)/P_PRICE_HIGH_PR(0,,,USD,,,""PRICE"",""INTRA"",""52W"")")</f>
        <v>0.90804450000000003</v>
      </c>
      <c r="I9" s="1"/>
      <c r="K9" s="4">
        <f t="shared" si="3"/>
        <v>9</v>
      </c>
      <c r="L9" s="4">
        <f t="shared" si="4"/>
        <v>8</v>
      </c>
      <c r="M9" s="4">
        <f t="shared" si="4"/>
        <v>4</v>
      </c>
      <c r="N9" s="4"/>
      <c r="P9" s="3">
        <f t="shared" si="0"/>
        <v>6.9300000000000006</v>
      </c>
      <c r="Q9">
        <f t="shared" si="1"/>
        <v>0</v>
      </c>
      <c r="S9" s="3">
        <f t="shared" si="5"/>
        <v>8</v>
      </c>
    </row>
    <row r="10" spans="1:19" x14ac:dyDescent="0.35">
      <c r="A10" t="s">
        <v>891</v>
      </c>
      <c r="C10" t="str">
        <f t="shared" si="2"/>
        <v>TLT</v>
      </c>
      <c r="E10" s="3" cm="1">
        <f t="array" ref="E10">_xll.FDS(C10,"FG_TOTAL_RETURNC(0,-1AM)")</f>
        <v>4.2567490000000001</v>
      </c>
      <c r="F10" s="3" cm="1">
        <f t="array" ref="F10">_xll.FDS(C10,"FG_TOTAL_RETURNC(0,-3AM)")</f>
        <v>0.44734478</v>
      </c>
      <c r="G10" s="3" cm="1">
        <f t="array" ref="G10">_xll.FDS(C10,"FG_TOTAL_RETURNC(0,-6AM)")</f>
        <v>-1.1375785</v>
      </c>
      <c r="H10" s="9" cm="1">
        <f t="array" ref="H10">_xll.FDS(C10,"P_PRICE(0)/P_PRICE_HIGH_PR(0,,,USD,,,""PRICE"",""INTRA"",""52W"")")</f>
        <v>0.90312650000000005</v>
      </c>
      <c r="K10" s="4">
        <f t="shared" si="3"/>
        <v>10</v>
      </c>
      <c r="L10" s="4">
        <f t="shared" si="4"/>
        <v>9</v>
      </c>
      <c r="M10" s="4">
        <f t="shared" si="4"/>
        <v>10</v>
      </c>
      <c r="N10" s="4"/>
      <c r="P10" s="3">
        <f t="shared" si="0"/>
        <v>9.57</v>
      </c>
      <c r="Q10">
        <f t="shared" si="1"/>
        <v>0</v>
      </c>
      <c r="S10" s="3">
        <f t="shared" si="5"/>
        <v>10</v>
      </c>
    </row>
    <row r="11" spans="1:19" x14ac:dyDescent="0.35">
      <c r="A11" t="s">
        <v>536</v>
      </c>
      <c r="C11" t="str">
        <f t="shared" si="2"/>
        <v>VGK</v>
      </c>
      <c r="E11" s="3" cm="1">
        <f t="array" ref="E11">_xll.FDS(C11,"FG_TOTAL_RETURNC(0,-1AM)")</f>
        <v>-0.37698150000000002</v>
      </c>
      <c r="F11" s="3" cm="1">
        <f t="array" ref="F11">_xll.FDS(C11,"FG_TOTAL_RETURNC(0,-3AM)")</f>
        <v>2.1762967</v>
      </c>
      <c r="G11" s="3" cm="1">
        <f t="array" ref="G11">_xll.FDS(C11,"FG_TOTAL_RETURNC(0,-6AM)")</f>
        <v>9.6615909999999996</v>
      </c>
      <c r="H11" s="9" cm="1">
        <f t="array" ref="H11">_xll.FDS(C11,"P_PRICE(0)/P_PRICE_HIGH_PR(0,,,USD,,,""PRICE"",""INTRA"",""52W"")")</f>
        <v>0.97219663999999995</v>
      </c>
      <c r="K11" s="4">
        <f t="shared" si="3"/>
        <v>3</v>
      </c>
      <c r="L11" s="4">
        <f t="shared" si="4"/>
        <v>7</v>
      </c>
      <c r="M11" s="4">
        <f t="shared" si="4"/>
        <v>6</v>
      </c>
      <c r="P11" s="3">
        <f t="shared" si="0"/>
        <v>5.2799999999999994</v>
      </c>
      <c r="Q11">
        <f t="shared" si="1"/>
        <v>0</v>
      </c>
      <c r="S11" s="3">
        <f t="shared" si="5"/>
        <v>5</v>
      </c>
    </row>
    <row r="12" spans="1:19" x14ac:dyDescent="0.35">
      <c r="A12" t="s">
        <v>46</v>
      </c>
      <c r="C12" t="str">
        <f t="shared" si="2"/>
        <v>EWJ</v>
      </c>
      <c r="E12" s="3" cm="1">
        <f t="array" ref="E12">_xll.FDS(C12,"FG_TOTAL_RETURNC(0,-1AM)")</f>
        <v>-4.1592120000000003E-2</v>
      </c>
      <c r="F12" s="3" cm="1">
        <f t="array" ref="F12">_xll.FDS(C12,"FG_TOTAL_RETURNC(0,-3AM)")</f>
        <v>-2.4767934999999999</v>
      </c>
      <c r="G12" s="3" cm="1">
        <f t="array" ref="G12">_xll.FDS(C12,"FG_TOTAL_RETURNC(0,-6AM)")</f>
        <v>7.1791887000000001</v>
      </c>
      <c r="H12" s="9" cm="1">
        <f t="array" ref="H12">_xll.FDS(C12,"P_PRICE(0)/P_PRICE_HIGH_PR(0,,,USD,,,""PRICE"",""INTRA"",""52W"")")</f>
        <v>0.93179769999999995</v>
      </c>
      <c r="K12" s="4">
        <f t="shared" si="3"/>
        <v>8</v>
      </c>
      <c r="L12" s="4">
        <f t="shared" si="4"/>
        <v>10</v>
      </c>
      <c r="M12" s="4">
        <f t="shared" si="4"/>
        <v>8</v>
      </c>
      <c r="P12" s="3">
        <f t="shared" si="0"/>
        <v>8.58</v>
      </c>
      <c r="Q12">
        <f t="shared" si="1"/>
        <v>0</v>
      </c>
      <c r="S12" s="3">
        <f t="shared" si="5"/>
        <v>9</v>
      </c>
    </row>
    <row r="13" spans="1:19" x14ac:dyDescent="0.35">
      <c r="F13" s="3"/>
      <c r="G13" s="3"/>
      <c r="H13" s="9"/>
      <c r="K13" s="4"/>
      <c r="L13" s="4"/>
      <c r="M13" s="4"/>
      <c r="P13" s="4"/>
    </row>
    <row r="21" spans="3:3" ht="15" customHeight="1" x14ac:dyDescent="0.35"/>
    <row r="22" spans="3:3" ht="15" customHeight="1" x14ac:dyDescent="0.35"/>
    <row r="23" spans="3:3" ht="15" customHeight="1" x14ac:dyDescent="0.35"/>
    <row r="24" spans="3:3" ht="15" customHeight="1" x14ac:dyDescent="0.35">
      <c r="C24" s="1"/>
    </row>
    <row r="25" spans="3:3" ht="15" customHeight="1" x14ac:dyDescent="0.35"/>
    <row r="26" spans="3:3" ht="15" customHeight="1" x14ac:dyDescent="0.35"/>
    <row r="27" spans="3:3" ht="15" customHeight="1" x14ac:dyDescent="0.35"/>
    <row r="28" spans="3:3" ht="15" customHeight="1" x14ac:dyDescent="0.35"/>
    <row r="29" spans="3:3" ht="15" customHeight="1" x14ac:dyDescent="0.35"/>
    <row r="30" spans="3:3" ht="15" customHeight="1" x14ac:dyDescent="0.35"/>
    <row r="31" spans="3:3" ht="15" customHeight="1" x14ac:dyDescent="0.35">
      <c r="C31" s="1"/>
    </row>
    <row r="32" spans="3:3" ht="15" customHeight="1" x14ac:dyDescent="0.35"/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>
      <c r="C36" s="1"/>
    </row>
    <row r="37" spans="3:3" ht="15" customHeight="1" x14ac:dyDescent="0.35"/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>
      <c r="C41" s="1"/>
    </row>
    <row r="42" spans="3:3" ht="15" customHeight="1" x14ac:dyDescent="0.35">
      <c r="C42" s="1"/>
    </row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9CE9-D88B-4C94-B4F6-F98AE1A97539}">
  <dimension ref="B2:P18"/>
  <sheetViews>
    <sheetView tabSelected="1" topLeftCell="C1" zoomScale="85" zoomScaleNormal="85" workbookViewId="0">
      <selection activeCell="K29" sqref="K29"/>
    </sheetView>
  </sheetViews>
  <sheetFormatPr defaultRowHeight="14.5" x14ac:dyDescent="0.35"/>
  <cols>
    <col min="2" max="2" width="13.453125" customWidth="1"/>
    <col min="3" max="3" width="34.453125" customWidth="1"/>
    <col min="4" max="4" width="12.453125" bestFit="1" customWidth="1"/>
    <col min="5" max="6" width="12.453125" customWidth="1"/>
    <col min="7" max="7" width="15" hidden="1" customWidth="1"/>
    <col min="8" max="8" width="15" customWidth="1"/>
    <col min="9" max="9" width="15.453125" bestFit="1" customWidth="1"/>
    <col min="10" max="10" width="11" customWidth="1"/>
    <col min="11" max="11" width="11.453125" bestFit="1" customWidth="1"/>
    <col min="12" max="12" width="14.1796875" customWidth="1"/>
    <col min="13" max="13" width="18.1796875" customWidth="1"/>
    <col min="14" max="14" width="17.1796875" customWidth="1"/>
  </cols>
  <sheetData>
    <row r="2" spans="2:16" ht="18.75" customHeight="1" x14ac:dyDescent="0.35">
      <c r="D2" s="123">
        <f>Assumption!D72*Assumption!$D$71</f>
        <v>9.9989999999999996E-2</v>
      </c>
      <c r="E2" s="123">
        <f>Assumption!D73*Assumption!$D$71</f>
        <v>9.9989999999999996E-2</v>
      </c>
      <c r="F2" s="123">
        <f>Assumption!D74*Assumption!$D$71</f>
        <v>9.9989999999999996E-2</v>
      </c>
      <c r="G2" s="123"/>
      <c r="H2" s="123"/>
      <c r="I2" s="123">
        <f>Assumption!D76</f>
        <v>0.2</v>
      </c>
      <c r="J2" s="123">
        <f>Assumption!D78</f>
        <v>0.4</v>
      </c>
      <c r="K2" s="114"/>
      <c r="L2" s="123">
        <f>Assumption!D80</f>
        <v>0.1</v>
      </c>
      <c r="P2" s="50">
        <f>SUM(D2:N2)</f>
        <v>0.99996999999999991</v>
      </c>
    </row>
    <row r="4" spans="2:16" ht="60.75" customHeight="1" x14ac:dyDescent="0.35">
      <c r="B4" s="205" t="s">
        <v>544</v>
      </c>
      <c r="C4" s="206"/>
      <c r="D4" s="210" t="s">
        <v>778</v>
      </c>
      <c r="E4" s="211"/>
      <c r="F4" s="212"/>
      <c r="G4" s="213" t="s">
        <v>812</v>
      </c>
      <c r="H4" s="213" t="s">
        <v>812</v>
      </c>
      <c r="I4" s="203" t="s">
        <v>546</v>
      </c>
      <c r="J4" s="209" t="s">
        <v>543</v>
      </c>
      <c r="K4" s="209"/>
      <c r="L4" s="203" t="s">
        <v>549</v>
      </c>
      <c r="M4" s="203" t="s">
        <v>550</v>
      </c>
      <c r="N4" s="203" t="s">
        <v>737</v>
      </c>
    </row>
    <row r="5" spans="2:16" x14ac:dyDescent="0.35">
      <c r="B5" s="207"/>
      <c r="C5" s="208"/>
      <c r="D5" s="118" t="s">
        <v>545</v>
      </c>
      <c r="E5" s="118" t="s">
        <v>547</v>
      </c>
      <c r="F5" s="118" t="s">
        <v>914</v>
      </c>
      <c r="G5" s="214"/>
      <c r="H5" s="214"/>
      <c r="I5" s="204"/>
      <c r="J5" s="202" t="s">
        <v>553</v>
      </c>
      <c r="K5" s="152" t="s">
        <v>551</v>
      </c>
      <c r="L5" s="204"/>
      <c r="M5" s="204"/>
      <c r="N5" s="204"/>
    </row>
    <row r="6" spans="2:16" x14ac:dyDescent="0.35">
      <c r="B6" s="77" t="s">
        <v>42</v>
      </c>
      <c r="C6" s="166" t="str" cm="1">
        <f t="array" ref="C6">_xll.FDS(B6,"FG_COMPANY_NAME")</f>
        <v>iShares MSCI Switzerland ETF</v>
      </c>
      <c r="D6" s="153">
        <f>VLOOKUP(B6,'Value -2 '!$D$3:$AC$15,26,FALSE)</f>
        <v>78.5</v>
      </c>
      <c r="E6" s="120">
        <f>VLOOKUP(B6,'Quality - 2'!$B$2:$S$14,18,FALSE)</f>
        <v>78.5</v>
      </c>
      <c r="F6" s="153">
        <f>VLOOKUP(B6,Safety!$B$4:$R$16,17,FALSE)</f>
        <v>92.800000000000011</v>
      </c>
      <c r="G6" s="179">
        <f t="shared" ref="G6:G18" si="0">(D6*$D$2 +E6*$E$2 +F6*$F$2)/($D$2+$E$2+$F$2)</f>
        <v>83.26666666666668</v>
      </c>
      <c r="H6" s="124" cm="1">
        <f t="array" ref="H6">_xlfn.PERCENTRANK.EXC(_xlfn._xlws.FILTER($G$6:G$18, ISNUMBER($G$6:G$18)),G6)*100</f>
        <v>92.800000000000011</v>
      </c>
      <c r="I6" s="153">
        <f>VLOOKUP(B6,'LIQIDITY 2'!$A$3:$X$15,24,FALSE)</f>
        <v>50</v>
      </c>
      <c r="J6" s="120">
        <f ca="1">VLOOKUP(B6,'Momnetum ranking'!$A$3:$AJ$15,36,FALSE)</f>
        <v>57.099999999999994</v>
      </c>
      <c r="K6" s="163">
        <f>VLOOKUP(B6,'Momnetum ranking'!$A$3:$H$15,8,FALSE)</f>
        <v>0.46808510638297873</v>
      </c>
      <c r="L6" s="120">
        <f>VLOOKUP(B6,'Currency- 2'!$A$3:$U$15,21,FALSE)</f>
        <v>42.8</v>
      </c>
      <c r="M6" s="162">
        <f t="shared" ref="M6:M18" ca="1" si="1">D6*$D$2 + E6*$E$2 + F6*$F$2 + I6*$I$2 + J6*$J$2 + L6*$L$2</f>
        <v>62.097502000000006</v>
      </c>
      <c r="N6" s="120" cm="1">
        <f t="array" aca="1" ref="N6" ca="1">_xlfn.PERCENTRANK.EXC(_xlfn._xlws.FILTER($M$6:M$18, ISNUMBER($M$6:M$18)),M6)*100</f>
        <v>78.5</v>
      </c>
    </row>
    <row r="7" spans="2:16" x14ac:dyDescent="0.35">
      <c r="B7" s="78" t="s">
        <v>46</v>
      </c>
      <c r="C7" s="167" t="str" cm="1">
        <f t="array" ref="C7">_xll.FDS(B7,"FG_COMPANY_NAME")</f>
        <v>iShares MSCI Japan ETF</v>
      </c>
      <c r="D7" s="159">
        <f>VLOOKUP(B7,'Value -2 '!$D$3:$AC$15,26,FALSE)</f>
        <v>50</v>
      </c>
      <c r="E7" s="121">
        <f>VLOOKUP(B7,'Quality - 2'!$B$2:$S$14,18,FALSE)</f>
        <v>42.8</v>
      </c>
      <c r="F7" s="159">
        <f>VLOOKUP(B7,Safety!$B$4:$R$16,17,FALSE)</f>
        <v>85.7</v>
      </c>
      <c r="G7" s="180">
        <f t="shared" si="0"/>
        <v>59.500000000000007</v>
      </c>
      <c r="H7" s="125" cm="1">
        <f t="array" ref="H7">_xlfn.PERCENTRANK.EXC(_xlfn._xlws.FILTER($G$6:G$18, ISNUMBER($G$6:G$18)),G7)*100</f>
        <v>78.5</v>
      </c>
      <c r="I7" s="159">
        <f>VLOOKUP(B7,'LIQIDITY 2'!$A$3:$X$15,24,FALSE)</f>
        <v>7.1</v>
      </c>
      <c r="J7" s="121">
        <f ca="1">VLOOKUP(B7,'Momnetum ranking'!$A$3:$AJ$15,36,FALSE)</f>
        <v>28.499999999999996</v>
      </c>
      <c r="K7" s="161">
        <f>VLOOKUP(B7,'Momnetum ranking'!$A$3:$H$15,8,FALSE)</f>
        <v>0.5024390243902439</v>
      </c>
      <c r="L7" s="121">
        <f>VLOOKUP(B7,'Currency- 2'!$A$3:$U$15,21,FALSE)</f>
        <v>7.1</v>
      </c>
      <c r="M7" s="160">
        <f t="shared" ca="1" si="1"/>
        <v>31.378214999999997</v>
      </c>
      <c r="N7" s="121" cm="1">
        <f t="array" aca="1" ref="N7" ca="1">_xlfn.PERCENTRANK.EXC(_xlfn._xlws.FILTER($M$6:M$18, ISNUMBER($M$6:M$18)),M7)*100</f>
        <v>14.2</v>
      </c>
    </row>
    <row r="8" spans="2:16" x14ac:dyDescent="0.35">
      <c r="B8" s="78" t="s">
        <v>51</v>
      </c>
      <c r="C8" s="167" t="str" cm="1">
        <f t="array" ref="C8">_xll.FDS(B8,"FG_COMPANY_NAME")</f>
        <v>Invesco QQQ Trust Series I</v>
      </c>
      <c r="D8" s="159">
        <f>VLOOKUP(B8,'Value -2 '!$D$3:$AC$15,26,FALSE)</f>
        <v>14.2</v>
      </c>
      <c r="E8" s="121">
        <f>VLOOKUP(B8,'Quality - 2'!$B$2:$S$14,18,FALSE)</f>
        <v>92.800000000000011</v>
      </c>
      <c r="F8" s="159">
        <f>VLOOKUP(B8,Safety!$B$4:$R$16,17,FALSE)</f>
        <v>50</v>
      </c>
      <c r="G8" s="180">
        <f t="shared" si="0"/>
        <v>52.333333333333343</v>
      </c>
      <c r="H8" s="125" cm="1">
        <f t="array" ref="H8">_xlfn.PERCENTRANK.EXC(_xlfn._xlws.FILTER($G$6:G$18, ISNUMBER($G$6:G$18)),G8)*100</f>
        <v>57.099999999999994</v>
      </c>
      <c r="I8" s="159">
        <f>VLOOKUP(B8,'LIQIDITY 2'!$A$3:$X$15,24,FALSE)</f>
        <v>14.2</v>
      </c>
      <c r="J8" s="121">
        <f ca="1">VLOOKUP(B8,'Momnetum ranking'!$A$3:$AJ$15,36,FALSE)</f>
        <v>92.800000000000011</v>
      </c>
      <c r="K8" s="161">
        <f>VLOOKUP(B8,'Momnetum ranking'!$A$3:$H$15,8,FALSE)</f>
        <v>0.38235294117647056</v>
      </c>
      <c r="L8" s="121">
        <f>VLOOKUP(B8,'Currency- 2'!$A$3:$U$15,21,FALSE)</f>
        <v>78.5</v>
      </c>
      <c r="M8" s="160">
        <f t="shared" ca="1" si="1"/>
        <v>63.508430000000004</v>
      </c>
      <c r="N8" s="121" cm="1">
        <f t="array" aca="1" ref="N8" ca="1">_xlfn.PERCENTRANK.EXC(_xlfn._xlws.FILTER($M$6:M$18, ISNUMBER($M$6:M$18)),M8)*100</f>
        <v>92.800000000000011</v>
      </c>
    </row>
    <row r="9" spans="2:16" x14ac:dyDescent="0.35">
      <c r="B9" s="78" t="s">
        <v>1</v>
      </c>
      <c r="C9" s="167" t="str" cm="1">
        <f t="array" ref="C9">_xll.FDS(B9,"FG_COMPANY_NAME")</f>
        <v>SPDR S&amp;P 500 ETF Trust</v>
      </c>
      <c r="D9" s="159">
        <f>VLOOKUP(B9,'Value -2 '!$D$3:$AC$15,26,FALSE)</f>
        <v>21.4</v>
      </c>
      <c r="E9" s="121">
        <f>VLOOKUP(B9,'Quality - 2'!$B$2:$S$14,18,FALSE)</f>
        <v>85.7</v>
      </c>
      <c r="F9" s="159">
        <f>VLOOKUP(B9,Safety!$B$4:$R$16,17,FALSE)</f>
        <v>42.8</v>
      </c>
      <c r="G9" s="180">
        <f t="shared" si="0"/>
        <v>49.966666666666676</v>
      </c>
      <c r="H9" s="125" cm="1">
        <f t="array" ref="H9">_xlfn.PERCENTRANK.EXC(_xlfn._xlws.FILTER($G$6:G$18, ISNUMBER($G$6:G$18)),G9)*100</f>
        <v>50</v>
      </c>
      <c r="I9" s="159">
        <f>VLOOKUP(B9,'LIQIDITY 2'!$A$3:$X$15,24,FALSE)</f>
        <v>14.2</v>
      </c>
      <c r="J9" s="121">
        <f ca="1">VLOOKUP(B9,'Momnetum ranking'!$A$3:$AJ$15,36,FALSE)</f>
        <v>85.7</v>
      </c>
      <c r="K9" s="161">
        <f>VLOOKUP(B9,'Momnetum ranking'!$A$3:$H$15,8,FALSE)</f>
        <v>0.32539682539682541</v>
      </c>
      <c r="L9" s="121">
        <f>VLOOKUP(B9,'Currency- 2'!$A$3:$U$15,21,FALSE)</f>
        <v>78.5</v>
      </c>
      <c r="M9" s="160">
        <f t="shared" ca="1" si="1"/>
        <v>59.958501000000005</v>
      </c>
      <c r="N9" s="121" cm="1">
        <f t="array" aca="1" ref="N9" ca="1">_xlfn.PERCENTRANK.EXC(_xlfn._xlws.FILTER($M$6:M$18, ISNUMBER($M$6:M$18)),M9)*100</f>
        <v>71.399999999999991</v>
      </c>
    </row>
    <row r="10" spans="2:16" x14ac:dyDescent="0.35">
      <c r="B10" s="78" t="s">
        <v>11</v>
      </c>
      <c r="C10" s="167" t="str" cm="1">
        <f t="array" ref="C10">_xll.FDS(B10,"FG_COMPANY_NAME")</f>
        <v>iShares MSCI Germany ETF</v>
      </c>
      <c r="D10" s="159">
        <f>VLOOKUP(B10,'Value -2 '!$D$3:$AC$15,26,FALSE)</f>
        <v>64.2</v>
      </c>
      <c r="E10" s="121">
        <f>VLOOKUP(B10,'Quality - 2'!$B$2:$S$14,18,FALSE)</f>
        <v>50</v>
      </c>
      <c r="F10" s="159">
        <f>VLOOKUP(B10,Safety!$B$4:$R$16,17,FALSE)</f>
        <v>35.699999999999996</v>
      </c>
      <c r="G10" s="180">
        <f t="shared" si="0"/>
        <v>49.966666666666669</v>
      </c>
      <c r="H10" s="125" cm="1">
        <f t="array" ref="H10">_xlfn.PERCENTRANK.EXC(_xlfn._xlws.FILTER($G$6:G$18, ISNUMBER($G$6:G$18)),G10)*100</f>
        <v>42.8</v>
      </c>
      <c r="I10" s="159">
        <f>VLOOKUP(B10,'LIQIDITY 2'!$A$3:$X$15,24,FALSE)</f>
        <v>50</v>
      </c>
      <c r="J10" s="121">
        <f ca="1">VLOOKUP(B10,'Momnetum ranking'!$A$3:$AJ$15,36,FALSE)</f>
        <v>35.699999999999996</v>
      </c>
      <c r="K10" s="161">
        <f>VLOOKUP(B10,'Momnetum ranking'!$A$3:$H$15,8,FALSE)</f>
        <v>0.44067796610169491</v>
      </c>
      <c r="L10" s="121">
        <f>VLOOKUP(B10,'Currency- 2'!$A$3:$U$15,21,FALSE)</f>
        <v>57.099999999999994</v>
      </c>
      <c r="M10" s="160">
        <f t="shared" ca="1" si="1"/>
        <v>44.978501000000001</v>
      </c>
      <c r="N10" s="121" cm="1">
        <f t="array" aca="1" ref="N10" ca="1">_xlfn.PERCENTRANK.EXC(_xlfn._xlws.FILTER($M$6:M$18, ISNUMBER($M$6:M$18)),M10)*100</f>
        <v>50</v>
      </c>
    </row>
    <row r="11" spans="2:16" x14ac:dyDescent="0.35">
      <c r="B11" s="78" t="s">
        <v>48</v>
      </c>
      <c r="C11" s="167" t="str" cm="1">
        <f t="array" ref="C11">_xll.FDS(B11,"FG_COMPANY_NAME")</f>
        <v>iShares MSCI United Kingdom ETF</v>
      </c>
      <c r="D11" s="159">
        <f>VLOOKUP(B11,'Value -2 '!$D$3:$AC$15,26,FALSE)</f>
        <v>85.7</v>
      </c>
      <c r="E11" s="121">
        <f>VLOOKUP(B11,'Quality - 2'!$B$2:$S$14,18,FALSE)</f>
        <v>64.2</v>
      </c>
      <c r="F11" s="159">
        <f>VLOOKUP(B11,Safety!$B$4:$R$16,17,FALSE)</f>
        <v>21.4</v>
      </c>
      <c r="G11" s="180">
        <f t="shared" si="0"/>
        <v>57.100000000000009</v>
      </c>
      <c r="H11" s="125" cm="1">
        <f t="array" ref="H11">_xlfn.PERCENTRANK.EXC(_xlfn._xlws.FILTER($G$6:G$18, ISNUMBER($G$6:G$18)),G11)*100</f>
        <v>71.399999999999991</v>
      </c>
      <c r="I11" s="159">
        <f>VLOOKUP(B11,'LIQIDITY 2'!$A$3:$X$15,24,FALSE)</f>
        <v>14.2</v>
      </c>
      <c r="J11" s="121">
        <f ca="1">VLOOKUP(B11,'Momnetum ranking'!$A$3:$AJ$15,36,FALSE)</f>
        <v>71.399999999999991</v>
      </c>
      <c r="K11" s="161">
        <f>VLOOKUP(B11,'Momnetum ranking'!$A$3:$H$15,8,FALSE)</f>
        <v>0.53658536585365857</v>
      </c>
      <c r="L11" s="121">
        <f>VLOOKUP(B11,'Currency- 2'!$A$3:$U$15,21,FALSE)</f>
        <v>71.399999999999991</v>
      </c>
      <c r="M11" s="160">
        <f t="shared" ca="1" si="1"/>
        <v>55.668286999999999</v>
      </c>
      <c r="N11" s="121" cm="1">
        <f t="array" aca="1" ref="N11" ca="1">_xlfn.PERCENTRANK.EXC(_xlfn._xlws.FILTER($M$6:M$18, ISNUMBER($M$6:M$18)),M11)*100</f>
        <v>57.099999999999994</v>
      </c>
    </row>
    <row r="12" spans="2:16" x14ac:dyDescent="0.35">
      <c r="B12" s="78" t="s">
        <v>49</v>
      </c>
      <c r="C12" s="167" t="str" cm="1">
        <f t="array" ref="C12">_xll.FDS(B12,"FG_COMPANY_NAME")</f>
        <v>iShares MSCI Canada ETF</v>
      </c>
      <c r="D12" s="159">
        <f>VLOOKUP(B12,'Value -2 '!$D$3:$AC$15,26,FALSE)</f>
        <v>42.8</v>
      </c>
      <c r="E12" s="121">
        <f>VLOOKUP(B12,'Quality - 2'!$B$2:$S$14,18,FALSE)</f>
        <v>57.099999999999994</v>
      </c>
      <c r="F12" s="159">
        <f>VLOOKUP(B12,Safety!$B$4:$R$16,17,FALSE)</f>
        <v>64.2</v>
      </c>
      <c r="G12" s="180">
        <f t="shared" si="0"/>
        <v>54.699999999999996</v>
      </c>
      <c r="H12" s="125" cm="1">
        <f t="array" ref="H12">_xlfn.PERCENTRANK.EXC(_xlfn._xlws.FILTER($G$6:G$18, ISNUMBER($G$6:G$18)),G12)*100</f>
        <v>64.2</v>
      </c>
      <c r="I12" s="159">
        <f>VLOOKUP(B12,'LIQIDITY 2'!$A$3:$X$15,24,FALSE)</f>
        <v>85.7</v>
      </c>
      <c r="J12" s="121">
        <f ca="1">VLOOKUP(B12,'Momnetum ranking'!$A$3:$AJ$15,36,FALSE)</f>
        <v>21.4</v>
      </c>
      <c r="K12" s="161">
        <f>VLOOKUP(B12,'Momnetum ranking'!$A$3:$H$15,8,FALSE)</f>
        <v>0.38636363636363635</v>
      </c>
      <c r="L12" s="121">
        <f>VLOOKUP(B12,'Currency- 2'!$A$3:$U$15,21,FALSE)</f>
        <v>21.4</v>
      </c>
      <c r="M12" s="160">
        <f t="shared" ca="1" si="1"/>
        <v>44.248359000000001</v>
      </c>
      <c r="N12" s="121" cm="1">
        <f t="array" aca="1" ref="N12" ca="1">_xlfn.PERCENTRANK.EXC(_xlfn._xlws.FILTER($M$6:M$18, ISNUMBER($M$6:M$18)),M12)*100</f>
        <v>42.8</v>
      </c>
    </row>
    <row r="13" spans="2:16" x14ac:dyDescent="0.35">
      <c r="B13" s="78" t="s">
        <v>44</v>
      </c>
      <c r="C13" s="167" t="str" cm="1">
        <f t="array" ref="C13">_xll.FDS(B13,"FG_COMPANY_NAME")</f>
        <v>iShares MSCI Australia ETF</v>
      </c>
      <c r="D13" s="159">
        <f>VLOOKUP(B13,'Value -2 '!$D$3:$AC$15,26,FALSE)</f>
        <v>28.499999999999996</v>
      </c>
      <c r="E13" s="121">
        <f>VLOOKUP(B13,'Quality - 2'!$B$2:$S$14,18,FALSE)</f>
        <v>21.4</v>
      </c>
      <c r="F13" s="159">
        <f>VLOOKUP(B13,Safety!$B$4:$R$16,17,FALSE)</f>
        <v>28.499999999999996</v>
      </c>
      <c r="G13" s="180">
        <f t="shared" si="0"/>
        <v>26.133333333333333</v>
      </c>
      <c r="H13" s="125" cm="1">
        <f t="array" ref="H13">_xlfn.PERCENTRANK.EXC(_xlfn._xlws.FILTER($G$6:G$18, ISNUMBER($G$6:G$18)),G13)*100</f>
        <v>7.1</v>
      </c>
      <c r="I13" s="159">
        <f>VLOOKUP(B13,'LIQIDITY 2'!$A$3:$X$15,24,FALSE)</f>
        <v>14.2</v>
      </c>
      <c r="J13" s="121">
        <f ca="1">VLOOKUP(B13,'Momnetum ranking'!$A$3:$AJ$15,36,FALSE)</f>
        <v>50</v>
      </c>
      <c r="K13" s="161">
        <f>VLOOKUP(B13,'Momnetum ranking'!$A$3:$H$15,8,FALSE)</f>
        <v>0.36666666666666664</v>
      </c>
      <c r="L13" s="121">
        <f>VLOOKUP(B13,'Currency- 2'!$A$3:$U$15,21,FALSE)</f>
        <v>64.2</v>
      </c>
      <c r="M13" s="160">
        <f t="shared" ca="1" si="1"/>
        <v>37.099215999999998</v>
      </c>
      <c r="N13" s="121" cm="1">
        <f t="array" aca="1" ref="N13" ca="1">_xlfn.PERCENTRANK.EXC(_xlfn._xlws.FILTER($M$6:M$18, ISNUMBER($M$6:M$18)),M13)*100</f>
        <v>28.499999999999996</v>
      </c>
    </row>
    <row r="14" spans="2:16" x14ac:dyDescent="0.35">
      <c r="B14" s="78" t="s">
        <v>431</v>
      </c>
      <c r="C14" s="167" t="str" cm="1">
        <f t="array" ref="C14">_xll.FDS(B14,"FG_COMPANY_NAME")</f>
        <v>iShares MSCI New Zealand ETF</v>
      </c>
      <c r="D14" s="159">
        <f>VLOOKUP(B14,'Value -2 '!$D$3:$AC$15,26,FALSE)</f>
        <v>7.1</v>
      </c>
      <c r="E14" s="121">
        <f>VLOOKUP(B14,'Quality - 2'!$B$2:$S$14,18,FALSE)</f>
        <v>14.2</v>
      </c>
      <c r="F14" s="159">
        <f>VLOOKUP(B14,Safety!$B$4:$R$16,17,FALSE)</f>
        <v>71.399999999999991</v>
      </c>
      <c r="G14" s="180">
        <f t="shared" si="0"/>
        <v>30.9</v>
      </c>
      <c r="H14" s="125" cm="1">
        <f t="array" ref="H14">_xlfn.PERCENTRANK.EXC(_xlfn._xlws.FILTER($G$6:G$18, ISNUMBER($G$6:G$18)),G14)*100</f>
        <v>14.2</v>
      </c>
      <c r="I14" s="159">
        <f>VLOOKUP(B14,'LIQIDITY 2'!$A$3:$X$15,24,FALSE)</f>
        <v>14.2</v>
      </c>
      <c r="J14" s="121">
        <f ca="1">VLOOKUP(B14,'Momnetum ranking'!$A$3:$AJ$15,36,FALSE)</f>
        <v>14.2</v>
      </c>
      <c r="K14" s="161">
        <f>VLOOKUP(B14,'Momnetum ranking'!$A$3:$H$15,8,FALSE)</f>
        <v>0.35714285714285715</v>
      </c>
      <c r="L14" s="121">
        <f>VLOOKUP(B14,'Currency- 2'!$A$3:$U$15,21,FALSE)</f>
        <v>35.699999999999996</v>
      </c>
      <c r="M14" s="160">
        <f t="shared" ca="1" si="1"/>
        <v>21.359072999999999</v>
      </c>
      <c r="N14" s="121" cm="1">
        <f t="array" aca="1" ref="N14" ca="1">_xlfn.PERCENTRANK.EXC(_xlfn._xlws.FILTER($M$6:M$18, ISNUMBER($M$6:M$18)),M14)*100</f>
        <v>7.1</v>
      </c>
    </row>
    <row r="15" spans="2:16" x14ac:dyDescent="0.35">
      <c r="B15" s="78" t="s">
        <v>865</v>
      </c>
      <c r="C15" s="167" t="str" cm="1">
        <f t="array" ref="C15">_xll.FDS(B15,"FG_COMPANY_NAME")</f>
        <v>iShares MSCI France ETF</v>
      </c>
      <c r="D15" s="159">
        <f>VLOOKUP(B15,'Value -2 '!$D$3:$AC$15,26,FALSE)</f>
        <v>57.099999999999994</v>
      </c>
      <c r="E15" s="121">
        <f>VLOOKUP(B15,'Quality - 2'!$B$2:$S$14,18,FALSE)</f>
        <v>71.399999999999991</v>
      </c>
      <c r="F15" s="159">
        <f>VLOOKUP(B15,Safety!$B$4:$R$16,17,FALSE)</f>
        <v>78.5</v>
      </c>
      <c r="G15" s="180">
        <f t="shared" si="0"/>
        <v>69.000000000000014</v>
      </c>
      <c r="H15" s="125" cm="1">
        <f t="array" ref="H15">_xlfn.PERCENTRANK.EXC(_xlfn._xlws.FILTER($G$6:G$18, ISNUMBER($G$6:G$18)),G15)*100</f>
        <v>85.7</v>
      </c>
      <c r="I15" s="159">
        <f>VLOOKUP(B15,'LIQIDITY 2'!$A$3:$X$15,24,FALSE)</f>
        <v>50</v>
      </c>
      <c r="J15" s="121">
        <f ca="1">VLOOKUP(B15,'Momnetum ranking'!$A$3:$AJ$15,36,FALSE)</f>
        <v>7.1</v>
      </c>
      <c r="K15" s="161">
        <f>VLOOKUP(B15,'Momnetum ranking'!$A$3:$H$15,8,FALSE)</f>
        <v>0.34920634920634919</v>
      </c>
      <c r="L15" s="121">
        <f>VLOOKUP(B15,'Currency- 2'!$A$3:$U$15,21,FALSE)</f>
        <v>14.2</v>
      </c>
      <c r="M15" s="160">
        <f t="shared" ca="1" si="1"/>
        <v>34.957930000000005</v>
      </c>
      <c r="N15" s="121" cm="1">
        <f t="array" aca="1" ref="N15" ca="1">_xlfn.PERCENTRANK.EXC(_xlfn._xlws.FILTER($M$6:M$18, ISNUMBER($M$6:M$18)),M15)*100</f>
        <v>21.4</v>
      </c>
    </row>
    <row r="16" spans="2:16" x14ac:dyDescent="0.35">
      <c r="B16" s="78" t="s">
        <v>867</v>
      </c>
      <c r="C16" s="167" t="str" cm="1">
        <f t="array" ref="C16">_xll.FDS(B16,"FG_COMPANY_NAME")</f>
        <v>iShares MSCI Netherlands ETF</v>
      </c>
      <c r="D16" s="159">
        <f>VLOOKUP(B16,'Value -2 '!$D$3:$AC$15,26,FALSE)</f>
        <v>35.699999999999996</v>
      </c>
      <c r="E16" s="121">
        <f>VLOOKUP(B16,'Quality - 2'!$B$2:$S$14,18,FALSE)</f>
        <v>28.499999999999996</v>
      </c>
      <c r="F16" s="159">
        <f>VLOOKUP(B16,Safety!$B$4:$R$16,17,FALSE)</f>
        <v>50</v>
      </c>
      <c r="G16" s="180">
        <f t="shared" si="0"/>
        <v>38.06666666666667</v>
      </c>
      <c r="H16" s="125" cm="1">
        <f t="array" ref="H16">_xlfn.PERCENTRANK.EXC(_xlfn._xlws.FILTER($G$6:G$18, ISNUMBER($G$6:G$18)),G16)*100</f>
        <v>28.499999999999996</v>
      </c>
      <c r="I16" s="159">
        <f>VLOOKUP(B16,'LIQIDITY 2'!$A$3:$X$15,24,FALSE)</f>
        <v>50</v>
      </c>
      <c r="J16" s="121">
        <f ca="1">VLOOKUP(B16,'Momnetum ranking'!$A$3:$AJ$15,36,FALSE)</f>
        <v>78.5</v>
      </c>
      <c r="K16" s="161">
        <f>VLOOKUP(B16,'Momnetum ranking'!$A$3:$H$15,8,FALSE)</f>
        <v>0.31481481481481483</v>
      </c>
      <c r="L16" s="121">
        <f>VLOOKUP(B16,'Currency- 2'!$A$3:$U$15,21,FALSE)</f>
        <v>92.800000000000011</v>
      </c>
      <c r="M16" s="160">
        <f t="shared" ca="1" si="1"/>
        <v>62.098858000000007</v>
      </c>
      <c r="N16" s="121" cm="1">
        <f t="array" aca="1" ref="N16" ca="1">_xlfn.PERCENTRANK.EXC(_xlfn._xlws.FILTER($M$6:M$18, ISNUMBER($M$6:M$18)),M16)*100</f>
        <v>85.7</v>
      </c>
    </row>
    <row r="17" spans="2:14" x14ac:dyDescent="0.35">
      <c r="B17" s="78" t="s">
        <v>864</v>
      </c>
      <c r="C17" s="167" t="str" cm="1">
        <f t="array" ref="C17">_xll.FDS(B17,"FG_COMPANY_NAME")</f>
        <v>iShares MSCI Sweden ETF</v>
      </c>
      <c r="D17" s="159">
        <f>VLOOKUP(B17,'Value -2 '!$D$3:$AC$15,26,FALSE)</f>
        <v>71.399999999999991</v>
      </c>
      <c r="E17" s="121">
        <f>VLOOKUP(B17,'Quality - 2'!$B$2:$S$14,18,FALSE)</f>
        <v>35.699999999999996</v>
      </c>
      <c r="F17" s="159">
        <f>VLOOKUP(B17,Safety!$B$4:$R$16,17,FALSE)</f>
        <v>7.1</v>
      </c>
      <c r="G17" s="180">
        <f t="shared" si="0"/>
        <v>38.06666666666667</v>
      </c>
      <c r="H17" s="125" cm="1">
        <f t="array" ref="H17">_xlfn.PERCENTRANK.EXC(_xlfn._xlws.FILTER($G$6:G$18, ISNUMBER($G$6:G$18)),G17)*100</f>
        <v>28.499999999999996</v>
      </c>
      <c r="I17" s="159">
        <f>VLOOKUP(B17,'LIQIDITY 2'!$A$3:$X$15,24,FALSE)</f>
        <v>85.7</v>
      </c>
      <c r="J17" s="121">
        <f ca="1">VLOOKUP(B17,'Momnetum ranking'!$A$3:$AJ$15,36,FALSE)</f>
        <v>64.2</v>
      </c>
      <c r="K17" s="161">
        <f>VLOOKUP(B17,'Momnetum ranking'!$A$3:$H$15,8,FALSE)</f>
        <v>0.30434782608695654</v>
      </c>
      <c r="L17" s="121">
        <f>VLOOKUP(B17,'Currency- 2'!$A$3:$U$15,21,FALSE)</f>
        <v>28.499999999999996</v>
      </c>
      <c r="M17" s="160">
        <f t="shared" ca="1" si="1"/>
        <v>57.088858000000009</v>
      </c>
      <c r="N17" s="121" cm="1">
        <f t="array" aca="1" ref="N17" ca="1">_xlfn.PERCENTRANK.EXC(_xlfn._xlws.FILTER($M$6:M$18, ISNUMBER($M$6:M$18)),M17)*100</f>
        <v>64.2</v>
      </c>
    </row>
    <row r="18" spans="2:14" x14ac:dyDescent="0.35">
      <c r="B18" s="79" t="s">
        <v>866</v>
      </c>
      <c r="C18" s="168" t="str" cm="1">
        <f t="array" ref="C18">_xll.FDS(B18,"FG_COMPANY_NAME")</f>
        <v>iShares MSCI Italy ETF</v>
      </c>
      <c r="D18" s="154">
        <f>VLOOKUP(B18,'Value -2 '!$D$3:$AC$15,26,FALSE)</f>
        <v>92.800000000000011</v>
      </c>
      <c r="E18" s="122">
        <f>VLOOKUP(B18,'Quality - 2'!$B$2:$S$14,18,FALSE)</f>
        <v>7.1</v>
      </c>
      <c r="F18" s="154">
        <f>VLOOKUP(B18,Safety!$B$4:$R$16,17,FALSE)</f>
        <v>14.2</v>
      </c>
      <c r="G18" s="181">
        <f t="shared" si="0"/>
        <v>38.033333333333346</v>
      </c>
      <c r="H18" s="126" cm="1">
        <f t="array" ref="H18">_xlfn.PERCENTRANK.EXC(_xlfn._xlws.FILTER($G$6:G$18, ISNUMBER($G$6:G$18)),G18)*100</f>
        <v>21.4</v>
      </c>
      <c r="I18" s="154">
        <f>VLOOKUP(B18,'LIQIDITY 2'!$A$3:$X$15,24,FALSE)</f>
        <v>50</v>
      </c>
      <c r="J18" s="122">
        <f ca="1">VLOOKUP(B18,'Momnetum ranking'!$A$3:$AJ$15,36,FALSE)</f>
        <v>42.8</v>
      </c>
      <c r="K18" s="165">
        <f>VLOOKUP(B18,'Momnetum ranking'!$A$3:$H$15,8,FALSE)</f>
        <v>0.42857142857142855</v>
      </c>
      <c r="L18" s="122">
        <f>VLOOKUP(B18,'Currency- 2'!$A$3:$U$15,21,FALSE)</f>
        <v>50</v>
      </c>
      <c r="M18" s="164">
        <f t="shared" ca="1" si="1"/>
        <v>43.528858999999997</v>
      </c>
      <c r="N18" s="122" cm="1">
        <f t="array" aca="1" ref="N18" ca="1">_xlfn.PERCENTRANK.EXC(_xlfn._xlws.FILTER($M$6:M$18, ISNUMBER($M$6:M$18)),M18)*100</f>
        <v>35.699999999999996</v>
      </c>
    </row>
  </sheetData>
  <mergeCells count="9">
    <mergeCell ref="N4:N5"/>
    <mergeCell ref="L4:L5"/>
    <mergeCell ref="M4:M5"/>
    <mergeCell ref="B4:C5"/>
    <mergeCell ref="J4:K4"/>
    <mergeCell ref="I4:I5"/>
    <mergeCell ref="D4:F4"/>
    <mergeCell ref="G4:G5"/>
    <mergeCell ref="H4:H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AE5F-A3AF-4A6D-851D-579992230606}">
  <dimension ref="B1:U22"/>
  <sheetViews>
    <sheetView topLeftCell="C1" zoomScale="82" zoomScaleNormal="82" workbookViewId="0">
      <selection activeCell="R28" sqref="R28"/>
    </sheetView>
  </sheetViews>
  <sheetFormatPr defaultRowHeight="14.5" x14ac:dyDescent="0.35"/>
  <cols>
    <col min="2" max="2" width="12.1796875" bestFit="1" customWidth="1"/>
    <col min="3" max="3" width="25.453125" customWidth="1"/>
    <col min="4" max="4" width="15.453125" customWidth="1"/>
    <col min="5" max="5" width="14.453125" customWidth="1"/>
    <col min="6" max="6" width="11.54296875" bestFit="1" customWidth="1"/>
    <col min="7" max="7" width="7.453125" bestFit="1" customWidth="1"/>
    <col min="8" max="8" width="10.1796875" bestFit="1" customWidth="1"/>
    <col min="9" max="9" width="11.453125" bestFit="1" customWidth="1"/>
    <col min="10" max="10" width="14.453125" hidden="1" customWidth="1"/>
    <col min="11" max="11" width="20.1796875" bestFit="1" customWidth="1"/>
    <col min="12" max="12" width="12" hidden="1" customWidth="1"/>
    <col min="13" max="13" width="15.453125" bestFit="1" customWidth="1"/>
    <col min="14" max="14" width="12.54296875" hidden="1" customWidth="1"/>
    <col min="15" max="15" width="18.453125" bestFit="1" customWidth="1"/>
    <col min="16" max="16" width="13.453125" hidden="1" customWidth="1"/>
    <col min="17" max="17" width="19.81640625" bestFit="1" customWidth="1"/>
    <col min="18" max="18" width="20.54296875" bestFit="1" customWidth="1"/>
    <col min="19" max="19" width="21.54296875" bestFit="1" customWidth="1"/>
  </cols>
  <sheetData>
    <row r="1" spans="2:21" ht="15" thickBot="1" x14ac:dyDescent="0.4"/>
    <row r="2" spans="2:21" x14ac:dyDescent="0.35">
      <c r="C2" s="129" t="s">
        <v>822</v>
      </c>
      <c r="D2" s="130">
        <v>0.5</v>
      </c>
      <c r="E2" s="62" t="s">
        <v>836</v>
      </c>
      <c r="F2" s="127">
        <v>0.1</v>
      </c>
      <c r="R2" s="144" t="s">
        <v>851</v>
      </c>
      <c r="S2" s="144" t="s">
        <v>851</v>
      </c>
    </row>
    <row r="3" spans="2:21" ht="15" thickBot="1" x14ac:dyDescent="0.4">
      <c r="C3" s="131" t="s">
        <v>823</v>
      </c>
      <c r="D3" s="132">
        <v>70</v>
      </c>
      <c r="E3" s="56" t="s">
        <v>824</v>
      </c>
      <c r="F3" s="58">
        <v>50</v>
      </c>
      <c r="R3" s="148">
        <f ca="1">COUNTIF(R9:R17,"&gt;0")</f>
        <v>8</v>
      </c>
      <c r="S3" s="148">
        <f ca="1">COUNTIF(S9:S17,"&gt;0")</f>
        <v>8</v>
      </c>
    </row>
    <row r="4" spans="2:21" ht="15" thickBot="1" x14ac:dyDescent="0.4">
      <c r="C4" s="131" t="s">
        <v>825</v>
      </c>
      <c r="D4" s="133">
        <v>0.3</v>
      </c>
      <c r="E4" s="56" t="s">
        <v>831</v>
      </c>
      <c r="F4" s="128">
        <v>0.1</v>
      </c>
    </row>
    <row r="5" spans="2:21" ht="15" thickBot="1" x14ac:dyDescent="0.4">
      <c r="C5" s="134" t="s">
        <v>826</v>
      </c>
      <c r="D5" s="135">
        <v>70</v>
      </c>
      <c r="E5" s="12" t="s">
        <v>823</v>
      </c>
      <c r="F5" s="14">
        <v>60</v>
      </c>
      <c r="Q5" s="62" t="s">
        <v>849</v>
      </c>
      <c r="R5" s="11"/>
    </row>
    <row r="6" spans="2:21" ht="15" thickBot="1" x14ac:dyDescent="0.4">
      <c r="Q6" s="12" t="s">
        <v>850</v>
      </c>
      <c r="R6" s="147">
        <v>0.01</v>
      </c>
    </row>
    <row r="7" spans="2:21" ht="15" thickBot="1" x14ac:dyDescent="0.4"/>
    <row r="8" spans="2:21" x14ac:dyDescent="0.35">
      <c r="B8" s="139" t="s">
        <v>827</v>
      </c>
      <c r="C8" s="139" t="s">
        <v>518</v>
      </c>
      <c r="D8" s="140" t="s">
        <v>544</v>
      </c>
      <c r="E8" s="140" t="s">
        <v>828</v>
      </c>
      <c r="F8" s="140" t="s">
        <v>543</v>
      </c>
      <c r="G8" s="140" t="s">
        <v>545</v>
      </c>
      <c r="H8" s="140" t="s">
        <v>546</v>
      </c>
      <c r="I8" s="140" t="s">
        <v>549</v>
      </c>
      <c r="J8" s="140" t="s">
        <v>832</v>
      </c>
      <c r="K8" s="140" t="s">
        <v>853</v>
      </c>
      <c r="L8" s="140" t="s">
        <v>833</v>
      </c>
      <c r="M8" s="140" t="s">
        <v>858</v>
      </c>
      <c r="N8" s="140" t="s">
        <v>834</v>
      </c>
      <c r="O8" s="140" t="s">
        <v>854</v>
      </c>
      <c r="P8" s="140" t="s">
        <v>835</v>
      </c>
      <c r="Q8" s="140" t="s">
        <v>855</v>
      </c>
      <c r="R8" s="155" t="s">
        <v>856</v>
      </c>
      <c r="S8" s="155" t="s">
        <v>857</v>
      </c>
    </row>
    <row r="9" spans="2:21" x14ac:dyDescent="0.35">
      <c r="B9" s="56" t="s">
        <v>431</v>
      </c>
      <c r="C9" s="56" t="str" cm="1">
        <f t="array" ref="C9">_xll.FDS(B9,"FG_COMPANY_NAME")</f>
        <v>iShares MSCI New Zealand ETF</v>
      </c>
      <c r="D9" t="s">
        <v>674</v>
      </c>
      <c r="E9" s="136">
        <f>HLOOKUP(B9,'Monthly Returns'!$A$1:$N$139,139,FALSE)</f>
        <v>0.1781849504302461</v>
      </c>
      <c r="F9">
        <f ca="1">VLOOKUP(B9,OUTPUT_COUNTRY!$B$6:$N$18, 9, FALSE)</f>
        <v>14.2</v>
      </c>
      <c r="G9" s="47">
        <f>IFERROR(VLOOKUP(B9,OUTPUT_COUNTRY!$B$6:$N$18, 7, FALSE),0)</f>
        <v>14.2</v>
      </c>
      <c r="H9">
        <f>VLOOKUP(B9,OUTPUT_COUNTRY!$B$6:$N$18, 8, FALSE)</f>
        <v>14.2</v>
      </c>
      <c r="I9">
        <f>VLOOKUP(B9,OUTPUT_COUNTRY!$B$6:$N$18, 11, FALSE)</f>
        <v>35.699999999999996</v>
      </c>
      <c r="J9" s="47">
        <f t="shared" ref="J9:J21" ca="1" si="0">IF(F9&gt;=$D$3,1/E9,0)</f>
        <v>0</v>
      </c>
      <c r="K9" s="136">
        <f ca="1">J9/$J$22</f>
        <v>0</v>
      </c>
      <c r="L9">
        <f t="shared" ref="L9:L21" si="1">IF(G9&gt;=$D$5,1/E9,0)</f>
        <v>0</v>
      </c>
      <c r="M9" s="136">
        <f>L9/$L$22</f>
        <v>0</v>
      </c>
      <c r="N9">
        <f t="shared" ref="N9:N21" si="2">IF(H9&gt;=$F$3,1/E9,0)</f>
        <v>0</v>
      </c>
      <c r="O9" s="136">
        <f>N9/$N$22</f>
        <v>0</v>
      </c>
      <c r="P9">
        <f t="shared" ref="P9:P21" si="3">IF(I9&gt;=$F$5,1/E9,0)</f>
        <v>0</v>
      </c>
      <c r="Q9" s="136">
        <f>P9/$P$22</f>
        <v>0</v>
      </c>
      <c r="R9" s="156" t="str">
        <f t="shared" ref="R9:R21" ca="1" si="4">IF($D$2*K9+$D$4*M9+$F$2*O9+$F$4*Q9 = 0,"",$D$2*K9+$D$4*M9+$F$2*O9+$F$4*Q9)</f>
        <v/>
      </c>
      <c r="S9" s="156" t="str">
        <f t="shared" ref="S9:S21" ca="1" si="5">IFERROR(IF(R9&gt;=$R$6, R9/SUMIF($R$9:$R$17,"&gt;="&amp;$R$6), ""),"")</f>
        <v/>
      </c>
      <c r="U9" s="50"/>
    </row>
    <row r="10" spans="2:21" x14ac:dyDescent="0.35">
      <c r="B10" s="56" t="s">
        <v>44</v>
      </c>
      <c r="C10" s="56" t="str" cm="1">
        <f t="array" ref="C10">_xll.FDS(B10,"FG_COMPANY_NAME")</f>
        <v>iShares MSCI Australia ETF</v>
      </c>
      <c r="D10" t="s">
        <v>576</v>
      </c>
      <c r="E10" s="136">
        <f>HLOOKUP(B10,'Monthly Returns'!$A$1:$N$139,139,FALSE)</f>
        <v>0.19139210581870852</v>
      </c>
      <c r="F10">
        <f ca="1">VLOOKUP(B10,OUTPUT_COUNTRY!$B$6:$N$18, 9, FALSE)</f>
        <v>50</v>
      </c>
      <c r="G10" s="47">
        <f>IFERROR(VLOOKUP(B10,OUTPUT_COUNTRY!$B$6:$N$18, 7, FALSE),0)</f>
        <v>7.1</v>
      </c>
      <c r="H10">
        <f>VLOOKUP(B10,OUTPUT_COUNTRY!$B$6:$N$18, 8, FALSE)</f>
        <v>14.2</v>
      </c>
      <c r="I10">
        <f>VLOOKUP(B10,OUTPUT_COUNTRY!$B$6:$N$18, 11, FALSE)</f>
        <v>64.2</v>
      </c>
      <c r="J10" s="47">
        <f t="shared" ca="1" si="0"/>
        <v>0</v>
      </c>
      <c r="K10" s="136">
        <f t="shared" ref="K10:K21" ca="1" si="6">J10/$J$22</f>
        <v>0</v>
      </c>
      <c r="L10">
        <f t="shared" si="1"/>
        <v>0</v>
      </c>
      <c r="M10" s="136">
        <f t="shared" ref="M10:M21" si="7">L10/$L$22</f>
        <v>0</v>
      </c>
      <c r="N10">
        <f t="shared" si="2"/>
        <v>0</v>
      </c>
      <c r="O10" s="136">
        <f t="shared" ref="O10:O21" si="8">N10/$N$22</f>
        <v>0</v>
      </c>
      <c r="P10">
        <f t="shared" si="3"/>
        <v>5.2248758940309976</v>
      </c>
      <c r="Q10" s="136">
        <f t="shared" ref="Q10:Q21" si="9">P10/$P$22</f>
        <v>0.19910357884652249</v>
      </c>
      <c r="R10" s="156">
        <f t="shared" ca="1" si="4"/>
        <v>1.9910357884652251E-2</v>
      </c>
      <c r="S10" s="156">
        <f t="shared" ca="1" si="5"/>
        <v>2.6113480385144675E-2</v>
      </c>
      <c r="U10" s="50"/>
    </row>
    <row r="11" spans="2:21" x14ac:dyDescent="0.35">
      <c r="B11" s="56" t="s">
        <v>49</v>
      </c>
      <c r="C11" s="56" t="str" cm="1">
        <f t="array" ref="C11">_xll.FDS(B11,"FG_COMPANY_NAME")</f>
        <v>iShares MSCI Canada ETF</v>
      </c>
      <c r="D11" t="s">
        <v>598</v>
      </c>
      <c r="E11" s="136">
        <f>HLOOKUP(B11,'Monthly Returns'!$A$1:$N$139,139,FALSE)</f>
        <v>0.18049146541709979</v>
      </c>
      <c r="F11">
        <f ca="1">VLOOKUP(B11,OUTPUT_COUNTRY!$B$6:$N$18, 9, FALSE)</f>
        <v>21.4</v>
      </c>
      <c r="G11" s="47">
        <f>IFERROR(VLOOKUP(B11,OUTPUT_COUNTRY!$B$6:$N$18, 7, FALSE),0)</f>
        <v>64.2</v>
      </c>
      <c r="H11">
        <f>VLOOKUP(B11,OUTPUT_COUNTRY!$B$6:$N$18, 8, FALSE)</f>
        <v>85.7</v>
      </c>
      <c r="I11">
        <f>VLOOKUP(B11,OUTPUT_COUNTRY!$B$6:$N$18, 11, FALSE)</f>
        <v>21.4</v>
      </c>
      <c r="J11" s="47">
        <f t="shared" ca="1" si="0"/>
        <v>0</v>
      </c>
      <c r="K11" s="136">
        <f t="shared" ca="1" si="6"/>
        <v>0</v>
      </c>
      <c r="L11">
        <f t="shared" si="1"/>
        <v>0</v>
      </c>
      <c r="M11" s="136">
        <f t="shared" si="7"/>
        <v>0</v>
      </c>
      <c r="N11">
        <f t="shared" si="2"/>
        <v>5.5404281730944369</v>
      </c>
      <c r="O11" s="136">
        <f t="shared" si="8"/>
        <v>0.16588898013532782</v>
      </c>
      <c r="P11">
        <f t="shared" si="3"/>
        <v>0</v>
      </c>
      <c r="Q11" s="136">
        <f t="shared" si="9"/>
        <v>0</v>
      </c>
      <c r="R11" s="156">
        <f t="shared" ca="1" si="4"/>
        <v>1.6588898013532784E-2</v>
      </c>
      <c r="S11" s="156">
        <f t="shared" ca="1" si="5"/>
        <v>2.1757211266477436E-2</v>
      </c>
      <c r="U11" s="50"/>
    </row>
    <row r="12" spans="2:21" x14ac:dyDescent="0.35">
      <c r="B12" s="56" t="s">
        <v>11</v>
      </c>
      <c r="C12" s="56" t="str" cm="1">
        <f t="array" ref="C12">_xll.FDS(B12,"FG_COMPANY_NAME")</f>
        <v>iShares MSCI Germany ETF</v>
      </c>
      <c r="D12" t="s">
        <v>625</v>
      </c>
      <c r="E12" s="136">
        <f>HLOOKUP(B12,'Monthly Returns'!$A$1:$N$139,139,FALSE)</f>
        <v>0.22164680530251063</v>
      </c>
      <c r="F12">
        <f ca="1">VLOOKUP(B12,OUTPUT_COUNTRY!$B$6:$N$18, 9, FALSE)</f>
        <v>35.699999999999996</v>
      </c>
      <c r="G12" s="47">
        <f>IFERROR(VLOOKUP(B12,OUTPUT_COUNTRY!$B$6:$N$18, 7, FALSE),0)</f>
        <v>42.8</v>
      </c>
      <c r="H12">
        <f>VLOOKUP(B12,OUTPUT_COUNTRY!$B$6:$N$18, 8, FALSE)</f>
        <v>50</v>
      </c>
      <c r="I12">
        <f>VLOOKUP(B12,OUTPUT_COUNTRY!$B$6:$N$18, 11, FALSE)</f>
        <v>57.099999999999994</v>
      </c>
      <c r="J12" s="47">
        <f t="shared" ca="1" si="0"/>
        <v>0</v>
      </c>
      <c r="K12" s="136">
        <f t="shared" ca="1" si="6"/>
        <v>0</v>
      </c>
      <c r="L12">
        <f t="shared" si="1"/>
        <v>0</v>
      </c>
      <c r="M12" s="136">
        <f t="shared" si="7"/>
        <v>0</v>
      </c>
      <c r="N12">
        <f t="shared" si="2"/>
        <v>4.5116824428629512</v>
      </c>
      <c r="O12" s="136">
        <f t="shared" si="8"/>
        <v>0.13508674343538724</v>
      </c>
      <c r="P12">
        <f t="shared" si="3"/>
        <v>0</v>
      </c>
      <c r="Q12" s="136">
        <f t="shared" si="9"/>
        <v>0</v>
      </c>
      <c r="R12" s="156">
        <f t="shared" ca="1" si="4"/>
        <v>1.3508674343538724E-2</v>
      </c>
      <c r="S12" s="156">
        <f t="shared" ca="1" si="5"/>
        <v>1.7717336099278596E-2</v>
      </c>
      <c r="U12" s="50"/>
    </row>
    <row r="13" spans="2:21" x14ac:dyDescent="0.35">
      <c r="B13" s="56" t="s">
        <v>46</v>
      </c>
      <c r="C13" s="56" t="str" cm="1">
        <f t="array" ref="C13">_xll.FDS(B13,"FG_COMPANY_NAME")</f>
        <v>iShares MSCI Japan ETF</v>
      </c>
      <c r="D13" t="s">
        <v>643</v>
      </c>
      <c r="E13" s="136">
        <f>HLOOKUP(B13,'Monthly Returns'!$A$1:$N$139,139,FALSE)</f>
        <v>0.16420495941047711</v>
      </c>
      <c r="F13">
        <f ca="1">VLOOKUP(B13,OUTPUT_COUNTRY!$B$6:$N$18, 9, FALSE)</f>
        <v>28.499999999999996</v>
      </c>
      <c r="G13" s="47">
        <f>IFERROR(VLOOKUP(B13,OUTPUT_COUNTRY!$B$6:$N$18, 7, FALSE),0)</f>
        <v>78.5</v>
      </c>
      <c r="H13">
        <f>VLOOKUP(B13,OUTPUT_COUNTRY!$B$6:$N$18, 8, FALSE)</f>
        <v>7.1</v>
      </c>
      <c r="I13">
        <f>VLOOKUP(B13,OUTPUT_COUNTRY!$B$6:$N$18, 11, FALSE)</f>
        <v>7.1</v>
      </c>
      <c r="J13" s="47">
        <f t="shared" ca="1" si="0"/>
        <v>0</v>
      </c>
      <c r="K13" s="136">
        <f t="shared" ca="1" si="6"/>
        <v>0</v>
      </c>
      <c r="L13">
        <f t="shared" si="1"/>
        <v>6.0899500452980533</v>
      </c>
      <c r="M13" s="136">
        <f t="shared" si="7"/>
        <v>0.27472612799524454</v>
      </c>
      <c r="N13">
        <f t="shared" si="2"/>
        <v>0</v>
      </c>
      <c r="O13" s="136">
        <f t="shared" si="8"/>
        <v>0</v>
      </c>
      <c r="P13">
        <f t="shared" si="3"/>
        <v>0</v>
      </c>
      <c r="Q13" s="136">
        <f t="shared" si="9"/>
        <v>0</v>
      </c>
      <c r="R13" s="156">
        <f t="shared" ca="1" si="4"/>
        <v>8.2417838398573362E-2</v>
      </c>
      <c r="S13" s="156">
        <f t="shared" ca="1" si="5"/>
        <v>0.10809532499996843</v>
      </c>
      <c r="U13" s="50"/>
    </row>
    <row r="14" spans="2:21" x14ac:dyDescent="0.35">
      <c r="B14" s="56" t="s">
        <v>42</v>
      </c>
      <c r="C14" s="56" t="str" cm="1">
        <f t="array" ref="C14">_xll.FDS(B14,"FG_COMPANY_NAME")</f>
        <v>iShares MSCI Switzerland ETF</v>
      </c>
      <c r="D14" t="s">
        <v>706</v>
      </c>
      <c r="E14" s="136">
        <f>HLOOKUP(B14,'Monthly Returns'!$A$1:$N$139,139,FALSE)</f>
        <v>0.17134657268672998</v>
      </c>
      <c r="F14">
        <f ca="1">VLOOKUP(B14,OUTPUT_COUNTRY!$B$6:$N$18, 9, FALSE)</f>
        <v>57.099999999999994</v>
      </c>
      <c r="G14" s="47">
        <f>IFERROR(VLOOKUP(B14,OUTPUT_COUNTRY!$B$6:$N$18, 7, FALSE),0)</f>
        <v>92.800000000000011</v>
      </c>
      <c r="H14">
        <f>VLOOKUP(B14,OUTPUT_COUNTRY!$B$6:$N$18, 8, FALSE)</f>
        <v>50</v>
      </c>
      <c r="I14">
        <f>VLOOKUP(B14,OUTPUT_COUNTRY!$B$6:$N$18, 11, FALSE)</f>
        <v>42.8</v>
      </c>
      <c r="J14" s="47">
        <f t="shared" ca="1" si="0"/>
        <v>0</v>
      </c>
      <c r="K14" s="136">
        <f t="shared" ca="1" si="6"/>
        <v>0</v>
      </c>
      <c r="L14">
        <f t="shared" si="1"/>
        <v>5.8361249035793845</v>
      </c>
      <c r="M14" s="136">
        <f t="shared" si="7"/>
        <v>0.26327572235093988</v>
      </c>
      <c r="N14">
        <f t="shared" si="2"/>
        <v>5.8361249035793845</v>
      </c>
      <c r="O14" s="136">
        <f t="shared" si="8"/>
        <v>0.17474259713332635</v>
      </c>
      <c r="P14">
        <f t="shared" si="3"/>
        <v>0</v>
      </c>
      <c r="Q14" s="136">
        <f t="shared" si="9"/>
        <v>0</v>
      </c>
      <c r="R14" s="156">
        <f t="shared" ca="1" si="4"/>
        <v>9.6456976418614601E-2</v>
      </c>
      <c r="S14" s="156">
        <f t="shared" ca="1" si="5"/>
        <v>0.12650839207965586</v>
      </c>
      <c r="U14" s="50"/>
    </row>
    <row r="15" spans="2:21" x14ac:dyDescent="0.35">
      <c r="B15" s="56" t="s">
        <v>48</v>
      </c>
      <c r="C15" s="56" t="str" cm="1">
        <f t="array" ref="C15">_xll.FDS(B15,"FG_COMPANY_NAME")</f>
        <v>iShares MSCI United Kingdom ETF</v>
      </c>
      <c r="D15" t="s">
        <v>719</v>
      </c>
      <c r="E15" s="136">
        <f>HLOOKUP(B15,'Monthly Returns'!$A$1:$N$139,139,FALSE)</f>
        <v>0.18156196106008798</v>
      </c>
      <c r="F15">
        <f ca="1">VLOOKUP(B15,OUTPUT_COUNTRY!$B$6:$N$18, 9, FALSE)</f>
        <v>71.399999999999991</v>
      </c>
      <c r="G15" s="47">
        <f>IFERROR(VLOOKUP(B15,OUTPUT_COUNTRY!$B$6:$N$18, 7, FALSE),0)</f>
        <v>71.399999999999991</v>
      </c>
      <c r="H15">
        <f>VLOOKUP(B15,OUTPUT_COUNTRY!$B$6:$N$18, 8, FALSE)</f>
        <v>14.2</v>
      </c>
      <c r="I15">
        <f>VLOOKUP(B15,OUTPUT_COUNTRY!$B$6:$N$18, 11, FALSE)</f>
        <v>71.399999999999991</v>
      </c>
      <c r="J15" s="47">
        <f t="shared" ca="1" si="0"/>
        <v>5.5077616157111766</v>
      </c>
      <c r="K15" s="136">
        <f t="shared" ca="1" si="6"/>
        <v>0.26206068347962957</v>
      </c>
      <c r="L15">
        <f t="shared" si="1"/>
        <v>5.5077616157111766</v>
      </c>
      <c r="M15" s="136">
        <f t="shared" si="7"/>
        <v>0.2484627971248175</v>
      </c>
      <c r="N15">
        <f t="shared" si="2"/>
        <v>0</v>
      </c>
      <c r="O15" s="136">
        <f t="shared" si="8"/>
        <v>0</v>
      </c>
      <c r="P15">
        <f t="shared" si="3"/>
        <v>5.5077616157111766</v>
      </c>
      <c r="Q15" s="136">
        <f t="shared" si="9"/>
        <v>0.20988346352386958</v>
      </c>
      <c r="R15" s="156">
        <f t="shared" ca="1" si="4"/>
        <v>0.226557527229647</v>
      </c>
      <c r="S15" s="156">
        <f t="shared" ca="1" si="5"/>
        <v>0.29714209948876558</v>
      </c>
      <c r="U15" s="50"/>
    </row>
    <row r="16" spans="2:21" x14ac:dyDescent="0.35">
      <c r="B16" s="56" t="s">
        <v>51</v>
      </c>
      <c r="C16" s="56" t="str" cm="1">
        <f t="array" ref="C16">_xll.FDS(B16,"FG_COMPANY_NAME")</f>
        <v>Invesco QQQ Trust Series I</v>
      </c>
      <c r="D16" t="s">
        <v>720</v>
      </c>
      <c r="E16" s="136">
        <f>HLOOKUP(B16,'Monthly Returns'!$A$1:$N$139,139,FALSE)</f>
        <v>0.20401428620691886</v>
      </c>
      <c r="F16">
        <f ca="1">VLOOKUP(B16,OUTPUT_COUNTRY!$B$6:$N$18, 9, FALSE)</f>
        <v>92.800000000000011</v>
      </c>
      <c r="G16" s="47">
        <f>IFERROR(VLOOKUP(B16,OUTPUT_COUNTRY!$B$6:$N$18, 7, FALSE),0)</f>
        <v>57.099999999999994</v>
      </c>
      <c r="H16">
        <f>VLOOKUP(B16,OUTPUT_COUNTRY!$B$6:$N$18, 8, FALSE)</f>
        <v>14.2</v>
      </c>
      <c r="I16">
        <f>VLOOKUP(B16,OUTPUT_COUNTRY!$B$6:$N$18, 11, FALSE)</f>
        <v>78.5</v>
      </c>
      <c r="J16" s="47">
        <f t="shared" ca="1" si="0"/>
        <v>4.9016175219502172</v>
      </c>
      <c r="K16" s="136">
        <f t="shared" ca="1" si="6"/>
        <v>0.23322019498698682</v>
      </c>
      <c r="L16">
        <f t="shared" si="1"/>
        <v>0</v>
      </c>
      <c r="M16" s="136">
        <f t="shared" si="7"/>
        <v>0</v>
      </c>
      <c r="N16">
        <f t="shared" si="2"/>
        <v>0</v>
      </c>
      <c r="O16" s="136">
        <f t="shared" si="8"/>
        <v>0</v>
      </c>
      <c r="P16">
        <f t="shared" si="3"/>
        <v>4.9016175219502172</v>
      </c>
      <c r="Q16" s="136">
        <f t="shared" si="9"/>
        <v>0.18678521950579394</v>
      </c>
      <c r="R16" s="156">
        <f t="shared" ca="1" si="4"/>
        <v>0.13528861944407281</v>
      </c>
      <c r="S16" s="156">
        <f t="shared" ca="1" si="5"/>
        <v>0.17743813198402494</v>
      </c>
      <c r="U16" s="50"/>
    </row>
    <row r="17" spans="2:21" x14ac:dyDescent="0.35">
      <c r="B17" s="56" t="s">
        <v>1</v>
      </c>
      <c r="C17" s="56" t="str" cm="1">
        <f t="array" ref="C17">_xll.FDS(B17,"FG_COMPANY_NAME")</f>
        <v>SPDR S&amp;P 500 ETF Trust</v>
      </c>
      <c r="D17" t="s">
        <v>720</v>
      </c>
      <c r="E17" s="136">
        <f>HLOOKUP(B17,'Monthly Returns'!$A$1:$N$139,139,FALSE)</f>
        <v>0.16072562041107494</v>
      </c>
      <c r="F17">
        <f ca="1">VLOOKUP(B17,OUTPUT_COUNTRY!$B$6:$N$18, 9, FALSE)</f>
        <v>85.7</v>
      </c>
      <c r="G17" s="47">
        <f>IFERROR(VLOOKUP(B17,OUTPUT_COUNTRY!$B$6:$N$18, 7, FALSE),0)</f>
        <v>50</v>
      </c>
      <c r="H17">
        <f>VLOOKUP(B17,OUTPUT_COUNTRY!$B$6:$N$18, 8, FALSE)</f>
        <v>14.2</v>
      </c>
      <c r="I17">
        <f>VLOOKUP(B17,OUTPUT_COUNTRY!$B$6:$N$18, 11, FALSE)</f>
        <v>78.5</v>
      </c>
      <c r="J17" s="47">
        <f t="shared" ca="1" si="0"/>
        <v>6.2217834184891041</v>
      </c>
      <c r="K17" s="136">
        <f t="shared" ca="1" si="6"/>
        <v>0.29603402051033545</v>
      </c>
      <c r="L17">
        <f t="shared" si="1"/>
        <v>0</v>
      </c>
      <c r="M17" s="136">
        <f t="shared" si="7"/>
        <v>0</v>
      </c>
      <c r="N17">
        <f t="shared" si="2"/>
        <v>0</v>
      </c>
      <c r="O17" s="136">
        <f t="shared" si="8"/>
        <v>0</v>
      </c>
      <c r="P17">
        <f t="shared" si="3"/>
        <v>6.2217834184891041</v>
      </c>
      <c r="Q17" s="136">
        <f t="shared" si="9"/>
        <v>0.23709258756640283</v>
      </c>
      <c r="R17" s="156">
        <f t="shared" ca="1" si="4"/>
        <v>0.17172626901180801</v>
      </c>
      <c r="S17" s="156">
        <f t="shared" ca="1" si="5"/>
        <v>0.22522802369668449</v>
      </c>
      <c r="U17" s="50"/>
    </row>
    <row r="18" spans="2:21" x14ac:dyDescent="0.35">
      <c r="B18" s="56" t="s">
        <v>865</v>
      </c>
      <c r="C18" s="56" t="str" cm="1">
        <f t="array" ref="C18">_xll.FDS(B18,"FG_COMPANY_NAME")</f>
        <v>iShares MSCI France ETF</v>
      </c>
      <c r="D18" t="s">
        <v>621</v>
      </c>
      <c r="E18" s="136">
        <f>HLOOKUP(B18,'Monthly Returns'!$A$1:$N$139,139,FALSE)</f>
        <v>0.21125959782388051</v>
      </c>
      <c r="F18">
        <f ca="1">VLOOKUP(B18,OUTPUT_COUNTRY!$B$6:$N$18, 9, FALSE)</f>
        <v>7.1</v>
      </c>
      <c r="G18" s="47">
        <f>IFERROR(VLOOKUP(B18,OUTPUT_COUNTRY!$B$6:$N$18, 7, FALSE),0)</f>
        <v>85.7</v>
      </c>
      <c r="H18">
        <f>VLOOKUP(B18,OUTPUT_COUNTRY!$B$6:$N$18, 8, FALSE)</f>
        <v>50</v>
      </c>
      <c r="I18">
        <f>VLOOKUP(B18,OUTPUT_COUNTRY!$B$6:$N$18, 11, FALSE)</f>
        <v>14.2</v>
      </c>
      <c r="J18" s="47">
        <f t="shared" ca="1" si="0"/>
        <v>0</v>
      </c>
      <c r="K18" s="136">
        <f t="shared" ca="1" si="6"/>
        <v>0</v>
      </c>
      <c r="L18">
        <f t="shared" si="1"/>
        <v>4.7335127506664278</v>
      </c>
      <c r="M18" s="136">
        <f t="shared" si="7"/>
        <v>0.21353535252899797</v>
      </c>
      <c r="N18">
        <f t="shared" si="2"/>
        <v>4.7335127506664278</v>
      </c>
      <c r="O18" s="136">
        <f t="shared" si="8"/>
        <v>0.14172868560572882</v>
      </c>
      <c r="P18">
        <f t="shared" si="3"/>
        <v>0</v>
      </c>
      <c r="Q18" s="136">
        <f t="shared" si="9"/>
        <v>0</v>
      </c>
      <c r="R18" s="156">
        <f t="shared" ca="1" si="4"/>
        <v>7.8233474319272273E-2</v>
      </c>
      <c r="S18" s="156">
        <f t="shared" ca="1" si="5"/>
        <v>0.10260731167835146</v>
      </c>
    </row>
    <row r="19" spans="2:21" x14ac:dyDescent="0.35">
      <c r="B19" s="56" t="s">
        <v>867</v>
      </c>
      <c r="C19" s="56" t="str" cm="1">
        <f t="array" ref="C19">_xll.FDS(B19,"FG_COMPANY_NAME")</f>
        <v>iShares MSCI Netherlands ETF</v>
      </c>
      <c r="D19" t="s">
        <v>673</v>
      </c>
      <c r="E19" s="136">
        <f>HLOOKUP(B19,'Monthly Returns'!$A$1:$N$139,139,FALSE)</f>
        <v>0.228000232772025</v>
      </c>
      <c r="F19">
        <f ca="1">VLOOKUP(B19,OUTPUT_COUNTRY!$B$6:$N$18, 9, FALSE)</f>
        <v>78.5</v>
      </c>
      <c r="G19" s="47">
        <f>IFERROR(VLOOKUP(B19,OUTPUT_COUNTRY!$B$6:$N$18, 7, FALSE),0)</f>
        <v>28.499999999999996</v>
      </c>
      <c r="H19">
        <f>VLOOKUP(B19,OUTPUT_COUNTRY!$B$6:$N$18, 8, FALSE)</f>
        <v>50</v>
      </c>
      <c r="I19">
        <f>VLOOKUP(B19,OUTPUT_COUNTRY!$B$6:$N$18, 11, FALSE)</f>
        <v>92.800000000000011</v>
      </c>
      <c r="J19" s="47">
        <f t="shared" ca="1" si="0"/>
        <v>4.3859604345224037</v>
      </c>
      <c r="K19" s="136">
        <f t="shared" ca="1" si="6"/>
        <v>0.20868510102304824</v>
      </c>
      <c r="L19">
        <f t="shared" si="1"/>
        <v>0</v>
      </c>
      <c r="M19" s="136">
        <f t="shared" si="7"/>
        <v>0</v>
      </c>
      <c r="N19">
        <f t="shared" si="2"/>
        <v>4.3859604345224037</v>
      </c>
      <c r="O19" s="136">
        <f t="shared" si="8"/>
        <v>0.13132243224993417</v>
      </c>
      <c r="P19">
        <f t="shared" si="3"/>
        <v>4.3859604345224037</v>
      </c>
      <c r="Q19" s="136">
        <f t="shared" si="9"/>
        <v>0.16713515055741124</v>
      </c>
      <c r="R19" s="156">
        <f t="shared" ca="1" si="4"/>
        <v>0.13418830879225865</v>
      </c>
      <c r="S19" s="156">
        <f t="shared" ca="1" si="5"/>
        <v>0.17599501675776055</v>
      </c>
    </row>
    <row r="20" spans="2:21" x14ac:dyDescent="0.35">
      <c r="B20" s="56" t="s">
        <v>864</v>
      </c>
      <c r="C20" s="56" t="str" cm="1">
        <f t="array" ref="C20">_xll.FDS(B20,"FG_COMPANY_NAME")</f>
        <v>iShares MSCI Sweden ETF</v>
      </c>
      <c r="D20" t="s">
        <v>705</v>
      </c>
      <c r="E20" s="136">
        <f>HLOOKUP(B20,'Monthly Returns'!$A$1:$N$139,139,FALSE)</f>
        <v>0.23292007182610866</v>
      </c>
      <c r="F20">
        <f ca="1">VLOOKUP(B20,OUTPUT_COUNTRY!$B$6:$N$18, 9, FALSE)</f>
        <v>64.2</v>
      </c>
      <c r="G20" s="47">
        <f>IFERROR(VLOOKUP(B20,OUTPUT_COUNTRY!$B$6:$N$18, 7, FALSE),0)</f>
        <v>28.499999999999996</v>
      </c>
      <c r="H20">
        <f>VLOOKUP(B20,OUTPUT_COUNTRY!$B$6:$N$18, 8, FALSE)</f>
        <v>85.7</v>
      </c>
      <c r="I20">
        <f>VLOOKUP(B20,OUTPUT_COUNTRY!$B$6:$N$18, 11, FALSE)</f>
        <v>28.499999999999996</v>
      </c>
      <c r="J20" s="47">
        <f t="shared" ca="1" si="0"/>
        <v>0</v>
      </c>
      <c r="K20" s="136">
        <f t="shared" ca="1" si="6"/>
        <v>0</v>
      </c>
      <c r="L20">
        <f t="shared" si="1"/>
        <v>0</v>
      </c>
      <c r="M20" s="136">
        <f t="shared" si="7"/>
        <v>0</v>
      </c>
      <c r="N20">
        <f t="shared" si="2"/>
        <v>4.2933182707696007</v>
      </c>
      <c r="O20" s="136">
        <f t="shared" si="8"/>
        <v>0.12854858272380648</v>
      </c>
      <c r="P20">
        <f t="shared" si="3"/>
        <v>0</v>
      </c>
      <c r="Q20" s="136">
        <f t="shared" si="9"/>
        <v>0</v>
      </c>
      <c r="R20" s="156">
        <f t="shared" ca="1" si="4"/>
        <v>1.285485827238065E-2</v>
      </c>
      <c r="S20" s="156">
        <f t="shared" ca="1" si="5"/>
        <v>1.6859821972782678E-2</v>
      </c>
    </row>
    <row r="21" spans="2:21" ht="15" thickBot="1" x14ac:dyDescent="0.4">
      <c r="B21" s="12" t="s">
        <v>866</v>
      </c>
      <c r="C21" s="12" t="str" cm="1">
        <f t="array" ref="C21">_xll.FDS(B21,"FG_COMPANY_NAME")</f>
        <v>iShares MSCI Italy ETF</v>
      </c>
      <c r="D21" s="13" t="s">
        <v>641</v>
      </c>
      <c r="E21" s="137">
        <f>HLOOKUP(B21,'Monthly Returns'!$A$1:$N$139,139,FALSE)</f>
        <v>0.24405821812156009</v>
      </c>
      <c r="F21" s="13">
        <f ca="1">VLOOKUP(B21,OUTPUT_COUNTRY!$B$6:$N$18, 9, FALSE)</f>
        <v>42.8</v>
      </c>
      <c r="G21" s="138">
        <f>IFERROR(VLOOKUP(B21,OUTPUT_COUNTRY!$B$6:$N$18, 7, FALSE),0)</f>
        <v>21.4</v>
      </c>
      <c r="H21" s="13">
        <f>VLOOKUP(B21,OUTPUT_COUNTRY!$B$6:$N$18, 8, FALSE)</f>
        <v>50</v>
      </c>
      <c r="I21" s="13">
        <f>VLOOKUP(B21,OUTPUT_COUNTRY!$B$6:$N$18, 11, FALSE)</f>
        <v>50</v>
      </c>
      <c r="J21" s="138">
        <f t="shared" ca="1" si="0"/>
        <v>0</v>
      </c>
      <c r="K21" s="137">
        <f t="shared" ca="1" si="6"/>
        <v>0</v>
      </c>
      <c r="L21" s="13">
        <f t="shared" si="1"/>
        <v>0</v>
      </c>
      <c r="M21" s="137">
        <f t="shared" si="7"/>
        <v>0</v>
      </c>
      <c r="N21" s="13">
        <f t="shared" si="2"/>
        <v>4.0973830248236993</v>
      </c>
      <c r="O21" s="137">
        <f t="shared" si="8"/>
        <v>0.12268197871648906</v>
      </c>
      <c r="P21" s="13">
        <f t="shared" si="3"/>
        <v>0</v>
      </c>
      <c r="Q21" s="137">
        <f t="shared" si="9"/>
        <v>0</v>
      </c>
      <c r="R21" s="157">
        <f t="shared" ca="1" si="4"/>
        <v>1.2268197871648907E-2</v>
      </c>
      <c r="S21" s="157">
        <f t="shared" ca="1" si="5"/>
        <v>1.6090386036171082E-2</v>
      </c>
    </row>
    <row r="22" spans="2:21" x14ac:dyDescent="0.35">
      <c r="J22" s="47">
        <f ca="1">SUM(J9:J21)</f>
        <v>21.017122990672899</v>
      </c>
      <c r="K22" s="169"/>
      <c r="L22">
        <f>SUM(L9:L21)</f>
        <v>22.167349315255045</v>
      </c>
      <c r="N22">
        <f>SUM(N9:N21)</f>
        <v>33.398410000318904</v>
      </c>
      <c r="P22">
        <f>SUM(P9:P21)</f>
        <v>26.241998884703897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B44C-519E-4333-ABE2-186377B89F23}">
  <dimension ref="C2:L16"/>
  <sheetViews>
    <sheetView topLeftCell="B1" zoomScale="95" zoomScaleNormal="95" workbookViewId="0">
      <selection activeCell="D21" sqref="D21"/>
    </sheetView>
  </sheetViews>
  <sheetFormatPr defaultRowHeight="14.5" x14ac:dyDescent="0.35"/>
  <cols>
    <col min="3" max="3" width="8.453125" bestFit="1" customWidth="1"/>
    <col min="4" max="4" width="34.453125" customWidth="1"/>
    <col min="5" max="5" width="9.54296875" customWidth="1"/>
    <col min="6" max="6" width="8.54296875" bestFit="1" customWidth="1"/>
    <col min="7" max="7" width="8" customWidth="1"/>
    <col min="8" max="8" width="14.453125" customWidth="1"/>
    <col min="9" max="9" width="11.453125" customWidth="1"/>
    <col min="10" max="10" width="12.81640625" customWidth="1"/>
    <col min="11" max="11" width="13.1796875" customWidth="1"/>
    <col min="12" max="12" width="17" customWidth="1"/>
  </cols>
  <sheetData>
    <row r="2" spans="3:12" x14ac:dyDescent="0.35">
      <c r="C2" s="209" t="s">
        <v>544</v>
      </c>
      <c r="D2" s="209"/>
      <c r="E2" s="209" t="s">
        <v>778</v>
      </c>
      <c r="F2" s="209"/>
      <c r="G2" s="209"/>
      <c r="H2" s="215" t="s">
        <v>778</v>
      </c>
      <c r="I2" s="209" t="s">
        <v>546</v>
      </c>
      <c r="J2" s="209" t="s">
        <v>543</v>
      </c>
      <c r="K2" s="209" t="s">
        <v>549</v>
      </c>
      <c r="L2" s="209" t="s">
        <v>737</v>
      </c>
    </row>
    <row r="3" spans="3:12" x14ac:dyDescent="0.35">
      <c r="C3" s="203"/>
      <c r="D3" s="203"/>
      <c r="E3" s="152" t="s">
        <v>545</v>
      </c>
      <c r="F3" s="152" t="s">
        <v>547</v>
      </c>
      <c r="G3" s="152" t="s">
        <v>914</v>
      </c>
      <c r="H3" s="213"/>
      <c r="I3" s="203"/>
      <c r="J3" s="203"/>
      <c r="K3" s="203"/>
      <c r="L3" s="203"/>
    </row>
    <row r="4" spans="3:12" x14ac:dyDescent="0.35">
      <c r="C4" s="77" t="s">
        <v>42</v>
      </c>
      <c r="D4" s="166" t="str" cm="1">
        <f t="array" ref="D4">_xll.FDS(C4,"FG_COMPANY_NAME")</f>
        <v>iShares MSCI Switzerland ETF</v>
      </c>
      <c r="E4" s="153" t="str">
        <f>IF(VLOOKUP(C4,OUTPUT_COUNTRY!$B$6:$N$18,3,FALSE)&gt;75,"++",(IF(VLOOKUP(C4,OUTPUT_COUNTRY!$B$6:$N$18,3,FALSE)&gt;50,"+",(IF(VLOOKUP(C4,OUTPUT_COUNTRY!$B$6:$N$18,3,FALSE)&gt;25,"-","--")))))</f>
        <v>++</v>
      </c>
      <c r="F4" s="120" t="str">
        <f>IF(VLOOKUP(C4,OUTPUT_COUNTRY!$B$6:$N$18,4,FALSE)&gt;75,"++",(IF(VLOOKUP(C4,OUTPUT_COUNTRY!$B$6:$N$18,4,FALSE)&gt;50,"+",(IF(VLOOKUP(C4,OUTPUT_COUNTRY!$B$6:$N$18,4,FALSE)&gt;25,"-","--")))))</f>
        <v>++</v>
      </c>
      <c r="G4" s="153" t="str">
        <f>IF(VLOOKUP(C4,OUTPUT_COUNTRY!$B$6:$N$18,5,FALSE)&gt;75,"++",(IF(VLOOKUP(C4,OUTPUT_COUNTRY!$B$6:$N$18,5,FALSE)&gt;50,"+",(IF(VLOOKUP(C4,OUTPUT_COUNTRY!$B$6:$N$18,5,FALSE)&gt;25,"-","--")))))</f>
        <v>++</v>
      </c>
      <c r="H4" s="120" t="str">
        <f>IF(VLOOKUP(C4,OUTPUT_COUNTRY!$B$6:$N$18,7,FALSE)&gt;75,"++",(IF(VLOOKUP(C4,OUTPUT_COUNTRY!$B$6:$N$18,7,FALSE)&gt;50,"+",(IF(VLOOKUP(C4,OUTPUT_COUNTRY!$B$6:$N$18,7,FALSE)&gt;25,"-","--")))))</f>
        <v>++</v>
      </c>
      <c r="I4" s="153" t="str">
        <f>IF(VLOOKUP(C4,OUTPUT_COUNTRY!$B$6:$N$18,8,FALSE)&gt;75,"++",(IF(VLOOKUP(C4,OUTPUT_COUNTRY!$B$6:$N$18,8,FALSE)&gt;50,"+",(IF(VLOOKUP(C4,OUTPUT_COUNTRY!$B$6:$N$18,8,FALSE)&gt;25,"-","--")))))</f>
        <v>-</v>
      </c>
      <c r="J4" s="120" t="str">
        <f ca="1">IF(VLOOKUP(C4,OUTPUT_COUNTRY!$B$6:$N$18,9,FALSE)&gt;75,"++",(IF(VLOOKUP(C4,OUTPUT_COUNTRY!$B$6:$N$18,9,FALSE)&gt;50,"+",(IF(VLOOKUP(C4,OUTPUT_COUNTRY!$B$6:$N$18,9,FALSE)&gt;25,"-","--")))))</f>
        <v>+</v>
      </c>
      <c r="K4" s="153" t="str">
        <f>IF(VLOOKUP(C4,OUTPUT_COUNTRY!$B$6:$N$18,11,FALSE)&gt;75,"++",(IF(VLOOKUP(C4,OUTPUT_COUNTRY!$B$6:$N$18,11,FALSE)&gt;50,"+",(IF(VLOOKUP(C4,OUTPUT_COUNTRY!$B$6:$N$18,11,FALSE)&gt;25,"-","--")))))</f>
        <v>-</v>
      </c>
      <c r="L4" s="120" t="str">
        <f ca="1">IF(VLOOKUP(C4,OUTPUT_COUNTRY!$B$6:$N$18,13,FALSE)&gt;75,"++",(IF(VLOOKUP(C4,OUTPUT_COUNTRY!$B$6:$N$18,13,FALSE)&gt;50,"+",(IF(VLOOKUP(C4,OUTPUT_COUNTRY!$B$6:$N$18,13,FALSE)&gt;25,"-","--")))))</f>
        <v>++</v>
      </c>
    </row>
    <row r="5" spans="3:12" x14ac:dyDescent="0.35">
      <c r="C5" s="78" t="s">
        <v>46</v>
      </c>
      <c r="D5" s="167" t="str" cm="1">
        <f t="array" ref="D5">_xll.FDS(C5,"FG_COMPANY_NAME")</f>
        <v>iShares MSCI Japan ETF</v>
      </c>
      <c r="E5" s="159" t="str">
        <f>IF(VLOOKUP(C5,OUTPUT_COUNTRY!$B$6:$N$18,3,FALSE)&gt;75,"++",(IF(VLOOKUP(C5,OUTPUT_COUNTRY!$B$6:$N$18,3,FALSE)&gt;50,"+",(IF(VLOOKUP(C5,OUTPUT_COUNTRY!$B$6:$N$18,3,FALSE)&gt;25,"-","--")))))</f>
        <v>-</v>
      </c>
      <c r="F5" s="121" t="str">
        <f>IF(VLOOKUP(C5,OUTPUT_COUNTRY!$B$6:$N$18,4,FALSE)&gt;75,"++",(IF(VLOOKUP(C5,OUTPUT_COUNTRY!$B$6:$N$18,4,FALSE)&gt;50,"+",(IF(VLOOKUP(C5,OUTPUT_COUNTRY!$B$6:$N$18,4,FALSE)&gt;25,"-","--")))))</f>
        <v>-</v>
      </c>
      <c r="G5" s="159" t="str">
        <f>IF(VLOOKUP(C5,OUTPUT_COUNTRY!$B$6:$N$18,5,FALSE)&gt;75,"++",(IF(VLOOKUP(C5,OUTPUT_COUNTRY!$B$6:$N$18,5,FALSE)&gt;50,"+",(IF(VLOOKUP(C5,OUTPUT_COUNTRY!$B$6:$N$18,5,FALSE)&gt;25,"-","--")))))</f>
        <v>++</v>
      </c>
      <c r="H5" s="121" t="str">
        <f>IF(VLOOKUP(C5,OUTPUT_COUNTRY!$B$6:$N$18,7,FALSE)&gt;75,"++",(IF(VLOOKUP(C5,OUTPUT_COUNTRY!$B$6:$N$18,7,FALSE)&gt;50,"+",(IF(VLOOKUP(C5,OUTPUT_COUNTRY!$B$6:$N$18,7,FALSE)&gt;25,"-","--")))))</f>
        <v>++</v>
      </c>
      <c r="I5" s="159" t="str">
        <f>IF(VLOOKUP(C5,OUTPUT_COUNTRY!$B$6:$N$18,8,FALSE)&gt;75,"++",(IF(VLOOKUP(C5,OUTPUT_COUNTRY!$B$6:$N$18,8,FALSE)&gt;50,"+",(IF(VLOOKUP(C5,OUTPUT_COUNTRY!$B$6:$N$18,8,FALSE)&gt;25,"-","--")))))</f>
        <v>--</v>
      </c>
      <c r="J5" s="121" t="str">
        <f ca="1">IF(VLOOKUP(C5,OUTPUT_COUNTRY!$B$6:$N$18,9,FALSE)&gt;75,"++",(IF(VLOOKUP(C5,OUTPUT_COUNTRY!$B$6:$N$18,9,FALSE)&gt;50,"+",(IF(VLOOKUP(C5,OUTPUT_COUNTRY!$B$6:$N$18,9,FALSE)&gt;25,"-","--")))))</f>
        <v>-</v>
      </c>
      <c r="K5" s="159" t="str">
        <f>IF(VLOOKUP(C5,OUTPUT_COUNTRY!$B$6:$N$18,11,FALSE)&gt;75,"++",(IF(VLOOKUP(C5,OUTPUT_COUNTRY!$B$6:$N$18,11,FALSE)&gt;50,"+",(IF(VLOOKUP(C5,OUTPUT_COUNTRY!$B$6:$N$18,11,FALSE)&gt;25,"-","--")))))</f>
        <v>--</v>
      </c>
      <c r="L5" s="121" t="str">
        <f ca="1">IF(VLOOKUP(C5,OUTPUT_COUNTRY!$B$6:$N$18,13,FALSE)&gt;75,"++",(IF(VLOOKUP(C5,OUTPUT_COUNTRY!$B$6:$N$18,13,FALSE)&gt;50,"+",(IF(VLOOKUP(C5,OUTPUT_COUNTRY!$B$6:$N$18,13,FALSE)&gt;25,"-","--")))))</f>
        <v>--</v>
      </c>
    </row>
    <row r="6" spans="3:12" x14ac:dyDescent="0.35">
      <c r="C6" s="78" t="s">
        <v>51</v>
      </c>
      <c r="D6" s="167" t="str" cm="1">
        <f t="array" ref="D6">_xll.FDS(C6,"FG_COMPANY_NAME")</f>
        <v>Invesco QQQ Trust Series I</v>
      </c>
      <c r="E6" s="159" t="str">
        <f>IF(VLOOKUP(C6,OUTPUT_COUNTRY!$B$6:$N$18,3,FALSE)&gt;75,"++",(IF(VLOOKUP(C6,OUTPUT_COUNTRY!$B$6:$N$18,3,FALSE)&gt;50,"+",(IF(VLOOKUP(C6,OUTPUT_COUNTRY!$B$6:$N$18,3,FALSE)&gt;25,"-","--")))))</f>
        <v>--</v>
      </c>
      <c r="F6" s="121" t="str">
        <f>IF(VLOOKUP(C6,OUTPUT_COUNTRY!$B$6:$N$18,4,FALSE)&gt;75,"++",(IF(VLOOKUP(C6,OUTPUT_COUNTRY!$B$6:$N$18,4,FALSE)&gt;50,"+",(IF(VLOOKUP(C6,OUTPUT_COUNTRY!$B$6:$N$18,4,FALSE)&gt;25,"-","--")))))</f>
        <v>++</v>
      </c>
      <c r="G6" s="159" t="str">
        <f>IF(VLOOKUP(C6,OUTPUT_COUNTRY!$B$6:$N$18,5,FALSE)&gt;75,"++",(IF(VLOOKUP(C6,OUTPUT_COUNTRY!$B$6:$N$18,5,FALSE)&gt;50,"+",(IF(VLOOKUP(C6,OUTPUT_COUNTRY!$B$6:$N$18,5,FALSE)&gt;25,"-","--")))))</f>
        <v>-</v>
      </c>
      <c r="H6" s="121" t="str">
        <f>IF(VLOOKUP(C6,OUTPUT_COUNTRY!$B$6:$N$18,7,FALSE)&gt;75,"++",(IF(VLOOKUP(C6,OUTPUT_COUNTRY!$B$6:$N$18,7,FALSE)&gt;50,"+",(IF(VLOOKUP(C6,OUTPUT_COUNTRY!$B$6:$N$18,7,FALSE)&gt;25,"-","--")))))</f>
        <v>+</v>
      </c>
      <c r="I6" s="159" t="str">
        <f>IF(VLOOKUP(C6,OUTPUT_COUNTRY!$B$6:$N$18,8,FALSE)&gt;75,"++",(IF(VLOOKUP(C6,OUTPUT_COUNTRY!$B$6:$N$18,8,FALSE)&gt;50,"+",(IF(VLOOKUP(C6,OUTPUT_COUNTRY!$B$6:$N$18,8,FALSE)&gt;25,"-","--")))))</f>
        <v>--</v>
      </c>
      <c r="J6" s="121" t="str">
        <f ca="1">IF(VLOOKUP(C6,OUTPUT_COUNTRY!$B$6:$N$18,9,FALSE)&gt;75,"++",(IF(VLOOKUP(C6,OUTPUT_COUNTRY!$B$6:$N$18,9,FALSE)&gt;50,"+",(IF(VLOOKUP(C6,OUTPUT_COUNTRY!$B$6:$N$18,9,FALSE)&gt;25,"-","--")))))</f>
        <v>++</v>
      </c>
      <c r="K6" s="159" t="str">
        <f>IF(VLOOKUP(C6,OUTPUT_COUNTRY!$B$6:$N$18,11,FALSE)&gt;75,"++",(IF(VLOOKUP(C6,OUTPUT_COUNTRY!$B$6:$N$18,11,FALSE)&gt;50,"+",(IF(VLOOKUP(C6,OUTPUT_COUNTRY!$B$6:$N$18,11,FALSE)&gt;25,"-","--")))))</f>
        <v>++</v>
      </c>
      <c r="L6" s="121" t="str">
        <f ca="1">IF(VLOOKUP(C6,OUTPUT_COUNTRY!$B$6:$N$18,13,FALSE)&gt;75,"++",(IF(VLOOKUP(C6,OUTPUT_COUNTRY!$B$6:$N$18,13,FALSE)&gt;50,"+",(IF(VLOOKUP(C6,OUTPUT_COUNTRY!$B$6:$N$18,13,FALSE)&gt;25,"-","--")))))</f>
        <v>++</v>
      </c>
    </row>
    <row r="7" spans="3:12" x14ac:dyDescent="0.35">
      <c r="C7" s="78" t="s">
        <v>1</v>
      </c>
      <c r="D7" s="167" t="str" cm="1">
        <f t="array" ref="D7">_xll.FDS(C7,"FG_COMPANY_NAME")</f>
        <v>SPDR S&amp;P 500 ETF Trust</v>
      </c>
      <c r="E7" s="159" t="str">
        <f>IF(VLOOKUP(C7,OUTPUT_COUNTRY!$B$6:$N$18,3,FALSE)&gt;75,"++",(IF(VLOOKUP(C7,OUTPUT_COUNTRY!$B$6:$N$18,3,FALSE)&gt;50,"+",(IF(VLOOKUP(C7,OUTPUT_COUNTRY!$B$6:$N$18,3,FALSE)&gt;25,"-","--")))))</f>
        <v>--</v>
      </c>
      <c r="F7" s="121" t="str">
        <f>IF(VLOOKUP(C7,OUTPUT_COUNTRY!$B$6:$N$18,4,FALSE)&gt;75,"++",(IF(VLOOKUP(C7,OUTPUT_COUNTRY!$B$6:$N$18,4,FALSE)&gt;50,"+",(IF(VLOOKUP(C7,OUTPUT_COUNTRY!$B$6:$N$18,4,FALSE)&gt;25,"-","--")))))</f>
        <v>++</v>
      </c>
      <c r="G7" s="159" t="str">
        <f>IF(VLOOKUP(C7,OUTPUT_COUNTRY!$B$6:$N$18,5,FALSE)&gt;75,"++",(IF(VLOOKUP(C7,OUTPUT_COUNTRY!$B$6:$N$18,5,FALSE)&gt;50,"+",(IF(VLOOKUP(C7,OUTPUT_COUNTRY!$B$6:$N$18,5,FALSE)&gt;25,"-","--")))))</f>
        <v>-</v>
      </c>
      <c r="H7" s="121" t="str">
        <f>IF(VLOOKUP(C7,OUTPUT_COUNTRY!$B$6:$N$18,7,FALSE)&gt;75,"++",(IF(VLOOKUP(C7,OUTPUT_COUNTRY!$B$6:$N$18,7,FALSE)&gt;50,"+",(IF(VLOOKUP(C7,OUTPUT_COUNTRY!$B$6:$N$18,7,FALSE)&gt;25,"-","--")))))</f>
        <v>-</v>
      </c>
      <c r="I7" s="159" t="str">
        <f>IF(VLOOKUP(C7,OUTPUT_COUNTRY!$B$6:$N$18,8,FALSE)&gt;75,"++",(IF(VLOOKUP(C7,OUTPUT_COUNTRY!$B$6:$N$18,8,FALSE)&gt;50,"+",(IF(VLOOKUP(C7,OUTPUT_COUNTRY!$B$6:$N$18,8,FALSE)&gt;25,"-","--")))))</f>
        <v>--</v>
      </c>
      <c r="J7" s="121" t="str">
        <f ca="1">IF(VLOOKUP(C7,OUTPUT_COUNTRY!$B$6:$N$18,9,FALSE)&gt;75,"++",(IF(VLOOKUP(C7,OUTPUT_COUNTRY!$B$6:$N$18,9,FALSE)&gt;50,"+",(IF(VLOOKUP(C7,OUTPUT_COUNTRY!$B$6:$N$18,9,FALSE)&gt;25,"-","--")))))</f>
        <v>++</v>
      </c>
      <c r="K7" s="159" t="str">
        <f>IF(VLOOKUP(C7,OUTPUT_COUNTRY!$B$6:$N$18,11,FALSE)&gt;75,"++",(IF(VLOOKUP(C7,OUTPUT_COUNTRY!$B$6:$N$18,11,FALSE)&gt;50,"+",(IF(VLOOKUP(C7,OUTPUT_COUNTRY!$B$6:$N$18,11,FALSE)&gt;25,"-","--")))))</f>
        <v>++</v>
      </c>
      <c r="L7" s="121" t="str">
        <f ca="1">IF(VLOOKUP(C7,OUTPUT_COUNTRY!$B$6:$N$18,13,FALSE)&gt;75,"++",(IF(VLOOKUP(C7,OUTPUT_COUNTRY!$B$6:$N$18,13,FALSE)&gt;50,"+",(IF(VLOOKUP(C7,OUTPUT_COUNTRY!$B$6:$N$18,13,FALSE)&gt;25,"-","--")))))</f>
        <v>+</v>
      </c>
    </row>
    <row r="8" spans="3:12" x14ac:dyDescent="0.35">
      <c r="C8" s="78" t="s">
        <v>11</v>
      </c>
      <c r="D8" s="167" t="str" cm="1">
        <f t="array" ref="D8">_xll.FDS(C8,"FG_COMPANY_NAME")</f>
        <v>iShares MSCI Germany ETF</v>
      </c>
      <c r="E8" s="159" t="str">
        <f>IF(VLOOKUP(C8,OUTPUT_COUNTRY!$B$6:$N$18,3,FALSE)&gt;75,"++",(IF(VLOOKUP(C8,OUTPUT_COUNTRY!$B$6:$N$18,3,FALSE)&gt;50,"+",(IF(VLOOKUP(C8,OUTPUT_COUNTRY!$B$6:$N$18,3,FALSE)&gt;25,"-","--")))))</f>
        <v>+</v>
      </c>
      <c r="F8" s="121" t="str">
        <f>IF(VLOOKUP(C8,OUTPUT_COUNTRY!$B$6:$N$18,4,FALSE)&gt;75,"++",(IF(VLOOKUP(C8,OUTPUT_COUNTRY!$B$6:$N$18,4,FALSE)&gt;50,"+",(IF(VLOOKUP(C8,OUTPUT_COUNTRY!$B$6:$N$18,4,FALSE)&gt;25,"-","--")))))</f>
        <v>-</v>
      </c>
      <c r="G8" s="159" t="str">
        <f>IF(VLOOKUP(C8,OUTPUT_COUNTRY!$B$6:$N$18,5,FALSE)&gt;75,"++",(IF(VLOOKUP(C8,OUTPUT_COUNTRY!$B$6:$N$18,5,FALSE)&gt;50,"+",(IF(VLOOKUP(C8,OUTPUT_COUNTRY!$B$6:$N$18,5,FALSE)&gt;25,"-","--")))))</f>
        <v>-</v>
      </c>
      <c r="H8" s="121" t="str">
        <f>IF(VLOOKUP(C8,OUTPUT_COUNTRY!$B$6:$N$18,7,FALSE)&gt;75,"++",(IF(VLOOKUP(C8,OUTPUT_COUNTRY!$B$6:$N$18,7,FALSE)&gt;50,"+",(IF(VLOOKUP(C8,OUTPUT_COUNTRY!$B$6:$N$18,7,FALSE)&gt;25,"-","--")))))</f>
        <v>-</v>
      </c>
      <c r="I8" s="159" t="str">
        <f>IF(VLOOKUP(C8,OUTPUT_COUNTRY!$B$6:$N$18,8,FALSE)&gt;75,"++",(IF(VLOOKUP(C8,OUTPUT_COUNTRY!$B$6:$N$18,8,FALSE)&gt;50,"+",(IF(VLOOKUP(C8,OUTPUT_COUNTRY!$B$6:$N$18,8,FALSE)&gt;25,"-","--")))))</f>
        <v>-</v>
      </c>
      <c r="J8" s="121" t="str">
        <f ca="1">IF(VLOOKUP(C8,OUTPUT_COUNTRY!$B$6:$N$18,9,FALSE)&gt;75,"++",(IF(VLOOKUP(C8,OUTPUT_COUNTRY!$B$6:$N$18,9,FALSE)&gt;50,"+",(IF(VLOOKUP(C8,OUTPUT_COUNTRY!$B$6:$N$18,9,FALSE)&gt;25,"-","--")))))</f>
        <v>-</v>
      </c>
      <c r="K8" s="159" t="str">
        <f>IF(VLOOKUP(C8,OUTPUT_COUNTRY!$B$6:$N$18,11,FALSE)&gt;75,"++",(IF(VLOOKUP(C8,OUTPUT_COUNTRY!$B$6:$N$18,11,FALSE)&gt;50,"+",(IF(VLOOKUP(C8,OUTPUT_COUNTRY!$B$6:$N$18,11,FALSE)&gt;25,"-","--")))))</f>
        <v>+</v>
      </c>
      <c r="L8" s="121" t="str">
        <f ca="1">IF(VLOOKUP(C8,OUTPUT_COUNTRY!$B$6:$N$18,13,FALSE)&gt;75,"++",(IF(VLOOKUP(C8,OUTPUT_COUNTRY!$B$6:$N$18,13,FALSE)&gt;50,"+",(IF(VLOOKUP(C8,OUTPUT_COUNTRY!$B$6:$N$18,13,FALSE)&gt;25,"-","--")))))</f>
        <v>-</v>
      </c>
    </row>
    <row r="9" spans="3:12" x14ac:dyDescent="0.35">
      <c r="C9" s="78" t="s">
        <v>48</v>
      </c>
      <c r="D9" s="167" t="str" cm="1">
        <f t="array" ref="D9">_xll.FDS(C9,"FG_COMPANY_NAME")</f>
        <v>iShares MSCI United Kingdom ETF</v>
      </c>
      <c r="E9" s="159" t="str">
        <f>IF(VLOOKUP(C9,OUTPUT_COUNTRY!$B$6:$N$18,3,FALSE)&gt;75,"++",(IF(VLOOKUP(C9,OUTPUT_COUNTRY!$B$6:$N$18,3,FALSE)&gt;50,"+",(IF(VLOOKUP(C9,OUTPUT_COUNTRY!$B$6:$N$18,3,FALSE)&gt;25,"-","--")))))</f>
        <v>++</v>
      </c>
      <c r="F9" s="121" t="str">
        <f>IF(VLOOKUP(C9,OUTPUT_COUNTRY!$B$6:$N$18,4,FALSE)&gt;75,"++",(IF(VLOOKUP(C9,OUTPUT_COUNTRY!$B$6:$N$18,4,FALSE)&gt;50,"+",(IF(VLOOKUP(C9,OUTPUT_COUNTRY!$B$6:$N$18,4,FALSE)&gt;25,"-","--")))))</f>
        <v>+</v>
      </c>
      <c r="G9" s="159" t="str">
        <f>IF(VLOOKUP(C9,OUTPUT_COUNTRY!$B$6:$N$18,5,FALSE)&gt;75,"++",(IF(VLOOKUP(C9,OUTPUT_COUNTRY!$B$6:$N$18,5,FALSE)&gt;50,"+",(IF(VLOOKUP(C9,OUTPUT_COUNTRY!$B$6:$N$18,5,FALSE)&gt;25,"-","--")))))</f>
        <v>--</v>
      </c>
      <c r="H9" s="121" t="str">
        <f>IF(VLOOKUP(C9,OUTPUT_COUNTRY!$B$6:$N$18,7,FALSE)&gt;75,"++",(IF(VLOOKUP(C9,OUTPUT_COUNTRY!$B$6:$N$18,7,FALSE)&gt;50,"+",(IF(VLOOKUP(C9,OUTPUT_COUNTRY!$B$6:$N$18,7,FALSE)&gt;25,"-","--")))))</f>
        <v>+</v>
      </c>
      <c r="I9" s="159" t="str">
        <f>IF(VLOOKUP(C9,OUTPUT_COUNTRY!$B$6:$N$18,8,FALSE)&gt;75,"++",(IF(VLOOKUP(C9,OUTPUT_COUNTRY!$B$6:$N$18,8,FALSE)&gt;50,"+",(IF(VLOOKUP(C9,OUTPUT_COUNTRY!$B$6:$N$18,8,FALSE)&gt;25,"-","--")))))</f>
        <v>--</v>
      </c>
      <c r="J9" s="121" t="str">
        <f ca="1">IF(VLOOKUP(C9,OUTPUT_COUNTRY!$B$6:$N$18,9,FALSE)&gt;75,"++",(IF(VLOOKUP(C9,OUTPUT_COUNTRY!$B$6:$N$18,9,FALSE)&gt;50,"+",(IF(VLOOKUP(C9,OUTPUT_COUNTRY!$B$6:$N$18,9,FALSE)&gt;25,"-","--")))))</f>
        <v>+</v>
      </c>
      <c r="K9" s="159" t="str">
        <f>IF(VLOOKUP(C9,OUTPUT_COUNTRY!$B$6:$N$18,11,FALSE)&gt;75,"++",(IF(VLOOKUP(C9,OUTPUT_COUNTRY!$B$6:$N$18,11,FALSE)&gt;50,"+",(IF(VLOOKUP(C9,OUTPUT_COUNTRY!$B$6:$N$18,11,FALSE)&gt;25,"-","--")))))</f>
        <v>+</v>
      </c>
      <c r="L9" s="121" t="str">
        <f ca="1">IF(VLOOKUP(C9,OUTPUT_COUNTRY!$B$6:$N$18,13,FALSE)&gt;75,"++",(IF(VLOOKUP(C9,OUTPUT_COUNTRY!$B$6:$N$18,13,FALSE)&gt;50,"+",(IF(VLOOKUP(C9,OUTPUT_COUNTRY!$B$6:$N$18,13,FALSE)&gt;25,"-","--")))))</f>
        <v>+</v>
      </c>
    </row>
    <row r="10" spans="3:12" x14ac:dyDescent="0.35">
      <c r="C10" s="78" t="s">
        <v>49</v>
      </c>
      <c r="D10" s="167" t="str" cm="1">
        <f t="array" ref="D10">_xll.FDS(C10,"FG_COMPANY_NAME")</f>
        <v>iShares MSCI Canada ETF</v>
      </c>
      <c r="E10" s="159" t="str">
        <f>IF(VLOOKUP(C10,OUTPUT_COUNTRY!$B$6:$N$18,3,FALSE)&gt;75,"++",(IF(VLOOKUP(C10,OUTPUT_COUNTRY!$B$6:$N$18,3,FALSE)&gt;50,"+",(IF(VLOOKUP(C10,OUTPUT_COUNTRY!$B$6:$N$18,3,FALSE)&gt;25,"-","--")))))</f>
        <v>-</v>
      </c>
      <c r="F10" s="121" t="str">
        <f>IF(VLOOKUP(C10,OUTPUT_COUNTRY!$B$6:$N$18,4,FALSE)&gt;75,"++",(IF(VLOOKUP(C10,OUTPUT_COUNTRY!$B$6:$N$18,4,FALSE)&gt;50,"+",(IF(VLOOKUP(C10,OUTPUT_COUNTRY!$B$6:$N$18,4,FALSE)&gt;25,"-","--")))))</f>
        <v>+</v>
      </c>
      <c r="G10" s="159" t="str">
        <f>IF(VLOOKUP(C10,OUTPUT_COUNTRY!$B$6:$N$18,5,FALSE)&gt;75,"++",(IF(VLOOKUP(C10,OUTPUT_COUNTRY!$B$6:$N$18,5,FALSE)&gt;50,"+",(IF(VLOOKUP(C10,OUTPUT_COUNTRY!$B$6:$N$18,5,FALSE)&gt;25,"-","--")))))</f>
        <v>+</v>
      </c>
      <c r="H10" s="121" t="str">
        <f>IF(VLOOKUP(C10,OUTPUT_COUNTRY!$B$6:$N$18,7,FALSE)&gt;75,"++",(IF(VLOOKUP(C10,OUTPUT_COUNTRY!$B$6:$N$18,7,FALSE)&gt;50,"+",(IF(VLOOKUP(C10,OUTPUT_COUNTRY!$B$6:$N$18,7,FALSE)&gt;25,"-","--")))))</f>
        <v>+</v>
      </c>
      <c r="I10" s="159" t="str">
        <f>IF(VLOOKUP(C10,OUTPUT_COUNTRY!$B$6:$N$18,8,FALSE)&gt;75,"++",(IF(VLOOKUP(C10,OUTPUT_COUNTRY!$B$6:$N$18,8,FALSE)&gt;50,"+",(IF(VLOOKUP(C10,OUTPUT_COUNTRY!$B$6:$N$18,8,FALSE)&gt;25,"-","--")))))</f>
        <v>++</v>
      </c>
      <c r="J10" s="121" t="str">
        <f ca="1">IF(VLOOKUP(C10,OUTPUT_COUNTRY!$B$6:$N$18,9,FALSE)&gt;75,"++",(IF(VLOOKUP(C10,OUTPUT_COUNTRY!$B$6:$N$18,9,FALSE)&gt;50,"+",(IF(VLOOKUP(C10,OUTPUT_COUNTRY!$B$6:$N$18,9,FALSE)&gt;25,"-","--")))))</f>
        <v>--</v>
      </c>
      <c r="K10" s="159" t="str">
        <f>IF(VLOOKUP(C10,OUTPUT_COUNTRY!$B$6:$N$18,11,FALSE)&gt;75,"++",(IF(VLOOKUP(C10,OUTPUT_COUNTRY!$B$6:$N$18,11,FALSE)&gt;50,"+",(IF(VLOOKUP(C10,OUTPUT_COUNTRY!$B$6:$N$18,11,FALSE)&gt;25,"-","--")))))</f>
        <v>--</v>
      </c>
      <c r="L10" s="121" t="str">
        <f ca="1">IF(VLOOKUP(C10,OUTPUT_COUNTRY!$B$6:$N$18,13,FALSE)&gt;75,"++",(IF(VLOOKUP(C10,OUTPUT_COUNTRY!$B$6:$N$18,13,FALSE)&gt;50,"+",(IF(VLOOKUP(C10,OUTPUT_COUNTRY!$B$6:$N$18,13,FALSE)&gt;25,"-","--")))))</f>
        <v>-</v>
      </c>
    </row>
    <row r="11" spans="3:12" x14ac:dyDescent="0.35">
      <c r="C11" s="78" t="s">
        <v>44</v>
      </c>
      <c r="D11" s="167" t="str" cm="1">
        <f t="array" ref="D11">_xll.FDS(C11,"FG_COMPANY_NAME")</f>
        <v>iShares MSCI Australia ETF</v>
      </c>
      <c r="E11" s="159" t="str">
        <f>IF(VLOOKUP(C11,OUTPUT_COUNTRY!$B$6:$N$18,3,FALSE)&gt;75,"++",(IF(VLOOKUP(C11,OUTPUT_COUNTRY!$B$6:$N$18,3,FALSE)&gt;50,"+",(IF(VLOOKUP(C11,OUTPUT_COUNTRY!$B$6:$N$18,3,FALSE)&gt;25,"-","--")))))</f>
        <v>-</v>
      </c>
      <c r="F11" s="121" t="str">
        <f>IF(VLOOKUP(C11,OUTPUT_COUNTRY!$B$6:$N$18,4,FALSE)&gt;75,"++",(IF(VLOOKUP(C11,OUTPUT_COUNTRY!$B$6:$N$18,4,FALSE)&gt;50,"+",(IF(VLOOKUP(C11,OUTPUT_COUNTRY!$B$6:$N$18,4,FALSE)&gt;25,"-","--")))))</f>
        <v>--</v>
      </c>
      <c r="G11" s="159" t="str">
        <f>IF(VLOOKUP(C11,OUTPUT_COUNTRY!$B$6:$N$18,5,FALSE)&gt;75,"++",(IF(VLOOKUP(C11,OUTPUT_COUNTRY!$B$6:$N$18,5,FALSE)&gt;50,"+",(IF(VLOOKUP(C11,OUTPUT_COUNTRY!$B$6:$N$18,5,FALSE)&gt;25,"-","--")))))</f>
        <v>-</v>
      </c>
      <c r="H11" s="121" t="str">
        <f>IF(VLOOKUP(C11,OUTPUT_COUNTRY!$B$6:$N$18,7,FALSE)&gt;75,"++",(IF(VLOOKUP(C11,OUTPUT_COUNTRY!$B$6:$N$18,7,FALSE)&gt;50,"+",(IF(VLOOKUP(C11,OUTPUT_COUNTRY!$B$6:$N$18,7,FALSE)&gt;25,"-","--")))))</f>
        <v>--</v>
      </c>
      <c r="I11" s="159" t="str">
        <f>IF(VLOOKUP(C11,OUTPUT_COUNTRY!$B$6:$N$18,8,FALSE)&gt;75,"++",(IF(VLOOKUP(C11,OUTPUT_COUNTRY!$B$6:$N$18,8,FALSE)&gt;50,"+",(IF(VLOOKUP(C11,OUTPUT_COUNTRY!$B$6:$N$18,8,FALSE)&gt;25,"-","--")))))</f>
        <v>--</v>
      </c>
      <c r="J11" s="121" t="str">
        <f ca="1">IF(VLOOKUP(C11,OUTPUT_COUNTRY!$B$6:$N$18,9,FALSE)&gt;75,"++",(IF(VLOOKUP(C11,OUTPUT_COUNTRY!$B$6:$N$18,9,FALSE)&gt;50,"+",(IF(VLOOKUP(C11,OUTPUT_COUNTRY!$B$6:$N$18,9,FALSE)&gt;25,"-","--")))))</f>
        <v>-</v>
      </c>
      <c r="K11" s="159" t="str">
        <f>IF(VLOOKUP(C11,OUTPUT_COUNTRY!$B$6:$N$18,11,FALSE)&gt;75,"++",(IF(VLOOKUP(C11,OUTPUT_COUNTRY!$B$6:$N$18,11,FALSE)&gt;50,"+",(IF(VLOOKUP(C11,OUTPUT_COUNTRY!$B$6:$N$18,11,FALSE)&gt;25,"-","--")))))</f>
        <v>+</v>
      </c>
      <c r="L11" s="121" t="str">
        <f ca="1">IF(VLOOKUP(C11,OUTPUT_COUNTRY!$B$6:$N$18,13,FALSE)&gt;75,"++",(IF(VLOOKUP(C11,OUTPUT_COUNTRY!$B$6:$N$18,13,FALSE)&gt;50,"+",(IF(VLOOKUP(C11,OUTPUT_COUNTRY!$B$6:$N$18,13,FALSE)&gt;25,"-","--")))))</f>
        <v>-</v>
      </c>
    </row>
    <row r="12" spans="3:12" x14ac:dyDescent="0.35">
      <c r="C12" s="78" t="s">
        <v>431</v>
      </c>
      <c r="D12" s="167" t="str" cm="1">
        <f t="array" ref="D12">_xll.FDS(C12,"FG_COMPANY_NAME")</f>
        <v>iShares MSCI New Zealand ETF</v>
      </c>
      <c r="E12" s="159" t="str">
        <f>IF(VLOOKUP(C12,OUTPUT_COUNTRY!$B$6:$N$18,3,FALSE)&gt;75,"++",(IF(VLOOKUP(C12,OUTPUT_COUNTRY!$B$6:$N$18,3,FALSE)&gt;50,"+",(IF(VLOOKUP(C12,OUTPUT_COUNTRY!$B$6:$N$18,3,FALSE)&gt;25,"-","--")))))</f>
        <v>--</v>
      </c>
      <c r="F12" s="121" t="str">
        <f>IF(VLOOKUP(C12,OUTPUT_COUNTRY!$B$6:$N$18,4,FALSE)&gt;75,"++",(IF(VLOOKUP(C12,OUTPUT_COUNTRY!$B$6:$N$18,4,FALSE)&gt;50,"+",(IF(VLOOKUP(C12,OUTPUT_COUNTRY!$B$6:$N$18,4,FALSE)&gt;25,"-","--")))))</f>
        <v>--</v>
      </c>
      <c r="G12" s="159" t="str">
        <f>IF(VLOOKUP(C12,OUTPUT_COUNTRY!$B$6:$N$18,5,FALSE)&gt;75,"++",(IF(VLOOKUP(C12,OUTPUT_COUNTRY!$B$6:$N$18,5,FALSE)&gt;50,"+",(IF(VLOOKUP(C12,OUTPUT_COUNTRY!$B$6:$N$18,5,FALSE)&gt;25,"-","--")))))</f>
        <v>+</v>
      </c>
      <c r="H12" s="121" t="str">
        <f>IF(VLOOKUP(C12,OUTPUT_COUNTRY!$B$6:$N$18,7,FALSE)&gt;75,"++",(IF(VLOOKUP(C12,OUTPUT_COUNTRY!$B$6:$N$18,7,FALSE)&gt;50,"+",(IF(VLOOKUP(C12,OUTPUT_COUNTRY!$B$6:$N$18,7,FALSE)&gt;25,"-","--")))))</f>
        <v>--</v>
      </c>
      <c r="I12" s="159" t="str">
        <f>IF(VLOOKUP(C12,OUTPUT_COUNTRY!$B$6:$N$18,8,FALSE)&gt;75,"++",(IF(VLOOKUP(C12,OUTPUT_COUNTRY!$B$6:$N$18,8,FALSE)&gt;50,"+",(IF(VLOOKUP(C12,OUTPUT_COUNTRY!$B$6:$N$18,8,FALSE)&gt;25,"-","--")))))</f>
        <v>--</v>
      </c>
      <c r="J12" s="121" t="str">
        <f ca="1">IF(VLOOKUP(C12,OUTPUT_COUNTRY!$B$6:$N$18,9,FALSE)&gt;75,"++",(IF(VLOOKUP(C12,OUTPUT_COUNTRY!$B$6:$N$18,9,FALSE)&gt;50,"+",(IF(VLOOKUP(C12,OUTPUT_COUNTRY!$B$6:$N$18,9,FALSE)&gt;25,"-","--")))))</f>
        <v>--</v>
      </c>
      <c r="K12" s="159" t="str">
        <f>IF(VLOOKUP(C12,OUTPUT_COUNTRY!$B$6:$N$18,11,FALSE)&gt;75,"++",(IF(VLOOKUP(C12,OUTPUT_COUNTRY!$B$6:$N$18,11,FALSE)&gt;50,"+",(IF(VLOOKUP(C12,OUTPUT_COUNTRY!$B$6:$N$18,11,FALSE)&gt;25,"-","--")))))</f>
        <v>-</v>
      </c>
      <c r="L12" s="121" t="str">
        <f ca="1">IF(VLOOKUP(C12,OUTPUT_COUNTRY!$B$6:$N$18,13,FALSE)&gt;75,"++",(IF(VLOOKUP(C12,OUTPUT_COUNTRY!$B$6:$N$18,13,FALSE)&gt;50,"+",(IF(VLOOKUP(C12,OUTPUT_COUNTRY!$B$6:$N$18,13,FALSE)&gt;25,"-","--")))))</f>
        <v>--</v>
      </c>
    </row>
    <row r="13" spans="3:12" x14ac:dyDescent="0.35">
      <c r="C13" s="78" t="s">
        <v>865</v>
      </c>
      <c r="D13" s="167" t="str" cm="1">
        <f t="array" ref="D13">_xll.FDS(C13,"FG_COMPANY_NAME")</f>
        <v>iShares MSCI France ETF</v>
      </c>
      <c r="E13" s="159" t="str">
        <f>IF(VLOOKUP(C13,OUTPUT_COUNTRY!$B$6:$N$18,3,FALSE)&gt;75,"++",(IF(VLOOKUP(C13,OUTPUT_COUNTRY!$B$6:$N$18,3,FALSE)&gt;50,"+",(IF(VLOOKUP(C13,OUTPUT_COUNTRY!$B$6:$N$18,3,FALSE)&gt;25,"-","--")))))</f>
        <v>+</v>
      </c>
      <c r="F13" s="121" t="str">
        <f>IF(VLOOKUP(C13,OUTPUT_COUNTRY!$B$6:$N$18,4,FALSE)&gt;75,"++",(IF(VLOOKUP(C13,OUTPUT_COUNTRY!$B$6:$N$18,4,FALSE)&gt;50,"+",(IF(VLOOKUP(C13,OUTPUT_COUNTRY!$B$6:$N$18,4,FALSE)&gt;25,"-","--")))))</f>
        <v>+</v>
      </c>
      <c r="G13" s="159" t="str">
        <f>IF(VLOOKUP(C13,OUTPUT_COUNTRY!$B$6:$N$18,5,FALSE)&gt;75,"++",(IF(VLOOKUP(C13,OUTPUT_COUNTRY!$B$6:$N$18,5,FALSE)&gt;50,"+",(IF(VLOOKUP(C13,OUTPUT_COUNTRY!$B$6:$N$18,5,FALSE)&gt;25,"-","--")))))</f>
        <v>++</v>
      </c>
      <c r="H13" s="121" t="str">
        <f>IF(VLOOKUP(C13,OUTPUT_COUNTRY!$B$6:$N$18,7,FALSE)&gt;75,"++",(IF(VLOOKUP(C13,OUTPUT_COUNTRY!$B$6:$N$18,7,FALSE)&gt;50,"+",(IF(VLOOKUP(C13,OUTPUT_COUNTRY!$B$6:$N$18,7,FALSE)&gt;25,"-","--")))))</f>
        <v>++</v>
      </c>
      <c r="I13" s="159" t="str">
        <f>IF(VLOOKUP(C13,OUTPUT_COUNTRY!$B$6:$N$18,8,FALSE)&gt;75,"++",(IF(VLOOKUP(C13,OUTPUT_COUNTRY!$B$6:$N$18,8,FALSE)&gt;50,"+",(IF(VLOOKUP(C13,OUTPUT_COUNTRY!$B$6:$N$18,8,FALSE)&gt;25,"-","--")))))</f>
        <v>-</v>
      </c>
      <c r="J13" s="121" t="str">
        <f ca="1">IF(VLOOKUP(C13,OUTPUT_COUNTRY!$B$6:$N$18,9,FALSE)&gt;75,"++",(IF(VLOOKUP(C13,OUTPUT_COUNTRY!$B$6:$N$18,9,FALSE)&gt;50,"+",(IF(VLOOKUP(C13,OUTPUT_COUNTRY!$B$6:$N$18,9,FALSE)&gt;25,"-","--")))))</f>
        <v>--</v>
      </c>
      <c r="K13" s="159" t="str">
        <f>IF(VLOOKUP(C13,OUTPUT_COUNTRY!$B$6:$N$18,11,FALSE)&gt;75,"++",(IF(VLOOKUP(C13,OUTPUT_COUNTRY!$B$6:$N$18,11,FALSE)&gt;50,"+",(IF(VLOOKUP(C13,OUTPUT_COUNTRY!$B$6:$N$18,11,FALSE)&gt;25,"-","--")))))</f>
        <v>--</v>
      </c>
      <c r="L13" s="121" t="str">
        <f ca="1">IF(VLOOKUP(C13,OUTPUT_COUNTRY!$B$6:$N$18,13,FALSE)&gt;75,"++",(IF(VLOOKUP(C13,OUTPUT_COUNTRY!$B$6:$N$18,13,FALSE)&gt;50,"+",(IF(VLOOKUP(C13,OUTPUT_COUNTRY!$B$6:$N$18,13,FALSE)&gt;25,"-","--")))))</f>
        <v>--</v>
      </c>
    </row>
    <row r="14" spans="3:12" x14ac:dyDescent="0.35">
      <c r="C14" s="78" t="s">
        <v>867</v>
      </c>
      <c r="D14" s="167" t="str" cm="1">
        <f t="array" ref="D14">_xll.FDS(C14,"FG_COMPANY_NAME")</f>
        <v>iShares MSCI Netherlands ETF</v>
      </c>
      <c r="E14" s="159" t="str">
        <f>IF(VLOOKUP(C14,OUTPUT_COUNTRY!$B$6:$N$18,3,FALSE)&gt;75,"++",(IF(VLOOKUP(C14,OUTPUT_COUNTRY!$B$6:$N$18,3,FALSE)&gt;50,"+",(IF(VLOOKUP(C14,OUTPUT_COUNTRY!$B$6:$N$18,3,FALSE)&gt;25,"-","--")))))</f>
        <v>-</v>
      </c>
      <c r="F14" s="121" t="str">
        <f>IF(VLOOKUP(C14,OUTPUT_COUNTRY!$B$6:$N$18,4,FALSE)&gt;75,"++",(IF(VLOOKUP(C14,OUTPUT_COUNTRY!$B$6:$N$18,4,FALSE)&gt;50,"+",(IF(VLOOKUP(C14,OUTPUT_COUNTRY!$B$6:$N$18,4,FALSE)&gt;25,"-","--")))))</f>
        <v>-</v>
      </c>
      <c r="G14" s="159" t="str">
        <f>IF(VLOOKUP(C14,OUTPUT_COUNTRY!$B$6:$N$18,5,FALSE)&gt;75,"++",(IF(VLOOKUP(C14,OUTPUT_COUNTRY!$B$6:$N$18,5,FALSE)&gt;50,"+",(IF(VLOOKUP(C14,OUTPUT_COUNTRY!$B$6:$N$18,5,FALSE)&gt;25,"-","--")))))</f>
        <v>-</v>
      </c>
      <c r="H14" s="121" t="str">
        <f>IF(VLOOKUP(C14,OUTPUT_COUNTRY!$B$6:$N$18,7,FALSE)&gt;75,"++",(IF(VLOOKUP(C14,OUTPUT_COUNTRY!$B$6:$N$18,7,FALSE)&gt;50,"+",(IF(VLOOKUP(C14,OUTPUT_COUNTRY!$B$6:$N$18,7,FALSE)&gt;25,"-","--")))))</f>
        <v>-</v>
      </c>
      <c r="I14" s="159" t="str">
        <f>IF(VLOOKUP(C14,OUTPUT_COUNTRY!$B$6:$N$18,8,FALSE)&gt;75,"++",(IF(VLOOKUP(C14,OUTPUT_COUNTRY!$B$6:$N$18,8,FALSE)&gt;50,"+",(IF(VLOOKUP(C14,OUTPUT_COUNTRY!$B$6:$N$18,8,FALSE)&gt;25,"-","--")))))</f>
        <v>-</v>
      </c>
      <c r="J14" s="121" t="str">
        <f ca="1">IF(VLOOKUP(C14,OUTPUT_COUNTRY!$B$6:$N$18,9,FALSE)&gt;75,"++",(IF(VLOOKUP(C14,OUTPUT_COUNTRY!$B$6:$N$18,9,FALSE)&gt;50,"+",(IF(VLOOKUP(C14,OUTPUT_COUNTRY!$B$6:$N$18,9,FALSE)&gt;25,"-","--")))))</f>
        <v>++</v>
      </c>
      <c r="K14" s="159" t="str">
        <f>IF(VLOOKUP(C14,OUTPUT_COUNTRY!$B$6:$N$18,11,FALSE)&gt;75,"++",(IF(VLOOKUP(C14,OUTPUT_COUNTRY!$B$6:$N$18,11,FALSE)&gt;50,"+",(IF(VLOOKUP(C14,OUTPUT_COUNTRY!$B$6:$N$18,11,FALSE)&gt;25,"-","--")))))</f>
        <v>++</v>
      </c>
      <c r="L14" s="121" t="str">
        <f ca="1">IF(VLOOKUP(C14,OUTPUT_COUNTRY!$B$6:$N$18,13,FALSE)&gt;75,"++",(IF(VLOOKUP(C14,OUTPUT_COUNTRY!$B$6:$N$18,13,FALSE)&gt;50,"+",(IF(VLOOKUP(C14,OUTPUT_COUNTRY!$B$6:$N$18,13,FALSE)&gt;25,"-","--")))))</f>
        <v>++</v>
      </c>
    </row>
    <row r="15" spans="3:12" x14ac:dyDescent="0.35">
      <c r="C15" s="78" t="s">
        <v>864</v>
      </c>
      <c r="D15" s="167" t="str" cm="1">
        <f t="array" ref="D15">_xll.FDS(C15,"FG_COMPANY_NAME")</f>
        <v>iShares MSCI Sweden ETF</v>
      </c>
      <c r="E15" s="159" t="str">
        <f>IF(VLOOKUP(C15,OUTPUT_COUNTRY!$B$6:$N$18,3,FALSE)&gt;75,"++",(IF(VLOOKUP(C15,OUTPUT_COUNTRY!$B$6:$N$18,3,FALSE)&gt;50,"+",(IF(VLOOKUP(C15,OUTPUT_COUNTRY!$B$6:$N$18,3,FALSE)&gt;25,"-","--")))))</f>
        <v>+</v>
      </c>
      <c r="F15" s="121" t="str">
        <f>IF(VLOOKUP(C15,OUTPUT_COUNTRY!$B$6:$N$18,4,FALSE)&gt;75,"++",(IF(VLOOKUP(C15,OUTPUT_COUNTRY!$B$6:$N$18,4,FALSE)&gt;50,"+",(IF(VLOOKUP(C15,OUTPUT_COUNTRY!$B$6:$N$18,4,FALSE)&gt;25,"-","--")))))</f>
        <v>-</v>
      </c>
      <c r="G15" s="159" t="str">
        <f>IF(VLOOKUP(C15,OUTPUT_COUNTRY!$B$6:$N$18,5,FALSE)&gt;75,"++",(IF(VLOOKUP(C15,OUTPUT_COUNTRY!$B$6:$N$18,5,FALSE)&gt;50,"+",(IF(VLOOKUP(C15,OUTPUT_COUNTRY!$B$6:$N$18,5,FALSE)&gt;25,"-","--")))))</f>
        <v>--</v>
      </c>
      <c r="H15" s="121" t="str">
        <f>IF(VLOOKUP(C15,OUTPUT_COUNTRY!$B$6:$N$18,7,FALSE)&gt;75,"++",(IF(VLOOKUP(C15,OUTPUT_COUNTRY!$B$6:$N$18,7,FALSE)&gt;50,"+",(IF(VLOOKUP(C15,OUTPUT_COUNTRY!$B$6:$N$18,7,FALSE)&gt;25,"-","--")))))</f>
        <v>-</v>
      </c>
      <c r="I15" s="159" t="str">
        <f>IF(VLOOKUP(C15,OUTPUT_COUNTRY!$B$6:$N$18,8,FALSE)&gt;75,"++",(IF(VLOOKUP(C15,OUTPUT_COUNTRY!$B$6:$N$18,8,FALSE)&gt;50,"+",(IF(VLOOKUP(C15,OUTPUT_COUNTRY!$B$6:$N$18,8,FALSE)&gt;25,"-","--")))))</f>
        <v>++</v>
      </c>
      <c r="J15" s="121" t="str">
        <f ca="1">IF(VLOOKUP(C15,OUTPUT_COUNTRY!$B$6:$N$18,9,FALSE)&gt;75,"++",(IF(VLOOKUP(C15,OUTPUT_COUNTRY!$B$6:$N$18,9,FALSE)&gt;50,"+",(IF(VLOOKUP(C15,OUTPUT_COUNTRY!$B$6:$N$18,9,FALSE)&gt;25,"-","--")))))</f>
        <v>+</v>
      </c>
      <c r="K15" s="159" t="str">
        <f>IF(VLOOKUP(C15,OUTPUT_COUNTRY!$B$6:$N$18,11,FALSE)&gt;75,"++",(IF(VLOOKUP(C15,OUTPUT_COUNTRY!$B$6:$N$18,11,FALSE)&gt;50,"+",(IF(VLOOKUP(C15,OUTPUT_COUNTRY!$B$6:$N$18,11,FALSE)&gt;25,"-","--")))))</f>
        <v>-</v>
      </c>
      <c r="L15" s="121" t="str">
        <f ca="1">IF(VLOOKUP(C15,OUTPUT_COUNTRY!$B$6:$N$18,13,FALSE)&gt;75,"++",(IF(VLOOKUP(C15,OUTPUT_COUNTRY!$B$6:$N$18,13,FALSE)&gt;50,"+",(IF(VLOOKUP(C15,OUTPUT_COUNTRY!$B$6:$N$18,13,FALSE)&gt;25,"-","--")))))</f>
        <v>+</v>
      </c>
    </row>
    <row r="16" spans="3:12" x14ac:dyDescent="0.35">
      <c r="C16" s="79" t="s">
        <v>866</v>
      </c>
      <c r="D16" s="168" t="str" cm="1">
        <f t="array" ref="D16">_xll.FDS(C16,"FG_COMPANY_NAME")</f>
        <v>iShares MSCI Italy ETF</v>
      </c>
      <c r="E16" s="154" t="str">
        <f>IF(VLOOKUP(C16,OUTPUT_COUNTRY!$B$6:$N$18,3,FALSE)&gt;75,"++",(IF(VLOOKUP(C16,OUTPUT_COUNTRY!$B$6:$N$18,3,FALSE)&gt;50,"+",(IF(VLOOKUP(C16,OUTPUT_COUNTRY!$B$6:$N$18,3,FALSE)&gt;25,"-","--")))))</f>
        <v>++</v>
      </c>
      <c r="F16" s="122" t="str">
        <f>IF(VLOOKUP(C16,OUTPUT_COUNTRY!$B$6:$N$18,4,FALSE)&gt;75,"++",(IF(VLOOKUP(C16,OUTPUT_COUNTRY!$B$6:$N$18,4,FALSE)&gt;50,"+",(IF(VLOOKUP(C16,OUTPUT_COUNTRY!$B$6:$N$18,4,FALSE)&gt;25,"-","--")))))</f>
        <v>--</v>
      </c>
      <c r="G16" s="154" t="str">
        <f>IF(VLOOKUP(C16,OUTPUT_COUNTRY!$B$6:$N$18,5,FALSE)&gt;75,"++",(IF(VLOOKUP(C16,OUTPUT_COUNTRY!$B$6:$N$18,5,FALSE)&gt;50,"+",(IF(VLOOKUP(C16,OUTPUT_COUNTRY!$B$6:$N$18,5,FALSE)&gt;25,"-","--")))))</f>
        <v>--</v>
      </c>
      <c r="H16" s="122" t="str">
        <f>IF(VLOOKUP(C16,OUTPUT_COUNTRY!$B$6:$N$18,7,FALSE)&gt;75,"++",(IF(VLOOKUP(C16,OUTPUT_COUNTRY!$B$6:$N$18,7,FALSE)&gt;50,"+",(IF(VLOOKUP(C16,OUTPUT_COUNTRY!$B$6:$N$18,7,FALSE)&gt;25,"-","--")))))</f>
        <v>--</v>
      </c>
      <c r="I16" s="154" t="str">
        <f>IF(VLOOKUP(C16,OUTPUT_COUNTRY!$B$6:$N$18,8,FALSE)&gt;75,"++",(IF(VLOOKUP(C16,OUTPUT_COUNTRY!$B$6:$N$18,8,FALSE)&gt;50,"+",(IF(VLOOKUP(C16,OUTPUT_COUNTRY!$B$6:$N$18,8,FALSE)&gt;25,"-","--")))))</f>
        <v>-</v>
      </c>
      <c r="J16" s="122" t="str">
        <f ca="1">IF(VLOOKUP(C16,OUTPUT_COUNTRY!$B$6:$N$18,9,FALSE)&gt;75,"++",(IF(VLOOKUP(C16,OUTPUT_COUNTRY!$B$6:$N$18,9,FALSE)&gt;50,"+",(IF(VLOOKUP(C16,OUTPUT_COUNTRY!$B$6:$N$18,9,FALSE)&gt;25,"-","--")))))</f>
        <v>-</v>
      </c>
      <c r="K16" s="154" t="str">
        <f>IF(VLOOKUP(C16,OUTPUT_COUNTRY!$B$6:$N$18,11,FALSE)&gt;75,"++",(IF(VLOOKUP(C16,OUTPUT_COUNTRY!$B$6:$N$18,11,FALSE)&gt;50,"+",(IF(VLOOKUP(C16,OUTPUT_COUNTRY!$B$6:$N$18,11,FALSE)&gt;25,"-","--")))))</f>
        <v>-</v>
      </c>
      <c r="L16" s="122" t="str">
        <f ca="1">IF(VLOOKUP(C16,OUTPUT_COUNTRY!$B$6:$N$18,13,FALSE)&gt;75,"++",(IF(VLOOKUP(C16,OUTPUT_COUNTRY!$B$6:$N$18,13,FALSE)&gt;50,"+",(IF(VLOOKUP(C16,OUTPUT_COUNTRY!$B$6:$N$18,13,FALSE)&gt;25,"-","--")))))</f>
        <v>-</v>
      </c>
    </row>
  </sheetData>
  <mergeCells count="7">
    <mergeCell ref="L2:L3"/>
    <mergeCell ref="J2:J3"/>
    <mergeCell ref="C2:D3"/>
    <mergeCell ref="E2:G2"/>
    <mergeCell ref="I2:I3"/>
    <mergeCell ref="K2:K3"/>
    <mergeCell ref="H2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8"/>
  <sheetViews>
    <sheetView topLeftCell="A33" workbookViewId="0">
      <selection activeCell="D78" sqref="D78"/>
    </sheetView>
  </sheetViews>
  <sheetFormatPr defaultRowHeight="14.5" x14ac:dyDescent="0.35"/>
  <cols>
    <col min="1" max="1" width="16.453125" style="27" customWidth="1"/>
    <col min="2" max="2" width="16.453125" customWidth="1"/>
    <col min="3" max="3" width="66.1796875" bestFit="1" customWidth="1"/>
    <col min="4" max="4" width="16.453125" bestFit="1" customWidth="1"/>
  </cols>
  <sheetData>
    <row r="1" spans="1:4" x14ac:dyDescent="0.35">
      <c r="C1" s="1" t="s">
        <v>151</v>
      </c>
    </row>
    <row r="2" spans="1:4" x14ac:dyDescent="0.35">
      <c r="A2" s="28" t="s">
        <v>152</v>
      </c>
      <c r="B2" s="29" t="s">
        <v>153</v>
      </c>
      <c r="C2" s="30" t="s">
        <v>154</v>
      </c>
      <c r="D2" s="30" t="s">
        <v>155</v>
      </c>
    </row>
    <row r="3" spans="1:4" x14ac:dyDescent="0.35">
      <c r="C3" s="31" t="s">
        <v>156</v>
      </c>
      <c r="D3" s="32"/>
    </row>
    <row r="4" spans="1:4" x14ac:dyDescent="0.35">
      <c r="A4" s="27" t="s">
        <v>116</v>
      </c>
      <c r="B4" t="s">
        <v>157</v>
      </c>
      <c r="C4" t="s">
        <v>158</v>
      </c>
      <c r="D4" t="s">
        <v>159</v>
      </c>
    </row>
    <row r="5" spans="1:4" x14ac:dyDescent="0.35">
      <c r="A5" s="27" t="s">
        <v>160</v>
      </c>
      <c r="B5" t="s">
        <v>161</v>
      </c>
      <c r="C5" t="s">
        <v>162</v>
      </c>
      <c r="D5" t="s">
        <v>163</v>
      </c>
    </row>
    <row r="6" spans="1:4" x14ac:dyDescent="0.35">
      <c r="A6" s="27" t="s">
        <v>114</v>
      </c>
      <c r="B6" t="s">
        <v>164</v>
      </c>
      <c r="C6" t="s">
        <v>165</v>
      </c>
      <c r="D6" t="s">
        <v>166</v>
      </c>
    </row>
    <row r="7" spans="1:4" x14ac:dyDescent="0.35">
      <c r="A7" s="27" t="s">
        <v>115</v>
      </c>
      <c r="B7" t="s">
        <v>167</v>
      </c>
      <c r="C7" t="s">
        <v>168</v>
      </c>
      <c r="D7" t="s">
        <v>169</v>
      </c>
    </row>
    <row r="8" spans="1:4" x14ac:dyDescent="0.35">
      <c r="A8" s="27" t="s">
        <v>119</v>
      </c>
      <c r="B8" t="s">
        <v>170</v>
      </c>
      <c r="C8" t="s">
        <v>171</v>
      </c>
      <c r="D8" t="s">
        <v>172</v>
      </c>
    </row>
    <row r="9" spans="1:4" x14ac:dyDescent="0.35">
      <c r="A9" s="27" t="s">
        <v>150</v>
      </c>
      <c r="C9" s="31" t="s">
        <v>173</v>
      </c>
      <c r="D9" s="33"/>
    </row>
    <row r="10" spans="1:4" x14ac:dyDescent="0.35">
      <c r="A10" s="27" t="s">
        <v>113</v>
      </c>
      <c r="B10" t="s">
        <v>174</v>
      </c>
      <c r="C10" t="s">
        <v>175</v>
      </c>
      <c r="D10" t="s">
        <v>176</v>
      </c>
    </row>
    <row r="11" spans="1:4" x14ac:dyDescent="0.35">
      <c r="A11" s="27" t="s">
        <v>104</v>
      </c>
      <c r="B11" t="s">
        <v>177</v>
      </c>
      <c r="C11" t="s">
        <v>178</v>
      </c>
      <c r="D11" t="s">
        <v>179</v>
      </c>
    </row>
    <row r="12" spans="1:4" x14ac:dyDescent="0.35">
      <c r="A12" s="27" t="s">
        <v>180</v>
      </c>
      <c r="B12" t="s">
        <v>181</v>
      </c>
      <c r="C12" t="s">
        <v>182</v>
      </c>
      <c r="D12" t="s">
        <v>183</v>
      </c>
    </row>
    <row r="13" spans="1:4" x14ac:dyDescent="0.35">
      <c r="A13" s="27" t="s">
        <v>118</v>
      </c>
      <c r="B13" t="s">
        <v>184</v>
      </c>
      <c r="C13" t="s">
        <v>185</v>
      </c>
      <c r="D13" t="s">
        <v>186</v>
      </c>
    </row>
    <row r="14" spans="1:4" x14ac:dyDescent="0.35">
      <c r="A14" s="27" t="s">
        <v>124</v>
      </c>
      <c r="B14" t="s">
        <v>187</v>
      </c>
      <c r="C14" t="s">
        <v>188</v>
      </c>
      <c r="D14" t="s">
        <v>189</v>
      </c>
    </row>
    <row r="15" spans="1:4" x14ac:dyDescent="0.35">
      <c r="A15" s="27" t="s">
        <v>114</v>
      </c>
      <c r="B15" t="s">
        <v>164</v>
      </c>
      <c r="C15" t="s">
        <v>165</v>
      </c>
      <c r="D15" t="s">
        <v>166</v>
      </c>
    </row>
    <row r="16" spans="1:4" x14ac:dyDescent="0.35">
      <c r="A16" s="27" t="s">
        <v>190</v>
      </c>
      <c r="B16" t="s">
        <v>191</v>
      </c>
      <c r="C16" t="s">
        <v>192</v>
      </c>
      <c r="D16" t="s">
        <v>193</v>
      </c>
    </row>
    <row r="17" spans="1:4" x14ac:dyDescent="0.35">
      <c r="A17" s="27" t="s">
        <v>122</v>
      </c>
      <c r="B17" t="s">
        <v>194</v>
      </c>
      <c r="C17" t="s">
        <v>195</v>
      </c>
      <c r="D17" t="s">
        <v>196</v>
      </c>
    </row>
    <row r="18" spans="1:4" x14ac:dyDescent="0.35">
      <c r="A18" s="27" t="s">
        <v>197</v>
      </c>
      <c r="B18" t="s">
        <v>198</v>
      </c>
      <c r="C18" t="s">
        <v>199</v>
      </c>
      <c r="D18" t="s">
        <v>200</v>
      </c>
    </row>
    <row r="19" spans="1:4" x14ac:dyDescent="0.35">
      <c r="A19" s="27" t="s">
        <v>201</v>
      </c>
      <c r="B19" t="s">
        <v>202</v>
      </c>
      <c r="C19" t="s">
        <v>203</v>
      </c>
      <c r="D19" t="s">
        <v>204</v>
      </c>
    </row>
    <row r="20" spans="1:4" x14ac:dyDescent="0.35">
      <c r="A20" s="27" t="s">
        <v>117</v>
      </c>
      <c r="B20" t="s">
        <v>205</v>
      </c>
      <c r="C20" t="s">
        <v>206</v>
      </c>
      <c r="D20" t="s">
        <v>207</v>
      </c>
    </row>
    <row r="21" spans="1:4" x14ac:dyDescent="0.35">
      <c r="A21" s="27" t="s">
        <v>208</v>
      </c>
      <c r="B21" t="s">
        <v>209</v>
      </c>
    </row>
    <row r="22" spans="1:4" x14ac:dyDescent="0.35">
      <c r="A22" s="27" t="s">
        <v>101</v>
      </c>
      <c r="B22" t="s">
        <v>210</v>
      </c>
      <c r="C22" t="s">
        <v>211</v>
      </c>
      <c r="D22" t="s">
        <v>212</v>
      </c>
    </row>
    <row r="23" spans="1:4" x14ac:dyDescent="0.35">
      <c r="A23" s="27" t="s">
        <v>213</v>
      </c>
      <c r="B23" t="s">
        <v>214</v>
      </c>
      <c r="C23" t="s">
        <v>215</v>
      </c>
      <c r="D23" t="s">
        <v>216</v>
      </c>
    </row>
    <row r="24" spans="1:4" x14ac:dyDescent="0.35">
      <c r="A24" s="27" t="s">
        <v>103</v>
      </c>
      <c r="B24" t="s">
        <v>217</v>
      </c>
      <c r="C24" t="s">
        <v>218</v>
      </c>
      <c r="D24" t="s">
        <v>219</v>
      </c>
    </row>
    <row r="25" spans="1:4" x14ac:dyDescent="0.35">
      <c r="A25" s="27" t="s">
        <v>220</v>
      </c>
      <c r="B25" t="s">
        <v>221</v>
      </c>
      <c r="C25" t="s">
        <v>222</v>
      </c>
      <c r="D25" t="s">
        <v>223</v>
      </c>
    </row>
    <row r="26" spans="1:4" x14ac:dyDescent="0.35">
      <c r="A26" s="27" t="s">
        <v>126</v>
      </c>
      <c r="B26" t="s">
        <v>224</v>
      </c>
      <c r="C26" t="s">
        <v>225</v>
      </c>
      <c r="D26" t="s">
        <v>226</v>
      </c>
    </row>
    <row r="27" spans="1:4" x14ac:dyDescent="0.35">
      <c r="A27" s="27" t="s">
        <v>150</v>
      </c>
      <c r="C27" s="31" t="s">
        <v>227</v>
      </c>
    </row>
    <row r="28" spans="1:4" x14ac:dyDescent="0.35">
      <c r="A28" s="27" t="s">
        <v>228</v>
      </c>
      <c r="B28" t="s">
        <v>229</v>
      </c>
      <c r="C28" t="s">
        <v>230</v>
      </c>
      <c r="D28" t="s">
        <v>231</v>
      </c>
    </row>
    <row r="29" spans="1:4" x14ac:dyDescent="0.35">
      <c r="A29" s="27" t="s">
        <v>232</v>
      </c>
      <c r="B29" t="s">
        <v>233</v>
      </c>
      <c r="C29" t="s">
        <v>234</v>
      </c>
      <c r="D29" t="s">
        <v>235</v>
      </c>
    </row>
    <row r="30" spans="1:4" x14ac:dyDescent="0.35">
      <c r="A30" s="27" t="s">
        <v>236</v>
      </c>
      <c r="B30" t="s">
        <v>237</v>
      </c>
      <c r="C30" t="s">
        <v>238</v>
      </c>
      <c r="D30" t="s">
        <v>239</v>
      </c>
    </row>
    <row r="31" spans="1:4" x14ac:dyDescent="0.35">
      <c r="A31" s="27" t="s">
        <v>240</v>
      </c>
      <c r="B31" t="s">
        <v>241</v>
      </c>
      <c r="C31" t="s">
        <v>242</v>
      </c>
      <c r="D31" t="s">
        <v>243</v>
      </c>
    </row>
    <row r="32" spans="1:4" x14ac:dyDescent="0.35">
      <c r="A32" s="27" t="s">
        <v>244</v>
      </c>
      <c r="B32" t="s">
        <v>161</v>
      </c>
      <c r="C32" t="s">
        <v>162</v>
      </c>
      <c r="D32" t="s">
        <v>163</v>
      </c>
    </row>
    <row r="33" spans="1:4" x14ac:dyDescent="0.35">
      <c r="A33" s="27" t="s">
        <v>245</v>
      </c>
      <c r="B33" t="s">
        <v>246</v>
      </c>
      <c r="C33" t="s">
        <v>247</v>
      </c>
      <c r="D33" t="s">
        <v>248</v>
      </c>
    </row>
    <row r="34" spans="1:4" x14ac:dyDescent="0.35">
      <c r="A34" s="27" t="s">
        <v>249</v>
      </c>
      <c r="B34" t="s">
        <v>250</v>
      </c>
      <c r="C34" t="s">
        <v>251</v>
      </c>
      <c r="D34" t="s">
        <v>252</v>
      </c>
    </row>
    <row r="35" spans="1:4" x14ac:dyDescent="0.35">
      <c r="A35" s="27" t="s">
        <v>253</v>
      </c>
      <c r="B35" t="s">
        <v>254</v>
      </c>
      <c r="C35" t="s">
        <v>255</v>
      </c>
      <c r="D35" t="s">
        <v>256</v>
      </c>
    </row>
    <row r="36" spans="1:4" x14ac:dyDescent="0.35">
      <c r="A36" s="27" t="s">
        <v>100</v>
      </c>
      <c r="B36" t="s">
        <v>257</v>
      </c>
      <c r="C36" t="s">
        <v>258</v>
      </c>
      <c r="D36" t="s">
        <v>259</v>
      </c>
    </row>
    <row r="37" spans="1:4" x14ac:dyDescent="0.35">
      <c r="A37" s="27" t="s">
        <v>260</v>
      </c>
      <c r="B37" t="s">
        <v>261</v>
      </c>
      <c r="C37" t="s">
        <v>262</v>
      </c>
      <c r="D37" t="s">
        <v>263</v>
      </c>
    </row>
    <row r="38" spans="1:4" x14ac:dyDescent="0.35">
      <c r="A38" s="27" t="s">
        <v>264</v>
      </c>
      <c r="B38" t="s">
        <v>265</v>
      </c>
      <c r="C38" t="s">
        <v>266</v>
      </c>
      <c r="D38" t="s">
        <v>267</v>
      </c>
    </row>
    <row r="39" spans="1:4" x14ac:dyDescent="0.35">
      <c r="A39" s="27" t="s">
        <v>268</v>
      </c>
      <c r="B39" t="s">
        <v>269</v>
      </c>
      <c r="C39" t="s">
        <v>270</v>
      </c>
      <c r="D39" t="s">
        <v>271</v>
      </c>
    </row>
    <row r="40" spans="1:4" x14ac:dyDescent="0.35">
      <c r="A40" s="27" t="s">
        <v>272</v>
      </c>
      <c r="B40" t="s">
        <v>273</v>
      </c>
      <c r="C40" t="s">
        <v>274</v>
      </c>
      <c r="D40" t="s">
        <v>275</v>
      </c>
    </row>
    <row r="41" spans="1:4" x14ac:dyDescent="0.35">
      <c r="A41" s="27" t="s">
        <v>110</v>
      </c>
      <c r="B41" t="s">
        <v>276</v>
      </c>
      <c r="C41" t="s">
        <v>277</v>
      </c>
      <c r="D41" t="s">
        <v>278</v>
      </c>
    </row>
    <row r="42" spans="1:4" x14ac:dyDescent="0.35">
      <c r="A42" s="27" t="s">
        <v>105</v>
      </c>
      <c r="B42" t="s">
        <v>279</v>
      </c>
      <c r="C42" t="s">
        <v>280</v>
      </c>
      <c r="D42" t="s">
        <v>281</v>
      </c>
    </row>
    <row r="43" spans="1:4" x14ac:dyDescent="0.35">
      <c r="A43" s="27" t="s">
        <v>282</v>
      </c>
      <c r="B43" t="s">
        <v>283</v>
      </c>
      <c r="C43" t="s">
        <v>284</v>
      </c>
      <c r="D43" t="s">
        <v>285</v>
      </c>
    </row>
    <row r="44" spans="1:4" x14ac:dyDescent="0.35">
      <c r="A44" s="27" t="s">
        <v>115</v>
      </c>
      <c r="B44" t="s">
        <v>167</v>
      </c>
      <c r="C44" t="s">
        <v>168</v>
      </c>
      <c r="D44" t="s">
        <v>169</v>
      </c>
    </row>
    <row r="45" spans="1:4" x14ac:dyDescent="0.35">
      <c r="A45" t="s">
        <v>102</v>
      </c>
      <c r="B45" t="s">
        <v>555</v>
      </c>
      <c r="C45" t="s">
        <v>162</v>
      </c>
      <c r="D45" t="s">
        <v>163</v>
      </c>
    </row>
    <row r="46" spans="1:4" x14ac:dyDescent="0.35">
      <c r="A46" s="27" t="s">
        <v>111</v>
      </c>
      <c r="B46" t="s">
        <v>487</v>
      </c>
      <c r="C46" t="s">
        <v>162</v>
      </c>
      <c r="D46" t="s">
        <v>163</v>
      </c>
    </row>
    <row r="47" spans="1:4" x14ac:dyDescent="0.35">
      <c r="A47" s="27" t="s">
        <v>150</v>
      </c>
      <c r="C47" s="31" t="s">
        <v>286</v>
      </c>
      <c r="D47" s="33"/>
    </row>
    <row r="48" spans="1:4" x14ac:dyDescent="0.35">
      <c r="A48" s="27" t="s">
        <v>287</v>
      </c>
      <c r="B48" t="s">
        <v>288</v>
      </c>
      <c r="C48" t="s">
        <v>289</v>
      </c>
      <c r="D48" t="s">
        <v>290</v>
      </c>
    </row>
    <row r="49" spans="1:4" x14ac:dyDescent="0.35">
      <c r="A49" s="27" t="s">
        <v>127</v>
      </c>
      <c r="B49" t="s">
        <v>291</v>
      </c>
      <c r="C49" t="s">
        <v>292</v>
      </c>
      <c r="D49" t="s">
        <v>293</v>
      </c>
    </row>
    <row r="50" spans="1:4" x14ac:dyDescent="0.35">
      <c r="A50" s="27" t="s">
        <v>107</v>
      </c>
      <c r="B50" t="s">
        <v>294</v>
      </c>
      <c r="C50" t="s">
        <v>295</v>
      </c>
      <c r="D50" t="s">
        <v>296</v>
      </c>
    </row>
    <row r="51" spans="1:4" x14ac:dyDescent="0.35">
      <c r="A51" s="27" t="s">
        <v>297</v>
      </c>
      <c r="B51" t="s">
        <v>298</v>
      </c>
      <c r="C51" t="s">
        <v>299</v>
      </c>
      <c r="D51" t="s">
        <v>300</v>
      </c>
    </row>
    <row r="52" spans="1:4" x14ac:dyDescent="0.35">
      <c r="A52" s="27" t="s">
        <v>121</v>
      </c>
      <c r="B52" t="s">
        <v>301</v>
      </c>
      <c r="C52" t="s">
        <v>302</v>
      </c>
      <c r="D52" t="s">
        <v>303</v>
      </c>
    </row>
    <row r="53" spans="1:4" x14ac:dyDescent="0.35">
      <c r="A53" s="27" t="s">
        <v>112</v>
      </c>
      <c r="B53" t="s">
        <v>304</v>
      </c>
      <c r="C53" t="s">
        <v>305</v>
      </c>
      <c r="D53" t="s">
        <v>306</v>
      </c>
    </row>
    <row r="54" spans="1:4" x14ac:dyDescent="0.35">
      <c r="A54" s="27" t="s">
        <v>307</v>
      </c>
      <c r="B54" t="s">
        <v>308</v>
      </c>
      <c r="C54" t="s">
        <v>309</v>
      </c>
      <c r="D54" t="s">
        <v>310</v>
      </c>
    </row>
    <row r="55" spans="1:4" x14ac:dyDescent="0.35">
      <c r="A55" s="27" t="s">
        <v>150</v>
      </c>
      <c r="C55" s="31" t="s">
        <v>311</v>
      </c>
      <c r="D55" s="33"/>
    </row>
    <row r="56" spans="1:4" x14ac:dyDescent="0.35">
      <c r="A56" s="27" t="s">
        <v>312</v>
      </c>
      <c r="B56" t="s">
        <v>313</v>
      </c>
      <c r="C56" t="s">
        <v>314</v>
      </c>
      <c r="D56" t="s">
        <v>315</v>
      </c>
    </row>
    <row r="57" spans="1:4" x14ac:dyDescent="0.35">
      <c r="A57" s="27" t="s">
        <v>316</v>
      </c>
      <c r="B57" t="s">
        <v>317</v>
      </c>
      <c r="C57" t="s">
        <v>318</v>
      </c>
      <c r="D57" t="s">
        <v>319</v>
      </c>
    </row>
    <row r="58" spans="1:4" x14ac:dyDescent="0.35">
      <c r="A58" s="27" t="s">
        <v>320</v>
      </c>
      <c r="B58" t="s">
        <v>321</v>
      </c>
      <c r="C58" t="s">
        <v>322</v>
      </c>
      <c r="D58" t="s">
        <v>323</v>
      </c>
    </row>
    <row r="59" spans="1:4" x14ac:dyDescent="0.35">
      <c r="A59" s="27" t="s">
        <v>324</v>
      </c>
      <c r="B59" t="s">
        <v>325</v>
      </c>
      <c r="C59" t="s">
        <v>326</v>
      </c>
      <c r="D59" t="s">
        <v>327</v>
      </c>
    </row>
    <row r="60" spans="1:4" x14ac:dyDescent="0.35">
      <c r="A60" s="27" t="s">
        <v>328</v>
      </c>
      <c r="B60" t="s">
        <v>329</v>
      </c>
      <c r="C60" t="s">
        <v>330</v>
      </c>
      <c r="D60" t="s">
        <v>331</v>
      </c>
    </row>
    <row r="61" spans="1:4" x14ac:dyDescent="0.35">
      <c r="A61" s="27" t="s">
        <v>332</v>
      </c>
      <c r="B61" t="s">
        <v>333</v>
      </c>
      <c r="C61" t="s">
        <v>334</v>
      </c>
      <c r="D61" t="s">
        <v>335</v>
      </c>
    </row>
    <row r="62" spans="1:4" x14ac:dyDescent="0.35">
      <c r="A62" s="27" t="s">
        <v>336</v>
      </c>
      <c r="B62" t="s">
        <v>337</v>
      </c>
      <c r="C62" t="s">
        <v>338</v>
      </c>
      <c r="D62" t="s">
        <v>339</v>
      </c>
    </row>
    <row r="63" spans="1:4" x14ac:dyDescent="0.35">
      <c r="A63" s="27" t="s">
        <v>340</v>
      </c>
      <c r="B63" t="s">
        <v>341</v>
      </c>
      <c r="C63" t="s">
        <v>342</v>
      </c>
      <c r="D63" t="s">
        <v>343</v>
      </c>
    </row>
    <row r="64" spans="1:4" x14ac:dyDescent="0.35">
      <c r="A64" s="27" t="s">
        <v>344</v>
      </c>
      <c r="B64" t="s">
        <v>345</v>
      </c>
      <c r="C64" t="s">
        <v>346</v>
      </c>
      <c r="D64" t="s">
        <v>347</v>
      </c>
    </row>
    <row r="65" spans="1:4" x14ac:dyDescent="0.35">
      <c r="A65" s="27" t="s">
        <v>348</v>
      </c>
      <c r="B65" t="s">
        <v>349</v>
      </c>
      <c r="C65" t="s">
        <v>350</v>
      </c>
      <c r="D65" t="s">
        <v>351</v>
      </c>
    </row>
    <row r="66" spans="1:4" x14ac:dyDescent="0.35">
      <c r="A66" s="27" t="s">
        <v>352</v>
      </c>
      <c r="B66" t="s">
        <v>353</v>
      </c>
      <c r="C66" t="s">
        <v>354</v>
      </c>
      <c r="D66" t="s">
        <v>355</v>
      </c>
    </row>
    <row r="67" spans="1:4" x14ac:dyDescent="0.35">
      <c r="A67" s="27" t="s">
        <v>356</v>
      </c>
      <c r="B67" t="s">
        <v>357</v>
      </c>
      <c r="C67" t="s">
        <v>358</v>
      </c>
      <c r="D67" t="s">
        <v>359</v>
      </c>
    </row>
    <row r="68" spans="1:4" x14ac:dyDescent="0.35">
      <c r="A68" s="27" t="s">
        <v>120</v>
      </c>
      <c r="B68" t="s">
        <v>360</v>
      </c>
      <c r="C68" t="s">
        <v>361</v>
      </c>
      <c r="D68" t="s">
        <v>362</v>
      </c>
    </row>
    <row r="69" spans="1:4" x14ac:dyDescent="0.35">
      <c r="A69" s="27" t="s">
        <v>125</v>
      </c>
      <c r="B69" t="s">
        <v>363</v>
      </c>
      <c r="C69" t="s">
        <v>364</v>
      </c>
      <c r="D69" t="s">
        <v>365</v>
      </c>
    </row>
    <row r="70" spans="1:4" x14ac:dyDescent="0.35">
      <c r="A70" s="27" t="s">
        <v>99</v>
      </c>
      <c r="B70" t="s">
        <v>366</v>
      </c>
      <c r="C70" t="s">
        <v>367</v>
      </c>
      <c r="D70" t="s">
        <v>368</v>
      </c>
    </row>
    <row r="71" spans="1:4" x14ac:dyDescent="0.35">
      <c r="A71" s="27" t="s">
        <v>369</v>
      </c>
      <c r="B71" t="s">
        <v>370</v>
      </c>
      <c r="C71" t="s">
        <v>371</v>
      </c>
      <c r="D71" t="s">
        <v>372</v>
      </c>
    </row>
    <row r="72" spans="1:4" x14ac:dyDescent="0.35">
      <c r="A72" s="27" t="s">
        <v>123</v>
      </c>
      <c r="B72" t="s">
        <v>373</v>
      </c>
      <c r="C72" t="s">
        <v>374</v>
      </c>
      <c r="D72" t="s">
        <v>375</v>
      </c>
    </row>
    <row r="73" spans="1:4" x14ac:dyDescent="0.35">
      <c r="A73" s="27" t="s">
        <v>376</v>
      </c>
      <c r="B73" t="s">
        <v>377</v>
      </c>
      <c r="C73" t="s">
        <v>378</v>
      </c>
      <c r="D73" t="s">
        <v>379</v>
      </c>
    </row>
    <row r="75" spans="1:4" x14ac:dyDescent="0.35">
      <c r="A75" t="s">
        <v>106</v>
      </c>
      <c r="B75" t="s">
        <v>869</v>
      </c>
      <c r="D75" s="26" t="s">
        <v>163</v>
      </c>
    </row>
    <row r="76" spans="1:4" x14ac:dyDescent="0.35">
      <c r="A76" t="s">
        <v>875</v>
      </c>
      <c r="B76" t="s">
        <v>870</v>
      </c>
      <c r="D76" s="26" t="s">
        <v>163</v>
      </c>
    </row>
    <row r="77" spans="1:4" x14ac:dyDescent="0.35">
      <c r="A77" t="s">
        <v>272</v>
      </c>
      <c r="B77" t="s">
        <v>273</v>
      </c>
      <c r="D77" s="26" t="s">
        <v>275</v>
      </c>
    </row>
    <row r="78" spans="1:4" x14ac:dyDescent="0.35">
      <c r="A78" t="s">
        <v>876</v>
      </c>
      <c r="B78" t="s">
        <v>868</v>
      </c>
      <c r="D78" s="26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C51"/>
  <sheetViews>
    <sheetView zoomScale="75" zoomScaleNormal="130" workbookViewId="0">
      <selection activeCell="O16" sqref="O16"/>
    </sheetView>
  </sheetViews>
  <sheetFormatPr defaultRowHeight="14.5" x14ac:dyDescent="0.35"/>
  <cols>
    <col min="1" max="1" width="12" customWidth="1"/>
    <col min="2" max="2" width="15" bestFit="1" customWidth="1"/>
    <col min="3" max="3" width="41.453125" customWidth="1"/>
    <col min="4" max="4" width="15.453125" customWidth="1"/>
    <col min="5" max="5" width="18.1796875" customWidth="1"/>
    <col min="6" max="6" width="11.54296875" bestFit="1" customWidth="1"/>
    <col min="7" max="7" width="7.54296875" customWidth="1"/>
    <col min="8" max="8" width="9.453125" customWidth="1"/>
    <col min="9" max="9" width="8.54296875" customWidth="1"/>
    <col min="10" max="10" width="11" customWidth="1"/>
    <col min="11" max="11" width="12.81640625" customWidth="1"/>
    <col min="12" max="12" width="8.54296875" customWidth="1"/>
    <col min="14" max="14" width="10.54296875" customWidth="1"/>
    <col min="15" max="15" width="10.81640625" customWidth="1"/>
    <col min="16" max="16" width="15" customWidth="1"/>
    <col min="17" max="17" width="12.453125" customWidth="1"/>
    <col min="18" max="20" width="13.453125" customWidth="1"/>
    <col min="21" max="21" width="14" customWidth="1"/>
    <col min="22" max="22" width="16.453125" customWidth="1"/>
    <col min="23" max="23" width="14.54296875" customWidth="1"/>
    <col min="24" max="24" width="14.453125" customWidth="1"/>
    <col min="25" max="25" width="11.54296875" customWidth="1"/>
    <col min="26" max="26" width="14.54296875" customWidth="1"/>
    <col min="27" max="28" width="11.54296875" customWidth="1"/>
  </cols>
  <sheetData>
    <row r="2" spans="1:29" ht="50.25" customHeight="1" x14ac:dyDescent="0.35">
      <c r="B2" t="s">
        <v>740</v>
      </c>
      <c r="D2" s="72" t="s">
        <v>0</v>
      </c>
      <c r="E2" s="72" t="s">
        <v>561</v>
      </c>
      <c r="F2" s="72"/>
      <c r="G2" s="72" t="s">
        <v>2</v>
      </c>
      <c r="H2" s="72" t="s">
        <v>3</v>
      </c>
      <c r="I2" s="72" t="s">
        <v>406</v>
      </c>
      <c r="J2" s="72" t="s">
        <v>8</v>
      </c>
      <c r="K2" s="72" t="s">
        <v>67</v>
      </c>
      <c r="L2" s="72" t="s">
        <v>407</v>
      </c>
      <c r="M2" s="72" t="s">
        <v>408</v>
      </c>
      <c r="N2" s="72" t="s">
        <v>509</v>
      </c>
      <c r="O2" s="72" t="s">
        <v>741</v>
      </c>
      <c r="P2" s="72" t="s">
        <v>769</v>
      </c>
      <c r="Q2" s="72" t="s">
        <v>510</v>
      </c>
      <c r="R2" s="72" t="s">
        <v>511</v>
      </c>
      <c r="S2" s="72" t="s">
        <v>512</v>
      </c>
      <c r="T2" s="72" t="s">
        <v>742</v>
      </c>
      <c r="U2" s="72" t="s">
        <v>513</v>
      </c>
      <c r="V2" s="72" t="s">
        <v>514</v>
      </c>
      <c r="W2" s="72" t="s">
        <v>515</v>
      </c>
      <c r="X2" s="72" t="s">
        <v>516</v>
      </c>
      <c r="Y2" s="72" t="s">
        <v>517</v>
      </c>
      <c r="Z2" s="72" t="s">
        <v>743</v>
      </c>
      <c r="AA2" s="115" t="s">
        <v>770</v>
      </c>
      <c r="AB2" s="72" t="s">
        <v>530</v>
      </c>
      <c r="AC2" s="72" t="s">
        <v>541</v>
      </c>
    </row>
    <row r="3" spans="1:29" x14ac:dyDescent="0.35">
      <c r="A3" t="s">
        <v>431</v>
      </c>
      <c r="B3" t="s">
        <v>198</v>
      </c>
      <c r="C3" t="str" cm="1">
        <f t="array" ref="C3">_xll.FDS(A3,"FG_COMPANY_NAME")</f>
        <v>iShares MSCI New Zealand ETF</v>
      </c>
      <c r="D3" t="s">
        <v>431</v>
      </c>
      <c r="E3" t="s">
        <v>674</v>
      </c>
      <c r="F3" s="2" cm="1">
        <f t="array" ref="F3">_xll.FDS(D3,"JULIAN(FMA_DIV_YLD(NTMA,NOW,NOW,M,""PORTAGG"",""MEANR"").dates)")</f>
        <v>45443</v>
      </c>
      <c r="G3" s="4" cm="1">
        <f t="array" ref="G3">_xll.FDS(D3,"FMA_PE(LTM,0,,,""PORTAGG"",""MEANR"")")</f>
        <v>32.389106117679098</v>
      </c>
      <c r="H3" s="4" cm="1">
        <f t="array" ref="H3">_xll.FDS(D3,"FMA_PE(NTMA,0,,,""PORTAGG"",""MEANR"")")</f>
        <v>24.057998259612098</v>
      </c>
      <c r="I3" cm="1">
        <f t="array" ref="I3">_xll.FDS(D3,"FMA_DIV_YLD(NTMA,NOW,NOW,M,""PORTAGG"",""MEANR"")")</f>
        <v>2.7012212453259199</v>
      </c>
      <c r="J3" s="52" cm="1">
        <f t="array" ref="J3">IFERROR(_xll.FDS(D3,"FG_FCF_YIELD_NTM(0)"),(1/G3*100))</f>
        <v>-0.16643462839318701</v>
      </c>
      <c r="K3" s="3" cm="1">
        <f t="array" ref="K3">_xll.FDS(D3,"FMA_EVAL_EBITDA(NTMA,0,,,""PORTAGG"",""MEANR"")")</f>
        <v>11.5929264707262</v>
      </c>
      <c r="L3" cm="1">
        <f t="array" ref="L3">_xll.FDS(D3,"FMA_EVAL_EBIT(LTMA,NOW,NOW,M,""PORTAGG"",""MEANR"")")</f>
        <v>20.7796575161614</v>
      </c>
      <c r="M3">
        <f>HLOOKUP(D3,'Index ROE'!$A$1:$N$25,25,FALSE)</f>
        <v>6.5791075391831502</v>
      </c>
      <c r="N3">
        <f>VLOOKUP(A3,'LIQIDITY 2'!$A$3:$E$16,5,FALSE)</f>
        <v>4.6627000000000001</v>
      </c>
      <c r="O3" cm="1">
        <f t="array" ref="O3">IFERROR(IFERROR(IFERROR(IFERROR(_xll.FDS(B3,"IMF_IFS_RCPI_Q(0)"),_xll.FDS(B3,"IMF_IFS_RCPI_Q(-1AM)")),_xll.FDS(B3,"IMF_IFS_RCPI_Q(-2AM)")),_xll.FDS(B3,"IMF_IFS_RCPI_Q(-3AM)")),$D$31)</f>
        <v>4.0229889999999999</v>
      </c>
      <c r="P3">
        <f>VLOOKUP(E3,GDP_GROWTH!$B$10:$W$165,22,FALSE)</f>
        <v>2.7196134550164452</v>
      </c>
      <c r="Q3">
        <f t="shared" ref="Q3:Q11" si="0">I3-N3</f>
        <v>-1.9614787546740802</v>
      </c>
      <c r="R3" s="52">
        <f t="shared" ref="R3:R11" si="1">J3-N3</f>
        <v>-4.8291346283931871</v>
      </c>
      <c r="S3">
        <f t="shared" ref="S3:S11" si="2">M3-N3</f>
        <v>1.9164075391831501</v>
      </c>
      <c r="T3">
        <f t="shared" ref="T3:T11" si="3">M3-O3</f>
        <v>2.5561185391831502</v>
      </c>
      <c r="U3" cm="1">
        <f t="array" ref="U3">_xlfn.PERCENTRANK.EXC(_xlfn._xlws.FILTER(Q$3:Q$15, ISNUMBER(Q$3:Q$15)),Q3)*100</f>
        <v>21.4</v>
      </c>
      <c r="V3" cm="1">
        <f t="array" ref="V3">_xlfn.PERCENTRANK.EXC(_xlfn._xlws.FILTER(R$3:R$15, ISNUMBER(R$3:R$15)),R3)*100</f>
        <v>7.1</v>
      </c>
      <c r="W3" cm="1">
        <f t="array" ref="W3">_xlfn.PERCENTRANK.EXC(_xlfn._xlws.FILTER(S$3:S$15, ISNUMBER(S$3:S$15)),S3)*100</f>
        <v>7.1</v>
      </c>
      <c r="X3" cm="1">
        <f t="array" ref="X3">(1-_xlfn.PERCENTRANK.EXC(_xlfn._xlws.FILTER(G$3:G$15, ISNUMBER(G$3:G$15)),G3))*100</f>
        <v>14.3</v>
      </c>
      <c r="Y3" cm="1">
        <f t="array" ref="Y3">(1-_xlfn.PERCENTRANK.EXC(_xlfn._xlws.FILTER(H$3:H$15, ISNUMBER(H$3:H$15)),H3))*100</f>
        <v>14.3</v>
      </c>
      <c r="Z3" cm="1">
        <f t="array" ref="Z3">_xlfn.PERCENTRANK.EXC(_xlfn._xlws.FILTER(T$3:T$15, ISNUMBER(T$3:T$15)),T3)*100</f>
        <v>7.1</v>
      </c>
      <c r="AA3" cm="1">
        <f t="array" ref="AA3">_xlfn.PERCENTRANK.EXC(_xlfn._xlws.FILTER(P$3:P$15, ISNUMBER(P$3:P$15)),P3)*100</f>
        <v>92.800000000000011</v>
      </c>
      <c r="AB3">
        <f>U3*Assumption!$E$40 + V3*Assumption!$F$40 + X3*Assumption!$G$40 + Y3*Assumption!$H$40 + W3*Assumption!$I$40 +Z3* Assumption!$K$40 + AA3* Assumption!$J$40</f>
        <v>11.415000000000003</v>
      </c>
      <c r="AC3" cm="1">
        <f t="array" ref="AC3">_xlfn.PERCENTRANK.EXC(_xlfn._xlws.FILTER(AB$3:AB$15, ISNUMBER(AB$3:AB$15)),AB3)*100</f>
        <v>7.1</v>
      </c>
    </row>
    <row r="4" spans="1:29" x14ac:dyDescent="0.35">
      <c r="A4" t="s">
        <v>44</v>
      </c>
      <c r="B4" t="s">
        <v>174</v>
      </c>
      <c r="C4" t="str" cm="1">
        <f t="array" ref="C4">_xll.FDS(A4,"FG_COMPANY_NAME")</f>
        <v>iShares MSCI Australia ETF</v>
      </c>
      <c r="D4" t="s">
        <v>44</v>
      </c>
      <c r="E4" t="s">
        <v>576</v>
      </c>
      <c r="F4" s="2" cm="1">
        <f t="array" ref="F4">_xll.FDS(D4,"JULIAN(FMA_DIV_YLD(NTMA,NOW,NOW,M,""PORTAGG"",""MEANR"").dates)")</f>
        <v>45443</v>
      </c>
      <c r="G4" s="4" cm="1">
        <f t="array" ref="G4">_xll.FDS(D4,"FMA_PE(LTM,0,,,""PORTAGG"",""MEANR"")")</f>
        <v>18.9178203016696</v>
      </c>
      <c r="H4" s="4" cm="1">
        <f t="array" ref="H4">_xll.FDS(D4,"FMA_PE(NTMA,0,,,""PORTAGG"",""MEANR"")")</f>
        <v>16.7429612216722</v>
      </c>
      <c r="I4" cm="1">
        <f t="array" ref="I4">_xll.FDS(D4,"FMA_DIV_YLD(NTMA,NOW,NOW,M,""PORTAGG"",""MEANR"")")</f>
        <v>3.9928064632671898</v>
      </c>
      <c r="J4" s="52" cm="1">
        <f t="array" ref="J4">IFERROR(_xll.FDS(D4,"FG_FCF_YIELD_NTM(0)"),(1/G4*100))</f>
        <v>5.1754198522769901</v>
      </c>
      <c r="K4" s="3" cm="1">
        <f t="array" ref="K4">_xll.FDS(D4,"FMA_EVAL_EBITDA(NTMA,0,,,""PORTAGG"",""MEANR"")")</f>
        <v>8.6305030029910093</v>
      </c>
      <c r="L4" cm="1">
        <f t="array" ref="L4">_xll.FDS(D4,"FMA_EVAL_EBIT(LTMA,NOW,NOW,M,""PORTAGG"",""MEANR"")")</f>
        <v>12.441079887982699</v>
      </c>
      <c r="M4">
        <f>HLOOKUP(D4,'Index ROE'!$A$1:$N$25,25,FALSE)</f>
        <v>13.226137995013501</v>
      </c>
      <c r="N4">
        <f>VLOOKUP(A4,'LIQIDITY 2'!$A$3:$E$16,5,FALSE)</f>
        <v>4.1909999999999998</v>
      </c>
      <c r="O4" cm="1">
        <f t="array" ref="O4">IFERROR(IFERROR(IFERROR(IFERROR(_xll.FDS(B4,"IMF_IFS_RCPI_Q(0)"),_xll.FDS(B4,"IMF_IFS_RCPI_Q(-1AM)")),_xll.FDS(B4,"IMF_IFS_RCPI_Q(-2AM)")),_xll.FDS(B4,"IMF_IFS_RCPI_Q(-3AM)")),$D$31)</f>
        <v>3.61991</v>
      </c>
      <c r="P4">
        <f>VLOOKUP(E4,GDP_GROWTH!$B$10:$W$165,22,FALSE)</f>
        <v>2.0879441195558623</v>
      </c>
      <c r="Q4">
        <f t="shared" si="0"/>
        <v>-0.19819353673281004</v>
      </c>
      <c r="R4" s="52">
        <f t="shared" si="1"/>
        <v>0.98441985227699025</v>
      </c>
      <c r="S4">
        <f t="shared" si="2"/>
        <v>9.0351379950134998</v>
      </c>
      <c r="T4">
        <f t="shared" si="3"/>
        <v>9.6062279950135014</v>
      </c>
      <c r="U4" cm="1">
        <f t="array" ref="U4">_xlfn.PERCENTRANK.EXC(_xlfn._xlws.FILTER(Q$3:Q$15, ISNUMBER(Q$3:Q$15)),Q4)*100</f>
        <v>42.8</v>
      </c>
      <c r="V4" cm="1">
        <f t="array" ref="V4">_xlfn.PERCENTRANK.EXC(_xlfn._xlws.FILTER(R$3:R$15, ISNUMBER(R$3:R$15)),R4)*100</f>
        <v>35.699999999999996</v>
      </c>
      <c r="W4" cm="1">
        <f t="array" ref="W4">_xlfn.PERCENTRANK.EXC(_xlfn._xlws.FILTER(S$3:S$15, ISNUMBER(S$3:S$15)),S4)*100</f>
        <v>21.4</v>
      </c>
      <c r="X4" cm="1">
        <f t="array" ref="X4">(1-_xlfn.PERCENTRANK.EXC(_xlfn._xlws.FILTER(G$3:G$15, ISNUMBER(G$3:G$15)),G4))*100</f>
        <v>35.799999999999997</v>
      </c>
      <c r="Y4" cm="1">
        <f t="array" ref="Y4">(1-_xlfn.PERCENTRANK.EXC(_xlfn._xlws.FILTER(H$3:H$15, ISNUMBER(H$3:H$15)),H4))*100</f>
        <v>35.799999999999997</v>
      </c>
      <c r="Z4" cm="1">
        <f t="array" ref="Z4">_xlfn.PERCENTRANK.EXC(_xlfn._xlws.FILTER(T$3:T$15, ISNUMBER(T$3:T$15)),T4)*100</f>
        <v>28.499999999999996</v>
      </c>
      <c r="AA4" cm="1">
        <f t="array" ref="AA4">_xlfn.PERCENTRANK.EXC(_xlfn._xlws.FILTER(P$3:P$15, ISNUMBER(P$3:P$15)),P4)*100</f>
        <v>85.7</v>
      </c>
      <c r="AB4">
        <f>U4*Assumption!$E$40 + V4*Assumption!$F$40 + X4*Assumption!$G$40 + Y4*Assumption!$H$40 + W4*Assumption!$I$40 +Z4* Assumption!$K$40 + AA4* Assumption!$J$40</f>
        <v>33.954999999999998</v>
      </c>
      <c r="AC4" cm="1">
        <f t="array" ref="AC4">_xlfn.PERCENTRANK.EXC(_xlfn._xlws.FILTER(AB$3:AB$15, ISNUMBER(AB$3:AB$15)),AB4)*100</f>
        <v>28.499999999999996</v>
      </c>
    </row>
    <row r="5" spans="1:29" x14ac:dyDescent="0.35">
      <c r="A5" t="s">
        <v>49</v>
      </c>
      <c r="B5" t="s">
        <v>157</v>
      </c>
      <c r="C5" t="str" cm="1">
        <f t="array" ref="C5">_xll.FDS(A5,"FG_COMPANY_NAME")</f>
        <v>iShares MSCI Canada ETF</v>
      </c>
      <c r="D5" t="s">
        <v>49</v>
      </c>
      <c r="E5" t="s">
        <v>598</v>
      </c>
      <c r="F5" s="2" cm="1">
        <f t="array" ref="F5">_xll.FDS(D5,"JULIAN(FMA_DIV_YLD(NTMA,NOW,NOW,M,""PORTAGG"",""MEANR"").dates)")</f>
        <v>45443</v>
      </c>
      <c r="G5" s="4" cm="1">
        <f t="array" ref="G5">_xll.FDS(D5,"FMA_PE(LTM,0,,,""PORTAGG"",""MEANR"")")</f>
        <v>16.821466860345101</v>
      </c>
      <c r="H5" s="4" cm="1">
        <f t="array" ref="H5">_xll.FDS(D5,"FMA_PE(NTMA,0,,,""PORTAGG"",""MEANR"")")</f>
        <v>13.998817445970101</v>
      </c>
      <c r="I5" cm="1">
        <f t="array" ref="I5">_xll.FDS(D5,"FMA_DIV_YLD(NTMA,NOW,NOW,M,""PORTAGG"",""MEANR"")")</f>
        <v>3.26086593722445</v>
      </c>
      <c r="J5" s="52" cm="1">
        <f t="array" ref="J5">IFERROR(_xll.FDS(D5,"FG_FCF_YIELD_NTM(0)"),(1/G5*100))</f>
        <v>6.1574992720145501</v>
      </c>
      <c r="K5" s="3" cm="1">
        <f t="array" ref="K5">_xll.FDS(D5,"FMA_EVAL_EBITDA(NTMA,0,,,""PORTAGG"",""MEANR"")")</f>
        <v>9.7075258212608606</v>
      </c>
      <c r="L5" cm="1">
        <f t="array" ref="L5">_xll.FDS(D5,"FMA_EVAL_EBIT(LTMA,NOW,NOW,M,""PORTAGG"",""MEANR"")")</f>
        <v>16.252694823472801</v>
      </c>
      <c r="M5">
        <f>HLOOKUP(D5,'Index ROE'!$A$1:$N$25,25,FALSE)</f>
        <v>13.147116166704</v>
      </c>
      <c r="N5">
        <f>VLOOKUP(A5,'LIQIDITY 2'!$A$3:$E$16,5,FALSE)</f>
        <v>3.3302999999999998</v>
      </c>
      <c r="O5" cm="1">
        <f t="array" ref="O5">IFERROR(IFERROR(IFERROR(IFERROR(_xll.FDS(B5,"IMF_IFS_RCPI_Q(0)"),_xll.FDS(B5,"IMF_IFS_RCPI_Q(-1AM)")),_xll.FDS(B5,"IMF_IFS_RCPI_Q(-2AM)")),_xll.FDS(B5,"IMF_IFS_RCPI_Q(-3AM)")),$D$31)</f>
        <v>2.8466705999999999</v>
      </c>
      <c r="P5">
        <f>VLOOKUP(E5,GDP_GROWTH!$B$10:$W$165,22,FALSE)</f>
        <v>1.4598842535213041</v>
      </c>
      <c r="Q5">
        <f t="shared" si="0"/>
        <v>-6.9434062775549865E-2</v>
      </c>
      <c r="R5" s="52">
        <f t="shared" si="1"/>
        <v>2.8271992720145502</v>
      </c>
      <c r="S5">
        <f t="shared" si="2"/>
        <v>9.816816166704001</v>
      </c>
      <c r="T5">
        <f t="shared" si="3"/>
        <v>10.300445566704001</v>
      </c>
      <c r="U5" cm="1">
        <f t="array" ref="U5">_xlfn.PERCENTRANK.EXC(_xlfn._xlws.FILTER(Q$3:Q$15, ISNUMBER(Q$3:Q$15)),Q5)*100</f>
        <v>50</v>
      </c>
      <c r="V5" cm="1">
        <f t="array" ref="V5">_xlfn.PERCENTRANK.EXC(_xlfn._xlws.FILTER(R$3:R$15, ISNUMBER(R$3:R$15)),R5)*100</f>
        <v>71.399999999999991</v>
      </c>
      <c r="W5" cm="1">
        <f t="array" ref="W5">_xlfn.PERCENTRANK.EXC(_xlfn._xlws.FILTER(S$3:S$15, ISNUMBER(S$3:S$15)),S5)*100</f>
        <v>42.8</v>
      </c>
      <c r="X5" cm="1">
        <f t="array" ref="X5">(1-_xlfn.PERCENTRANK.EXC(_xlfn._xlws.FILTER(G$3:G$15, ISNUMBER(G$3:G$15)),G5))*100</f>
        <v>42.900000000000006</v>
      </c>
      <c r="Y5" cm="1">
        <f t="array" ref="Y5">(1-_xlfn.PERCENTRANK.EXC(_xlfn._xlws.FILTER(H$3:H$15, ISNUMBER(H$3:H$15)),H5))*100</f>
        <v>71.500000000000014</v>
      </c>
      <c r="Z5" cm="1">
        <f t="array" ref="Z5">_xlfn.PERCENTRANK.EXC(_xlfn._xlws.FILTER(T$3:T$15, ISNUMBER(T$3:T$15)),T5)*100</f>
        <v>42.8</v>
      </c>
      <c r="AA5" cm="1">
        <f t="array" ref="AA5">_xlfn.PERCENTRANK.EXC(_xlfn._xlws.FILTER(P$3:P$15, ISNUMBER(P$3:P$15)),P5)*100</f>
        <v>42.8</v>
      </c>
      <c r="AB5">
        <f>U5*Assumption!$E$40 + V5*Assumption!$F$40 + X5*Assumption!$G$40 + Y5*Assumption!$H$40 + W5*Assumption!$I$40 +Z5* Assumption!$K$40 + AA5* Assumption!$J$40</f>
        <v>57.510000000000005</v>
      </c>
      <c r="AC5" cm="1">
        <f t="array" ref="AC5">_xlfn.PERCENTRANK.EXC(_xlfn._xlws.FILTER(AB$3:AB$15, ISNUMBER(AB$3:AB$15)),AB5)*100</f>
        <v>42.8</v>
      </c>
    </row>
    <row r="6" spans="1:29" x14ac:dyDescent="0.35">
      <c r="A6" t="s">
        <v>11</v>
      </c>
      <c r="B6" t="s">
        <v>555</v>
      </c>
      <c r="C6" t="str" cm="1">
        <f t="array" ref="C6">_xll.FDS(A6,"FG_COMPANY_NAME")</f>
        <v>iShares MSCI Germany ETF</v>
      </c>
      <c r="D6" t="s">
        <v>11</v>
      </c>
      <c r="E6" t="s">
        <v>625</v>
      </c>
      <c r="F6" s="2" cm="1">
        <f t="array" ref="F6">_xll.FDS(D6,"JULIAN(FMA_DIV_YLD(NTMA,NOW,NOW,M,""PORTAGG"",""MEANR"").dates)")</f>
        <v>45443</v>
      </c>
      <c r="G6" s="4" cm="1">
        <f t="array" ref="G6">_xll.FDS(D6,"FMA_PE(LTM,0,,,""PORTAGG"",""MEANR"")")</f>
        <v>16.174675456714901</v>
      </c>
      <c r="H6" s="4" cm="1">
        <f t="array" ref="H6">_xll.FDS(D6,"FMA_PE(NTMA,0,,,""PORTAGG"",""MEANR"")")</f>
        <v>11.9196932818141</v>
      </c>
      <c r="I6" cm="1">
        <f t="array" ref="I6">_xll.FDS(D6,"FMA_DIV_YLD(NTMA,NOW,NOW,M,""PORTAGG"",""MEANR"")")</f>
        <v>3.38056906878235</v>
      </c>
      <c r="J6" s="52" cm="1">
        <f t="array" ref="J6">IFERROR(_xll.FDS(D6,"FG_FCF_YIELD_NTM(0)"),(1/G6*100))</f>
        <v>5.8071563279619403</v>
      </c>
      <c r="K6" s="3" cm="1">
        <f t="array" ref="K6">_xll.FDS(D6,"FMA_EVAL_EBITDA(NTMA,0,,,""PORTAGG"",""MEANR"")")</f>
        <v>8.4829885359043509</v>
      </c>
      <c r="L6" cm="1">
        <f t="array" ref="L6">_xll.FDS(D6,"FMA_EVAL_EBIT(LTMA,NOW,NOW,M,""PORTAGG"",""MEANR"")")</f>
        <v>13.389055826112701</v>
      </c>
      <c r="M6">
        <f>HLOOKUP(D6,'Index ROE'!$A$1:$N$25,25,FALSE)</f>
        <v>11.9489916743573</v>
      </c>
      <c r="N6">
        <f>VLOOKUP(A6,'LIQIDITY 2'!$A$3:$E$16,5,FALSE)</f>
        <v>2.5190000000000001</v>
      </c>
      <c r="O6" cm="1">
        <f t="array" ref="O6">IFERROR(IFERROR(IFERROR(IFERROR(_xll.FDS(B6,"IMF_IFS_RCPI_Q(0)"),_xll.FDS(B6,"IMF_IFS_RCPI_Q(-1AM)")),_xll.FDS(B6,"IMF_IFS_RCPI_Q(-2AM)")),_xll.FDS(B6,"IMF_IFS_RCPI_Q(-3AM)")),$D$31)</f>
        <v>2.5173564000000002</v>
      </c>
      <c r="P6">
        <f>VLOOKUP(E6,GDP_GROWTH!$B$10:$W$165,22,FALSE)</f>
        <v>0.863192929992318</v>
      </c>
      <c r="Q6">
        <f t="shared" si="0"/>
        <v>0.86156906878234985</v>
      </c>
      <c r="R6" s="52">
        <f t="shared" si="1"/>
        <v>3.2881563279619401</v>
      </c>
      <c r="S6">
        <f t="shared" si="2"/>
        <v>9.4299916743573</v>
      </c>
      <c r="T6">
        <f t="shared" si="3"/>
        <v>9.4316352743572995</v>
      </c>
      <c r="U6" cm="1">
        <f t="array" ref="U6">_xlfn.PERCENTRANK.EXC(_xlfn._xlws.FILTER(Q$3:Q$15, ISNUMBER(Q$3:Q$15)),Q6)*100</f>
        <v>64.2</v>
      </c>
      <c r="V6" cm="1">
        <f t="array" ref="V6">_xlfn.PERCENTRANK.EXC(_xlfn._xlws.FILTER(R$3:R$15, ISNUMBER(R$3:R$15)),R6)*100</f>
        <v>85.7</v>
      </c>
      <c r="W6" cm="1">
        <f t="array" ref="W6">_xlfn.PERCENTRANK.EXC(_xlfn._xlws.FILTER(S$3:S$15, ISNUMBER(S$3:S$15)),S6)*100</f>
        <v>35.699999999999996</v>
      </c>
      <c r="X6" cm="1">
        <f t="array" ref="X6">(1-_xlfn.PERCENTRANK.EXC(_xlfn._xlws.FILTER(G$3:G$15, ISNUMBER(G$3:G$15)),G6))*100</f>
        <v>57.2</v>
      </c>
      <c r="Y6" cm="1">
        <f t="array" ref="Y6">(1-_xlfn.PERCENTRANK.EXC(_xlfn._xlws.FILTER(H$3:H$15, ISNUMBER(H$3:H$15)),H6))*100</f>
        <v>78.600000000000009</v>
      </c>
      <c r="Z6" cm="1">
        <f t="array" ref="Z6">_xlfn.PERCENTRANK.EXC(_xlfn._xlws.FILTER(T$3:T$15, ISNUMBER(T$3:T$15)),T6)*100</f>
        <v>21.4</v>
      </c>
      <c r="AA6" cm="1">
        <f t="array" ref="AA6">_xlfn.PERCENTRANK.EXC(_xlfn._xlws.FILTER(P$3:P$15, ISNUMBER(P$3:P$15)),P6)*100</f>
        <v>21.4</v>
      </c>
      <c r="AB6">
        <f>U6*Assumption!$E$40 + V6*Assumption!$F$40 + X6*Assumption!$G$40 + Y6*Assumption!$H$40 + W6*Assumption!$I$40 +Z6* Assumption!$K$40 + AA6* Assumption!$J$40</f>
        <v>64.295000000000002</v>
      </c>
      <c r="AC6" cm="1">
        <f t="array" ref="AC6">_xlfn.PERCENTRANK.EXC(_xlfn._xlws.FILTER(AB$3:AB$15, ISNUMBER(AB$3:AB$15)),AB6)*100</f>
        <v>64.2</v>
      </c>
    </row>
    <row r="7" spans="1:29" x14ac:dyDescent="0.35">
      <c r="A7" t="s">
        <v>46</v>
      </c>
      <c r="B7" t="s">
        <v>164</v>
      </c>
      <c r="C7" t="str" cm="1">
        <f t="array" ref="C7">_xll.FDS(A7,"FG_COMPANY_NAME")</f>
        <v>iShares MSCI Japan ETF</v>
      </c>
      <c r="D7" t="s">
        <v>46</v>
      </c>
      <c r="E7" t="s">
        <v>643</v>
      </c>
      <c r="F7" s="2" cm="1">
        <f t="array" ref="F7">_xll.FDS(D7,"JULIAN(FMA_DIV_YLD(NTMA,NOW,NOW,M,""PORTAGG"",""MEANR"").dates)")</f>
        <v>45443</v>
      </c>
      <c r="G7" s="4" cm="1">
        <f t="array" ref="G7">_xll.FDS(D7,"FMA_PE(LTM,0,,,""PORTAGG"",""MEANR"")")</f>
        <v>16.119855645572098</v>
      </c>
      <c r="H7" s="4" cm="1">
        <f t="array" ref="H7">_xll.FDS(D7,"FMA_PE(NTMA,0,,,""PORTAGG"",""MEANR"")")</f>
        <v>15.6247245899874</v>
      </c>
      <c r="I7" cm="1">
        <f t="array" ref="I7">_xll.FDS(D7,"FMA_DIV_YLD(NTMA,NOW,NOW,M,""PORTAGG"",""MEANR"")")</f>
        <v>2.2279662450681199</v>
      </c>
      <c r="J7" s="52" cm="1">
        <f t="array" ref="J7">IFERROR(_xll.FDS(D7,"FG_FCF_YIELD_NTM(0)"),(1/G7*100))</f>
        <v>3.91493271717402</v>
      </c>
      <c r="K7" s="3" cm="1">
        <f t="array" ref="K7">_xll.FDS(D7,"FMA_EVAL_EBITDA(NTMA,0,,,""PORTAGG"",""MEANR"")")</f>
        <v>10.4500983628174</v>
      </c>
      <c r="L7" cm="1">
        <f t="array" ref="L7">_xll.FDS(D7,"FMA_EVAL_EBIT(LTMA,NOW,NOW,M,""PORTAGG"",""MEANR"")")</f>
        <v>17.784359070078501</v>
      </c>
      <c r="M7">
        <f>HLOOKUP(D7,'Index ROE'!$A$1:$N$25,25,FALSE)</f>
        <v>9.2993760884677705</v>
      </c>
      <c r="N7">
        <f>VLOOKUP(A7,'LIQIDITY 2'!$A$3:$E$16,5,FALSE)</f>
        <v>0.97889999999999999</v>
      </c>
      <c r="O7" cm="1">
        <f t="array" ref="O7">IFERROR(IFERROR(IFERROR(IFERROR(_xll.FDS(B7,"IMF_IFS_RCPI_Q(0)"),_xll.FDS(B7,"IMF_IFS_RCPI_Q(-1AM)")),_xll.FDS(B7,"IMF_IFS_RCPI_Q(-2AM)")),_xll.FDS(B7,"IMF_IFS_RCPI_Q(-3AM)")),$D$31)</f>
        <v>2.5231561999999998</v>
      </c>
      <c r="P7">
        <f>VLOOKUP(E7,GDP_GROWTH!$B$10:$W$165,22,FALSE)</f>
        <v>0.31456851442112077</v>
      </c>
      <c r="Q7">
        <f t="shared" si="0"/>
        <v>1.24906624506812</v>
      </c>
      <c r="R7" s="52">
        <f t="shared" si="1"/>
        <v>2.9360327171740201</v>
      </c>
      <c r="S7">
        <f t="shared" si="2"/>
        <v>8.3204760884677711</v>
      </c>
      <c r="T7">
        <f t="shared" si="3"/>
        <v>6.7762198884677707</v>
      </c>
      <c r="U7" cm="1">
        <f t="array" ref="U7">_xlfn.PERCENTRANK.EXC(_xlfn._xlws.FILTER(Q$3:Q$15, ISNUMBER(Q$3:Q$15)),Q7)*100</f>
        <v>78.5</v>
      </c>
      <c r="V7" cm="1">
        <f t="array" ref="V7">_xlfn.PERCENTRANK.EXC(_xlfn._xlws.FILTER(R$3:R$15, ISNUMBER(R$3:R$15)),R7)*100</f>
        <v>78.5</v>
      </c>
      <c r="W7" cm="1">
        <f t="array" ref="W7">_xlfn.PERCENTRANK.EXC(_xlfn._xlws.FILTER(S$3:S$15, ISNUMBER(S$3:S$15)),S7)*100</f>
        <v>14.2</v>
      </c>
      <c r="X7" cm="1">
        <f t="array" ref="X7">(1-_xlfn.PERCENTRANK.EXC(_xlfn._xlws.FILTER(G$3:G$15, ISNUMBER(G$3:G$15)),G7))*100</f>
        <v>71.500000000000014</v>
      </c>
      <c r="Y7" cm="1">
        <f t="array" ref="Y7">(1-_xlfn.PERCENTRANK.EXC(_xlfn._xlws.FILTER(H$3:H$15, ISNUMBER(H$3:H$15)),H7))*100</f>
        <v>57.2</v>
      </c>
      <c r="Z7" cm="1">
        <f t="array" ref="Z7">_xlfn.PERCENTRANK.EXC(_xlfn._xlws.FILTER(T$3:T$15, ISNUMBER(T$3:T$15)),T7)*100</f>
        <v>14.2</v>
      </c>
      <c r="AA7" cm="1">
        <f t="array" ref="AA7">_xlfn.PERCENTRANK.EXC(_xlfn._xlws.FILTER(P$3:P$15, ISNUMBER(P$3:P$15)),P7)*100</f>
        <v>7.1</v>
      </c>
      <c r="AB7">
        <f>U7*Assumption!$E$40 + V7*Assumption!$F$40 + X7*Assumption!$G$40 + Y7*Assumption!$H$40 + W7*Assumption!$I$40 +Z7* Assumption!$K$40 + AA7* Assumption!$J$40</f>
        <v>58.565000000000012</v>
      </c>
      <c r="AC7" cm="1">
        <f t="array" ref="AC7">_xlfn.PERCENTRANK.EXC(_xlfn._xlws.FILTER(AB$3:AB$15, ISNUMBER(AB$3:AB$15)),AB7)*100</f>
        <v>50</v>
      </c>
    </row>
    <row r="8" spans="1:29" x14ac:dyDescent="0.35">
      <c r="A8" t="s">
        <v>42</v>
      </c>
      <c r="B8" t="s">
        <v>276</v>
      </c>
      <c r="C8" t="str" cm="1">
        <f t="array" ref="C8">_xll.FDS(A8,"FG_COMPANY_NAME")</f>
        <v>iShares MSCI Switzerland ETF</v>
      </c>
      <c r="D8" t="s">
        <v>42</v>
      </c>
      <c r="E8" t="s">
        <v>706</v>
      </c>
      <c r="F8" s="2" cm="1">
        <f t="array" ref="F8">_xll.FDS(D8,"JULIAN(FMA_DIV_YLD(NTMA,NOW,NOW,M,""PORTAGG"",""MEANR"").dates)")</f>
        <v>45443</v>
      </c>
      <c r="G8" s="4" cm="1">
        <f t="array" ref="G8">_xll.FDS(D8,"FMA_PE(LTM,0,,,""PORTAGG"",""MEANR"")")</f>
        <v>16.6539351111273</v>
      </c>
      <c r="H8" s="4" cm="1">
        <f t="array" ref="H8">_xll.FDS(D8,"FMA_PE(NTMA,0,,,""PORTAGG"",""MEANR"")")</f>
        <v>17.374715033298301</v>
      </c>
      <c r="I8" cm="1">
        <f t="array" ref="I8">_xll.FDS(D8,"FMA_DIV_YLD(NTMA,NOW,NOW,M,""PORTAGG"",""MEANR"")")</f>
        <v>3.19702705627753</v>
      </c>
      <c r="J8" s="52" cm="1">
        <f t="array" ref="J8">IFERROR(_xll.FDS(D8,"FG_FCF_YIELD_NTM(0)"),(1/G8*100))</f>
        <v>4.8454745234970797</v>
      </c>
      <c r="K8" s="3" cm="1">
        <f t="array" ref="K8">_xll.FDS(D8,"FMA_EVAL_EBITDA(NTMA,0,,,""PORTAGG"",""MEANR"")")</f>
        <v>12.9470800748405</v>
      </c>
      <c r="L8" cm="1">
        <f t="array" ref="L8">_xll.FDS(D8,"FMA_EVAL_EBIT(LTMA,NOW,NOW,M,""PORTAGG"",""MEANR"")")</f>
        <v>16.594392830928101</v>
      </c>
      <c r="M8">
        <f>HLOOKUP(D8,'Index ROE'!$A$1:$N$25,25,FALSE)</f>
        <v>19.299686812780902</v>
      </c>
      <c r="N8">
        <f>VLOOKUP(A8,'LIQIDITY 2'!$A$3:$E$16,5,FALSE)</f>
        <v>0.78700000000000003</v>
      </c>
      <c r="O8" cm="1">
        <f t="array" ref="O8">IFERROR(IFERROR(IFERROR(IFERROR(_xll.FDS(B8,"IMF_IFS_RCPI_Q(0)"),_xll.FDS(B8,"IMF_IFS_RCPI_Q(-1AM)")),_xll.FDS(B8,"IMF_IFS_RCPI_Q(-2AM)")),_xll.FDS(B8,"IMF_IFS_RCPI_Q(-3AM)")),$D$31)</f>
        <v>1.1636324</v>
      </c>
      <c r="P8">
        <f>VLOOKUP(E8,GDP_GROWTH!$B$10:$W$165,22,FALSE)</f>
        <v>2.077185911672963</v>
      </c>
      <c r="Q8">
        <f t="shared" si="0"/>
        <v>2.4100270562775301</v>
      </c>
      <c r="R8" s="52">
        <f t="shared" si="1"/>
        <v>4.0584745234970798</v>
      </c>
      <c r="S8">
        <f t="shared" si="2"/>
        <v>18.512686812780903</v>
      </c>
      <c r="T8">
        <f t="shared" si="3"/>
        <v>18.136054412780901</v>
      </c>
      <c r="U8" cm="1">
        <f t="array" ref="U8">_xlfn.PERCENTRANK.EXC(_xlfn._xlws.FILTER(Q$3:Q$15, ISNUMBER(Q$3:Q$15)),Q8)*100</f>
        <v>92.800000000000011</v>
      </c>
      <c r="V8" cm="1">
        <f t="array" ref="V8">_xlfn.PERCENTRANK.EXC(_xlfn._xlws.FILTER(R$3:R$15, ISNUMBER(R$3:R$15)),R8)*100</f>
        <v>92.800000000000011</v>
      </c>
      <c r="W8" cm="1">
        <f t="array" ref="W8">_xlfn.PERCENTRANK.EXC(_xlfn._xlws.FILTER(S$3:S$15, ISNUMBER(S$3:S$15)),S8)*100</f>
        <v>85.7</v>
      </c>
      <c r="X8" cm="1">
        <f t="array" ref="X8">(1-_xlfn.PERCENTRANK.EXC(_xlfn._xlws.FILTER(G$3:G$15, ISNUMBER(G$3:G$15)),G8))*100</f>
        <v>50</v>
      </c>
      <c r="Y8" cm="1">
        <f t="array" ref="Y8">(1-_xlfn.PERCENTRANK.EXC(_xlfn._xlws.FILTER(H$3:H$15, ISNUMBER(H$3:H$15)),H8))*100</f>
        <v>28.6</v>
      </c>
      <c r="Z8" cm="1">
        <f t="array" ref="Z8">_xlfn.PERCENTRANK.EXC(_xlfn._xlws.FILTER(T$3:T$15, ISNUMBER(T$3:T$15)),T8)*100</f>
        <v>85.7</v>
      </c>
      <c r="AA8" cm="1">
        <f t="array" ref="AA8">_xlfn.PERCENTRANK.EXC(_xlfn._xlws.FILTER(P$3:P$15, ISNUMBER(P$3:P$15)),P8)*100</f>
        <v>64.2</v>
      </c>
      <c r="AB8">
        <f>U8*Assumption!$E$40 + V8*Assumption!$F$40 + X8*Assumption!$G$40 + Y8*Assumption!$H$40 + W8*Assumption!$I$40 +Z8* Assumption!$K$40 + AA8* Assumption!$J$40</f>
        <v>64.63</v>
      </c>
      <c r="AC8" cm="1">
        <f t="array" ref="AC8">_xlfn.PERCENTRANK.EXC(_xlfn._xlws.FILTER(AB$3:AB$15, ISNUMBER(AB$3:AB$15)),AB8)*100</f>
        <v>78.5</v>
      </c>
    </row>
    <row r="9" spans="1:29" x14ac:dyDescent="0.35">
      <c r="A9" t="s">
        <v>48</v>
      </c>
      <c r="B9" t="s">
        <v>167</v>
      </c>
      <c r="C9" t="str" cm="1">
        <f t="array" ref="C9">_xll.FDS(A9,"FG_COMPANY_NAME")</f>
        <v>iShares MSCI United Kingdom ETF</v>
      </c>
      <c r="D9" t="s">
        <v>48</v>
      </c>
      <c r="E9" t="s">
        <v>719</v>
      </c>
      <c r="F9" s="2" cm="1">
        <f t="array" ref="F9">_xll.FDS(D9,"JULIAN(FMA_DIV_YLD(NTMA,NOW,NOW,M,""PORTAGG"",""MEANR"").dates)")</f>
        <v>45443</v>
      </c>
      <c r="G9" s="4" cm="1">
        <f t="array" ref="G9">_xll.FDS(D9,"FMA_PE(LTM,0,,,""PORTAGG"",""MEANR"")")</f>
        <v>12.798243053184301</v>
      </c>
      <c r="H9" s="4" cm="1">
        <f t="array" ref="H9">_xll.FDS(D9,"FMA_PE(NTMA,0,,,""PORTAGG"",""MEANR"")")</f>
        <v>11.5536772783788</v>
      </c>
      <c r="I9" cm="1">
        <f t="array" ref="I9">_xll.FDS(D9,"FMA_DIV_YLD(NTMA,NOW,NOW,M,""PORTAGG"",""MEANR"")")</f>
        <v>3.8661099262766299</v>
      </c>
      <c r="J9" s="52" cm="1">
        <f t="array" ref="J9">IFERROR(_xll.FDS(D9,"FG_FCF_YIELD_NTM(0)"),(1/G9*100))</f>
        <v>6.1409359671938004</v>
      </c>
      <c r="K9" s="3" cm="1">
        <f t="array" ref="K9">_xll.FDS(D9,"FMA_EVAL_EBITDA(NTMA,0,,,""PORTAGG"",""MEANR"")")</f>
        <v>7.46262658772965</v>
      </c>
      <c r="L9" cm="1">
        <f t="array" ref="L9">_xll.FDS(D9,"FMA_EVAL_EBIT(LTMA,NOW,NOW,M,""PORTAGG"",""MEANR"")")</f>
        <v>10.5863534136979</v>
      </c>
      <c r="M9">
        <f>HLOOKUP(D9,'Index ROE'!$A$1:$N$25,25,FALSE)</f>
        <v>14.720728882990199</v>
      </c>
      <c r="N9">
        <f>VLOOKUP(A9,'LIQIDITY 2'!$A$3:$E$16,5,FALSE)</f>
        <v>4.1520000000000001</v>
      </c>
      <c r="O9" cm="1">
        <f t="array" ref="O9">IFERROR(IFERROR(IFERROR(IFERROR(_xll.FDS(B9,"IMF_IFS_RCPI_Q(0)"),_xll.FDS(B9,"IMF_IFS_RCPI_Q(-1AM)")),_xll.FDS(B9,"IMF_IFS_RCPI_Q(-2AM)")),_xll.FDS(B9,"IMF_IFS_RCPI_Q(-3AM)")),$D$31)</f>
        <v>3.9194993999999999</v>
      </c>
      <c r="P9">
        <f>VLOOKUP(E9,GDP_GROWTH!$B$10:$W$165,22,FALSE)</f>
        <v>1.0976426250664972</v>
      </c>
      <c r="Q9">
        <f t="shared" si="0"/>
        <v>-0.28589007372337027</v>
      </c>
      <c r="R9" s="52">
        <f t="shared" si="1"/>
        <v>1.9889359671938003</v>
      </c>
      <c r="S9">
        <f t="shared" si="2"/>
        <v>10.5687288829902</v>
      </c>
      <c r="T9">
        <f t="shared" si="3"/>
        <v>10.8012294829902</v>
      </c>
      <c r="U9" cm="1">
        <f t="array" ref="U9">_xlfn.PERCENTRANK.EXC(_xlfn._xlws.FILTER(Q$3:Q$15, ISNUMBER(Q$3:Q$15)),Q9)*100</f>
        <v>35.699999999999996</v>
      </c>
      <c r="V9" cm="1">
        <f t="array" ref="V9">_xlfn.PERCENTRANK.EXC(_xlfn._xlws.FILTER(R$3:R$15, ISNUMBER(R$3:R$15)),R9)*100</f>
        <v>42.8</v>
      </c>
      <c r="W9" cm="1">
        <f t="array" ref="W9">_xlfn.PERCENTRANK.EXC(_xlfn._xlws.FILTER(S$3:S$15, ISNUMBER(S$3:S$15)),S9)*100</f>
        <v>64.2</v>
      </c>
      <c r="X9" cm="1">
        <f t="array" ref="X9">(1-_xlfn.PERCENTRANK.EXC(_xlfn._xlws.FILTER(G$3:G$15, ISNUMBER(G$3:G$15)),G9))*100</f>
        <v>85.8</v>
      </c>
      <c r="Y9" cm="1">
        <f t="array" ref="Y9">(1-_xlfn.PERCENTRANK.EXC(_xlfn._xlws.FILTER(H$3:H$15, ISNUMBER(H$3:H$15)),H9))*100</f>
        <v>85.8</v>
      </c>
      <c r="Z9" cm="1">
        <f t="array" ref="Z9">_xlfn.PERCENTRANK.EXC(_xlfn._xlws.FILTER(T$3:T$15, ISNUMBER(T$3:T$15)),T9)*100</f>
        <v>64.2</v>
      </c>
      <c r="AA9" cm="1">
        <f t="array" ref="AA9">_xlfn.PERCENTRANK.EXC(_xlfn._xlws.FILTER(P$3:P$15, ISNUMBER(P$3:P$15)),P9)*100</f>
        <v>35.699999999999996</v>
      </c>
      <c r="AB9">
        <f>U9*Assumption!$E$40 + V9*Assumption!$F$40 + X9*Assumption!$G$40 + Y9*Assumption!$H$40 + W9*Assumption!$I$40 +Z9* Assumption!$K$40 + AA9* Assumption!$J$40</f>
        <v>68.225000000000009</v>
      </c>
      <c r="AC9" cm="1">
        <f t="array" ref="AC9">_xlfn.PERCENTRANK.EXC(_xlfn._xlws.FILTER(AB$3:AB$15, ISNUMBER(AB$3:AB$15)),AB9)*100</f>
        <v>85.7</v>
      </c>
    </row>
    <row r="10" spans="1:29" x14ac:dyDescent="0.35">
      <c r="A10" t="s">
        <v>51</v>
      </c>
      <c r="B10" t="s">
        <v>170</v>
      </c>
      <c r="C10" t="str" cm="1">
        <f t="array" ref="C10">_xll.FDS(A10,"FG_COMPANY_NAME")</f>
        <v>Invesco QQQ Trust Series I</v>
      </c>
      <c r="D10" t="s">
        <v>51</v>
      </c>
      <c r="E10" t="s">
        <v>720</v>
      </c>
      <c r="F10" s="2" cm="1">
        <f t="array" ref="F10">_xll.FDS(D10,"JULIAN(FMA_DIV_YLD(NTMA,NOW,NOW,M,""PORTAGG"",""MEANR"").dates)")</f>
        <v>45443</v>
      </c>
      <c r="G10" s="4" cm="1">
        <f t="array" ref="G10">_xll.FDS(D10,"FMA_PE(LTM,0,,,""PORTAGG"",""MEANR"")")</f>
        <v>34.901089754114103</v>
      </c>
      <c r="H10" s="4" cm="1">
        <f t="array" ref="H10">_xll.FDS(D10,"FMA_PE(NTMA,0,,,""PORTAGG"",""MEANR"")")</f>
        <v>26.8396717940978</v>
      </c>
      <c r="I10" cm="1">
        <f t="array" ref="I10">_xll.FDS(D10,"FMA_DIV_YLD(NTMA,NOW,NOW,M,""PORTAGG"",""MEANR"")")</f>
        <v>0.89639119442039705</v>
      </c>
      <c r="J10" s="52" cm="1">
        <f t="array" ref="J10">IFERROR(_xll.FDS(D10,"FG_FCF_YIELD_NTM(0)"),(1/G10*100))</f>
        <v>3.5349825922617799</v>
      </c>
      <c r="K10" s="3" cm="1">
        <f t="array" ref="K10">_xll.FDS(D10,"FMA_EVAL_EBITDA(NTMA,0,,,""PORTAGG"",""MEANR"")")</f>
        <v>16.882245904802101</v>
      </c>
      <c r="L10" cm="1">
        <f t="array" ref="L10">_xll.FDS(D10,"FMA_EVAL_EBIT(LTMA,NOW,NOW,M,""PORTAGG"",""MEANR"")")</f>
        <v>24.333570145727101</v>
      </c>
      <c r="M10">
        <f>HLOOKUP(D10,'Index ROE'!$A$1:$N$25,25,FALSE)</f>
        <v>25.319915596617101</v>
      </c>
      <c r="N10">
        <f>VLOOKUP(A10,'LIQIDITY 2'!$A$3:$E$16,5,FALSE)</f>
        <v>4.2389000000000001</v>
      </c>
      <c r="O10" cm="1">
        <f t="array" ref="O10">IFERROR(IFERROR(IFERROR(IFERROR(_xll.FDS(B10,"IMF_IFS_RCPI_Q(0)"),_xll.FDS(B10,"IMF_IFS_RCPI_Q(-1AM)")),_xll.FDS(B10,"IMF_IFS_RCPI_Q(-2AM)")),_xll.FDS(B10,"IMF_IFS_RCPI_Q(-3AM)")),$D$31)</f>
        <v>3.2095159999999998</v>
      </c>
      <c r="P10">
        <f>VLOOKUP(E10,GDP_GROWTH!$B$10:$W$165,22,FALSE)</f>
        <v>2.0868572594445189</v>
      </c>
      <c r="Q10">
        <f t="shared" si="0"/>
        <v>-3.3425088055796031</v>
      </c>
      <c r="R10" s="52">
        <f t="shared" si="1"/>
        <v>-0.7039174077382202</v>
      </c>
      <c r="S10">
        <f t="shared" si="2"/>
        <v>21.0810155966171</v>
      </c>
      <c r="T10">
        <f t="shared" si="3"/>
        <v>22.1103995966171</v>
      </c>
      <c r="U10" cm="1">
        <f t="array" ref="U10">_xlfn.PERCENTRANK.EXC(_xlfn._xlws.FILTER(Q$3:Q$15, ISNUMBER(Q$3:Q$15)),Q10)*100</f>
        <v>7.1</v>
      </c>
      <c r="V10" cm="1">
        <f t="array" ref="V10">_xlfn.PERCENTRANK.EXC(_xlfn._xlws.FILTER(R$3:R$15, ISNUMBER(R$3:R$15)),R10)*100</f>
        <v>14.2</v>
      </c>
      <c r="W10" cm="1">
        <f t="array" ref="W10">_xlfn.PERCENTRANK.EXC(_xlfn._xlws.FILTER(S$3:S$15, ISNUMBER(S$3:S$15)),S10)*100</f>
        <v>92.800000000000011</v>
      </c>
      <c r="X10" cm="1">
        <f t="array" ref="X10">(1-_xlfn.PERCENTRANK.EXC(_xlfn._xlws.FILTER(G$3:G$15, ISNUMBER(G$3:G$15)),G10))*100</f>
        <v>7.1999999999999957</v>
      </c>
      <c r="Y10" cm="1">
        <f t="array" ref="Y10">(1-_xlfn.PERCENTRANK.EXC(_xlfn._xlws.FILTER(H$3:H$15, ISNUMBER(H$3:H$15)),H10))*100</f>
        <v>7.1999999999999957</v>
      </c>
      <c r="Z10" cm="1">
        <f t="array" ref="Z10">_xlfn.PERCENTRANK.EXC(_xlfn._xlws.FILTER(T$3:T$15, ISNUMBER(T$3:T$15)),T10)*100</f>
        <v>92.800000000000011</v>
      </c>
      <c r="AA10" cm="1">
        <f t="array" ref="AA10">_xlfn.PERCENTRANK.EXC(_xlfn._xlws.FILTER(P$3:P$15, ISNUMBER(P$3:P$15)),P10)*100</f>
        <v>71.399999999999991</v>
      </c>
      <c r="AB10">
        <f>U10*Assumption!$E$40 + V10*Assumption!$F$40 + X10*Assumption!$G$40 + Y10*Assumption!$H$40 + W10*Assumption!$I$40 +Z10* Assumption!$K$40 + AA10* Assumption!$J$40</f>
        <v>26.064999999999998</v>
      </c>
      <c r="AC10" cm="1">
        <f t="array" ref="AC10">_xlfn.PERCENTRANK.EXC(_xlfn._xlws.FILTER(AB$3:AB$15, ISNUMBER(AB$3:AB$15)),AB10)*100</f>
        <v>14.2</v>
      </c>
    </row>
    <row r="11" spans="1:29" x14ac:dyDescent="0.35">
      <c r="A11" t="s">
        <v>1</v>
      </c>
      <c r="B11" t="s">
        <v>170</v>
      </c>
      <c r="C11" t="str" cm="1">
        <f t="array" ref="C11">_xll.FDS(A11,"FG_COMPANY_NAME")</f>
        <v>SPDR S&amp;P 500 ETF Trust</v>
      </c>
      <c r="D11" t="s">
        <v>1</v>
      </c>
      <c r="E11" t="s">
        <v>720</v>
      </c>
      <c r="F11" s="2" cm="1">
        <f t="array" ref="F11">_xll.FDS(D11,"JULIAN(FMA_DIV_YLD(NTMA,NOW,NOW,M,""PORTAGG"",""MEANR"").dates)")</f>
        <v>45443</v>
      </c>
      <c r="G11" s="4" cm="1">
        <f t="array" ref="G11">_xll.FDS(D11,"FMA_PE(LTM,0,,,""PORTAGG"",""MEANR"")")</f>
        <v>25.850870597765901</v>
      </c>
      <c r="H11" s="4" cm="1">
        <f t="array" ref="H11">_xll.FDS(D11,"FMA_PE(NTMA,0,,,""PORTAGG"",""MEANR"")")</f>
        <v>20.755918347050699</v>
      </c>
      <c r="I11" cm="1">
        <f t="array" ref="I11">_xll.FDS(D11,"FMA_DIV_YLD(NTMA,NOW,NOW,M,""PORTAGG"",""MEANR"")")</f>
        <v>1.4539159436020801</v>
      </c>
      <c r="J11" s="52" cm="1">
        <f t="array" ref="J11">IFERROR(_xll.FDS(D11,"FG_FCF_YIELD_NTM(0)"),(1/G11*100))</f>
        <v>4.1456410044261798</v>
      </c>
      <c r="K11" s="3" cm="1">
        <f t="array" ref="K11">_xll.FDS(D11,"FMA_EVAL_EBITDA(NTMA,0,,,""PORTAGG"",""MEANR"")")</f>
        <v>14.464574510786701</v>
      </c>
      <c r="L11" cm="1">
        <f t="array" ref="L11">_xll.FDS(D11,"FMA_EVAL_EBIT(LTMA,NOW,NOW,M,""PORTAGG"",""MEANR"")")</f>
        <v>20.483884578051999</v>
      </c>
      <c r="M11">
        <f>HLOOKUP(D11,'Index ROE'!$A$1:$N$25,25,FALSE)</f>
        <v>20.350503776156899</v>
      </c>
      <c r="N11">
        <f>VLOOKUP(A11,'LIQIDITY 2'!$A$3:$E$16,5,FALSE)</f>
        <v>4.2389000000000001</v>
      </c>
      <c r="O11" cm="1">
        <f t="array" ref="O11">IFERROR(IFERROR(IFERROR(IFERROR(_xll.FDS(B11,"IMF_IFS_RCPI_Q(0)"),_xll.FDS(B11,"IMF_IFS_RCPI_Q(-1AM)")),_xll.FDS(B11,"IMF_IFS_RCPI_Q(-2AM)")),_xll.FDS(B11,"IMF_IFS_RCPI_Q(-3AM)")),$D$31)</f>
        <v>3.2095159999999998</v>
      </c>
      <c r="P11">
        <f>VLOOKUP(E11,GDP_GROWTH!$B$10:$W$165,22,FALSE)</f>
        <v>2.0868572594445189</v>
      </c>
      <c r="Q11">
        <f t="shared" si="0"/>
        <v>-2.7849840563979198</v>
      </c>
      <c r="R11" s="52">
        <f t="shared" si="1"/>
        <v>-9.3258995573820336E-2</v>
      </c>
      <c r="S11">
        <f t="shared" si="2"/>
        <v>16.111603776156898</v>
      </c>
      <c r="T11">
        <f t="shared" si="3"/>
        <v>17.140987776156898</v>
      </c>
      <c r="U11" cm="1">
        <f t="array" ref="U11">_xlfn.PERCENTRANK.EXC(_xlfn._xlws.FILTER(Q$3:Q$15, ISNUMBER(Q$3:Q$15)),Q11)*100</f>
        <v>14.2</v>
      </c>
      <c r="V11" cm="1">
        <f t="array" ref="V11">_xlfn.PERCENTRANK.EXC(_xlfn._xlws.FILTER(R$3:R$15, ISNUMBER(R$3:R$15)),R11)*100</f>
        <v>21.4</v>
      </c>
      <c r="W11" cm="1">
        <f t="array" ref="W11">_xlfn.PERCENTRANK.EXC(_xlfn._xlws.FILTER(S$3:S$15, ISNUMBER(S$3:S$15)),S11)*100</f>
        <v>78.5</v>
      </c>
      <c r="X11" cm="1">
        <f t="array" ref="X11">(1-_xlfn.PERCENTRANK.EXC(_xlfn._xlws.FILTER(G$3:G$15, ISNUMBER(G$3:G$15)),G11))*100</f>
        <v>21.499999999999996</v>
      </c>
      <c r="Y11" cm="1">
        <f t="array" ref="Y11">(1-_xlfn.PERCENTRANK.EXC(_xlfn._xlws.FILTER(H$3:H$15, ISNUMBER(H$3:H$15)),H11))*100</f>
        <v>21.499999999999996</v>
      </c>
      <c r="Z11" cm="1">
        <f t="array" ref="Z11">_xlfn.PERCENTRANK.EXC(_xlfn._xlws.FILTER(T$3:T$15, ISNUMBER(T$3:T$15)),T11)*100</f>
        <v>78.5</v>
      </c>
      <c r="AA11" cm="1">
        <f t="array" ref="AA11">_xlfn.PERCENTRANK.EXC(_xlfn._xlws.FILTER(P$3:P$15, ISNUMBER(P$3:P$15)),P11)*100</f>
        <v>71.399999999999991</v>
      </c>
      <c r="AB11">
        <f>U11*Assumption!$E$40 + V11*Assumption!$F$40 + X11*Assumption!$G$40 + Y11*Assumption!$H$40 + W11*Assumption!$I$40 +Z11* Assumption!$K$40 + AA11* Assumption!$J$40</f>
        <v>32.51</v>
      </c>
      <c r="AC11" cm="1">
        <f t="array" ref="AC11">_xlfn.PERCENTRANK.EXC(_xlfn._xlws.FILTER(AB$3:AB$15, ISNUMBER(AB$3:AB$15)),AB11)*100</f>
        <v>21.4</v>
      </c>
    </row>
    <row r="12" spans="1:29" x14ac:dyDescent="0.35">
      <c r="A12" t="s">
        <v>865</v>
      </c>
      <c r="B12" t="s">
        <v>869</v>
      </c>
      <c r="C12" t="str" cm="1">
        <f t="array" ref="C12">_xll.FDS(A12,"FG_COMPANY_NAME")</f>
        <v>iShares MSCI France ETF</v>
      </c>
      <c r="D12" t="s">
        <v>865</v>
      </c>
      <c r="E12" t="s">
        <v>621</v>
      </c>
      <c r="F12" s="2" cm="1">
        <f t="array" ref="F12">_xll.FDS(D12,"JULIAN(FMA_DIV_YLD(NTMA,NOW,NOW,M,""PORTAGG"",""MEANR"").dates)")</f>
        <v>45443</v>
      </c>
      <c r="G12" s="4" cm="1">
        <f t="array" ref="G12">_xll.FDS(D12,"FMA_PE(LTM,0,,,""PORTAGG"",""MEANR"")")</f>
        <v>16.158483108553099</v>
      </c>
      <c r="H12" s="4" cm="1">
        <f t="array" ref="H12">_xll.FDS(D12,"FMA_PE(NTMA,0,,,""PORTAGG"",""MEANR"")")</f>
        <v>14.105926545147399</v>
      </c>
      <c r="I12" cm="1">
        <f t="array" ref="I12">_xll.FDS(D12,"FMA_DIV_YLD(NTMA,NOW,NOW,M,""PORTAGG"",""MEANR"")")</f>
        <v>3.1589810088190098</v>
      </c>
      <c r="J12" s="52" cm="1">
        <f t="array" ref="J12">IFERROR(_xll.FDS(D12,"FG_FCF_YIELD_NTM(0)"),(1/G12*100))</f>
        <v>5.80004921234364</v>
      </c>
      <c r="K12" s="3" cm="1">
        <f t="array" ref="K12">_xll.FDS(D12,"FMA_EVAL_EBITDA(NTMA,0,,,""PORTAGG"",""MEANR"")")</f>
        <v>9.2653494127830704</v>
      </c>
      <c r="L12" cm="1">
        <f t="array" ref="L12">_xll.FDS(D12,"FMA_EVAL_EBIT(LTMA,NOW,NOW,M,""PORTAGG"",""MEANR"")")</f>
        <v>13.2734432451935</v>
      </c>
      <c r="M12">
        <f>HLOOKUP(D12,'Index ROE'!$A$1:$N$25,25,FALSE)</f>
        <v>13.220962408242601</v>
      </c>
      <c r="N12">
        <f>VLOOKUP(A12,'LIQIDITY 2'!$A$3:$E$16,5,FALSE)</f>
        <v>3.1720000000000002</v>
      </c>
      <c r="O12" cm="1">
        <f t="array" ref="O12">IFERROR(IFERROR(IFERROR(IFERROR(_xll.FDS(B12,"IMF_IFS_RCPI_Q(0)"),_xll.FDS(B12,"IMF_IFS_RCPI_Q(-1AM)")),_xll.FDS(B12,"IMF_IFS_RCPI_Q(-2AM)")),_xll.FDS(B12,"IMF_IFS_RCPI_Q(-3AM)")),$D$31)</f>
        <v>2.7940200000000002</v>
      </c>
      <c r="P12">
        <f>VLOOKUP(E12,GDP_GROWTH!$B$10:$W$165,22,FALSE)</f>
        <v>0.9426946158151317</v>
      </c>
      <c r="Q12">
        <f t="shared" ref="Q12:Q15" si="4">I12-N12</f>
        <v>-1.3018991180990369E-2</v>
      </c>
      <c r="R12" s="52">
        <f t="shared" ref="R12:R15" si="5">J12-N12</f>
        <v>2.6280492123436399</v>
      </c>
      <c r="S12">
        <f t="shared" ref="S12:S15" si="6">M12-N12</f>
        <v>10.0489624082426</v>
      </c>
      <c r="T12">
        <f t="shared" ref="T12:T15" si="7">M12-O12</f>
        <v>10.426942408242601</v>
      </c>
      <c r="U12" cm="1">
        <f t="array" ref="U12">_xlfn.PERCENTRANK.EXC(_xlfn._xlws.FILTER(Q$3:Q$15, ISNUMBER(Q$3:Q$15)),Q12)*100</f>
        <v>57.099999999999994</v>
      </c>
      <c r="V12" cm="1">
        <f t="array" ref="V12">_xlfn.PERCENTRANK.EXC(_xlfn._xlws.FILTER(R$3:R$15, ISNUMBER(R$3:R$15)),R12)*100</f>
        <v>57.099999999999994</v>
      </c>
      <c r="W12" cm="1">
        <f t="array" ref="W12">_xlfn.PERCENTRANK.EXC(_xlfn._xlws.FILTER(S$3:S$15, ISNUMBER(S$3:S$15)),S12)*100</f>
        <v>57.099999999999994</v>
      </c>
      <c r="X12" cm="1">
        <f t="array" ref="X12">(1-_xlfn.PERCENTRANK.EXC(_xlfn._xlws.FILTER(G$3:G$15, ISNUMBER(G$3:G$15)),G12))*100</f>
        <v>64.3</v>
      </c>
      <c r="Y12" cm="1">
        <f t="array" ref="Y12">(1-_xlfn.PERCENTRANK.EXC(_xlfn._xlws.FILTER(H$3:H$15, ISNUMBER(H$3:H$15)),H12))*100</f>
        <v>64.3</v>
      </c>
      <c r="Z12" cm="1">
        <f t="array" ref="Z12">_xlfn.PERCENTRANK.EXC(_xlfn._xlws.FILTER(T$3:T$15, ISNUMBER(T$3:T$15)),T12)*100</f>
        <v>50</v>
      </c>
      <c r="AA12" cm="1">
        <f t="array" ref="AA12">_xlfn.PERCENTRANK.EXC(_xlfn._xlws.FILTER(P$3:P$15, ISNUMBER(P$3:P$15)),P12)*100</f>
        <v>28.499999999999996</v>
      </c>
      <c r="AB12">
        <f>U12*Assumption!$E$40 + V12*Assumption!$F$40 + X12*Assumption!$G$40 + Y12*Assumption!$H$40 + W12*Assumption!$I$40 +Z12* Assumption!$K$40 + AA12* Assumption!$J$40</f>
        <v>59.99</v>
      </c>
      <c r="AC12" cm="1">
        <f t="array" ref="AC12">_xlfn.PERCENTRANK.EXC(_xlfn._xlws.FILTER(AB$3:AB$15, ISNUMBER(AB$3:AB$15)),AB12)*100</f>
        <v>57.099999999999994</v>
      </c>
    </row>
    <row r="13" spans="1:29" x14ac:dyDescent="0.35">
      <c r="A13" t="s">
        <v>867</v>
      </c>
      <c r="B13" t="s">
        <v>870</v>
      </c>
      <c r="C13" t="str" cm="1">
        <f t="array" ref="C13">_xll.FDS(A13,"FG_COMPANY_NAME")</f>
        <v>iShares MSCI Netherlands ETF</v>
      </c>
      <c r="D13" t="s">
        <v>867</v>
      </c>
      <c r="E13" t="s">
        <v>673</v>
      </c>
      <c r="F13" s="2" cm="1">
        <f t="array" ref="F13">_xll.FDS(D13,"JULIAN(FMA_DIV_YLD(NTMA,NOW,NOW,M,""PORTAGG"",""MEANR"").dates)")</f>
        <v>45443</v>
      </c>
      <c r="G13" s="4" cm="1">
        <f t="array" ref="G13">_xll.FDS(D13,"FMA_PE(LTM,0,,,""PORTAGG"",""MEANR"")")</f>
        <v>20.752318907441701</v>
      </c>
      <c r="H13" s="4" cm="1">
        <f t="array" ref="H13">_xll.FDS(D13,"FMA_PE(NTMA,0,,,""PORTAGG"",""MEANR"")")</f>
        <v>16.6164272183828</v>
      </c>
      <c r="I13" cm="1">
        <f t="array" ref="I13">_xll.FDS(D13,"FMA_DIV_YLD(NTMA,NOW,NOW,M,""PORTAGG"",""MEANR"")")</f>
        <v>2.51422504808819</v>
      </c>
      <c r="J13" s="52" cm="1">
        <f t="array" ref="J13">IFERROR(_xll.FDS(D13,"FG_FCF_YIELD_NTM(0)"),(1/G13*100))</f>
        <v>3.4676464406671799</v>
      </c>
      <c r="K13" s="3" cm="1">
        <f t="array" ref="K13">_xll.FDS(D13,"FMA_EVAL_EBITDA(NTMA,0,,,""PORTAGG"",""MEANR"")")</f>
        <v>12.878590682965999</v>
      </c>
      <c r="L13" cm="1">
        <f t="array" ref="L13">_xll.FDS(D13,"FMA_EVAL_EBIT(LTMA,NOW,NOW,M,""PORTAGG"",""MEANR"")")</f>
        <v>21.819275501701402</v>
      </c>
      <c r="M13">
        <f>HLOOKUP(D13,'Index ROE'!$A$1:$N$25,25,FALSE)</f>
        <v>12.745985665341101</v>
      </c>
      <c r="N13">
        <f>VLOOKUP(A13,'LIQIDITY 2'!$A$3:$E$16,5,FALSE)</f>
        <v>2.847</v>
      </c>
      <c r="O13" cm="1">
        <f t="array" ref="O13">IFERROR(IFERROR(IFERROR(IFERROR(_xll.FDS(B13,"IMF_IFS_RCPI_Q(0)"),_xll.FDS(B13,"IMF_IFS_RCPI_Q(-1AM)")),_xll.FDS(B13,"IMF_IFS_RCPI_Q(-2AM)")),_xll.FDS(B13,"IMF_IFS_RCPI_Q(-3AM)")),$D$31)</f>
        <v>3.0237905999999999</v>
      </c>
      <c r="P13">
        <f>VLOOKUP(E13,GDP_GROWTH!$B$10:$W$165,22,FALSE)</f>
        <v>1.7793785730007783</v>
      </c>
      <c r="Q13">
        <f t="shared" si="4"/>
        <v>-0.33277495191180995</v>
      </c>
      <c r="R13" s="52">
        <f t="shared" si="5"/>
        <v>0.62064644066717989</v>
      </c>
      <c r="S13">
        <f t="shared" si="6"/>
        <v>9.898985665341101</v>
      </c>
      <c r="T13">
        <f t="shared" si="7"/>
        <v>9.7221950653411007</v>
      </c>
      <c r="U13" cm="1">
        <f t="array" ref="U13">_xlfn.PERCENTRANK.EXC(_xlfn._xlws.FILTER(Q$3:Q$15, ISNUMBER(Q$3:Q$15)),Q13)*100</f>
        <v>28.499999999999996</v>
      </c>
      <c r="V13" cm="1">
        <f t="array" ref="V13">_xlfn.PERCENTRANK.EXC(_xlfn._xlws.FILTER(R$3:R$15, ISNUMBER(R$3:R$15)),R13)*100</f>
        <v>28.499999999999996</v>
      </c>
      <c r="W13" cm="1">
        <f t="array" ref="W13">_xlfn.PERCENTRANK.EXC(_xlfn._xlws.FILTER(S$3:S$15, ISNUMBER(S$3:S$15)),S13)*100</f>
        <v>50</v>
      </c>
      <c r="X13" cm="1">
        <f t="array" ref="X13">(1-_xlfn.PERCENTRANK.EXC(_xlfn._xlws.FILTER(G$3:G$15, ISNUMBER(G$3:G$15)),G13))*100</f>
        <v>28.6</v>
      </c>
      <c r="Y13" cm="1">
        <f t="array" ref="Y13">(1-_xlfn.PERCENTRANK.EXC(_xlfn._xlws.FILTER(H$3:H$15, ISNUMBER(H$3:H$15)),H13))*100</f>
        <v>42.900000000000006</v>
      </c>
      <c r="Z13" cm="1">
        <f t="array" ref="Z13">_xlfn.PERCENTRANK.EXC(_xlfn._xlws.FILTER(T$3:T$15, ISNUMBER(T$3:T$15)),T13)*100</f>
        <v>35.699999999999996</v>
      </c>
      <c r="AA13" cm="1">
        <f t="array" ref="AA13">_xlfn.PERCENTRANK.EXC(_xlfn._xlws.FILTER(P$3:P$15, ISNUMBER(P$3:P$15)),P13)*100</f>
        <v>50</v>
      </c>
      <c r="AB13">
        <f>U13*Assumption!$E$40 + V13*Assumption!$F$40 + X13*Assumption!$G$40 + Y13*Assumption!$H$40 + W13*Assumption!$I$40 +Z13* Assumption!$K$40 + AA13* Assumption!$J$40</f>
        <v>34.994999999999997</v>
      </c>
      <c r="AC13" cm="1">
        <f t="array" ref="AC13">_xlfn.PERCENTRANK.EXC(_xlfn._xlws.FILTER(AB$3:AB$15, ISNUMBER(AB$3:AB$15)),AB13)*100</f>
        <v>35.699999999999996</v>
      </c>
    </row>
    <row r="14" spans="1:29" x14ac:dyDescent="0.35">
      <c r="A14" t="s">
        <v>864</v>
      </c>
      <c r="B14" t="s">
        <v>273</v>
      </c>
      <c r="C14" t="str" cm="1">
        <f t="array" ref="C14">_xll.FDS(A14,"FG_COMPANY_NAME")</f>
        <v>iShares MSCI Sweden ETF</v>
      </c>
      <c r="D14" t="s">
        <v>864</v>
      </c>
      <c r="E14" t="s">
        <v>705</v>
      </c>
      <c r="F14" s="2" cm="1">
        <f t="array" ref="F14">_xll.FDS(D14,"JULIAN(FMA_DIV_YLD(NTMA,NOW,NOW,M,""PORTAGG"",""MEANR"").dates)")</f>
        <v>45443</v>
      </c>
      <c r="G14" s="4" cm="1">
        <f t="array" ref="G14">_xll.FDS(D14,"FMA_PE(LTM,0,,,""PORTAGG"",""MEANR"")")</f>
        <v>14.1635360264242</v>
      </c>
      <c r="H14" s="4" cm="1">
        <f t="array" ref="H14">_xll.FDS(D14,"FMA_PE(NTMA,0,,,""PORTAGG"",""MEANR"")")</f>
        <v>16.126894150194602</v>
      </c>
      <c r="I14" cm="1">
        <f t="array" ref="I14">_xll.FDS(D14,"FMA_DIV_YLD(NTMA,NOW,NOW,M,""PORTAGG"",""MEANR"")")</f>
        <v>3.1918231227938501</v>
      </c>
      <c r="J14" s="52" cm="1">
        <f t="array" ref="J14">IFERROR(_xll.FDS(D14,"FG_FCF_YIELD_NTM(0)"),(1/G14*100))</f>
        <v>4.9941790949972402</v>
      </c>
      <c r="K14" s="3" cm="1">
        <f t="array" ref="K14">_xll.FDS(D14,"FMA_EVAL_EBITDA(NTMA,0,,,""PORTAGG"",""MEANR"")")</f>
        <v>11.2151279299786</v>
      </c>
      <c r="L14" cm="1">
        <f t="array" ref="L14">_xll.FDS(D14,"FMA_EVAL_EBIT(LTMA,NOW,NOW,M,""PORTAGG"",""MEANR"")")</f>
        <v>15.988102268090399</v>
      </c>
      <c r="M14">
        <f>HLOOKUP(D14,'Index ROE'!$A$1:$N$25,25,FALSE)</f>
        <v>15.368050598586001</v>
      </c>
      <c r="N14">
        <f>VLOOKUP(A14,'LIQIDITY 2'!$A$3:$E$16,5,FALSE)</f>
        <v>2.2269999999999999</v>
      </c>
      <c r="O14" cm="1">
        <f t="array" ref="O14">IFERROR(IFERROR(IFERROR(IFERROR(_xll.FDS(B14,"IMF_IFS_RCPI_Q(0)"),_xll.FDS(B14,"IMF_IFS_RCPI_Q(-1AM)")),_xll.FDS(B14,"IMF_IFS_RCPI_Q(-2AM)")),_xll.FDS(B14,"IMF_IFS_RCPI_Q(-3AM)")),$D$31)</f>
        <v>4.6701535999999999</v>
      </c>
      <c r="P14">
        <f>VLOOKUP(E14,GDP_GROWTH!$B$10:$W$165,22,FALSE)</f>
        <v>1.8182767577278436</v>
      </c>
      <c r="Q14">
        <f t="shared" si="4"/>
        <v>0.96482312279385019</v>
      </c>
      <c r="R14" s="52">
        <f t="shared" si="5"/>
        <v>2.7671790949972404</v>
      </c>
      <c r="S14">
        <f t="shared" si="6"/>
        <v>13.141050598586</v>
      </c>
      <c r="T14">
        <f t="shared" si="7"/>
        <v>10.697896998586</v>
      </c>
      <c r="U14" cm="1">
        <f t="array" ref="U14">_xlfn.PERCENTRANK.EXC(_xlfn._xlws.FILTER(Q$3:Q$15, ISNUMBER(Q$3:Q$15)),Q14)*100</f>
        <v>71.399999999999991</v>
      </c>
      <c r="V14" cm="1">
        <f t="array" ref="V14">_xlfn.PERCENTRANK.EXC(_xlfn._xlws.FILTER(R$3:R$15, ISNUMBER(R$3:R$15)),R14)*100</f>
        <v>64.2</v>
      </c>
      <c r="W14" cm="1">
        <f t="array" ref="W14">_xlfn.PERCENTRANK.EXC(_xlfn._xlws.FILTER(S$3:S$15, ISNUMBER(S$3:S$15)),S14)*100</f>
        <v>71.399999999999991</v>
      </c>
      <c r="X14" cm="1">
        <f t="array" ref="X14">(1-_xlfn.PERCENTRANK.EXC(_xlfn._xlws.FILTER(G$3:G$15, ISNUMBER(G$3:G$15)),G14))*100</f>
        <v>78.600000000000009</v>
      </c>
      <c r="Y14" cm="1">
        <f t="array" ref="Y14">(1-_xlfn.PERCENTRANK.EXC(_xlfn._xlws.FILTER(H$3:H$15, ISNUMBER(H$3:H$15)),H14))*100</f>
        <v>50</v>
      </c>
      <c r="Z14" cm="1">
        <f t="array" ref="Z14">_xlfn.PERCENTRANK.EXC(_xlfn._xlws.FILTER(T$3:T$15, ISNUMBER(T$3:T$15)),T14)*100</f>
        <v>57.099999999999994</v>
      </c>
      <c r="AA14" cm="1">
        <f t="array" ref="AA14">_xlfn.PERCENTRANK.EXC(_xlfn._xlws.FILTER(P$3:P$15, ISNUMBER(P$3:P$15)),P14)*100</f>
        <v>57.099999999999994</v>
      </c>
      <c r="AB14">
        <f>U14*Assumption!$E$40 + V14*Assumption!$F$40 + X14*Assumption!$G$40 + Y14*Assumption!$H$40 + W14*Assumption!$I$40 +Z14* Assumption!$K$40 + AA14* Assumption!$J$40</f>
        <v>64.62</v>
      </c>
      <c r="AC14" cm="1">
        <f t="array" ref="AC14">_xlfn.PERCENTRANK.EXC(_xlfn._xlws.FILTER(AB$3:AB$15, ISNUMBER(AB$3:AB$15)),AB14)*100</f>
        <v>71.399999999999991</v>
      </c>
    </row>
    <row r="15" spans="1:29" x14ac:dyDescent="0.35">
      <c r="A15" t="s">
        <v>866</v>
      </c>
      <c r="B15" t="s">
        <v>868</v>
      </c>
      <c r="C15" t="str" cm="1">
        <f t="array" ref="C15">_xll.FDS(A15,"FG_COMPANY_NAME")</f>
        <v>iShares MSCI Italy ETF</v>
      </c>
      <c r="D15" t="s">
        <v>866</v>
      </c>
      <c r="E15" t="s">
        <v>641</v>
      </c>
      <c r="F15" s="2" cm="1">
        <f t="array" ref="F15">_xll.FDS(D15,"JULIAN(FMA_DIV_YLD(NTMA,NOW,NOW,M,""PORTAGG"",""MEANR"").dates)")</f>
        <v>45443</v>
      </c>
      <c r="G15" s="4" cm="1">
        <f t="array" ref="G15">_xll.FDS(D15,"FMA_PE(LTM,0,,,""PORTAGG"",""MEANR"")")</f>
        <v>10.107074086159299</v>
      </c>
      <c r="H15" s="4" cm="1">
        <f t="array" ref="H15">_xll.FDS(D15,"FMA_PE(NTMA,0,,,""PORTAGG"",""MEANR"")")</f>
        <v>9.6964358582953292</v>
      </c>
      <c r="I15" cm="1">
        <f t="array" ref="I15">_xll.FDS(D15,"FMA_DIV_YLD(NTMA,NOW,NOW,M,""PORTAGG"",""MEANR"")")</f>
        <v>5.2466116733325503</v>
      </c>
      <c r="J15" s="52" cm="1">
        <f t="array" ref="J15">IFERROR(_xll.FDS(D15,"FG_FCF_YIELD_NTM(0)"),(1/G15*100))</f>
        <v>6.0949388435138196</v>
      </c>
      <c r="K15" s="3" cm="1">
        <f t="array" ref="K15">_xll.FDS(D15,"FMA_EVAL_EBITDA(NTMA,0,,,""PORTAGG"",""MEANR"")")</f>
        <v>6.8476580564813396</v>
      </c>
      <c r="L15" cm="1">
        <f t="array" ref="L15">_xll.FDS(D15,"FMA_EVAL_EBIT(LTMA,NOW,NOW,M,""PORTAGG"",""MEANR"")")</f>
        <v>10.8518583483408</v>
      </c>
      <c r="M15">
        <f>HLOOKUP(D15,'Index ROE'!$A$1:$N$25,25,FALSE)</f>
        <v>13.3572149047324</v>
      </c>
      <c r="N15">
        <f>VLOOKUP(A15,'LIQIDITY 2'!$A$3:$E$16,5,FALSE)</f>
        <v>3.976</v>
      </c>
      <c r="O15" cm="1">
        <f t="array" ref="O15">IFERROR(IFERROR(IFERROR(IFERROR(_xll.FDS(B15,"IMF_IFS_RCPI_Q(0)"),_xll.FDS(B15,"IMF_IFS_RCPI_Q(-1AM)")),_xll.FDS(B15,"IMF_IFS_RCPI_Q(-2AM)")),_xll.FDS(B15,"IMF_IFS_RCPI_Q(-3AM)")),$D$31)</f>
        <v>0.92385905999999995</v>
      </c>
      <c r="P15">
        <f>VLOOKUP(E15,GDP_GROWTH!$B$10:$W$165,22,FALSE)</f>
        <v>0.32855305426654491</v>
      </c>
      <c r="Q15">
        <f t="shared" si="4"/>
        <v>1.2706116733325503</v>
      </c>
      <c r="R15" s="52">
        <f t="shared" si="5"/>
        <v>2.1189388435138197</v>
      </c>
      <c r="S15">
        <f t="shared" si="6"/>
        <v>9.3812149047323992</v>
      </c>
      <c r="T15">
        <f t="shared" si="7"/>
        <v>12.4333558447324</v>
      </c>
      <c r="U15" cm="1">
        <f t="array" ref="U15">_xlfn.PERCENTRANK.EXC(_xlfn._xlws.FILTER(Q$3:Q$15, ISNUMBER(Q$3:Q$15)),Q15)*100</f>
        <v>85.7</v>
      </c>
      <c r="V15" cm="1">
        <f t="array" ref="V15">_xlfn.PERCENTRANK.EXC(_xlfn._xlws.FILTER(R$3:R$15, ISNUMBER(R$3:R$15)),R15)*100</f>
        <v>50</v>
      </c>
      <c r="W15" cm="1">
        <f t="array" ref="W15">_xlfn.PERCENTRANK.EXC(_xlfn._xlws.FILTER(S$3:S$15, ISNUMBER(S$3:S$15)),S15)*100</f>
        <v>28.499999999999996</v>
      </c>
      <c r="X15" cm="1">
        <f t="array" ref="X15">(1-_xlfn.PERCENTRANK.EXC(_xlfn._xlws.FILTER(G$3:G$15, ISNUMBER(G$3:G$15)),G15))*100</f>
        <v>92.9</v>
      </c>
      <c r="Y15" cm="1">
        <f t="array" ref="Y15">(1-_xlfn.PERCENTRANK.EXC(_xlfn._xlws.FILTER(H$3:H$15, ISNUMBER(H$3:H$15)),H15))*100</f>
        <v>92.9</v>
      </c>
      <c r="Z15" cm="1">
        <f t="array" ref="Z15">_xlfn.PERCENTRANK.EXC(_xlfn._xlws.FILTER(T$3:T$15, ISNUMBER(T$3:T$15)),T15)*100</f>
        <v>71.399999999999991</v>
      </c>
      <c r="AA15" cm="1">
        <f t="array" ref="AA15">_xlfn.PERCENTRANK.EXC(_xlfn._xlws.FILTER(P$3:P$15, ISNUMBER(P$3:P$15)),P15)*100</f>
        <v>14.2</v>
      </c>
      <c r="AB15">
        <f>U15*Assumption!$E$40 + V15*Assumption!$F$40 + X15*Assumption!$G$40 + Y15*Assumption!$H$40 + W15*Assumption!$I$40 +Z15* Assumption!$K$40 + AA15* Assumption!$J$40</f>
        <v>73.225000000000009</v>
      </c>
      <c r="AC15" cm="1">
        <f t="array" ref="AC15">_xlfn.PERCENTRANK.EXC(_xlfn._xlws.FILTER(AB$3:AB$15, ISNUMBER(AB$3:AB$15)),AB15)*100</f>
        <v>92.800000000000011</v>
      </c>
    </row>
    <row r="16" spans="1:29" x14ac:dyDescent="0.35">
      <c r="F16" s="2"/>
      <c r="G16" s="4"/>
      <c r="H16" s="4"/>
      <c r="J16" s="52"/>
      <c r="K16" s="3"/>
    </row>
    <row r="17" spans="1:12" x14ac:dyDescent="0.35">
      <c r="F17" s="2"/>
      <c r="G17" s="4"/>
      <c r="H17" s="4"/>
      <c r="J17" s="52"/>
      <c r="K17" s="3"/>
    </row>
    <row r="18" spans="1:12" x14ac:dyDescent="0.35">
      <c r="A18" t="s">
        <v>535</v>
      </c>
      <c r="F18" s="2"/>
      <c r="G18" s="4"/>
      <c r="H18" s="4"/>
      <c r="J18" s="52"/>
      <c r="K18" s="3"/>
    </row>
    <row r="19" spans="1:12" x14ac:dyDescent="0.35">
      <c r="A19" t="s">
        <v>536</v>
      </c>
      <c r="B19" t="s">
        <v>161</v>
      </c>
      <c r="C19" t="s">
        <v>537</v>
      </c>
      <c r="D19" t="str">
        <f>A19</f>
        <v>VGK</v>
      </c>
      <c r="F19" s="2" cm="1">
        <f t="array" ref="F19">_xll.FDS(D19,"JULIAN(FMA_DIV_YLD(NTMA,NOW,NOW,M,""PORTAGG"",""MEANR"").dates)")</f>
        <v>45412</v>
      </c>
      <c r="G19" s="4" cm="1">
        <f t="array" ref="G19">_xll.FDS(D19,"FG_PE(0)")</f>
        <v>12.9336206201944</v>
      </c>
      <c r="H19" s="4" cm="1">
        <f t="array" ref="H19">_xll.FDS(D19,"FG_PE_NTM(0,,,90,0)")</f>
        <v>13.3039597645461</v>
      </c>
      <c r="I19" cm="1">
        <f t="array" ref="I19">_xll.FDS(D19,"FMA_DIV_YLD(NTMA,NOW,NOW,M,""PORTAGG"",""MEANR"")")</f>
        <v>3.5182835563252102</v>
      </c>
      <c r="J19" s="52" cm="1">
        <f t="array" ref="J19">_xll.FDS(D19,"FG_FCF_YIELD_NTM(0)")</f>
        <v>5.34772248371043</v>
      </c>
      <c r="K19" s="3" cm="1">
        <f t="array" ref="K19">_xll.FDS(D19,"FMA_EVAL_EBITDA(NTMA,0,,,""PORTAGG"",""MEANR"")")</f>
        <v>8.8402140453931093</v>
      </c>
      <c r="L19" cm="1">
        <f t="array" ref="L19">_xll.FDS(D19,"FMA_EVAL_EBIT(LTMA,NOW,NOW,M,""PORTAGG"",""MEANR"")")</f>
        <v>13.2004532321572</v>
      </c>
    </row>
    <row r="20" spans="1:12" x14ac:dyDescent="0.35">
      <c r="A20" t="s">
        <v>6</v>
      </c>
      <c r="C20" t="s">
        <v>538</v>
      </c>
      <c r="D20" t="str">
        <f>A20</f>
        <v>VWO</v>
      </c>
      <c r="F20" s="2" cm="1">
        <f t="array" ref="F20">_xll.FDS(D20,"JULIAN(FMA_DIV_YLD(NTMA,NOW,NOW,M,""PORTAGG"",""MEANR"").dates)")</f>
        <v>45412</v>
      </c>
      <c r="G20" s="4" cm="1">
        <f t="array" ref="G20">_xll.FDS(D20,"FG_PE(0)")</f>
        <v>14.384081722648499</v>
      </c>
      <c r="H20" s="4" cm="1">
        <f t="array" ref="H20">_xll.FDS(D20,"FG_PE_NTM(0,,,90,0)")</f>
        <v>12.748522204870699</v>
      </c>
      <c r="I20" cm="1">
        <f t="array" ref="I20">_xll.FDS(D20,"FMA_DIV_YLD(NTMA,NOW,NOW,M,""PORTAGG"",""MEANR"")")</f>
        <v>3.0646494344925301</v>
      </c>
      <c r="J20" s="52" cm="1">
        <f t="array" ref="J20">_xll.FDS(D20,"FG_FCF_YIELD_NTM(0)")</f>
        <v>5.3830120557979697</v>
      </c>
      <c r="K20" s="3" cm="1">
        <f t="array" ref="K20">_xll.FDS(D20,"FMA_EVAL_EBITDA(NTMA,0,,,""PORTAGG"",""MEANR"")")</f>
        <v>8.9050378322287198</v>
      </c>
      <c r="L20" cm="1">
        <f t="array" ref="L20">_xll.FDS(D20,"FMA_EVAL_EBIT(LTMA,NOW,NOW,M,""PORTAGG"",""MEANR"")")</f>
        <v>14.3813872657677</v>
      </c>
    </row>
    <row r="21" spans="1:12" x14ac:dyDescent="0.35">
      <c r="F21" s="2"/>
      <c r="G21" s="4"/>
      <c r="H21" s="4"/>
      <c r="J21" s="52"/>
      <c r="K21" s="3"/>
    </row>
    <row r="22" spans="1:12" x14ac:dyDescent="0.35">
      <c r="B22" t="s">
        <v>776</v>
      </c>
      <c r="C22" t="s">
        <v>544</v>
      </c>
      <c r="D22" t="s">
        <v>777</v>
      </c>
      <c r="F22" s="2"/>
      <c r="G22" s="4"/>
      <c r="H22" s="4"/>
      <c r="J22" s="52"/>
      <c r="K22" s="3"/>
    </row>
    <row r="23" spans="1:12" x14ac:dyDescent="0.35">
      <c r="B23" t="s">
        <v>170</v>
      </c>
      <c r="C23" t="s">
        <v>720</v>
      </c>
      <c r="D23" cm="1">
        <f t="array" ref="D23">IFERROR(IFERROR(IFERROR(_xll.FDS(B23,"IMF_IFS_RCPI_Q(0)"),_xll.FDS(B23,"IMF_IFS_RCPI_Q(-1AM)")),_xll.FDS(B23,"IMF_IFS_RCPI_Q(-2AM)")),_xll.FDS(B23,"IMF_IFS_RCPI_Q(-3AM)"))</f>
        <v>3.2095159999999998</v>
      </c>
    </row>
    <row r="33" spans="4:5" x14ac:dyDescent="0.35">
      <c r="D33" s="1"/>
      <c r="E33" s="1"/>
    </row>
    <row r="40" spans="4:5" x14ac:dyDescent="0.35">
      <c r="D40" s="1"/>
      <c r="E40" s="1"/>
    </row>
    <row r="45" spans="4:5" x14ac:dyDescent="0.35">
      <c r="D45" s="1"/>
      <c r="E45" s="1"/>
    </row>
    <row r="50" spans="4:5" x14ac:dyDescent="0.35">
      <c r="D50" s="1"/>
      <c r="E50" s="1"/>
    </row>
    <row r="51" spans="4:5" x14ac:dyDescent="0.35">
      <c r="D51" s="1"/>
      <c r="E51" s="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71"/>
  <sheetViews>
    <sheetView topLeftCell="A2" zoomScale="145" zoomScaleNormal="145" workbookViewId="0">
      <selection activeCell="G3" sqref="G3"/>
    </sheetView>
  </sheetViews>
  <sheetFormatPr defaultRowHeight="14.5" x14ac:dyDescent="0.35"/>
  <cols>
    <col min="2" max="2" width="12.1796875" bestFit="1" customWidth="1"/>
    <col min="3" max="3" width="15.81640625" customWidth="1"/>
    <col min="4" max="4" width="53" bestFit="1" customWidth="1"/>
    <col min="5" max="5" width="26.453125" customWidth="1"/>
    <col min="6" max="6" width="12.1796875" customWidth="1"/>
    <col min="7" max="7" width="15.1796875" customWidth="1"/>
    <col min="8" max="8" width="18.54296875" customWidth="1"/>
    <col min="9" max="9" width="17.453125" customWidth="1"/>
    <col min="10" max="10" width="17" customWidth="1"/>
    <col min="11" max="11" width="32.54296875" customWidth="1"/>
    <col min="12" max="12" width="35" customWidth="1"/>
    <col min="13" max="13" width="20.81640625" customWidth="1"/>
    <col min="14" max="14" width="9.1796875" style="37"/>
    <col min="20" max="21" width="11.453125" customWidth="1"/>
  </cols>
  <sheetData>
    <row r="1" spans="1:24" x14ac:dyDescent="0.35">
      <c r="S1" s="5">
        <f>Assumption!E43</f>
        <v>0.5</v>
      </c>
      <c r="T1" s="5">
        <f>Assumption!E44</f>
        <v>0.25</v>
      </c>
      <c r="U1" s="5">
        <f>Assumption!E45</f>
        <v>0.25</v>
      </c>
    </row>
    <row r="2" spans="1:24" x14ac:dyDescent="0.35">
      <c r="A2" t="s">
        <v>0</v>
      </c>
      <c r="B2" s="25" t="s">
        <v>96</v>
      </c>
      <c r="C2" s="25" t="s">
        <v>97</v>
      </c>
      <c r="D2" s="25" t="s">
        <v>98</v>
      </c>
      <c r="E2" s="25" t="s">
        <v>525</v>
      </c>
      <c r="G2" s="25" t="s">
        <v>907</v>
      </c>
      <c r="H2" s="25" t="s">
        <v>381</v>
      </c>
      <c r="I2" s="25" t="s">
        <v>490</v>
      </c>
      <c r="L2" s="25" t="s">
        <v>526</v>
      </c>
      <c r="S2" s="5" t="s">
        <v>459</v>
      </c>
      <c r="T2" s="5" t="s">
        <v>458</v>
      </c>
      <c r="U2" t="s">
        <v>382</v>
      </c>
      <c r="V2" s="46"/>
      <c r="X2" t="s">
        <v>552</v>
      </c>
    </row>
    <row r="3" spans="1:24" x14ac:dyDescent="0.35">
      <c r="A3" t="s">
        <v>431</v>
      </c>
      <c r="B3" t="s">
        <v>197</v>
      </c>
      <c r="C3" t="s">
        <v>449</v>
      </c>
      <c r="D3" s="26" t="str" cm="1">
        <f t="array" ref="D3">_xll.FDSB(C3,"FG_YIELD_NAME")</f>
        <v>New Zealand Benchmark Bond - 10 Year</v>
      </c>
      <c r="E3" s="26" cm="1">
        <f t="array" ref="E3">IFERROR(_xll.FDS(C3,"FG_YIELD(0,,,,""YTM"")"),$E$18)</f>
        <v>4.6627000000000001</v>
      </c>
      <c r="G3" s="26" cm="1">
        <f t="array" ref="G3">_xll.FDSB(C3,"PCTCHG(FG_YIELD(0,,,,""YTM""),FG_YIELD(-1AM,,,,""YTM""))")</f>
        <v>-1.3143400000000001</v>
      </c>
      <c r="H3" s="26" cm="1">
        <f t="array" ref="H3">_xll.FDSB(C3,"PCTCHG(FG_YIELD(0,,,,""YTM""),FG_YIELD(-3AM,,,,""YTM""))")</f>
        <v>0.51522016999999998</v>
      </c>
      <c r="I3" s="26"/>
      <c r="J3" s="26" t="str">
        <f>VLOOKUP(B3,mnemonics!$A$4:$D$78, 4, FALSE)</f>
        <v>REFNZOCR-FDS</v>
      </c>
      <c r="K3" s="26" t="str" cm="1">
        <f t="array" ref="K3">_xll.FDSB(J3,"PROPER_NAME(0,,,""SECURITY"",""NAME"")")</f>
        <v>New Zealand Official Cash Rate</v>
      </c>
      <c r="L3" s="26" cm="1">
        <f t="array" ref="L3">_xll.FDSB(J3,"FG_YIELD(NOW,,,0)")</f>
        <v>5.5</v>
      </c>
      <c r="M3" s="36" cm="1">
        <f t="array" ref="M3">_xll.FDSB(J3,"(SUBARRAY(NOT_NA(NO_REPEAT_F(FG_YIELD(now,-10AY,D))),0,1)-SUBARRAY(NOT_NA(NO_REPEAT_F(FG_YIELD(now,-10AY,D))),1,1))*100")</f>
        <v>25</v>
      </c>
      <c r="N3" s="38">
        <f t="shared" ref="N3:N15" si="0">M3*-1</f>
        <v>-25</v>
      </c>
      <c r="O3" s="26">
        <f>L3-E3</f>
        <v>0.83729999999999993</v>
      </c>
      <c r="S3">
        <f t="shared" ref="S3:S15" si="1">IF(M3&gt; 0, 0, 1)</f>
        <v>0</v>
      </c>
      <c r="T3">
        <f t="shared" ref="T3:T15" si="2">IF(G3&lt;0, 1, 0)</f>
        <v>1</v>
      </c>
      <c r="U3">
        <f t="shared" ref="U3:U15" si="3">IF(H3&lt;0, 1, 0)</f>
        <v>0</v>
      </c>
      <c r="V3" s="47">
        <f t="shared" ref="V3:V15" si="4">SUMPRODUCT($S$1:$U$1,S3:U3)</f>
        <v>0.25</v>
      </c>
      <c r="X3">
        <f>_xlfn.PERCENTRANK.EXC($V$3:$V$15,V3)*100</f>
        <v>14.2</v>
      </c>
    </row>
    <row r="4" spans="1:24" x14ac:dyDescent="0.35">
      <c r="A4" t="s">
        <v>44</v>
      </c>
      <c r="B4" t="s">
        <v>113</v>
      </c>
      <c r="C4" t="s">
        <v>138</v>
      </c>
      <c r="D4" s="26" t="str" cm="1">
        <f t="array" ref="D4">_xll.FDSB(C4,"FG_YIELD_NAME")</f>
        <v>Australia Benchmark Bond - 10 Year</v>
      </c>
      <c r="E4" s="26" cm="1">
        <f t="array" ref="E4">IFERROR(_xll.FDS(C4,"FG_YIELD(0,,,,""YTM"")"),$E$18)</f>
        <v>4.1909999999999998</v>
      </c>
      <c r="G4" s="26" cm="1">
        <f t="array" ref="G4">_xll.FDSB(C4,"PCTCHG(FG_YIELD(0,,,,""YTM""),FG_YIELD(-1AM,,,,""YTM""))")</f>
        <v>-3.1654363000000001</v>
      </c>
      <c r="H4" s="26" cm="1">
        <f t="array" ref="H4">_xll.FDSB(C4,"PCTCHG(FG_YIELD(0,,,,""YTM""),FG_YIELD(-3AM,,,,""YTM""))")</f>
        <v>4.3056210000000004</v>
      </c>
      <c r="I4" s="26"/>
      <c r="J4" s="26" t="str">
        <f>VLOOKUP(B4,mnemonics!$A$4:$D$78, 4, FALSE)</f>
        <v>REFAUCASH-FDS</v>
      </c>
      <c r="K4" s="26" t="str" cm="1">
        <f t="array" ref="K4">_xll.FDSB(J4,"PROPER_NAME(0,,,""SECURITY"",""NAME"")")</f>
        <v>Australia Target Cash Rate</v>
      </c>
      <c r="L4" s="26" cm="1">
        <f t="array" ref="L4">_xll.FDSB(J4,"FG_YIELD(NOW,,,0)")</f>
        <v>4.3499999999999996</v>
      </c>
      <c r="M4" s="36" cm="1">
        <f t="array" ref="M4">_xll.FDSB(J4,"(SUBARRAY(NOT_NA(NO_REPEAT_F(FG_YIELD(now,-10AY,D))),0,1)-SUBARRAY(NOT_NA(NO_REPEAT_F(FG_YIELD(now,-10AY,D))),1,1))*100")</f>
        <v>25</v>
      </c>
      <c r="N4" s="38">
        <f t="shared" si="0"/>
        <v>-25</v>
      </c>
      <c r="O4" s="26">
        <f t="shared" ref="O4:O15" si="5">L4-E4</f>
        <v>0.15899999999999981</v>
      </c>
      <c r="S4">
        <f t="shared" si="1"/>
        <v>0</v>
      </c>
      <c r="T4">
        <f t="shared" si="2"/>
        <v>1</v>
      </c>
      <c r="U4">
        <f t="shared" si="3"/>
        <v>0</v>
      </c>
      <c r="V4" s="47">
        <f t="shared" si="4"/>
        <v>0.25</v>
      </c>
      <c r="X4">
        <f t="shared" ref="X4:X15" si="6">_xlfn.PERCENTRANK.EXC($V$3:$V$15,V4)*100</f>
        <v>14.2</v>
      </c>
    </row>
    <row r="5" spans="1:24" x14ac:dyDescent="0.35">
      <c r="A5" t="s">
        <v>49</v>
      </c>
      <c r="B5" t="s">
        <v>116</v>
      </c>
      <c r="C5" t="s">
        <v>142</v>
      </c>
      <c r="D5" s="26" t="str" cm="1">
        <f t="array" ref="D5">_xll.FDSB(C5,"FG_YIELD_NAME")</f>
        <v>Canada Benchmark Bond - 10 Year</v>
      </c>
      <c r="E5" s="26" cm="1">
        <f t="array" ref="E5">IFERROR(_xll.FDS(C5,"FG_YIELD(0,,,,""YTM"")"),$E$18)</f>
        <v>3.3302999999999998</v>
      </c>
      <c r="G5" s="26" cm="1">
        <f t="array" ref="G5">_xll.FDSB(C5,"PCTCHG(FG_YIELD(0,,,,""YTM""),FG_YIELD(-1AM,,,,""YTM""))")</f>
        <v>-9.6009740000000008</v>
      </c>
      <c r="H5" s="26" cm="1">
        <f t="array" ref="H5">_xll.FDSB(C5,"PCTCHG(FG_YIELD(0,,,,""YTM""),FG_YIELD(-3AM,,,,""YTM""))")</f>
        <v>-2.8075291999999998</v>
      </c>
      <c r="I5" s="26"/>
      <c r="J5" s="26" t="str">
        <f>VLOOKUP(B5,mnemonics!$A$4:$D$78, 4, FALSE)</f>
        <v>REFCATARG-FDS</v>
      </c>
      <c r="K5" s="26" t="str" cm="1">
        <f t="array" ref="K5">_xll.FDSB(J5,"PROPER_NAME(0,,,""SECURITY"",""NAME"")")</f>
        <v>Canada Target Rate</v>
      </c>
      <c r="L5" s="26" cm="1">
        <f t="array" ref="L5">_xll.FDSB(J5,"FG_YIELD(NOW,,,0)")</f>
        <v>4.75</v>
      </c>
      <c r="M5" s="36" cm="1">
        <f t="array" ref="M5">_xll.FDSB(J5,"(SUBARRAY(NOT_NA(NO_REPEAT_F(FG_YIELD(now,-10AY,D))),0,1)-SUBARRAY(NOT_NA(NO_REPEAT_F(FG_YIELD(now,-10AY,D))),1,1))*100")</f>
        <v>-25</v>
      </c>
      <c r="N5" s="38">
        <f t="shared" si="0"/>
        <v>25</v>
      </c>
      <c r="O5" s="26">
        <f t="shared" si="5"/>
        <v>1.4197000000000002</v>
      </c>
      <c r="S5">
        <f t="shared" si="1"/>
        <v>1</v>
      </c>
      <c r="T5">
        <f t="shared" si="2"/>
        <v>1</v>
      </c>
      <c r="U5">
        <f t="shared" si="3"/>
        <v>1</v>
      </c>
      <c r="V5" s="47">
        <f t="shared" si="4"/>
        <v>1</v>
      </c>
      <c r="X5">
        <f t="shared" si="6"/>
        <v>85.7</v>
      </c>
    </row>
    <row r="6" spans="1:24" x14ac:dyDescent="0.35">
      <c r="A6" t="s">
        <v>11</v>
      </c>
      <c r="B6" t="s">
        <v>102</v>
      </c>
      <c r="C6" t="s">
        <v>19</v>
      </c>
      <c r="D6" s="26" t="str" cm="1">
        <f t="array" ref="D6">_xll.FDSB(C6,"FG_YIELD_NAME")</f>
        <v>Germany Benchmark Bond - 10 Year</v>
      </c>
      <c r="E6" s="26" cm="1">
        <f t="array" ref="E6">IFERROR(_xll.FDS(C6,"FG_YIELD(0,,,,""YTM"")"),$E$18)</f>
        <v>2.5190000000000001</v>
      </c>
      <c r="G6" s="26" cm="1">
        <f t="array" ref="G6">_xll.FDSB(C6,"PCTCHG(FG_YIELD(0,,,,""YTM""),FG_YIELD(-1AM,,,,""YTM""))")</f>
        <v>0.88106024000000005</v>
      </c>
      <c r="H6" s="26" cm="1">
        <f t="array" ref="H6">_xll.FDSB(C6,"PCTCHG(FG_YIELD(0,,,,""YTM""),FG_YIELD(-3AM,,,,""YTM""))")</f>
        <v>7.282794</v>
      </c>
      <c r="I6" s="26"/>
      <c r="J6" s="26" t="str">
        <f>VLOOKUP(B6,mnemonics!$A$4:$D$78, 4, FALSE)</f>
        <v>REFEUREFI-FDS</v>
      </c>
      <c r="K6" s="26" t="str" cm="1">
        <f t="array" ref="K6">_xll.FDSB(J6,"PROPER_NAME(0,,,""SECURITY"",""NAME"")")</f>
        <v>Eurozone Main Refinancing Operations Minimum Bid Rate</v>
      </c>
      <c r="L6" s="26" cm="1">
        <f t="array" ref="L6">_xll.FDSB(J6,"FG_YIELD(NOW,,,0)")</f>
        <v>4.25</v>
      </c>
      <c r="M6" s="36" cm="1">
        <f t="array" ref="M6">_xll.FDSB(J6,"(SUBARRAY(NOT_NA(NO_REPEAT_F(FG_YIELD(now,-10AY,D))),0,1)-SUBARRAY(NOT_NA(NO_REPEAT_F(FG_YIELD(now,-10AY,D))),1,1))*100")</f>
        <v>-25</v>
      </c>
      <c r="N6" s="38">
        <f t="shared" si="0"/>
        <v>25</v>
      </c>
      <c r="O6" s="26">
        <f t="shared" si="5"/>
        <v>1.7309999999999999</v>
      </c>
      <c r="S6">
        <f t="shared" si="1"/>
        <v>1</v>
      </c>
      <c r="T6">
        <f t="shared" si="2"/>
        <v>0</v>
      </c>
      <c r="U6">
        <f t="shared" si="3"/>
        <v>0</v>
      </c>
      <c r="V6" s="47">
        <f t="shared" si="4"/>
        <v>0.5</v>
      </c>
      <c r="X6">
        <f t="shared" si="6"/>
        <v>50</v>
      </c>
    </row>
    <row r="7" spans="1:24" x14ac:dyDescent="0.35">
      <c r="A7" t="s">
        <v>46</v>
      </c>
      <c r="B7" t="s">
        <v>114</v>
      </c>
      <c r="C7" t="s">
        <v>139</v>
      </c>
      <c r="D7" s="26" t="str" cm="1">
        <f t="array" ref="D7">_xll.FDSB(C7,"FG_YIELD_NAME")</f>
        <v>Japan Benchmark Bond - 10 Year</v>
      </c>
      <c r="E7" s="26" cm="1">
        <f t="array" ref="E7">IFERROR(_xll.FDS(C7,"FG_YIELD(0,,,,""YTM"")"),$E$18)</f>
        <v>0.97889999999999999</v>
      </c>
      <c r="G7" s="26" cm="1">
        <f t="array" ref="G7">_xll.FDSB(C7,"PCTCHG(FG_YIELD(0,,,,""YTM""),FG_YIELD(-1AM,,,,""YTM""))")</f>
        <v>3.9282303000000001</v>
      </c>
      <c r="H7" s="26" cm="1">
        <f t="array" ref="H7">_xll.FDSB(C7,"PCTCHG(FG_YIELD(0,,,,""YTM""),FG_YIELD(-3AM,,,,""YTM""))")</f>
        <v>28.717949000000001</v>
      </c>
      <c r="I7" s="26"/>
      <c r="J7" s="26" t="str">
        <f>VLOOKUP(B7,mnemonics!$A$4:$D$78, 4, FALSE)</f>
        <v>REFJPTON-FDS</v>
      </c>
      <c r="K7" s="26" t="str" cm="1">
        <f t="array" ref="K7">_xll.FDSB(J7,"PROPER_NAME(0,,,""SECURITY"",""NAME"")")</f>
        <v>Japan Policy Rate</v>
      </c>
      <c r="L7" s="26" cm="1">
        <f t="array" ref="L7">_xll.FDSB(J7,"FG_YIELD(NOW,,,0)")</f>
        <v>0.1</v>
      </c>
      <c r="M7" s="36" cm="1">
        <f t="array" ref="M7">_xll.FDSB(J7,"(SUBARRAY(NOT_NA(NO_REPEAT_F(FG_YIELD(now,-10AY,D))),0,1)-SUBARRAY(NOT_NA(NO_REPEAT_F(FG_YIELD(now,-10AY,D))),1,1))*100")</f>
        <v>10</v>
      </c>
      <c r="N7" s="38">
        <f t="shared" si="0"/>
        <v>-10</v>
      </c>
      <c r="O7" s="26">
        <f t="shared" si="5"/>
        <v>-0.87890000000000001</v>
      </c>
      <c r="S7">
        <f t="shared" si="1"/>
        <v>0</v>
      </c>
      <c r="T7">
        <f t="shared" si="2"/>
        <v>0</v>
      </c>
      <c r="U7">
        <f t="shared" si="3"/>
        <v>0</v>
      </c>
      <c r="V7" s="47">
        <f t="shared" si="4"/>
        <v>0</v>
      </c>
      <c r="X7">
        <f t="shared" si="6"/>
        <v>7.1</v>
      </c>
    </row>
    <row r="8" spans="1:24" x14ac:dyDescent="0.35">
      <c r="A8" t="s">
        <v>42</v>
      </c>
      <c r="B8" t="s">
        <v>110</v>
      </c>
      <c r="C8" t="s">
        <v>135</v>
      </c>
      <c r="D8" s="26" t="str" cm="1">
        <f t="array" ref="D8">_xll.FDSB(C8,"FG_YIELD_NAME")</f>
        <v>Treasury - Switzerland Benchmark Bond 10Y</v>
      </c>
      <c r="E8" s="26" cm="1">
        <f t="array" ref="E8">IFERROR(_xll.FDS(C8,"FG_YIELD(0,,,,""YTM"")"),$E$18)</f>
        <v>0.78700000000000003</v>
      </c>
      <c r="G8" s="26" cm="1">
        <f t="array" ref="G8">_xll.FDSB(C8,"PCTCHG(FG_YIELD(0,,,,""YTM""),FG_YIELD(-1AM,,,,""YTM""))")</f>
        <v>1.2870001</v>
      </c>
      <c r="H8" s="26" cm="1">
        <f t="array" ref="H8">_xll.FDSB(C8,"PCTCHG(FG_YIELD(0,,,,""YTM""),FG_YIELD(-3AM,,,,""YTM""))")</f>
        <v>2.207795</v>
      </c>
      <c r="I8" s="26"/>
      <c r="J8" s="26" t="str">
        <f>VLOOKUP(B8,mnemonics!$A$4:$D$78, 4, FALSE)</f>
        <v>REFCHMPR-FDS</v>
      </c>
      <c r="K8" s="26" t="str" cm="1">
        <f t="array" ref="K8">_xll.FDSB(J8,"PROPER_NAME(0,,,""SECURITY"",""NAME"")")</f>
        <v>Swiss Policy Rate - Sight Deposit Rate</v>
      </c>
      <c r="L8" s="26" cm="1">
        <f t="array" ref="L8">_xll.FDSB(J8,"FG_YIELD(NOW,,,0)")</f>
        <v>1.5</v>
      </c>
      <c r="M8" s="36" cm="1">
        <f t="array" ref="M8">_xll.FDSB(J8,"(SUBARRAY(NOT_NA(NO_REPEAT_F(FG_YIELD(now,-10AY,D))),0,1)-SUBARRAY(NOT_NA(NO_REPEAT_F(FG_YIELD(now,-10AY,D))),1,1))*100")</f>
        <v>-25</v>
      </c>
      <c r="N8" s="38">
        <f t="shared" si="0"/>
        <v>25</v>
      </c>
      <c r="O8" s="26">
        <f t="shared" si="5"/>
        <v>0.71299999999999997</v>
      </c>
      <c r="S8">
        <f t="shared" si="1"/>
        <v>1</v>
      </c>
      <c r="T8">
        <f t="shared" si="2"/>
        <v>0</v>
      </c>
      <c r="U8">
        <f t="shared" si="3"/>
        <v>0</v>
      </c>
      <c r="V8" s="47">
        <f t="shared" si="4"/>
        <v>0.5</v>
      </c>
      <c r="X8">
        <f t="shared" si="6"/>
        <v>50</v>
      </c>
    </row>
    <row r="9" spans="1:24" x14ac:dyDescent="0.35">
      <c r="A9" t="s">
        <v>48</v>
      </c>
      <c r="B9" t="s">
        <v>115</v>
      </c>
      <c r="C9" t="s">
        <v>141</v>
      </c>
      <c r="D9" s="26" t="str" cm="1">
        <f t="array" ref="D9">_xll.FDSB(C9,"FG_YIELD_NAME")</f>
        <v>United Kingdom Benchmark Bond - 10 Year</v>
      </c>
      <c r="E9" s="26" cm="1">
        <f t="array" ref="E9">IFERROR(_xll.FDS(C9,"FG_YIELD(0,,,,""YTM"")"),$E$18)</f>
        <v>4.1520000000000001</v>
      </c>
      <c r="G9" s="26" cm="1">
        <f t="array" ref="G9">_xll.FDSB(C9,"PCTCHG(FG_YIELD(0,,,,""YTM""),FG_YIELD(-1AM,,,,""YTM""))")</f>
        <v>-4.8142873000000003E-2</v>
      </c>
      <c r="H9" s="26" cm="1">
        <f t="array" ref="H9">_xll.FDSB(C9,"PCTCHG(FG_YIELD(0,,,,""YTM""),FG_YIELD(-3AM,,,,""YTM""))")</f>
        <v>1.1695873000000001</v>
      </c>
      <c r="I9" s="26"/>
      <c r="J9" s="26" t="str">
        <f>VLOOKUP(B9,mnemonics!$A$4:$D$78, 4, FALSE)</f>
        <v>REFGBBANK-FDS</v>
      </c>
      <c r="K9" s="26" t="str" cm="1">
        <f t="array" ref="K9">_xll.FDSB(J9,"PROPER_NAME(0,,,""SECURITY"",""NAME"")")</f>
        <v>UK Bank Rate</v>
      </c>
      <c r="L9" s="26" cm="1">
        <f t="array" ref="L9">_xll.FDSB(J9,"FG_YIELD(NOW,,,0)")</f>
        <v>5.25</v>
      </c>
      <c r="M9" s="36" cm="1">
        <f t="array" ref="M9">_xll.FDSB(J9,"(SUBARRAY(NOT_NA(NO_REPEAT_F(FG_YIELD(now,-10AY,D))),0,1)-SUBARRAY(NOT_NA(NO_REPEAT_F(FG_YIELD(now,-10AY,D))),1,1))*100")</f>
        <v>25</v>
      </c>
      <c r="N9" s="38">
        <f t="shared" si="0"/>
        <v>-25</v>
      </c>
      <c r="O9" s="26">
        <f t="shared" si="5"/>
        <v>1.0979999999999999</v>
      </c>
      <c r="S9">
        <f t="shared" si="1"/>
        <v>0</v>
      </c>
      <c r="T9">
        <f t="shared" si="2"/>
        <v>1</v>
      </c>
      <c r="U9">
        <f t="shared" si="3"/>
        <v>0</v>
      </c>
      <c r="V9" s="47">
        <f t="shared" si="4"/>
        <v>0.25</v>
      </c>
      <c r="X9">
        <f t="shared" si="6"/>
        <v>14.2</v>
      </c>
    </row>
    <row r="10" spans="1:24" x14ac:dyDescent="0.35">
      <c r="A10" t="s">
        <v>51</v>
      </c>
      <c r="B10" t="s">
        <v>119</v>
      </c>
      <c r="C10" t="s">
        <v>14</v>
      </c>
      <c r="D10" s="26" t="str" cm="1">
        <f t="array" ref="D10">_xll.FDSB(C10,"FG_YIELD_NAME")</f>
        <v>US Benchmark Bond - 10 Year</v>
      </c>
      <c r="E10" s="26" cm="1">
        <f t="array" ref="E10">IFERROR(_xll.FDS(C10,"FG_YIELD(0,,,,""YTM"")"),$E$18)</f>
        <v>4.2389000000000001</v>
      </c>
      <c r="G10" s="26" cm="1">
        <f t="array" ref="G10">_xll.FDSB(C10,"PCTCHG(FG_YIELD(0,,,,""YTM""),FG_YIELD(-1AM,,,,""YTM""))")</f>
        <v>-5.4576669999999998</v>
      </c>
      <c r="H10" s="26" cm="1">
        <f t="array" ref="H10">_xll.FDSB(C10,"PCTCHG(FG_YIELD(0,,,,""YTM""),FG_YIELD(-3AM,,,,""YTM""))")</f>
        <v>1.1574088</v>
      </c>
      <c r="I10" s="26"/>
      <c r="J10" s="26" t="str">
        <f>VLOOKUP(B10,mnemonics!$A$4:$D$78, 4, FALSE)</f>
        <v>REFFFUND-FDS</v>
      </c>
      <c r="K10" s="26" t="str" cm="1">
        <f t="array" ref="K10">_xll.FDSB(J10,"PROPER_NAME(0,,,""SECURITY"",""NAME"")")</f>
        <v>US Federal Funds Target Rate</v>
      </c>
      <c r="L10" s="26" cm="1">
        <f t="array" ref="L10">_xll.FDSB(J10,"FG_YIELD(NOW,,,0)")</f>
        <v>5.5</v>
      </c>
      <c r="M10" s="36" cm="1">
        <f t="array" ref="M10">_xll.FDSB(J10,"(SUBARRAY(NOT_NA(NO_REPEAT_F(FG_YIELD(now,-10AY,D))),0,1)-SUBARRAY(NOT_NA(NO_REPEAT_F(FG_YIELD(now,-10AY,D))),1,1))*100")</f>
        <v>25</v>
      </c>
      <c r="N10" s="38">
        <f t="shared" si="0"/>
        <v>-25</v>
      </c>
      <c r="O10" s="26">
        <f t="shared" si="5"/>
        <v>1.2610999999999999</v>
      </c>
      <c r="S10">
        <f t="shared" si="1"/>
        <v>0</v>
      </c>
      <c r="T10">
        <f t="shared" si="2"/>
        <v>1</v>
      </c>
      <c r="U10">
        <f t="shared" si="3"/>
        <v>0</v>
      </c>
      <c r="V10" s="47">
        <f t="shared" si="4"/>
        <v>0.25</v>
      </c>
      <c r="X10">
        <f t="shared" si="6"/>
        <v>14.2</v>
      </c>
    </row>
    <row r="11" spans="1:24" x14ac:dyDescent="0.35">
      <c r="A11" t="s">
        <v>1</v>
      </c>
      <c r="B11" t="s">
        <v>119</v>
      </c>
      <c r="C11" t="s">
        <v>14</v>
      </c>
      <c r="D11" s="26" t="str" cm="1">
        <f t="array" ref="D11">_xll.FDSB(C11,"FG_YIELD_NAME")</f>
        <v>US Benchmark Bond - 10 Year</v>
      </c>
      <c r="E11" s="26" cm="1">
        <f t="array" ref="E11">IFERROR(_xll.FDS(C11,"FG_YIELD(0,,,,""YTM"")"),$E$18)</f>
        <v>4.2389000000000001</v>
      </c>
      <c r="G11" s="26" cm="1">
        <f t="array" ref="G11">_xll.FDSB(C11,"PCTCHG(FG_YIELD(0,,,,""YTM""),FG_YIELD(-1AM,,,,""YTM""))")</f>
        <v>-5.4576669999999998</v>
      </c>
      <c r="H11" s="26" cm="1">
        <f t="array" ref="H11">_xll.FDSB(C11,"PCTCHG(FG_YIELD(0,,,,""YTM""),FG_YIELD(-3AM,,,,""YTM""))")</f>
        <v>1.1574088</v>
      </c>
      <c r="I11" s="26"/>
      <c r="J11" s="26" t="str">
        <f>VLOOKUP(B11,mnemonics!$A$4:$D$78, 4, FALSE)</f>
        <v>REFFFUND-FDS</v>
      </c>
      <c r="K11" s="26" t="str" cm="1">
        <f t="array" ref="K11">_xll.FDSB(J11,"PROPER_NAME(0,,,""SECURITY"",""NAME"")")</f>
        <v>US Federal Funds Target Rate</v>
      </c>
      <c r="L11" s="26" cm="1">
        <f t="array" ref="L11">_xll.FDSB(J11,"FG_YIELD(NOW,,,0)")</f>
        <v>5.5</v>
      </c>
      <c r="M11" s="36" cm="1">
        <f t="array" ref="M11">_xll.FDSB(J11,"(SUBARRAY(NOT_NA(NO_REPEAT_F(FG_YIELD(now,-10AY,D))),0,1)-SUBARRAY(NOT_NA(NO_REPEAT_F(FG_YIELD(now,-10AY,D))),1,1))*100")</f>
        <v>25</v>
      </c>
      <c r="N11" s="38">
        <f t="shared" si="0"/>
        <v>-25</v>
      </c>
      <c r="O11" s="26">
        <f t="shared" si="5"/>
        <v>1.2610999999999999</v>
      </c>
      <c r="S11">
        <f t="shared" si="1"/>
        <v>0</v>
      </c>
      <c r="T11">
        <f t="shared" si="2"/>
        <v>1</v>
      </c>
      <c r="U11">
        <f t="shared" si="3"/>
        <v>0</v>
      </c>
      <c r="V11" s="47">
        <f t="shared" si="4"/>
        <v>0.25</v>
      </c>
      <c r="X11">
        <f t="shared" si="6"/>
        <v>14.2</v>
      </c>
    </row>
    <row r="12" spans="1:24" x14ac:dyDescent="0.35">
      <c r="A12" t="s">
        <v>865</v>
      </c>
      <c r="B12" t="s">
        <v>106</v>
      </c>
      <c r="C12" t="s">
        <v>133</v>
      </c>
      <c r="D12" s="26" t="str" cm="1">
        <f t="array" ref="D12">_xll.FDSB(C12,"FG_YIELD_NAME")</f>
        <v>France Benchmark Bond - 10 Year</v>
      </c>
      <c r="E12" s="26" cm="1">
        <f t="array" ref="E12">IFERROR(_xll.FDS(C12,"FG_YIELD(0,,,,""YTM"")"),$E$18)</f>
        <v>3.1720000000000002</v>
      </c>
      <c r="G12" s="26" cm="1">
        <f t="array" ref="G12">_xll.FDSB(C12,"PCTCHG(FG_YIELD(0,,,,""YTM""),FG_YIELD(-1AM,,,,""YTM""))")</f>
        <v>6.4786786999999997</v>
      </c>
      <c r="H12" s="26" cm="1">
        <f t="array" ref="H12">_xll.FDSB(C12,"PCTCHG(FG_YIELD(0,,,,""YTM""),FG_YIELD(-3AM,,,,""YTM""))")</f>
        <v>13.732516</v>
      </c>
      <c r="I12" s="26"/>
      <c r="J12" s="26" t="str">
        <f>VLOOKUP(B12,mnemonics!$A$4:$D$78, 4, FALSE)</f>
        <v>REFEUREFI-FDS</v>
      </c>
      <c r="K12" s="26" t="str" cm="1">
        <f t="array" ref="K12">_xll.FDSB(J12,"PROPER_NAME(0,,,""SECURITY"",""NAME"")")</f>
        <v>Eurozone Main Refinancing Operations Minimum Bid Rate</v>
      </c>
      <c r="L12" s="26" cm="1">
        <f t="array" ref="L12">_xll.FDSB(J12,"FG_YIELD(NOW,,,0)")</f>
        <v>4.25</v>
      </c>
      <c r="M12" s="36" cm="1">
        <f t="array" ref="M12">_xll.FDSB(J12,"(SUBARRAY(NOT_NA(NO_REPEAT_F(FG_YIELD(now,-10AY,D))),0,1)-SUBARRAY(NOT_NA(NO_REPEAT_F(FG_YIELD(now,-10AY,D))),1,1))*100")</f>
        <v>-25</v>
      </c>
      <c r="N12" s="38">
        <f t="shared" si="0"/>
        <v>25</v>
      </c>
      <c r="O12" s="26">
        <f t="shared" si="5"/>
        <v>1.0779999999999998</v>
      </c>
      <c r="S12">
        <f t="shared" si="1"/>
        <v>1</v>
      </c>
      <c r="T12">
        <f t="shared" si="2"/>
        <v>0</v>
      </c>
      <c r="U12">
        <f t="shared" si="3"/>
        <v>0</v>
      </c>
      <c r="V12" s="47">
        <f t="shared" si="4"/>
        <v>0.5</v>
      </c>
      <c r="X12">
        <f t="shared" si="6"/>
        <v>50</v>
      </c>
    </row>
    <row r="13" spans="1:24" x14ac:dyDescent="0.35">
      <c r="A13" t="s">
        <v>867</v>
      </c>
      <c r="B13" t="s">
        <v>875</v>
      </c>
      <c r="C13" t="s">
        <v>877</v>
      </c>
      <c r="D13" s="26" t="str" cm="1">
        <f t="array" ref="D13">_xll.FDSB(C13,"FG_YIELD_NAME")</f>
        <v>Netherlands Benchmark Bond - 10 Year</v>
      </c>
      <c r="E13" s="26" cm="1">
        <f t="array" ref="E13">IFERROR(_xll.FDS(C13,"FG_YIELD(0,,,,""YTM"")"),$E$18)</f>
        <v>2.847</v>
      </c>
      <c r="G13" s="26" cm="1">
        <f t="array" ref="G13">_xll.FDSB(C13,"PCTCHG(FG_YIELD(0,,,,""YTM""),FG_YIELD(-1AM,,,,""YTM""))")</f>
        <v>1.8604582999999999</v>
      </c>
      <c r="H13" s="26" cm="1">
        <f t="array" ref="H13">_xll.FDSB(C13,"PCTCHG(FG_YIELD(0,,,,""YTM""),FG_YIELD(-3AM,,,,""YTM""))")</f>
        <v>7.8817716000000004</v>
      </c>
      <c r="I13" s="26"/>
      <c r="J13" s="26" t="str">
        <f>VLOOKUP(B13,mnemonics!$A$4:$D$78, 4, FALSE)</f>
        <v>REFEUREFI-FDS</v>
      </c>
      <c r="K13" s="26" t="str" cm="1">
        <f t="array" ref="K13">_xll.FDSB(J13,"PROPER_NAME(0,,,""SECURITY"",""NAME"")")</f>
        <v>Eurozone Main Refinancing Operations Minimum Bid Rate</v>
      </c>
      <c r="L13" s="26" cm="1">
        <f t="array" ref="L13">_xll.FDSB(J13,"FG_YIELD(NOW,,,0)")</f>
        <v>4.25</v>
      </c>
      <c r="M13" s="36" cm="1">
        <f t="array" ref="M13">_xll.FDSB(J13,"(SUBARRAY(NOT_NA(NO_REPEAT_F(FG_YIELD(now,-10AY,D))),0,1)-SUBARRAY(NOT_NA(NO_REPEAT_F(FG_YIELD(now,-10AY,D))),1,1))*100")</f>
        <v>-25</v>
      </c>
      <c r="N13" s="38">
        <f t="shared" si="0"/>
        <v>25</v>
      </c>
      <c r="O13" s="26">
        <f t="shared" si="5"/>
        <v>1.403</v>
      </c>
      <c r="S13">
        <f t="shared" si="1"/>
        <v>1</v>
      </c>
      <c r="T13">
        <f t="shared" si="2"/>
        <v>0</v>
      </c>
      <c r="U13">
        <f t="shared" si="3"/>
        <v>0</v>
      </c>
      <c r="V13" s="47">
        <f t="shared" si="4"/>
        <v>0.5</v>
      </c>
      <c r="X13">
        <f t="shared" si="6"/>
        <v>50</v>
      </c>
    </row>
    <row r="14" spans="1:24" x14ac:dyDescent="0.35">
      <c r="A14" t="s">
        <v>864</v>
      </c>
      <c r="B14" t="s">
        <v>272</v>
      </c>
      <c r="C14" t="s">
        <v>878</v>
      </c>
      <c r="D14" s="26" t="str" cm="1">
        <f t="array" ref="D14">_xll.FDSB(C14,"FG_YIELD_NAME")</f>
        <v>Sweden Benchmark Bond - 10 Year</v>
      </c>
      <c r="E14" s="26" cm="1">
        <f t="array" ref="E14">IFERROR(_xll.FDS(C14,"FG_YIELD(0,,,,""YTM"")"),$E$18)</f>
        <v>2.2269999999999999</v>
      </c>
      <c r="G14" s="26" cm="1">
        <f t="array" ref="G14">_xll.FDSB(C14,"PCTCHG(FG_YIELD(0,,,,""YTM""),FG_YIELD(-1AM,,,,""YTM""))")</f>
        <v>-5.1129055000000001</v>
      </c>
      <c r="H14" s="26" cm="1">
        <f t="array" ref="H14">_xll.FDSB(C14,"PCTCHG(FG_YIELD(0,,,,""YTM""),FG_YIELD(-3AM,,,,""YTM""))")</f>
        <v>-3.0052268999999998</v>
      </c>
      <c r="I14" s="26"/>
      <c r="J14" s="26" t="str">
        <f>VLOOKUP(B14,mnemonics!$A$4:$D$78, 4, FALSE)</f>
        <v>REFSEREPO-FDS</v>
      </c>
      <c r="K14" s="26" t="str" cm="1">
        <f t="array" ref="K14">_xll.FDSB(J14,"PROPER_NAME(0,,,""SECURITY"",""NAME"")")</f>
        <v>Sweden Repo Rate</v>
      </c>
      <c r="L14" s="26" cm="1">
        <f t="array" ref="L14">_xll.FDSB(J14,"FG_YIELD(NOW,,,0)")</f>
        <v>3.75</v>
      </c>
      <c r="M14" s="36" cm="1">
        <f t="array" ref="M14">_xll.FDSB(J14,"(SUBARRAY(NOT_NA(NO_REPEAT_F(FG_YIELD(now,-10AY,D))),0,1)-SUBARRAY(NOT_NA(NO_REPEAT_F(FG_YIELD(now,-10AY,D))),1,1))*100")</f>
        <v>-25</v>
      </c>
      <c r="N14" s="38">
        <f t="shared" si="0"/>
        <v>25</v>
      </c>
      <c r="O14" s="26">
        <f t="shared" si="5"/>
        <v>1.5230000000000001</v>
      </c>
      <c r="S14">
        <f t="shared" si="1"/>
        <v>1</v>
      </c>
      <c r="T14">
        <f t="shared" si="2"/>
        <v>1</v>
      </c>
      <c r="U14">
        <f t="shared" si="3"/>
        <v>1</v>
      </c>
      <c r="V14" s="47">
        <f t="shared" si="4"/>
        <v>1</v>
      </c>
      <c r="X14">
        <f t="shared" si="6"/>
        <v>85.7</v>
      </c>
    </row>
    <row r="15" spans="1:24" x14ac:dyDescent="0.35">
      <c r="A15" t="s">
        <v>866</v>
      </c>
      <c r="B15" t="s">
        <v>876</v>
      </c>
      <c r="C15" t="s">
        <v>879</v>
      </c>
      <c r="D15" s="26" t="str" cm="1">
        <f t="array" ref="D15">_xll.FDSB(C15,"FG_YIELD_NAME")</f>
        <v>Italy Benchmark Bond - 10 Year</v>
      </c>
      <c r="E15" s="26" cm="1">
        <f t="array" ref="E15">IFERROR(_xll.FDS(C15,"FG_YIELD(0,,,,""YTM"")"),$E$18)</f>
        <v>3.976</v>
      </c>
      <c r="G15" s="26" cm="1">
        <f t="array" ref="G15">_xll.FDSB(C15,"PCTCHG(FG_YIELD(0,,,,""YTM""),FG_YIELD(-1AM,,,,""YTM""))")</f>
        <v>4.6866764999999999</v>
      </c>
      <c r="H15" s="26" cm="1">
        <f t="array" ref="H15">_xll.FDSB(C15,"PCTCHG(FG_YIELD(0,,,,""YTM""),FG_YIELD(-3AM,,,,""YTM""))")</f>
        <v>10.937499000000001</v>
      </c>
      <c r="I15" s="26"/>
      <c r="J15" s="26" t="str">
        <f>VLOOKUP(B15,mnemonics!$A$4:$D$78, 4, FALSE)</f>
        <v>REFEUREFI-FDS</v>
      </c>
      <c r="K15" s="26" t="str" cm="1">
        <f t="array" ref="K15">_xll.FDSB(J15,"PROPER_NAME(0,,,""SECURITY"",""NAME"")")</f>
        <v>Eurozone Main Refinancing Operations Minimum Bid Rate</v>
      </c>
      <c r="L15" s="26" cm="1">
        <f t="array" ref="L15">_xll.FDSB(J15,"FG_YIELD(NOW,,,0)")</f>
        <v>4.25</v>
      </c>
      <c r="M15" s="36" cm="1">
        <f t="array" ref="M15">_xll.FDSB(J15,"(SUBARRAY(NOT_NA(NO_REPEAT_F(FG_YIELD(now,-10AY,D))),0,1)-SUBARRAY(NOT_NA(NO_REPEAT_F(FG_YIELD(now,-10AY,D))),1,1))*100")</f>
        <v>-25</v>
      </c>
      <c r="N15" s="38">
        <f t="shared" si="0"/>
        <v>25</v>
      </c>
      <c r="O15" s="26">
        <f t="shared" si="5"/>
        <v>0.27400000000000002</v>
      </c>
      <c r="S15">
        <f t="shared" si="1"/>
        <v>1</v>
      </c>
      <c r="T15">
        <f t="shared" si="2"/>
        <v>0</v>
      </c>
      <c r="U15">
        <f t="shared" si="3"/>
        <v>0</v>
      </c>
      <c r="V15" s="47">
        <f t="shared" si="4"/>
        <v>0.5</v>
      </c>
      <c r="X15">
        <f t="shared" si="6"/>
        <v>50</v>
      </c>
    </row>
    <row r="16" spans="1:24" x14ac:dyDescent="0.35">
      <c r="D16" s="26"/>
      <c r="E16" s="26"/>
      <c r="G16" s="26"/>
      <c r="H16" s="26"/>
      <c r="J16" s="26"/>
      <c r="K16" s="26"/>
      <c r="L16" s="26"/>
      <c r="M16" s="36"/>
      <c r="N16" s="38"/>
      <c r="V16" s="50"/>
    </row>
    <row r="17" spans="1:22" x14ac:dyDescent="0.35">
      <c r="D17" s="26"/>
      <c r="E17" s="26"/>
      <c r="G17" s="26"/>
      <c r="H17" s="26"/>
      <c r="J17" s="26"/>
      <c r="K17" s="26"/>
      <c r="L17" s="26"/>
      <c r="M17" s="36"/>
      <c r="N17" s="38"/>
      <c r="V17" s="50"/>
    </row>
    <row r="18" spans="1:22" x14ac:dyDescent="0.35">
      <c r="A18" t="s">
        <v>1</v>
      </c>
      <c r="B18" t="s">
        <v>119</v>
      </c>
      <c r="C18" t="s">
        <v>14</v>
      </c>
      <c r="D18" s="26" t="str" cm="1">
        <f t="array" ref="D18">_xll.FDSB(C18,"FG_YIELD_NAME")</f>
        <v>US Benchmark Bond - 10 Year</v>
      </c>
      <c r="E18" s="26" cm="1">
        <f t="array" ref="E18">IFERROR(_xll.FDS(C18,"FG_YIELD(0,,,,""YTM"")"),E47)</f>
        <v>4.2389000000000001</v>
      </c>
      <c r="G18" s="26"/>
      <c r="H18" s="26"/>
      <c r="J18" s="26"/>
      <c r="K18" s="26"/>
      <c r="L18" s="26"/>
      <c r="M18" s="36"/>
      <c r="N18" s="38"/>
      <c r="V18" s="50"/>
    </row>
    <row r="19" spans="1:22" x14ac:dyDescent="0.35">
      <c r="D19" s="26"/>
      <c r="E19" s="26"/>
      <c r="G19" s="26"/>
      <c r="H19" s="26"/>
      <c r="J19" s="26"/>
      <c r="K19" s="26"/>
      <c r="L19" s="26"/>
      <c r="M19" s="36"/>
      <c r="N19" s="38"/>
      <c r="V19" s="50"/>
    </row>
    <row r="20" spans="1:22" x14ac:dyDescent="0.35">
      <c r="D20" s="26"/>
      <c r="E20" s="26"/>
      <c r="G20" s="26"/>
      <c r="H20" s="26"/>
      <c r="J20" s="26"/>
      <c r="K20" s="26"/>
      <c r="L20" s="26"/>
      <c r="M20" s="36"/>
      <c r="N20" s="38"/>
      <c r="V20" s="50"/>
    </row>
    <row r="21" spans="1:22" x14ac:dyDescent="0.35">
      <c r="D21" s="26"/>
      <c r="E21" s="26"/>
      <c r="G21" s="26"/>
      <c r="H21" s="26"/>
      <c r="J21" s="26"/>
      <c r="K21" s="26"/>
      <c r="L21" s="26"/>
      <c r="M21" s="36"/>
      <c r="N21" s="38"/>
      <c r="V21" s="50"/>
    </row>
    <row r="22" spans="1:22" x14ac:dyDescent="0.35">
      <c r="D22" s="26"/>
      <c r="E22" s="26"/>
      <c r="G22" s="26"/>
      <c r="H22" s="26"/>
      <c r="J22" s="26"/>
      <c r="K22" s="26"/>
      <c r="L22" s="26"/>
      <c r="M22" s="36"/>
      <c r="N22" s="38"/>
      <c r="V22" s="50"/>
    </row>
    <row r="27" spans="1:22" ht="18.5" x14ac:dyDescent="0.45">
      <c r="A27" s="34"/>
      <c r="B27" s="35"/>
      <c r="C27" s="35"/>
      <c r="D27" s="35"/>
      <c r="E27" s="35"/>
      <c r="F27" s="35"/>
      <c r="G27" s="35"/>
      <c r="H27" s="35"/>
    </row>
    <row r="34" spans="3:6" x14ac:dyDescent="0.35">
      <c r="C34" s="1"/>
      <c r="D34" s="1"/>
      <c r="E34" s="1"/>
      <c r="F34" s="1"/>
    </row>
    <row r="35" spans="3:6" x14ac:dyDescent="0.35">
      <c r="C35" s="1"/>
      <c r="D35" s="1"/>
      <c r="E35" s="1"/>
      <c r="F35" s="1"/>
    </row>
    <row r="36" spans="3:6" x14ac:dyDescent="0.35">
      <c r="C36" s="1"/>
      <c r="D36" s="1"/>
      <c r="E36" s="1"/>
      <c r="F36" s="1"/>
    </row>
    <row r="55" spans="3:6" x14ac:dyDescent="0.35">
      <c r="C55" s="1"/>
      <c r="D55" s="1"/>
      <c r="E55" s="1"/>
      <c r="F55" s="1"/>
    </row>
    <row r="71" spans="4:6" x14ac:dyDescent="0.35">
      <c r="D71" s="1"/>
      <c r="E71" s="1"/>
      <c r="F71" s="1"/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4CEC8C64-1FC2-4C2A-A24E-B32B6F8FDCDC}">
            <x14:iconSet iconSet="3Arrows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25</xm:f>
              </x14:cfvo>
              <x14:cfIcon iconSet="3Arrows" iconId="0"/>
              <x14:cfIcon iconSet="3Arrows" iconId="2"/>
              <x14:cfIcon iconSet="3Arrows" iconId="2"/>
            </x14:iconSet>
          </x14:cfRule>
          <xm:sqref>N3:N22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EC6B-6F25-4D08-A3D6-333E82FBCB4A}">
  <dimension ref="A1:S14"/>
  <sheetViews>
    <sheetView workbookViewId="0">
      <selection activeCell="A2" sqref="A2"/>
    </sheetView>
  </sheetViews>
  <sheetFormatPr defaultRowHeight="14.5" x14ac:dyDescent="0.35"/>
  <cols>
    <col min="1" max="1" width="19.81640625" customWidth="1"/>
    <col min="2" max="2" width="5.54296875" bestFit="1" customWidth="1"/>
    <col min="3" max="3" width="10.453125" customWidth="1"/>
    <col min="4" max="4" width="14.453125" customWidth="1"/>
    <col min="5" max="5" width="27.453125" bestFit="1" customWidth="1"/>
    <col min="6" max="6" width="17.453125" customWidth="1"/>
    <col min="7" max="7" width="12" bestFit="1" customWidth="1"/>
    <col min="8" max="8" width="17.54296875" customWidth="1"/>
    <col min="9" max="9" width="26.81640625" bestFit="1" customWidth="1"/>
    <col min="10" max="10" width="20.54296875" customWidth="1"/>
    <col min="11" max="11" width="17.81640625" style="74" customWidth="1"/>
    <col min="12" max="13" width="15.1796875" customWidth="1"/>
    <col min="14" max="14" width="11.453125" customWidth="1"/>
    <col min="15" max="15" width="20" customWidth="1"/>
    <col min="16" max="16" width="15.453125" customWidth="1"/>
    <col min="17" max="17" width="17.453125" customWidth="1"/>
    <col min="18" max="18" width="14.1796875" customWidth="1"/>
    <col min="19" max="19" width="11.1796875" customWidth="1"/>
  </cols>
  <sheetData>
    <row r="1" spans="1:19" ht="29" x14ac:dyDescent="0.35">
      <c r="A1" s="72" t="s">
        <v>531</v>
      </c>
      <c r="B1" s="72" t="s">
        <v>518</v>
      </c>
      <c r="C1" s="72" t="s">
        <v>519</v>
      </c>
      <c r="D1" s="72" t="s">
        <v>96</v>
      </c>
      <c r="E1" s="72" t="s">
        <v>97</v>
      </c>
      <c r="F1" s="72" t="s">
        <v>98</v>
      </c>
      <c r="G1" s="75" t="s">
        <v>380</v>
      </c>
      <c r="H1" s="75" t="s">
        <v>408</v>
      </c>
      <c r="I1" s="75" t="s">
        <v>529</v>
      </c>
      <c r="J1" s="75" t="s">
        <v>532</v>
      </c>
      <c r="K1" s="76" t="s">
        <v>735</v>
      </c>
      <c r="L1" s="75" t="s">
        <v>528</v>
      </c>
      <c r="M1" s="75" t="s">
        <v>540</v>
      </c>
      <c r="N1" s="72" t="s">
        <v>733</v>
      </c>
      <c r="O1" s="72" t="s">
        <v>734</v>
      </c>
      <c r="P1" s="72" t="s">
        <v>736</v>
      </c>
      <c r="Q1" s="72" t="s">
        <v>533</v>
      </c>
      <c r="R1" s="72" t="s">
        <v>534</v>
      </c>
      <c r="S1" s="72" t="s">
        <v>542</v>
      </c>
    </row>
    <row r="2" spans="1:19" x14ac:dyDescent="0.35">
      <c r="A2" t="s">
        <v>431</v>
      </c>
      <c r="B2" t="s">
        <v>431</v>
      </c>
      <c r="C2" t="str" cm="1">
        <f t="array" ref="C2">_xll.FDS(B2,"FG_COMPANY_NAME")</f>
        <v>iShares MSCI New Zealand ETF</v>
      </c>
      <c r="D2" t="s">
        <v>197</v>
      </c>
      <c r="E2" t="s">
        <v>449</v>
      </c>
      <c r="F2" t="str" cm="1">
        <f t="array" ref="F2">_xll.FDS(E2,"FG_YIELD_NAME")</f>
        <v>New Zealand Benchmark Bond - 10 Year</v>
      </c>
      <c r="G2">
        <f>VLOOKUP(A2,'LIQIDITY 2'!$A$3:$E$15,5,FALSE)</f>
        <v>4.6627000000000001</v>
      </c>
      <c r="H2" cm="1">
        <f t="array" ref="H2">_xll.FDS(B2,"FG_ROE(0)")</f>
        <v>5.0083378647060801</v>
      </c>
      <c r="I2">
        <f>HLOOKUP(B2,'Index ROE'!$B$1:$N$25,24,FALSE)</f>
        <v>9.8238973987983247</v>
      </c>
      <c r="J2" cm="1">
        <f t="array" ref="J2">_xll.FDS(B2, "FMA_RBICS_REV_CURRENT(30, LOC, ""PORTAGG"")")</f>
        <v>14.3512586842186</v>
      </c>
      <c r="K2" s="74">
        <f>HLOOKUP(B2,'Index earnings'!$B$1:$N$25,25,FALSE)</f>
        <v>-9.3828148339384354E-3</v>
      </c>
      <c r="L2">
        <f>HLOOKUP(A2,'Yearly returns'!$B$1:$N$128,126,FALSE)</f>
        <v>-32.526589999999999</v>
      </c>
      <c r="M2">
        <f t="shared" ref="M2:M10" si="0">I2-G2</f>
        <v>5.1611973987983246</v>
      </c>
      <c r="N2" cm="1">
        <f t="array" ref="N2">_xlfn.PERCENTRANK.EXC(_xlfn._xlws.FILTER(M$2:M$14, ISNUMBER(M$2:M$14)),M2)*100</f>
        <v>7.1</v>
      </c>
      <c r="O2" cm="1">
        <f t="array" ref="O2">(1-_xlfn.PERCENTRANK.EXC(_xlfn._xlws.FILTER(J$2:J$14, ISNUMBER(J$2:J$14)),J2))*100</f>
        <v>71.500000000000014</v>
      </c>
      <c r="P2" cm="1">
        <f t="array" ref="P2">_xlfn.PERCENTRANK.EXC(_xlfn._xlws.FILTER(K$2:K$14, ISNUMBER(K$2:K$14)),K2)*100</f>
        <v>7.1</v>
      </c>
      <c r="Q2" cm="1">
        <f t="array" ref="Q2">_xlfn.PERCENTRANK.EXC(_xlfn._xlws.FILTER(L$2:L$14, ISNUMBER(L$2:L$14)),L2)*100</f>
        <v>28.499999999999996</v>
      </c>
      <c r="R2">
        <f>N2*Assumption!$F$64 + O2*Assumption!$F$61 + P2*Assumption!$F$62 + Q2*Assumption!$F$63</f>
        <v>28.55</v>
      </c>
      <c r="S2" cm="1">
        <f t="array" ref="S2">_xlfn.PERCENTRANK.EXC(_xlfn._xlws.FILTER(R$2:R$14, ISNUMBER(R$2:R$14)),R2)*100</f>
        <v>14.2</v>
      </c>
    </row>
    <row r="3" spans="1:19" x14ac:dyDescent="0.35">
      <c r="A3" t="s">
        <v>44</v>
      </c>
      <c r="B3" t="s">
        <v>44</v>
      </c>
      <c r="C3" t="str" cm="1">
        <f t="array" ref="C3">_xll.FDS(B3,"FG_COMPANY_NAME")</f>
        <v>iShares MSCI Australia ETF</v>
      </c>
      <c r="D3" t="s">
        <v>113</v>
      </c>
      <c r="E3" t="s">
        <v>138</v>
      </c>
      <c r="F3" t="str" cm="1">
        <f t="array" ref="F3">_xll.FDS(E3,"FG_YIELD_NAME")</f>
        <v>Australia Benchmark Bond - 10 Year</v>
      </c>
      <c r="G3">
        <f>VLOOKUP(A3,'LIQIDITY 2'!$A$3:$E$15,5,FALSE)</f>
        <v>4.1909999999999998</v>
      </c>
      <c r="H3" cm="1">
        <f t="array" ref="H3">_xll.FDS(B3,"FG_ROE(0)")</f>
        <v>12.6094423204978</v>
      </c>
      <c r="I3">
        <f>HLOOKUP(B3,'Index ROE'!$B$1:$N$25,24,FALSE)</f>
        <v>13.020733299173699</v>
      </c>
      <c r="J3" cm="1">
        <f t="array" ref="J3">_xll.FDS(B3, "FMA_RBICS_REV_CURRENT(30, LOC, ""PORTAGG"")")</f>
        <v>41.356925527987201</v>
      </c>
      <c r="K3" s="74">
        <f>HLOOKUP(B3,'Index earnings'!$B$1:$N$25,25,FALSE)</f>
        <v>1.1173841089814562E-2</v>
      </c>
      <c r="L3">
        <f>HLOOKUP(A3,'Yearly returns'!$B$1:$N$128,126,FALSE)</f>
        <v>-25.985997999999999</v>
      </c>
      <c r="M3">
        <f t="shared" si="0"/>
        <v>8.8297332991737001</v>
      </c>
      <c r="N3" cm="1">
        <f t="array" ref="N3">_xlfn.PERCENTRANK.EXC(_xlfn._xlws.FILTER(M$2:M$14, ISNUMBER(M$2:M$14)),M3)*100</f>
        <v>35.699999999999996</v>
      </c>
      <c r="O3" cm="1">
        <f t="array" ref="O3">(1-_xlfn.PERCENTRANK.EXC(_xlfn._xlws.FILTER(J$2:J$14, ISNUMBER(J$2:J$14)),J3))*100</f>
        <v>7.1999999999999957</v>
      </c>
      <c r="P3" cm="1">
        <f t="array" ref="P3">_xlfn.PERCENTRANK.EXC(_xlfn._xlws.FILTER(K$2:K$14, ISNUMBER(K$2:K$14)),K3)*100</f>
        <v>28.499999999999996</v>
      </c>
      <c r="Q3" cm="1">
        <f t="array" ref="Q3">_xlfn.PERCENTRANK.EXC(_xlfn._xlws.FILTER(L$2:L$14, ISNUMBER(L$2:L$14)),L3)*100</f>
        <v>57.099999999999994</v>
      </c>
      <c r="R3">
        <f>N3*Assumption!$F$64 + O3*Assumption!$F$61 + P3*Assumption!$F$62 + Q3*Assumption!$F$63</f>
        <v>32.125</v>
      </c>
      <c r="S3" cm="1">
        <f t="array" ref="S3">_xlfn.PERCENTRANK.EXC(_xlfn._xlws.FILTER(R$2:R$14, ISNUMBER(R$2:R$14)),R3)*100</f>
        <v>21.4</v>
      </c>
    </row>
    <row r="4" spans="1:19" x14ac:dyDescent="0.35">
      <c r="A4" t="s">
        <v>49</v>
      </c>
      <c r="B4" t="s">
        <v>49</v>
      </c>
      <c r="C4" t="str" cm="1">
        <f t="array" ref="C4">_xll.FDS(B4,"FG_COMPANY_NAME")</f>
        <v>iShares MSCI Canada ETF</v>
      </c>
      <c r="D4" t="s">
        <v>116</v>
      </c>
      <c r="E4" t="s">
        <v>142</v>
      </c>
      <c r="F4" t="str" cm="1">
        <f t="array" ref="F4">_xll.FDS(E4,"FG_YIELD_NAME")</f>
        <v>Canada Benchmark Bond - 10 Year</v>
      </c>
      <c r="G4">
        <f>VLOOKUP(A4,'LIQIDITY 2'!$A$3:$E$15,5,FALSE)</f>
        <v>3.3302999999999998</v>
      </c>
      <c r="H4" cm="1">
        <f t="array" ref="H4">_xll.FDS(B4,"FG_ROE(0)")</f>
        <v>11.0183343696392</v>
      </c>
      <c r="I4">
        <f>HLOOKUP(B4,'Index ROE'!$B$1:$N$25,24,FALSE)</f>
        <v>12.7516875895064</v>
      </c>
      <c r="J4" cm="1">
        <f t="array" ref="J4">_xll.FDS(B4, "FMA_RBICS_REV_CURRENT(30, LOC, ""PORTAGG"")")</f>
        <v>39.799823557626397</v>
      </c>
      <c r="K4" s="74">
        <f>HLOOKUP(B4,'Index earnings'!$B$1:$N$25,25,FALSE)</f>
        <v>4.0909866878857226E-2</v>
      </c>
      <c r="L4">
        <f>HLOOKUP(A4,'Yearly returns'!$B$1:$N$128,126,FALSE)</f>
        <v>-26.903893</v>
      </c>
      <c r="M4">
        <f t="shared" si="0"/>
        <v>9.4213875895064003</v>
      </c>
      <c r="N4" cm="1">
        <f t="array" ref="N4">_xlfn.PERCENTRANK.EXC(_xlfn._xlws.FILTER(M$2:M$14, ISNUMBER(M$2:M$14)),M4)*100</f>
        <v>42.8</v>
      </c>
      <c r="O4" cm="1">
        <f t="array" ref="O4">(1-_xlfn.PERCENTRANK.EXC(_xlfn._xlws.FILTER(J$2:J$14, ISNUMBER(J$2:J$14)),J4))*100</f>
        <v>14.3</v>
      </c>
      <c r="P4" cm="1">
        <f t="array" ref="P4">_xlfn.PERCENTRANK.EXC(_xlfn._xlws.FILTER(K$2:K$14, ISNUMBER(K$2:K$14)),K4)*100</f>
        <v>71.399999999999991</v>
      </c>
      <c r="Q4" cm="1">
        <f t="array" ref="Q4">_xlfn.PERCENTRANK.EXC(_xlfn._xlws.FILTER(L$2:L$14, ISNUMBER(L$2:L$14)),L4)*100</f>
        <v>50</v>
      </c>
      <c r="R4">
        <f>N4*Assumption!$F$64 + O4*Assumption!$F$61 + P4*Assumption!$F$62 + Q4*Assumption!$F$63</f>
        <v>44.625</v>
      </c>
      <c r="S4" cm="1">
        <f t="array" ref="S4">_xlfn.PERCENTRANK.EXC(_xlfn._xlws.FILTER(R$2:R$14, ISNUMBER(R$2:R$14)),R4)*100</f>
        <v>57.099999999999994</v>
      </c>
    </row>
    <row r="5" spans="1:19" x14ac:dyDescent="0.35">
      <c r="A5" t="s">
        <v>11</v>
      </c>
      <c r="B5" t="s">
        <v>11</v>
      </c>
      <c r="C5" t="str" cm="1">
        <f t="array" ref="C5">_xll.FDS(B5,"FG_COMPANY_NAME")</f>
        <v>iShares MSCI Germany ETF</v>
      </c>
      <c r="D5" t="s">
        <v>102</v>
      </c>
      <c r="E5" t="s">
        <v>19</v>
      </c>
      <c r="F5" t="str" cm="1">
        <f t="array" ref="F5">_xll.FDS(E5,"FG_YIELD_NAME")</f>
        <v>Germany Benchmark Bond - 10 Year</v>
      </c>
      <c r="G5">
        <f>VLOOKUP(A5,'LIQIDITY 2'!$A$3:$E$15,5,FALSE)</f>
        <v>2.5190000000000001</v>
      </c>
      <c r="H5" cm="1">
        <f t="array" ref="H5">_xll.FDS(B5,"FG_ROE(0)")</f>
        <v>9.5186462573608708</v>
      </c>
      <c r="I5">
        <f>HLOOKUP(B5,'Index ROE'!$B$1:$N$25,24,FALSE)</f>
        <v>11.988728308067351</v>
      </c>
      <c r="J5" cm="1">
        <f t="array" ref="J5">_xll.FDS(B5, "FMA_RBICS_REV_CURRENT(30, LOC, ""PORTAGG"")")</f>
        <v>23.4356830968268</v>
      </c>
      <c r="K5" s="74">
        <f>HLOOKUP(B5,'Index earnings'!$B$1:$N$25,25,FALSE)</f>
        <v>2.8327007241510938E-2</v>
      </c>
      <c r="L5">
        <f>HLOOKUP(A5,'Yearly returns'!$B$1:$N$128,126,FALSE)</f>
        <v>-35.779254999999999</v>
      </c>
      <c r="M5">
        <f t="shared" si="0"/>
        <v>9.4697283080673511</v>
      </c>
      <c r="N5" cm="1">
        <f t="array" ref="N5">_xlfn.PERCENTRANK.EXC(_xlfn._xlws.FILTER(M$2:M$14, ISNUMBER(M$2:M$14)),M5)*100</f>
        <v>50</v>
      </c>
      <c r="O5" cm="1">
        <f t="array" ref="O5">(1-_xlfn.PERCENTRANK.EXC(_xlfn._xlws.FILTER(J$2:J$14, ISNUMBER(J$2:J$14)),J5))*100</f>
        <v>42.900000000000006</v>
      </c>
      <c r="P5" cm="1">
        <f t="array" ref="P5">_xlfn.PERCENTRANK.EXC(_xlfn._xlws.FILTER(K$2:K$14, ISNUMBER(K$2:K$14)),K5)*100</f>
        <v>57.099999999999994</v>
      </c>
      <c r="Q5" cm="1">
        <f t="array" ref="Q5">_xlfn.PERCENTRANK.EXC(_xlfn._xlws.FILTER(L$2:L$14, ISNUMBER(L$2:L$14)),L5)*100</f>
        <v>21.4</v>
      </c>
      <c r="R5">
        <f>N5*Assumption!$F$64 + O5*Assumption!$F$61 + P5*Assumption!$F$62 + Q5*Assumption!$F$63</f>
        <v>42.85</v>
      </c>
      <c r="S5" cm="1">
        <f t="array" ref="S5">_xlfn.PERCENTRANK.EXC(_xlfn._xlws.FILTER(R$2:R$14, ISNUMBER(R$2:R$14)),R5)*100</f>
        <v>50</v>
      </c>
    </row>
    <row r="6" spans="1:19" x14ac:dyDescent="0.35">
      <c r="A6" t="s">
        <v>46</v>
      </c>
      <c r="B6" t="s">
        <v>46</v>
      </c>
      <c r="C6" t="str" cm="1">
        <f t="array" ref="C6">_xll.FDS(B6,"FG_COMPANY_NAME")</f>
        <v>iShares MSCI Japan ETF</v>
      </c>
      <c r="D6" t="s">
        <v>114</v>
      </c>
      <c r="E6" t="s">
        <v>139</v>
      </c>
      <c r="F6" t="str" cm="1">
        <f t="array" ref="F6">_xll.FDS(E6,"FG_YIELD_NAME")</f>
        <v>Japan Benchmark Bond - 10 Year</v>
      </c>
      <c r="G6">
        <f>VLOOKUP(A6,'LIQIDITY 2'!$A$3:$E$15,5,FALSE)</f>
        <v>0.97889999999999999</v>
      </c>
      <c r="H6" cm="1">
        <f t="array" ref="H6">_xll.FDS(B6,"FG_ROE(0)")</f>
        <v>9.5099310069890404</v>
      </c>
      <c r="I6">
        <f>HLOOKUP(B6,'Index ROE'!$B$1:$N$25,24,FALSE)</f>
        <v>8.994618118763011</v>
      </c>
      <c r="J6" cm="1">
        <f t="array" ref="J6">_xll.FDS(B6, "FMA_RBICS_REV_CURRENT(30, LOC, ""PORTAGG"")")</f>
        <v>18.8758256480554</v>
      </c>
      <c r="K6" s="74">
        <f>HLOOKUP(B6,'Index earnings'!$B$1:$N$25,25,FALSE)</f>
        <v>2.4109021785172935E-2</v>
      </c>
      <c r="L6">
        <f>HLOOKUP(A6,'Yearly returns'!$B$1:$N$128,126,FALSE)</f>
        <v>-28.829961999999998</v>
      </c>
      <c r="M6">
        <f t="shared" si="0"/>
        <v>8.0157181187630115</v>
      </c>
      <c r="N6" cm="1">
        <f t="array" ref="N6">_xlfn.PERCENTRANK.EXC(_xlfn._xlws.FILTER(M$2:M$14, ISNUMBER(M$2:M$14)),M6)*100</f>
        <v>28.499999999999996</v>
      </c>
      <c r="O6" cm="1">
        <f t="array" ref="O6">(1-_xlfn.PERCENTRANK.EXC(_xlfn._xlws.FILTER(J$2:J$14, ISNUMBER(J$2:J$14)),J6))*100</f>
        <v>57.2</v>
      </c>
      <c r="P6" cm="1">
        <f t="array" ref="P6">_xlfn.PERCENTRANK.EXC(_xlfn._xlws.FILTER(K$2:K$14, ISNUMBER(K$2:K$14)),K6)*100</f>
        <v>42.8</v>
      </c>
      <c r="Q6" cm="1">
        <f t="array" ref="Q6">_xlfn.PERCENTRANK.EXC(_xlfn._xlws.FILTER(L$2:L$14, ISNUMBER(L$2:L$14)),L6)*100</f>
        <v>42.8</v>
      </c>
      <c r="R6">
        <f>N6*Assumption!$F$64 + O6*Assumption!$F$61 + P6*Assumption!$F$62 + Q6*Assumption!$F$63</f>
        <v>42.825000000000003</v>
      </c>
      <c r="S6" cm="1">
        <f t="array" ref="S6">_xlfn.PERCENTRANK.EXC(_xlfn._xlws.FILTER(R$2:R$14, ISNUMBER(R$2:R$14)),R6)*100</f>
        <v>42.8</v>
      </c>
    </row>
    <row r="7" spans="1:19" x14ac:dyDescent="0.35">
      <c r="A7" t="s">
        <v>42</v>
      </c>
      <c r="B7" t="s">
        <v>42</v>
      </c>
      <c r="C7" t="str" cm="1">
        <f t="array" ref="C7">_xll.FDS(B7,"FG_COMPANY_NAME")</f>
        <v>iShares MSCI Switzerland ETF</v>
      </c>
      <c r="D7" t="s">
        <v>110</v>
      </c>
      <c r="E7" t="s">
        <v>135</v>
      </c>
      <c r="F7" t="str" cm="1">
        <f t="array" ref="F7">_xll.FDS(E7,"FG_YIELD_NAME")</f>
        <v>Treasury - Switzerland Benchmark Bond 10Y</v>
      </c>
      <c r="G7">
        <f>VLOOKUP(A7,'LIQIDITY 2'!$A$3:$E$15,5,FALSE)</f>
        <v>0.78700000000000003</v>
      </c>
      <c r="H7" cm="1">
        <f t="array" ref="H7">_xll.FDS(B7,"FG_ROE(0)")</f>
        <v>24.103119343250199</v>
      </c>
      <c r="I7">
        <f>HLOOKUP(B7,'Index ROE'!$B$1:$N$25,24,FALSE)</f>
        <v>15.55096443559315</v>
      </c>
      <c r="J7" cm="1">
        <f t="array" ref="J7">_xll.FDS(B7, "FMA_RBICS_REV_CURRENT(30, LOC, ""PORTAGG"")")</f>
        <v>18.424673270128999</v>
      </c>
      <c r="K7" s="74">
        <f>HLOOKUP(B7,'Index earnings'!$B$1:$N$25,25,FALSE)</f>
        <v>4.6608631192781802E-2</v>
      </c>
      <c r="L7">
        <f>HLOOKUP(A7,'Yearly returns'!$B$1:$N$128,126,FALSE)</f>
        <v>-20.680205999999998</v>
      </c>
      <c r="M7">
        <f t="shared" si="0"/>
        <v>14.763964435593149</v>
      </c>
      <c r="N7" cm="1">
        <f t="array" ref="N7">_xlfn.PERCENTRANK.EXC(_xlfn._xlws.FILTER(M$2:M$14, ISNUMBER(M$2:M$14)),M7)*100</f>
        <v>85.7</v>
      </c>
      <c r="O7" cm="1">
        <f t="array" ref="O7">(1-_xlfn.PERCENTRANK.EXC(_xlfn._xlws.FILTER(J$2:J$14, ISNUMBER(J$2:J$14)),J7))*100</f>
        <v>64.3</v>
      </c>
      <c r="P7" cm="1">
        <f t="array" ref="P7">_xlfn.PERCENTRANK.EXC(_xlfn._xlws.FILTER(K$2:K$14, ISNUMBER(K$2:K$14)),K7)*100</f>
        <v>78.5</v>
      </c>
      <c r="Q7" cm="1">
        <f t="array" ref="Q7">_xlfn.PERCENTRANK.EXC(_xlfn._xlws.FILTER(L$2:L$14, ISNUMBER(L$2:L$14)),L7)*100</f>
        <v>85.7</v>
      </c>
      <c r="R7">
        <f>N7*Assumption!$F$64 + O7*Assumption!$F$61 + P7*Assumption!$F$62 + Q7*Assumption!$F$63</f>
        <v>78.55</v>
      </c>
      <c r="S7" cm="1">
        <f t="array" ref="S7">_xlfn.PERCENTRANK.EXC(_xlfn._xlws.FILTER(R$2:R$14, ISNUMBER(R$2:R$14)),R7)*100</f>
        <v>78.5</v>
      </c>
    </row>
    <row r="8" spans="1:19" x14ac:dyDescent="0.35">
      <c r="A8" t="s">
        <v>48</v>
      </c>
      <c r="B8" t="s">
        <v>48</v>
      </c>
      <c r="C8" t="str" cm="1">
        <f t="array" ref="C8">_xll.FDS(B8,"FG_COMPANY_NAME")</f>
        <v>iShares MSCI United Kingdom ETF</v>
      </c>
      <c r="D8" t="s">
        <v>115</v>
      </c>
      <c r="E8" t="s">
        <v>141</v>
      </c>
      <c r="F8" t="str" cm="1">
        <f t="array" ref="F8">_xll.FDS(E8,"FG_YIELD_NAME")</f>
        <v>United Kingdom Benchmark Bond - 10 Year</v>
      </c>
      <c r="G8">
        <f>VLOOKUP(A8,'LIQIDITY 2'!$A$3:$E$15,5,FALSE)</f>
        <v>4.1520000000000001</v>
      </c>
      <c r="H8" cm="1">
        <f t="array" ref="H8">_xll.FDS(B8,"FG_ROE(0)")</f>
        <v>14.572136092169799</v>
      </c>
      <c r="I8">
        <f>HLOOKUP(B8,'Index ROE'!$B$1:$N$25,24,FALSE)</f>
        <v>14.561964916400001</v>
      </c>
      <c r="J8" cm="1">
        <f t="array" ref="J8">_xll.FDS(B8, "FMA_RBICS_REV_CURRENT(30, LOC, ""PORTAGG"")")</f>
        <v>19.389880339308501</v>
      </c>
      <c r="K8" s="74">
        <f>HLOOKUP(B8,'Index earnings'!$B$1:$N$25,25,FALSE)</f>
        <v>3.7127108177381629E-3</v>
      </c>
      <c r="L8">
        <f>HLOOKUP(A8,'Yearly returns'!$B$1:$N$128,126,FALSE)</f>
        <v>-24.019306</v>
      </c>
      <c r="M8">
        <f t="shared" si="0"/>
        <v>10.4099649164</v>
      </c>
      <c r="N8" cm="1">
        <f t="array" ref="N8">_xlfn.PERCENTRANK.EXC(_xlfn._xlws.FILTER(M$2:M$14, ISNUMBER(M$2:M$14)),M8)*100</f>
        <v>64.2</v>
      </c>
      <c r="O8" cm="1">
        <f t="array" ref="O8">(1-_xlfn.PERCENTRANK.EXC(_xlfn._xlws.FILTER(J$2:J$14, ISNUMBER(J$2:J$14)),J8))*100</f>
        <v>50</v>
      </c>
      <c r="P8" cm="1">
        <f t="array" ref="P8">_xlfn.PERCENTRANK.EXC(_xlfn._xlws.FILTER(K$2:K$14, ISNUMBER(K$2:K$14)),K8)*100</f>
        <v>14.2</v>
      </c>
      <c r="Q8" cm="1">
        <f t="array" ref="Q8">_xlfn.PERCENTRANK.EXC(_xlfn._xlws.FILTER(L$2:L$14, ISNUMBER(L$2:L$14)),L8)*100</f>
        <v>71.399999999999991</v>
      </c>
      <c r="R8">
        <f>N8*Assumption!$F$64 + O8*Assumption!$F$61 + P8*Assumption!$F$62 + Q8*Assumption!$F$63</f>
        <v>49.95</v>
      </c>
      <c r="S8" cm="1">
        <f t="array" ref="S8">_xlfn.PERCENTRANK.EXC(_xlfn._xlws.FILTER(R$2:R$14, ISNUMBER(R$2:R$14)),R8)*100</f>
        <v>64.2</v>
      </c>
    </row>
    <row r="9" spans="1:19" x14ac:dyDescent="0.35">
      <c r="A9" t="s">
        <v>51</v>
      </c>
      <c r="B9" t="s">
        <v>51</v>
      </c>
      <c r="C9" t="str" cm="1">
        <f t="array" ref="C9">_xll.FDS(B9,"FG_COMPANY_NAME")</f>
        <v>Invesco QQQ Trust Series I</v>
      </c>
      <c r="D9" t="s">
        <v>119</v>
      </c>
      <c r="E9" t="s">
        <v>14</v>
      </c>
      <c r="F9" t="str" cm="1">
        <f t="array" ref="F9">_xll.FDS(E9,"FG_YIELD_NAME")</f>
        <v>US Benchmark Bond - 10 Year</v>
      </c>
      <c r="G9">
        <f>VLOOKUP(A9,'LIQIDITY 2'!$A$3:$E$15,5,FALSE)</f>
        <v>4.2389000000000001</v>
      </c>
      <c r="H9" cm="1">
        <f t="array" ref="H9">_xll.FDS(B9,"FG_ROE(0)")</f>
        <v>22.6944366928874</v>
      </c>
      <c r="I9">
        <f>HLOOKUP(B9,'Index ROE'!$B$1:$N$25,24,FALSE)</f>
        <v>21.036882269896502</v>
      </c>
      <c r="J9" cm="1">
        <f t="array" ref="J9">_xll.FDS(B9, "FMA_RBICS_REV_CURRENT(30, LOC, ""PORTAGG"")")</f>
        <v>0.85398706926075796</v>
      </c>
      <c r="K9" s="74">
        <f>HLOOKUP(B9,'Index earnings'!$B$1:$N$25,25,FALSE)</f>
        <v>0.12988959959643998</v>
      </c>
      <c r="L9">
        <f>HLOOKUP(A9,'Yearly returns'!$B$1:$N$128,126,FALSE)</f>
        <v>-25.957232999999999</v>
      </c>
      <c r="M9">
        <f t="shared" si="0"/>
        <v>16.797982269896501</v>
      </c>
      <c r="N9" cm="1">
        <f t="array" ref="N9">_xlfn.PERCENTRANK.EXC(_xlfn._xlws.FILTER(M$2:M$14, ISNUMBER(M$2:M$14)),M9)*100</f>
        <v>92.800000000000011</v>
      </c>
      <c r="O9" cm="1">
        <f t="array" ref="O9">(1-_xlfn.PERCENTRANK.EXC(_xlfn._xlws.FILTER(J$2:J$14, ISNUMBER(J$2:J$14)),J9))*100</f>
        <v>92.9</v>
      </c>
      <c r="P9" cm="1">
        <f t="array" ref="P9">_xlfn.PERCENTRANK.EXC(_xlfn._xlws.FILTER(K$2:K$14, ISNUMBER(K$2:K$14)),K9)*100</f>
        <v>92.800000000000011</v>
      </c>
      <c r="Q9" cm="1">
        <f t="array" ref="Q9">_xlfn.PERCENTRANK.EXC(_xlfn._xlws.FILTER(L$2:L$14, ISNUMBER(L$2:L$14)),L9)*100</f>
        <v>64.2</v>
      </c>
      <c r="R9">
        <f>N9*Assumption!$F$64 + O9*Assumption!$F$61 + P9*Assumption!$F$62 + Q9*Assumption!$F$63</f>
        <v>85.674999999999997</v>
      </c>
      <c r="S9" cm="1">
        <f t="array" ref="S9">_xlfn.PERCENTRANK.EXC(_xlfn._xlws.FILTER(R$2:R$14, ISNUMBER(R$2:R$14)),R9)*100</f>
        <v>92.800000000000011</v>
      </c>
    </row>
    <row r="10" spans="1:19" x14ac:dyDescent="0.35">
      <c r="A10" t="s">
        <v>1</v>
      </c>
      <c r="B10" t="s">
        <v>1</v>
      </c>
      <c r="C10" t="str" cm="1">
        <f t="array" ref="C10">_xll.FDS(B10,"FG_COMPANY_NAME")</f>
        <v>SPDR S&amp;P 500 ETF Trust</v>
      </c>
      <c r="D10" t="s">
        <v>119</v>
      </c>
      <c r="E10" t="s">
        <v>14</v>
      </c>
      <c r="F10" t="str" cm="1">
        <f t="array" ref="F10">_xll.FDS(E10,"FG_YIELD_NAME")</f>
        <v>US Benchmark Bond - 10 Year</v>
      </c>
      <c r="G10">
        <f>VLOOKUP(A10,'LIQIDITY 2'!$A$3:$E$15,5,FALSE)</f>
        <v>4.2389000000000001</v>
      </c>
      <c r="H10" cm="1">
        <f t="array" ref="H10">_xll.FDS(B10,"FG_ROE(0)")</f>
        <v>18.4226034329665</v>
      </c>
      <c r="I10">
        <f>HLOOKUP(B10,'Index ROE'!$B$1:$N$25,24,FALSE)</f>
        <v>16.391058174766847</v>
      </c>
      <c r="J10" cm="1">
        <f t="array" ref="J10">_xll.FDS(B10, "FMA_RBICS_REV_CURRENT(30, LOC, ""PORTAGG"")")</f>
        <v>12.3968672783064</v>
      </c>
      <c r="K10" s="74">
        <f>HLOOKUP(B10,'Index earnings'!$B$1:$N$25,25,FALSE)</f>
        <v>5.9884631689594459E-2</v>
      </c>
      <c r="L10">
        <f>HLOOKUP(A10,'Yearly returns'!$B$1:$N$128,126,FALSE)</f>
        <v>-14.628273</v>
      </c>
      <c r="M10">
        <f t="shared" si="0"/>
        <v>12.152158174766846</v>
      </c>
      <c r="N10" cm="1">
        <f t="array" ref="N10">_xlfn.PERCENTRANK.EXC(_xlfn._xlws.FILTER(M$2:M$14, ISNUMBER(M$2:M$14)),M10)*100</f>
        <v>71.399999999999991</v>
      </c>
      <c r="O10" cm="1">
        <f t="array" ref="O10">(1-_xlfn.PERCENTRANK.EXC(_xlfn._xlws.FILTER(J$2:J$14, ISNUMBER(J$2:J$14)),J10))*100</f>
        <v>78.600000000000009</v>
      </c>
      <c r="P10" cm="1">
        <f t="array" ref="P10">_xlfn.PERCENTRANK.EXC(_xlfn._xlws.FILTER(K$2:K$14, ISNUMBER(K$2:K$14)),K10)*100</f>
        <v>85.7</v>
      </c>
      <c r="Q10" cm="1">
        <f t="array" ref="Q10">_xlfn.PERCENTRANK.EXC(_xlfn._xlws.FILTER(L$2:L$14, ISNUMBER(L$2:L$14)),L10)*100</f>
        <v>92.800000000000011</v>
      </c>
      <c r="R10">
        <f>N10*Assumption!$F$64 + O10*Assumption!$F$61 + P10*Assumption!$F$62 + Q10*Assumption!$F$63</f>
        <v>82.125</v>
      </c>
      <c r="S10" cm="1">
        <f t="array" ref="S10">_xlfn.PERCENTRANK.EXC(_xlfn._xlws.FILTER(R$2:R$14, ISNUMBER(R$2:R$14)),R10)*100</f>
        <v>85.7</v>
      </c>
    </row>
    <row r="11" spans="1:19" x14ac:dyDescent="0.35">
      <c r="A11" t="s">
        <v>865</v>
      </c>
      <c r="B11" t="s">
        <v>865</v>
      </c>
      <c r="C11" t="str" cm="1">
        <f t="array" ref="C11">_xll.FDS(B11,"FG_COMPANY_NAME")</f>
        <v>iShares MSCI France ETF</v>
      </c>
      <c r="D11" t="s">
        <v>106</v>
      </c>
      <c r="E11" t="s">
        <v>133</v>
      </c>
      <c r="F11" t="str" cm="1">
        <f t="array" ref="F11">_xll.FDS(E11,"FG_YIELD_NAME")</f>
        <v>France Benchmark Bond - 10 Year</v>
      </c>
      <c r="G11">
        <f>VLOOKUP(A11,'LIQIDITY 2'!$A$3:$E$15,5,FALSE)</f>
        <v>3.1720000000000002</v>
      </c>
      <c r="H11" cm="1">
        <f t="array" ref="H11">_xll.FDS(B11,"FG_ROE(0)")</f>
        <v>12.8431304453786</v>
      </c>
      <c r="I11">
        <f>HLOOKUP(B11,'Index ROE'!$B$1:$N$25,24,FALSE)</f>
        <v>11.16089938202855</v>
      </c>
      <c r="J11" cm="1">
        <f t="array" ref="J11">_xll.FDS(B11, "FMA_RBICS_REV_CURRENT(30, LOC, ""PORTAGG"")")</f>
        <v>11.8223044537398</v>
      </c>
      <c r="K11" s="74">
        <f>HLOOKUP(B11,'Index earnings'!$B$1:$N$25,25,FALSE)</f>
        <v>1.8533351270464848E-2</v>
      </c>
      <c r="L11">
        <f>HLOOKUP(A11,'Yearly returns'!$B$1:$N$128,126,FALSE)</f>
        <v>-22.442972000000001</v>
      </c>
      <c r="M11">
        <f t="shared" ref="M11:M14" si="1">I11-G11</f>
        <v>7.9888993820285492</v>
      </c>
      <c r="N11" cm="1">
        <f t="array" ref="N11">_xlfn.PERCENTRANK.EXC(_xlfn._xlws.FILTER(M$2:M$14, ISNUMBER(M$2:M$14)),M11)*100</f>
        <v>21.4</v>
      </c>
      <c r="O11" cm="1">
        <f t="array" ref="O11">(1-_xlfn.PERCENTRANK.EXC(_xlfn._xlws.FILTER(J$2:J$14, ISNUMBER(J$2:J$14)),J11))*100</f>
        <v>85.8</v>
      </c>
      <c r="P11" cm="1">
        <f t="array" ref="P11">_xlfn.PERCENTRANK.EXC(_xlfn._xlws.FILTER(K$2:K$14, ISNUMBER(K$2:K$14)),K11)*100</f>
        <v>35.699999999999996</v>
      </c>
      <c r="Q11" cm="1">
        <f t="array" ref="Q11">_xlfn.PERCENTRANK.EXC(_xlfn._xlws.FILTER(L$2:L$14, ISNUMBER(L$2:L$14)),L11)*100</f>
        <v>78.5</v>
      </c>
      <c r="R11">
        <f>N11*Assumption!$F$64 + O11*Assumption!$F$61 + P11*Assumption!$F$62 + Q11*Assumption!$F$63</f>
        <v>55.349999999999994</v>
      </c>
      <c r="S11" cm="1">
        <f t="array" ref="S11">_xlfn.PERCENTRANK.EXC(_xlfn._xlws.FILTER(R$2:R$14, ISNUMBER(R$2:R$14)),R11)*100</f>
        <v>71.399999999999991</v>
      </c>
    </row>
    <row r="12" spans="1:19" x14ac:dyDescent="0.35">
      <c r="A12" t="s">
        <v>867</v>
      </c>
      <c r="B12" t="s">
        <v>867</v>
      </c>
      <c r="C12" t="str" cm="1">
        <f t="array" ref="C12">_xll.FDS(B12,"FG_COMPANY_NAME")</f>
        <v>iShares MSCI Netherlands ETF</v>
      </c>
      <c r="D12" t="s">
        <v>875</v>
      </c>
      <c r="E12" t="s">
        <v>877</v>
      </c>
      <c r="F12" t="str" cm="1">
        <f t="array" ref="F12">_xll.FDS(E12,"FG_YIELD_NAME")</f>
        <v>Netherlands Benchmark Bond - 10 Year</v>
      </c>
      <c r="G12">
        <f>VLOOKUP(A12,'LIQIDITY 2'!$A$3:$E$15,5,FALSE)</f>
        <v>2.847</v>
      </c>
      <c r="H12" cm="1">
        <f t="array" ref="H12">_xll.FDS(B12,"FG_ROE(0)")</f>
        <v>11.7296788704561</v>
      </c>
      <c r="I12">
        <f>HLOOKUP(B12,'Index ROE'!$B$1:$N$25,24,FALSE)</f>
        <v>13.04966082823935</v>
      </c>
      <c r="J12" cm="1">
        <f t="array" ref="J12">_xll.FDS(B12, "FMA_RBICS_REV_CURRENT(30, LOC, ""PORTAGG"")")</f>
        <v>25.3332048466313</v>
      </c>
      <c r="K12" s="74">
        <f>HLOOKUP(B12,'Index earnings'!$B$1:$N$25,25,FALSE)</f>
        <v>3.4801405293916954E-2</v>
      </c>
      <c r="L12">
        <f>HLOOKUP(A12,'Yearly returns'!$B$1:$N$128,126,FALSE)</f>
        <v>-37.580722999999999</v>
      </c>
      <c r="M12">
        <f t="shared" si="1"/>
        <v>10.202660828239351</v>
      </c>
      <c r="N12" cm="1">
        <f t="array" ref="N12">_xlfn.PERCENTRANK.EXC(_xlfn._xlws.FILTER(M$2:M$14, ISNUMBER(M$2:M$14)),M12)*100</f>
        <v>57.099999999999994</v>
      </c>
      <c r="O12" cm="1">
        <f t="array" ref="O12">(1-_xlfn.PERCENTRANK.EXC(_xlfn._xlws.FILTER(J$2:J$14, ISNUMBER(J$2:J$14)),J12))*100</f>
        <v>35.799999999999997</v>
      </c>
      <c r="P12" cm="1">
        <f t="array" ref="P12">_xlfn.PERCENTRANK.EXC(_xlfn._xlws.FILTER(K$2:K$14, ISNUMBER(K$2:K$14)),K12)*100</f>
        <v>64.2</v>
      </c>
      <c r="Q12" cm="1">
        <f t="array" ref="Q12">_xlfn.PERCENTRANK.EXC(_xlfn._xlws.FILTER(L$2:L$14, ISNUMBER(L$2:L$14)),L12)*100</f>
        <v>7.1</v>
      </c>
      <c r="R12">
        <f>N12*Assumption!$F$64 + O12*Assumption!$F$61 + P12*Assumption!$F$62 + Q12*Assumption!$F$63</f>
        <v>41.05</v>
      </c>
      <c r="S12" cm="1">
        <f t="array" ref="S12">_xlfn.PERCENTRANK.EXC(_xlfn._xlws.FILTER(R$2:R$14, ISNUMBER(R$2:R$14)),R12)*100</f>
        <v>28.499999999999996</v>
      </c>
    </row>
    <row r="13" spans="1:19" x14ac:dyDescent="0.35">
      <c r="A13" t="s">
        <v>864</v>
      </c>
      <c r="B13" t="s">
        <v>864</v>
      </c>
      <c r="C13" t="str" cm="1">
        <f t="array" ref="C13">_xll.FDS(B13,"FG_COMPANY_NAME")</f>
        <v>iShares MSCI Sweden ETF</v>
      </c>
      <c r="D13" t="s">
        <v>272</v>
      </c>
      <c r="E13" t="s">
        <v>878</v>
      </c>
      <c r="F13" t="str" cm="1">
        <f t="array" ref="F13">_xll.FDS(E13,"FG_YIELD_NAME")</f>
        <v>Sweden Benchmark Bond - 10 Year</v>
      </c>
      <c r="G13">
        <f>VLOOKUP(A13,'LIQIDITY 2'!$A$3:$E$15,5,FALSE)</f>
        <v>2.2269999999999999</v>
      </c>
      <c r="H13" cm="1">
        <f t="array" ref="H13">_xll.FDS(B13,"FG_ROE(0)")</f>
        <v>17.031316556418801</v>
      </c>
      <c r="I13">
        <f>HLOOKUP(B13,'Index ROE'!$B$1:$N$25,24,FALSE)</f>
        <v>14.4674786896177</v>
      </c>
      <c r="J13" cm="1">
        <f t="array" ref="J13">_xll.FDS(B13, "FMA_RBICS_REV_CURRENT(30, LOC, ""PORTAGG"")")</f>
        <v>26.156690037056499</v>
      </c>
      <c r="K13" s="74">
        <f>HLOOKUP(B13,'Index earnings'!$B$1:$N$25,25,FALSE)</f>
        <v>2.4305006375947347E-2</v>
      </c>
      <c r="L13">
        <f>HLOOKUP(A13,'Yearly returns'!$B$1:$N$128,126,FALSE)</f>
        <v>-36.487698000000002</v>
      </c>
      <c r="M13">
        <f t="shared" si="1"/>
        <v>12.240478689617699</v>
      </c>
      <c r="N13" cm="1">
        <f t="array" ref="N13">_xlfn.PERCENTRANK.EXC(_xlfn._xlws.FILTER(M$2:M$14, ISNUMBER(M$2:M$14)),M13)*100</f>
        <v>78.5</v>
      </c>
      <c r="O13" cm="1">
        <f t="array" ref="O13">(1-_xlfn.PERCENTRANK.EXC(_xlfn._xlws.FILTER(J$2:J$14, ISNUMBER(J$2:J$14)),J13))*100</f>
        <v>28.6</v>
      </c>
      <c r="P13" cm="1">
        <f t="array" ref="P13">_xlfn.PERCENTRANK.EXC(_xlfn._xlws.FILTER(K$2:K$14, ISNUMBER(K$2:K$14)),K13)*100</f>
        <v>50</v>
      </c>
      <c r="Q13" cm="1">
        <f t="array" ref="Q13">_xlfn.PERCENTRANK.EXC(_xlfn._xlws.FILTER(L$2:L$14, ISNUMBER(L$2:L$14)),L13)*100</f>
        <v>14.2</v>
      </c>
      <c r="R13">
        <f>N13*Assumption!$F$64 + O13*Assumption!$F$61 + P13*Assumption!$F$62 + Q13*Assumption!$F$63</f>
        <v>42.824999999999996</v>
      </c>
      <c r="S13" cm="1">
        <f t="array" ref="S13">_xlfn.PERCENTRANK.EXC(_xlfn._xlws.FILTER(R$2:R$14, ISNUMBER(R$2:R$14)),R13)*100</f>
        <v>35.699999999999996</v>
      </c>
    </row>
    <row r="14" spans="1:19" x14ac:dyDescent="0.35">
      <c r="A14" t="s">
        <v>866</v>
      </c>
      <c r="B14" t="s">
        <v>866</v>
      </c>
      <c r="C14" t="str" cm="1">
        <f t="array" ref="C14">_xll.FDS(B14,"FG_COMPANY_NAME")</f>
        <v>iShares MSCI Italy ETF</v>
      </c>
      <c r="D14" t="s">
        <v>876</v>
      </c>
      <c r="E14" t="s">
        <v>879</v>
      </c>
      <c r="F14" t="str" cm="1">
        <f t="array" ref="F14">_xll.FDS(E14,"FG_YIELD_NAME")</f>
        <v>Italy Benchmark Bond - 10 Year</v>
      </c>
      <c r="G14">
        <f>VLOOKUP(A14,'LIQIDITY 2'!$A$3:$E$15,5,FALSE)</f>
        <v>3.976</v>
      </c>
      <c r="H14" cm="1">
        <f t="array" ref="H14">_xll.FDS(B14,"FG_ROE(0)")</f>
        <v>13.988492948302801</v>
      </c>
      <c r="I14">
        <f>HLOOKUP(B14,'Index ROE'!$B$1:$N$25,24,FALSE)</f>
        <v>9.6445775045501065</v>
      </c>
      <c r="J14" cm="1">
        <f t="array" ref="J14">_xll.FDS(B14, "FMA_RBICS_REV_CURRENT(30, LOC, ""PORTAGG"")")</f>
        <v>37.3007280733583</v>
      </c>
      <c r="K14" s="74">
        <f>HLOOKUP(B14,'Index earnings'!$B$1:$N$25,25,FALSE)</f>
        <v>9.2743946932130061E-3</v>
      </c>
      <c r="L14">
        <f>HLOOKUP(A14,'Yearly returns'!$B$1:$N$128,126,FALSE)</f>
        <v>-28.952259999999999</v>
      </c>
      <c r="M14">
        <f t="shared" si="1"/>
        <v>5.6685775045501066</v>
      </c>
      <c r="N14" cm="1">
        <f t="array" ref="N14">_xlfn.PERCENTRANK.EXC(_xlfn._xlws.FILTER(M$2:M$14, ISNUMBER(M$2:M$14)),M14)*100</f>
        <v>14.2</v>
      </c>
      <c r="O14" cm="1">
        <f t="array" ref="O14">(1-_xlfn.PERCENTRANK.EXC(_xlfn._xlws.FILTER(J$2:J$14, ISNUMBER(J$2:J$14)),J14))*100</f>
        <v>21.499999999999996</v>
      </c>
      <c r="P14" cm="1">
        <f t="array" ref="P14">_xlfn.PERCENTRANK.EXC(_xlfn._xlws.FILTER(K$2:K$14, ISNUMBER(K$2:K$14)),K14)*100</f>
        <v>21.4</v>
      </c>
      <c r="Q14" cm="1">
        <f t="array" ref="Q14">_xlfn.PERCENTRANK.EXC(_xlfn._xlws.FILTER(L$2:L$14, ISNUMBER(L$2:L$14)),L14)*100</f>
        <v>35.699999999999996</v>
      </c>
      <c r="R14">
        <f>N14*Assumption!$F$64 + O14*Assumption!$F$61 + P14*Assumption!$F$62 + Q14*Assumption!$F$63</f>
        <v>23.199999999999996</v>
      </c>
      <c r="S14" cm="1">
        <f t="array" ref="S14">_xlfn.PERCENTRANK.EXC(_xlfn._xlws.FILTER(R$2:R$14, ISNUMBER(R$2:R$14)),R14)*100</f>
        <v>7.1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257"/>
  <sheetViews>
    <sheetView zoomScale="95" zoomScaleNormal="130" workbookViewId="0">
      <pane xSplit="1" topLeftCell="E1" activePane="topRight" state="frozen"/>
      <selection pane="topRight" activeCell="S15" sqref="S15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5.54296875" bestFit="1" customWidth="1"/>
    <col min="5" max="5" width="13.81640625" customWidth="1"/>
    <col min="6" max="6" width="11.453125" customWidth="1"/>
    <col min="7" max="7" width="10" customWidth="1"/>
    <col min="8" max="8" width="9.453125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12.453125" customWidth="1"/>
    <col min="15" max="15" width="15.54296875" bestFit="1" customWidth="1"/>
    <col min="16" max="16" width="15.453125" customWidth="1"/>
    <col min="17" max="17" width="18.453125" customWidth="1"/>
    <col min="18" max="18" width="18.1796875" bestFit="1" customWidth="1"/>
    <col min="19" max="19" width="17" customWidth="1"/>
    <col min="20" max="21" width="17.54296875" customWidth="1"/>
    <col min="22" max="22" width="18.81640625" customWidth="1"/>
    <col min="23" max="23" width="13.453125" customWidth="1"/>
    <col min="24" max="24" width="13" customWidth="1"/>
    <col min="25" max="25" width="14.54296875" style="199" bestFit="1" customWidth="1"/>
    <col min="26" max="26" width="13" customWidth="1"/>
    <col min="27" max="27" width="12.1796875" customWidth="1"/>
    <col min="28" max="28" width="11.453125" customWidth="1"/>
    <col min="29" max="33" width="13.54296875" customWidth="1"/>
    <col min="34" max="34" width="10.453125" customWidth="1"/>
    <col min="35" max="35" width="7" customWidth="1"/>
    <col min="36" max="36" width="9.54296875" customWidth="1"/>
  </cols>
  <sheetData>
    <row r="1" spans="1:39" ht="62.25" customHeight="1" thickBot="1" x14ac:dyDescent="0.4">
      <c r="C1" t="s">
        <v>0</v>
      </c>
      <c r="D1" s="49" t="s">
        <v>861</v>
      </c>
      <c r="E1" s="72" t="s">
        <v>862</v>
      </c>
      <c r="F1" s="72" t="s">
        <v>16</v>
      </c>
      <c r="G1" s="72" t="s">
        <v>66</v>
      </c>
      <c r="H1" s="72" t="s">
        <v>62</v>
      </c>
      <c r="I1" s="72" t="s">
        <v>69</v>
      </c>
      <c r="J1" s="72" t="s">
        <v>77</v>
      </c>
      <c r="K1" t="s">
        <v>68</v>
      </c>
      <c r="L1" t="s">
        <v>389</v>
      </c>
      <c r="M1" t="s">
        <v>390</v>
      </c>
      <c r="N1" t="s">
        <v>908</v>
      </c>
      <c r="O1" t="s">
        <v>4</v>
      </c>
      <c r="P1" t="s">
        <v>5</v>
      </c>
      <c r="Q1" t="s">
        <v>9</v>
      </c>
      <c r="R1" t="s">
        <v>501</v>
      </c>
      <c r="S1" t="s">
        <v>72</v>
      </c>
      <c r="T1" t="s">
        <v>506</v>
      </c>
      <c r="U1" t="s">
        <v>507</v>
      </c>
      <c r="V1" t="s">
        <v>502</v>
      </c>
      <c r="W1" t="s">
        <v>4</v>
      </c>
      <c r="X1" t="s">
        <v>71</v>
      </c>
      <c r="Y1" s="199" t="s">
        <v>72</v>
      </c>
      <c r="Z1" t="s">
        <v>75</v>
      </c>
      <c r="AA1" t="s">
        <v>76</v>
      </c>
      <c r="AB1" t="s">
        <v>77</v>
      </c>
      <c r="AC1" t="s">
        <v>391</v>
      </c>
      <c r="AD1" t="s">
        <v>392</v>
      </c>
      <c r="AE1" s="72" t="s">
        <v>863</v>
      </c>
      <c r="AF1" s="72" t="s">
        <v>765</v>
      </c>
      <c r="AG1" s="72" t="s">
        <v>909</v>
      </c>
      <c r="AJ1" s="1" t="s">
        <v>83</v>
      </c>
      <c r="AK1" t="s">
        <v>84</v>
      </c>
    </row>
    <row r="2" spans="1:39" s="22" customFormat="1" ht="15" thickBot="1" x14ac:dyDescent="0.4">
      <c r="A2" s="21"/>
      <c r="U2" s="23">
        <f>Assumption!E24</f>
        <v>0</v>
      </c>
      <c r="V2" s="23">
        <f>Assumption!E12</f>
        <v>0.4</v>
      </c>
      <c r="W2" s="23">
        <f>Assumption!F12</f>
        <v>0.3</v>
      </c>
      <c r="X2" s="23">
        <f>Assumption!G12</f>
        <v>0.3</v>
      </c>
      <c r="Y2" s="200">
        <f>Assumption!F24</f>
        <v>0</v>
      </c>
      <c r="Z2" s="22">
        <f>Assumption!E20</f>
        <v>0</v>
      </c>
      <c r="AA2" s="23">
        <f>Assumption!G16</f>
        <v>0</v>
      </c>
      <c r="AB2" s="23">
        <f>Assumption!H16</f>
        <v>0</v>
      </c>
      <c r="AC2" s="23">
        <f>Assumption!E16</f>
        <v>0</v>
      </c>
      <c r="AD2" s="23">
        <f>Assumption!F16</f>
        <v>0</v>
      </c>
      <c r="AE2" s="23">
        <f>Assumption!E31</f>
        <v>0</v>
      </c>
      <c r="AF2" s="23">
        <f>Assumption!E28</f>
        <v>0</v>
      </c>
      <c r="AG2" s="23">
        <f>Assumption!F28</f>
        <v>0</v>
      </c>
      <c r="AH2" s="23">
        <f>SUM(U2:AG2)</f>
        <v>1</v>
      </c>
    </row>
    <row r="3" spans="1:39" x14ac:dyDescent="0.35">
      <c r="A3" t="s">
        <v>431</v>
      </c>
      <c r="B3" t="str" cm="1">
        <f t="array" ref="B3">_xll.FDS(A3,"FG_COMPANY_NAME")</f>
        <v>iShares MSCI New Zealand ETF</v>
      </c>
      <c r="C3" t="s">
        <v>431</v>
      </c>
      <c r="D3" s="142">
        <f>VLOOKUP(C3,'Market Capitalisation'!$C$2:$G$14,5,FALSE)</f>
        <v>93283.5</v>
      </c>
      <c r="E3" cm="1">
        <f t="array" ref="E3">_xll.FDS(C3,"FMA_COS_UP(""EPS"",""1M"",+1,0,,,""PORTAGG"",""MEANR"")")</f>
        <v>5</v>
      </c>
      <c r="F3" cm="1">
        <f t="array" ref="F3">_xll.FDS(C3,"FMA_COS_DOWN(""EPS"",""1M"",+1,0,,,""PORTAGG"",""MEANR"")")</f>
        <v>8</v>
      </c>
      <c r="G3" cm="1">
        <f t="array" ref="G3">_xll.FDS(A3,"SIZE(FG_CONSTITUENTS)")</f>
        <v>14</v>
      </c>
      <c r="H3" s="9">
        <f t="shared" ref="H3:H11" si="0">E3/$G3</f>
        <v>0.35714285714285715</v>
      </c>
      <c r="I3" s="9">
        <f t="shared" ref="I3:I11" si="1">F3/$G3</f>
        <v>0.5714285714285714</v>
      </c>
      <c r="J3" s="9">
        <f t="shared" ref="J3:J11" si="2">H3-I3</f>
        <v>-0.21428571428571425</v>
      </c>
      <c r="K3" s="5" cm="1">
        <f t="array" ref="K3">_xll.FDS(A3,"FMA_PCT_ABOVE_MAVG(200,0,,,,""PORTAGG"")")/100</f>
        <v>0.42857142857142899</v>
      </c>
      <c r="L3" s="41" cm="1">
        <f t="array" ref="L3">_xll.FDSB(A3,"PERCENT_CHANGE(FMA_EPS(+1,0,,,,""PORTAGG"",""MEAN""),FMA_EPS(+1,-1AM,,,,""PORTAGG"",""MEAN""))")</f>
        <v>8.0480870156167299</v>
      </c>
      <c r="M3" s="41" cm="1">
        <f t="array" ref="M3">_xll.FDSB(A3,"PERCENT_CHANGE(FMA_EPS(+1,0,,,,""PORTAGG"",""MEAN""),FMA_EPS(+1,-3AM,,,,""PORTAGG"",""MEAN""))")</f>
        <v>0.92612286376572694</v>
      </c>
      <c r="N3" s="3" cm="1">
        <f t="array" ref="N3">_xll.FDS(C3,"FG_TOTAL_RETURNC(0,-1AM)")</f>
        <v>3.4398794000000001</v>
      </c>
      <c r="O3" s="3" cm="1">
        <f t="array" ref="O3">_xll.FDS(C3,"FG_TOTAL_RETURNC(0,-3AM)")</f>
        <v>1.3606906000000001</v>
      </c>
      <c r="P3" s="3" cm="1">
        <f t="array" ref="P3">_xll.FDS(C3,"FG_TOTAL_RETURNC(0,-6AM)")</f>
        <v>-1.0690868</v>
      </c>
      <c r="Q3" s="9" cm="1">
        <f t="array" ref="Q3">_xll.FDS(C3,"P_PRICE(0)/P_PRICE_HIGH_PR(0,,,,,,""PRICE"",""INTRA"",""52W"")")</f>
        <v>0.89764089999999996</v>
      </c>
      <c r="R3" s="9" cm="1">
        <f t="array" ref="R3">_xll.FDS(C3,"P_PRICE(0)/P_PRICE_low_PR(0,,,,,,""PRICE"",""INTRA"",""52W"")-1")</f>
        <v>0.122102976</v>
      </c>
      <c r="S3" s="3" cm="1">
        <f t="array" ref="S3">_xll.FDS(C3,"FG_TOTAL_RETURNC(0,-12AM)")</f>
        <v>-1.4807045000000001</v>
      </c>
      <c r="T3" s="4" cm="1">
        <f t="array" ref="T3">_xlfn.PERCENTRANK.EXC(_xlfn._xlws.FILTER($R$3:$R$15, ISNUMBER($R$3:$R$15)),R3)*100</f>
        <v>7.1</v>
      </c>
      <c r="U3" s="4">
        <f t="shared" ref="U3:U11" si="3">100-T3</f>
        <v>92.9</v>
      </c>
      <c r="V3" s="4" cm="1">
        <f t="array" ref="V3">_xlfn.PERCENTRANK.EXC(_xlfn._xlws.FILTER($Q$3:$Q$15, ISNUMBER($Q$3:$Q$15)),Q3)*100</f>
        <v>7.1</v>
      </c>
      <c r="W3" s="4" cm="1">
        <f t="array" ref="W3">_xlfn.PERCENTRANK.EXC(_xlfn._xlws.FILTER($O$3:$O$15, ISNUMBER($O$3:$O$15)),O3)*100</f>
        <v>57.099999999999994</v>
      </c>
      <c r="X3" s="4" cm="1">
        <f t="array" ref="X3">_xlfn.PERCENTRANK.EXC(_xlfn._xlws.FILTER($P$3:$P$15, ISNUMBER($P$3:$P$15)),P3)*100</f>
        <v>7.1</v>
      </c>
      <c r="Y3" s="201" cm="1">
        <f t="array" ref="Y3">_xlfn.PERCENTRANK.EXC(_xlfn._xlws.FILTER($S$3:$S$15, ISNUMBER($S$3:$S$15)),S3)*100</f>
        <v>7.1</v>
      </c>
      <c r="Z3" s="4" cm="1">
        <f t="array" ref="Z3">_xlfn.PERCENTRANK.EXC(_xlfn._xlws.FILTER($K$3:$K$15, ISNUMBER($K$3:$K$15)),K3)*100</f>
        <v>7.1</v>
      </c>
      <c r="AA3" s="4" cm="1">
        <f t="array" ref="AA3">_xlfn.PERCENTRANK.EXC(_xlfn._xlws.FILTER($H$3:$H$15, ISNUMBER($H$3:$H$15)),H3)*100</f>
        <v>35.699999999999996</v>
      </c>
      <c r="AB3" s="4" cm="1">
        <f t="array" ref="AB3">_xlfn.PERCENTRANK.EXC(_xlfn._xlws.FILTER($J$3:$J$15, ISNUMBER($J$3:$J$15)),J3)*100</f>
        <v>7.1</v>
      </c>
      <c r="AC3" s="4">
        <f t="shared" ref="AC3:AC15" si="4">_xlfn.PERCENTRANK.EXC($L$3:$L$15,L3)*100</f>
        <v>92.800000000000011</v>
      </c>
      <c r="AD3" s="4">
        <f t="shared" ref="AD3:AD15" si="5">_xlfn.PERCENTRANK.EXC($M$3:$M$15,M3)*100</f>
        <v>57.099999999999994</v>
      </c>
      <c r="AE3" s="4">
        <f t="shared" ref="AE3:AE15" si="6">_xlfn.PERCENTRANK.EXC($D$3:$D$15,D3)*100</f>
        <v>7.1</v>
      </c>
      <c r="AF3" s="4">
        <f>'Economic Momentum'!Q4</f>
        <v>35.699999999999996</v>
      </c>
      <c r="AG3" s="4">
        <f ca="1">'Economic Momentum'!R4</f>
        <v>78.5</v>
      </c>
      <c r="AH3" s="4">
        <f t="shared" ref="AH3:AH15" ca="1" si="7">SUMPRODUCT($U$2:$AG$2,U3:AG3)</f>
        <v>22.099999999999998</v>
      </c>
      <c r="AJ3" s="3" cm="1">
        <f t="array" aca="1" ref="AJ3" ca="1">_xlfn.PERCENTRANK.EXC(_xlfn._xlws.FILTER($AH$3:$AH$15, ISNUMBER($AH$3:$AH$15)),AH3)*100</f>
        <v>14.2</v>
      </c>
      <c r="AK3">
        <f t="shared" ref="AK3:AK15" si="8">COUNTIF(V3:AB3,"&gt;70")</f>
        <v>0</v>
      </c>
      <c r="AM3" s="4"/>
    </row>
    <row r="4" spans="1:39" x14ac:dyDescent="0.35">
      <c r="A4" t="s">
        <v>44</v>
      </c>
      <c r="B4" t="str" cm="1">
        <f t="array" ref="B4">_xll.FDS(A4,"FG_COMPANY_NAME")</f>
        <v>iShares MSCI Australia ETF</v>
      </c>
      <c r="C4" t="s">
        <v>44</v>
      </c>
      <c r="D4" s="142">
        <f>VLOOKUP(C4,'Market Capitalisation'!$C$2:$G$14,5,FALSE)</f>
        <v>1689419</v>
      </c>
      <c r="E4" cm="1">
        <f t="array" ref="E4">_xll.FDS(C4,"FMA_COS_UP(""EPS"",""1M"",+1,0,,,""PORTAGG"",""MEANR"")")</f>
        <v>22</v>
      </c>
      <c r="F4" cm="1">
        <f t="array" ref="F4">_xll.FDS(C4,"FMA_COS_DOWN(""EPS"",""1M"",+1,0,,,""PORTAGG"",""MEANR"")")</f>
        <v>33</v>
      </c>
      <c r="G4" cm="1">
        <f t="array" ref="G4">_xll.FDS(A4,"SIZE(FG_CONSTITUENTS)")</f>
        <v>60</v>
      </c>
      <c r="H4" s="9">
        <f t="shared" si="0"/>
        <v>0.36666666666666664</v>
      </c>
      <c r="I4" s="9">
        <f t="shared" si="1"/>
        <v>0.55000000000000004</v>
      </c>
      <c r="J4" s="9">
        <f t="shared" si="2"/>
        <v>-0.1833333333333334</v>
      </c>
      <c r="K4" s="5" cm="1">
        <f t="array" ref="K4">_xll.FDS(A4,"FMA_PCT_ABOVE_MAVG(200,0,,,,""PORTAGG"")")/100</f>
        <v>0.61016949152542399</v>
      </c>
      <c r="L4" s="41" cm="1">
        <f t="array" ref="L4">_xll.FDSB(A4,"PERCENT_CHANGE(FMA_EPS(+1,0,,,,""PORTAGG"",""MEAN""),FMA_EPS(+1,-1AM,,,,""PORTAGG"",""MEAN""))")</f>
        <v>-2.6299808747812898</v>
      </c>
      <c r="M4" s="41" cm="1">
        <f t="array" ref="M4">_xll.FDSB(A4,"PERCENT_CHANGE(FMA_EPS(+1,0,,,,""PORTAGG"",""MEAN""),FMA_EPS(+1,-3AM,,,,""PORTAGG"",""MEAN""))")</f>
        <v>-3.8981704670962101</v>
      </c>
      <c r="N4" s="3" cm="1">
        <f t="array" ref="N4">_xll.FDS(C4,"FG_TOTAL_RETURNC(0,-1AM)")</f>
        <v>0.86758137000000002</v>
      </c>
      <c r="O4" s="3" cm="1">
        <f t="array" ref="O4">_xll.FDS(C4,"FG_TOTAL_RETURNC(0,-3AM)")</f>
        <v>0.58044194999999998</v>
      </c>
      <c r="P4" s="3" cm="1">
        <f t="array" ref="P4">_xll.FDS(C4,"FG_TOTAL_RETURNC(0,-6AM)")</f>
        <v>6.8683623999999996</v>
      </c>
      <c r="Q4" s="9" cm="1">
        <f t="array" ref="Q4">_xll.FDS(C4,"P_PRICE(0)/P_PRICE_HIGH_PR(0,,,,,,""PRICE"",""INTRA"",""52W"")")</f>
        <v>0.96117275999999996</v>
      </c>
      <c r="R4" s="9" cm="1">
        <f t="array" ref="R4">_xll.FDS(C4,"P_PRICE(0)/P_PRICE_low_PR(0,,,,,,""PRICE"",""INTRA"",""52W"")-1")</f>
        <v>0.18572831000000001</v>
      </c>
      <c r="S4" s="3" cm="1">
        <f t="array" ref="S4">_xll.FDS(C4,"FG_TOTAL_RETURNC(0,-12AM)")</f>
        <v>11.052823</v>
      </c>
      <c r="T4" s="4" cm="1">
        <f t="array" ref="T4">_xlfn.PERCENTRANK.EXC(_xlfn._xlws.FILTER($R$3:$R$15, ISNUMBER($R$3:$R$15)),R4)*100</f>
        <v>50</v>
      </c>
      <c r="U4" s="4">
        <f t="shared" si="3"/>
        <v>50</v>
      </c>
      <c r="V4" s="4" cm="1">
        <f t="array" ref="V4">_xlfn.PERCENTRANK.EXC(_xlfn._xlws.FILTER($Q$3:$Q$15, ISNUMBER($Q$3:$Q$15)),Q4)*100</f>
        <v>64.2</v>
      </c>
      <c r="W4" s="4" cm="1">
        <f t="array" ref="W4">_xlfn.PERCENTRANK.EXC(_xlfn._xlws.FILTER($O$3:$O$15, ISNUMBER($O$3:$O$15)),O4)*100</f>
        <v>50</v>
      </c>
      <c r="X4" s="4" cm="1">
        <f t="array" ref="X4">_xlfn.PERCENTRANK.EXC(_xlfn._xlws.FILTER($P$3:$P$15, ISNUMBER($P$3:$P$15)),P4)*100</f>
        <v>42.8</v>
      </c>
      <c r="Y4" s="201" cm="1">
        <f t="array" ref="Y4">_xlfn.PERCENTRANK.EXC(_xlfn._xlws.FILTER($S$3:$S$15, ISNUMBER($S$3:$S$15)),S4)*100</f>
        <v>50</v>
      </c>
      <c r="Z4" s="4" cm="1">
        <f t="array" ref="Z4">_xlfn.PERCENTRANK.EXC(_xlfn._xlws.FILTER($K$3:$K$15, ISNUMBER($K$3:$K$15)),K4)*100</f>
        <v>14.2</v>
      </c>
      <c r="AA4" s="4" cm="1">
        <f t="array" ref="AA4">_xlfn.PERCENTRANK.EXC(_xlfn._xlws.FILTER($H$3:$H$15, ISNUMBER($H$3:$H$15)),H4)*100</f>
        <v>42.8</v>
      </c>
      <c r="AB4" s="4" cm="1">
        <f t="array" ref="AB4">_xlfn.PERCENTRANK.EXC(_xlfn._xlws.FILTER($J$3:$J$15, ISNUMBER($J$3:$J$15)),J4)*100</f>
        <v>14.2</v>
      </c>
      <c r="AC4" s="4">
        <f t="shared" si="4"/>
        <v>14.2</v>
      </c>
      <c r="AD4" s="4">
        <f t="shared" si="5"/>
        <v>14.2</v>
      </c>
      <c r="AE4" s="4">
        <f t="shared" si="6"/>
        <v>35.699999999999996</v>
      </c>
      <c r="AF4" s="4">
        <f>'Economic Momentum'!Q5</f>
        <v>50</v>
      </c>
      <c r="AG4" s="4">
        <f ca="1">'Economic Momentum'!R5</f>
        <v>14.2</v>
      </c>
      <c r="AH4" s="4">
        <f t="shared" ca="1" si="7"/>
        <v>53.52</v>
      </c>
      <c r="AJ4" s="3" cm="1">
        <f t="array" aca="1" ref="AJ4" ca="1">_xlfn.PERCENTRANK.EXC(_xlfn._xlws.FILTER($AH$3:$AH$15, ISNUMBER($AH$3:$AH$15)),AH4)*100</f>
        <v>50</v>
      </c>
      <c r="AK4">
        <f t="shared" si="8"/>
        <v>0</v>
      </c>
      <c r="AM4" s="4"/>
    </row>
    <row r="5" spans="1:39" x14ac:dyDescent="0.35">
      <c r="A5" t="s">
        <v>49</v>
      </c>
      <c r="B5" t="str" cm="1">
        <f t="array" ref="B5">_xll.FDS(A5,"FG_COMPANY_NAME")</f>
        <v>iShares MSCI Canada ETF</v>
      </c>
      <c r="C5" t="s">
        <v>49</v>
      </c>
      <c r="D5" s="142">
        <f>VLOOKUP(C5,'Market Capitalisation'!$C$2:$G$14,5,FALSE)</f>
        <v>2660496.5</v>
      </c>
      <c r="E5" cm="1">
        <f t="array" ref="E5">_xll.FDS(C5,"FMA_COS_UP(""EPS"",""1M"",+1,0,,,""PORTAGG"",""MEANR"")")</f>
        <v>34</v>
      </c>
      <c r="F5" cm="1">
        <f t="array" ref="F5">_xll.FDS(C5,"FMA_COS_DOWN(""EPS"",""1M"",+1,0,,,""PORTAGG"",""MEANR"")")</f>
        <v>32</v>
      </c>
      <c r="G5" cm="1">
        <f t="array" ref="G5">_xll.FDS(A5,"SIZE(FG_CONSTITUENTS)")</f>
        <v>88</v>
      </c>
      <c r="H5" s="9">
        <f t="shared" si="0"/>
        <v>0.38636363636363635</v>
      </c>
      <c r="I5" s="9">
        <f t="shared" si="1"/>
        <v>0.36363636363636365</v>
      </c>
      <c r="J5" s="9">
        <f t="shared" si="2"/>
        <v>2.2727272727272707E-2</v>
      </c>
      <c r="K5" s="5" cm="1">
        <f t="array" ref="K5">_xll.FDS(A5,"FMA_PCT_ABOVE_MAVG(200,0,,,,""PORTAGG"")")/100</f>
        <v>0.67045454545454508</v>
      </c>
      <c r="L5" s="41" cm="1">
        <f t="array" ref="L5">_xll.FDSB(A5,"PERCENT_CHANGE(FMA_EPS(+1,0,,,,""PORTAGG"",""MEAN""),FMA_EPS(+1,-1AM,,,,""PORTAGG"",""MEAN""))")</f>
        <v>1.28514447212788</v>
      </c>
      <c r="M5" s="41" cm="1">
        <f t="array" ref="M5">_xll.FDSB(A5,"PERCENT_CHANGE(FMA_EPS(+1,0,,,,""PORTAGG"",""MEAN""),FMA_EPS(+1,-3AM,,,,""PORTAGG"",""MEAN""))")</f>
        <v>0.63254252532670896</v>
      </c>
      <c r="N5" s="3" cm="1">
        <f t="array" ref="N5">_xll.FDS(C5,"FG_TOTAL_RETURNC(0,-1AM)")</f>
        <v>-3.0529082000000001</v>
      </c>
      <c r="O5" s="3" cm="1">
        <f t="array" ref="O5">_xll.FDS(C5,"FG_TOTAL_RETURNC(0,-3AM)")</f>
        <v>-3.1545580000000002</v>
      </c>
      <c r="P5" s="3" cm="1">
        <f t="array" ref="P5">_xll.FDS(C5,"FG_TOTAL_RETURNC(0,-6AM)")</f>
        <v>4.6380043000000004</v>
      </c>
      <c r="Q5" s="9" cm="1">
        <f t="array" ref="Q5">_xll.FDS(C5,"P_PRICE(0)/P_PRICE_HIGH_PR(0,,,,,,""PRICE"",""INTRA"",""52W"")")</f>
        <v>0.94427245999999998</v>
      </c>
      <c r="R5" s="9" cm="1">
        <f t="array" ref="R5">_xll.FDS(C5,"P_PRICE(0)/P_PRICE_low_PR(0,,,,,,""PRICE"",""INTRA"",""52W"")-1")</f>
        <v>0.16523397000000001</v>
      </c>
      <c r="S5" s="3" cm="1">
        <f t="array" ref="S5">_xll.FDS(C5,"FG_TOTAL_RETURNC(0,-12AM)")</f>
        <v>8.9611420000000006</v>
      </c>
      <c r="T5" s="4" cm="1">
        <f t="array" ref="T5">_xlfn.PERCENTRANK.EXC(_xlfn._xlws.FILTER($R$3:$R$15, ISNUMBER($R$3:$R$15)),R5)*100</f>
        <v>28.499999999999996</v>
      </c>
      <c r="U5" s="4">
        <f t="shared" si="3"/>
        <v>71.5</v>
      </c>
      <c r="V5" s="4" cm="1">
        <f t="array" ref="V5">_xlfn.PERCENTRANK.EXC(_xlfn._xlws.FILTER($Q$3:$Q$15, ISNUMBER($Q$3:$Q$15)),Q5)*100</f>
        <v>42.8</v>
      </c>
      <c r="W5" s="4" cm="1">
        <f t="array" ref="W5">_xlfn.PERCENTRANK.EXC(_xlfn._xlws.FILTER($O$3:$O$15, ISNUMBER($O$3:$O$15)),O5)*100</f>
        <v>14.2</v>
      </c>
      <c r="X5" s="4" cm="1">
        <f t="array" ref="X5">_xlfn.PERCENTRANK.EXC(_xlfn._xlws.FILTER($P$3:$P$15, ISNUMBER($P$3:$P$15)),P5)*100</f>
        <v>21.4</v>
      </c>
      <c r="Y5" s="201" cm="1">
        <f t="array" ref="Y5">_xlfn.PERCENTRANK.EXC(_xlfn._xlws.FILTER($S$3:$S$15, ISNUMBER($S$3:$S$15)),S5)*100</f>
        <v>28.499999999999996</v>
      </c>
      <c r="Z5" s="4" cm="1">
        <f t="array" ref="Z5">_xlfn.PERCENTRANK.EXC(_xlfn._xlws.FILTER($K$3:$K$15, ISNUMBER($K$3:$K$15)),K5)*100</f>
        <v>64.2</v>
      </c>
      <c r="AA5" s="4" cm="1">
        <f t="array" ref="AA5">_xlfn.PERCENTRANK.EXC(_xlfn._xlws.FILTER($H$3:$H$15, ISNUMBER($H$3:$H$15)),H5)*100</f>
        <v>57.099999999999994</v>
      </c>
      <c r="AB5" s="4" cm="1">
        <f t="array" ref="AB5">_xlfn.PERCENTRANK.EXC(_xlfn._xlws.FILTER($J$3:$J$15, ISNUMBER($J$3:$J$15)),J5)*100</f>
        <v>35.699999999999996</v>
      </c>
      <c r="AC5" s="4">
        <f t="shared" si="4"/>
        <v>50</v>
      </c>
      <c r="AD5" s="4">
        <f t="shared" si="5"/>
        <v>42.8</v>
      </c>
      <c r="AE5" s="4">
        <f t="shared" si="6"/>
        <v>57.099999999999994</v>
      </c>
      <c r="AF5" s="4">
        <f>'Economic Momentum'!Q6</f>
        <v>42.8</v>
      </c>
      <c r="AG5" s="4">
        <f ca="1">'Economic Momentum'!R6</f>
        <v>35.699999999999996</v>
      </c>
      <c r="AH5" s="4">
        <f t="shared" ca="1" si="7"/>
        <v>27.8</v>
      </c>
      <c r="AJ5" s="3" cm="1">
        <f t="array" aca="1" ref="AJ5" ca="1">_xlfn.PERCENTRANK.EXC(_xlfn._xlws.FILTER($AH$3:$AH$15, ISNUMBER($AH$3:$AH$15)),AH5)*100</f>
        <v>21.4</v>
      </c>
      <c r="AK5">
        <f t="shared" si="8"/>
        <v>0</v>
      </c>
      <c r="AM5" s="4"/>
    </row>
    <row r="6" spans="1:39" x14ac:dyDescent="0.35">
      <c r="A6" t="s">
        <v>11</v>
      </c>
      <c r="B6" t="str" cm="1">
        <f t="array" ref="B6">_xll.FDS(A6,"FG_COMPANY_NAME")</f>
        <v>iShares MSCI Germany ETF</v>
      </c>
      <c r="C6" t="s">
        <v>11</v>
      </c>
      <c r="D6" s="142">
        <f>VLOOKUP(C6,'Market Capitalisation'!$C$2:$G$14,5,FALSE)</f>
        <v>2241649.5</v>
      </c>
      <c r="E6" cm="1">
        <f t="array" ref="E6">_xll.FDS(C6,"FMA_COS_UP(""EPS"",""1M"",+1,0,,,""PORTAGG"",""MEANR"")")</f>
        <v>26</v>
      </c>
      <c r="F6" cm="1">
        <f t="array" ref="F6">_xll.FDS(C6,"FMA_COS_DOWN(""EPS"",""1M"",+1,0,,,""PORTAGG"",""MEANR"")")</f>
        <v>24</v>
      </c>
      <c r="G6" cm="1">
        <f t="array" ref="G6">_xll.FDS(A6,"SIZE(FG_CONSTITUENTS)")</f>
        <v>59</v>
      </c>
      <c r="H6" s="9">
        <f t="shared" si="0"/>
        <v>0.44067796610169491</v>
      </c>
      <c r="I6" s="9">
        <f t="shared" si="1"/>
        <v>0.40677966101694918</v>
      </c>
      <c r="J6" s="9">
        <f t="shared" si="2"/>
        <v>3.3898305084745728E-2</v>
      </c>
      <c r="K6" s="5" cm="1">
        <f t="array" ref="K6">_xll.FDS(A6,"FMA_PCT_ABOVE_MAVG(200,0,,,,""PORTAGG"")")/100</f>
        <v>0.68965517241379304</v>
      </c>
      <c r="L6" s="41" cm="1">
        <f t="array" ref="L6">_xll.FDSB(A6,"PERCENT_CHANGE(FMA_EPS(+1,0,,,,""PORTAGG"",""MEAN""),FMA_EPS(+1,-1AM,,,,""PORTAGG"",""MEAN""))")</f>
        <v>0.51015985007768605</v>
      </c>
      <c r="M6" s="41" cm="1">
        <f t="array" ref="M6">_xll.FDSB(A6,"PERCENT_CHANGE(FMA_EPS(+1,0,,,,""PORTAGG"",""MEAN""),FMA_EPS(+1,-3AM,,,,""PORTAGG"",""MEAN""))")</f>
        <v>0.86084070694411696</v>
      </c>
      <c r="N6" s="3" cm="1">
        <f t="array" ref="N6">_xll.FDS(C6,"FG_TOTAL_RETURNC(0,-1AM)")</f>
        <v>-2.5022506999999998</v>
      </c>
      <c r="O6" s="3" cm="1">
        <f t="array" ref="O6">_xll.FDS(C6,"FG_TOTAL_RETURNC(0,-3AM)")</f>
        <v>-0.14318823999999999</v>
      </c>
      <c r="P6" s="3" cm="1">
        <f t="array" ref="P6">_xll.FDS(C6,"FG_TOTAL_RETURNC(0,-6AM)")</f>
        <v>6.3637376000000003</v>
      </c>
      <c r="Q6" s="9" cm="1">
        <f t="array" ref="Q6">_xll.FDS(C6,"P_PRICE(0)/P_PRICE_HIGH_PR(0,,,,,,""PRICE"",""INTRA"",""52W"")")</f>
        <v>0.93472785000000003</v>
      </c>
      <c r="R6" s="9" cm="1">
        <f t="array" ref="R6">_xll.FDS(C6,"P_PRICE(0)/P_PRICE_low_PR(0,,,,,,""PRICE"",""INTRA"",""52W"")-1")</f>
        <v>0.23902047000000001</v>
      </c>
      <c r="S6" s="3" cm="1">
        <f t="array" ref="S6">_xll.FDS(C6,"FG_TOTAL_RETURNC(0,-12AM)")</f>
        <v>10.484909999999999</v>
      </c>
      <c r="T6" s="4" cm="1">
        <f t="array" ref="T6">_xlfn.PERCENTRANK.EXC(_xlfn._xlws.FILTER($R$3:$R$15, ISNUMBER($R$3:$R$15)),R6)*100</f>
        <v>57.099999999999994</v>
      </c>
      <c r="U6" s="4">
        <f t="shared" si="3"/>
        <v>42.900000000000006</v>
      </c>
      <c r="V6" s="4" cm="1">
        <f t="array" ref="V6">_xlfn.PERCENTRANK.EXC(_xlfn._xlws.FILTER($Q$3:$Q$15, ISNUMBER($Q$3:$Q$15)),Q6)*100</f>
        <v>35.699999999999996</v>
      </c>
      <c r="W6" s="4" cm="1">
        <f t="array" ref="W6">_xlfn.PERCENTRANK.EXC(_xlfn._xlws.FILTER($O$3:$O$15, ISNUMBER($O$3:$O$15)),O6)*100</f>
        <v>28.499999999999996</v>
      </c>
      <c r="X6" s="4" cm="1">
        <f t="array" ref="X6">_xlfn.PERCENTRANK.EXC(_xlfn._xlws.FILTER($P$3:$P$15, ISNUMBER($P$3:$P$15)),P6)*100</f>
        <v>35.699999999999996</v>
      </c>
      <c r="Y6" s="201" cm="1">
        <f t="array" ref="Y6">_xlfn.PERCENTRANK.EXC(_xlfn._xlws.FILTER($S$3:$S$15, ISNUMBER($S$3:$S$15)),S6)*100</f>
        <v>42.8</v>
      </c>
      <c r="Z6" s="4" cm="1">
        <f t="array" ref="Z6">_xlfn.PERCENTRANK.EXC(_xlfn._xlws.FILTER($K$3:$K$15, ISNUMBER($K$3:$K$15)),K6)*100</f>
        <v>71.399999999999991</v>
      </c>
      <c r="AA6" s="4" cm="1">
        <f t="array" ref="AA6">_xlfn.PERCENTRANK.EXC(_xlfn._xlws.FILTER($H$3:$H$15, ISNUMBER($H$3:$H$15)),H6)*100</f>
        <v>71.399999999999991</v>
      </c>
      <c r="AB6" s="4" cm="1">
        <f t="array" ref="AB6">_xlfn.PERCENTRANK.EXC(_xlfn._xlws.FILTER($J$3:$J$15, ISNUMBER($J$3:$J$15)),J6)*100</f>
        <v>50</v>
      </c>
      <c r="AC6" s="4">
        <f t="shared" si="4"/>
        <v>35.699999999999996</v>
      </c>
      <c r="AD6" s="4">
        <f t="shared" si="5"/>
        <v>50</v>
      </c>
      <c r="AE6" s="4">
        <f t="shared" si="6"/>
        <v>50</v>
      </c>
      <c r="AF6" s="4">
        <f>'Economic Momentum'!Q7</f>
        <v>7.1</v>
      </c>
      <c r="AG6" s="4">
        <f ca="1">'Economic Momentum'!R7</f>
        <v>28.499999999999996</v>
      </c>
      <c r="AH6" s="4">
        <f t="shared" ca="1" si="7"/>
        <v>33.54</v>
      </c>
      <c r="AJ6" s="3" cm="1">
        <f t="array" aca="1" ref="AJ6" ca="1">_xlfn.PERCENTRANK.EXC(_xlfn._xlws.FILTER($AH$3:$AH$15, ISNUMBER($AH$3:$AH$15)),AH6)*100</f>
        <v>35.699999999999996</v>
      </c>
      <c r="AK6">
        <f t="shared" si="8"/>
        <v>2</v>
      </c>
      <c r="AM6" s="4"/>
    </row>
    <row r="7" spans="1:39" x14ac:dyDescent="0.35">
      <c r="A7" t="s">
        <v>46</v>
      </c>
      <c r="B7" t="str" cm="1">
        <f t="array" ref="B7">_xll.FDS(A7,"FG_COMPANY_NAME")</f>
        <v>iShares MSCI Japan ETF</v>
      </c>
      <c r="C7" t="s">
        <v>46</v>
      </c>
      <c r="D7" s="142">
        <f>VLOOKUP(C7,'Market Capitalisation'!$C$2:$G$14,5,FALSE)</f>
        <v>6325763.5</v>
      </c>
      <c r="E7" cm="1">
        <f t="array" ref="E7">_xll.FDS(C7,"FMA_COS_UP(""EPS"",""1M"",+1,0,,,""PORTAGG"",""MEANR"")")</f>
        <v>103</v>
      </c>
      <c r="F7" cm="1">
        <f t="array" ref="F7">_xll.FDS(C7,"FMA_COS_DOWN(""EPS"",""1M"",+1,0,,,""PORTAGG"",""MEANR"")")</f>
        <v>86</v>
      </c>
      <c r="G7" cm="1">
        <f t="array" ref="G7">_xll.FDS(A7,"SIZE(FG_CONSTITUENTS)")</f>
        <v>205</v>
      </c>
      <c r="H7" s="9">
        <f t="shared" si="0"/>
        <v>0.5024390243902439</v>
      </c>
      <c r="I7" s="9">
        <f t="shared" si="1"/>
        <v>0.4195121951219512</v>
      </c>
      <c r="J7" s="9">
        <f t="shared" si="2"/>
        <v>8.2926829268292701E-2</v>
      </c>
      <c r="K7" s="5" cm="1">
        <f t="array" ref="K7">_xll.FDS(A7,"FMA_PCT_ABOVE_MAVG(200,0,,,,""PORTAGG"")")/100</f>
        <v>0.71078431372549</v>
      </c>
      <c r="L7" s="41" cm="1">
        <f t="array" ref="L7">_xll.FDSB(A7,"PERCENT_CHANGE(FMA_EPS(+1,0,,,,""PORTAGG"",""MEAN""),FMA_EPS(+1,-1AM,,,,""PORTAGG"",""MEAN""))")</f>
        <v>-0.67696713824398802</v>
      </c>
      <c r="M7" s="41" cm="1">
        <f t="array" ref="M7">_xll.FDSB(A7,"PERCENT_CHANGE(FMA_EPS(+1,0,,,,""PORTAGG"",""MEAN""),FMA_EPS(+1,-3AM,,,,""PORTAGG"",""MEAN""))")</f>
        <v>-4.5949211124910203</v>
      </c>
      <c r="N7" s="3" cm="1">
        <f t="array" ref="N7">_xll.FDS(C7,"FG_TOTAL_RETURNC(0,-1AM)")</f>
        <v>-4.1592120000000003E-2</v>
      </c>
      <c r="O7" s="3" cm="1">
        <f t="array" ref="O7">_xll.FDS(C7,"FG_TOTAL_RETURNC(0,-3AM)")</f>
        <v>-2.4767934999999999</v>
      </c>
      <c r="P7" s="3" cm="1">
        <f t="array" ref="P7">_xll.FDS(C7,"FG_TOTAL_RETURNC(0,-6AM)")</f>
        <v>7.1791887000000001</v>
      </c>
      <c r="Q7" s="9" cm="1">
        <f t="array" ref="Q7">_xll.FDS(C7,"P_PRICE(0)/P_PRICE_HIGH_PR(0,,,,,,""PRICE"",""INTRA"",""52W"")")</f>
        <v>0.93179769999999995</v>
      </c>
      <c r="R7" s="9" cm="1">
        <f t="array" ref="R7">_xll.FDS(C7,"P_PRICE(0)/P_PRICE_low_PR(0,,,,,,""PRICE"",""INTRA"",""52W"")-1")</f>
        <v>0.17395103000000001</v>
      </c>
      <c r="S7" s="3" cm="1">
        <f t="array" ref="S7">_xll.FDS(C7,"FG_TOTAL_RETURNC(0,-12AM)")</f>
        <v>8.0229870000000005</v>
      </c>
      <c r="T7" s="4" cm="1">
        <f t="array" ref="T7">_xlfn.PERCENTRANK.EXC(_xlfn._xlws.FILTER($R$3:$R$15, ISNUMBER($R$3:$R$15)),R7)*100</f>
        <v>35.699999999999996</v>
      </c>
      <c r="U7" s="4">
        <f t="shared" si="3"/>
        <v>64.300000000000011</v>
      </c>
      <c r="V7" s="4" cm="1">
        <f t="array" ref="V7">_xlfn.PERCENTRANK.EXC(_xlfn._xlws.FILTER($Q$3:$Q$15, ISNUMBER($Q$3:$Q$15)),Q7)*100</f>
        <v>28.499999999999996</v>
      </c>
      <c r="W7" s="4" cm="1">
        <f t="array" ref="W7">_xlfn.PERCENTRANK.EXC(_xlfn._xlws.FILTER($O$3:$O$15, ISNUMBER($O$3:$O$15)),O7)*100</f>
        <v>21.4</v>
      </c>
      <c r="X7" s="4" cm="1">
        <f t="array" ref="X7">_xlfn.PERCENTRANK.EXC(_xlfn._xlws.FILTER($P$3:$P$15, ISNUMBER($P$3:$P$15)),P7)*100</f>
        <v>50</v>
      </c>
      <c r="Y7" s="201" cm="1">
        <f t="array" ref="Y7">_xlfn.PERCENTRANK.EXC(_xlfn._xlws.FILTER($S$3:$S$15, ISNUMBER($S$3:$S$15)),S7)*100</f>
        <v>21.4</v>
      </c>
      <c r="Z7" s="4" cm="1">
        <f t="array" ref="Z7">_xlfn.PERCENTRANK.EXC(_xlfn._xlws.FILTER($K$3:$K$15, ISNUMBER($K$3:$K$15)),K7)*100</f>
        <v>78.5</v>
      </c>
      <c r="AA7" s="4" cm="1">
        <f t="array" ref="AA7">_xlfn.PERCENTRANK.EXC(_xlfn._xlws.FILTER($H$3:$H$15, ISNUMBER($H$3:$H$15)),H7)*100</f>
        <v>85.7</v>
      </c>
      <c r="AB7" s="4" cm="1">
        <f t="array" ref="AB7">_xlfn.PERCENTRANK.EXC(_xlfn._xlws.FILTER($J$3:$J$15, ISNUMBER($J$3:$J$15)),J7)*100</f>
        <v>64.2</v>
      </c>
      <c r="AC7" s="4">
        <f t="shared" si="4"/>
        <v>21.4</v>
      </c>
      <c r="AD7" s="4">
        <f t="shared" si="5"/>
        <v>7.1</v>
      </c>
      <c r="AE7" s="4">
        <f t="shared" si="6"/>
        <v>78.5</v>
      </c>
      <c r="AF7" s="4">
        <f>'Economic Momentum'!Q8</f>
        <v>64.2</v>
      </c>
      <c r="AG7" s="4">
        <f ca="1">'Economic Momentum'!R8</f>
        <v>7.1</v>
      </c>
      <c r="AH7" s="4">
        <f t="shared" ca="1" si="7"/>
        <v>32.819999999999993</v>
      </c>
      <c r="AJ7" s="3" cm="1">
        <f t="array" aca="1" ref="AJ7" ca="1">_xlfn.PERCENTRANK.EXC(_xlfn._xlws.FILTER($AH$3:$AH$15, ISNUMBER($AH$3:$AH$15)),AH7)*100</f>
        <v>28.499999999999996</v>
      </c>
      <c r="AK7">
        <f t="shared" si="8"/>
        <v>2</v>
      </c>
      <c r="AM7" s="4"/>
    </row>
    <row r="8" spans="1:39" x14ac:dyDescent="0.35">
      <c r="A8" t="s">
        <v>42</v>
      </c>
      <c r="B8" t="str" cm="1">
        <f t="array" ref="B8">_xll.FDS(A8,"FG_COMPANY_NAME")</f>
        <v>iShares MSCI Switzerland ETF</v>
      </c>
      <c r="C8" t="s">
        <v>42</v>
      </c>
      <c r="D8" s="142">
        <f>VLOOKUP(C8,'Market Capitalisation'!$C$2:$G$14,5,FALSE)</f>
        <v>2205332.7999999998</v>
      </c>
      <c r="E8" cm="1">
        <f t="array" ref="E8">_xll.FDS(C8,"FMA_COS_UP(""EPS"",""1M"",+1,0,,,""PORTAGG"",""MEANR"")")</f>
        <v>22</v>
      </c>
      <c r="F8" cm="1">
        <f t="array" ref="F8">_xll.FDS(C8,"FMA_COS_DOWN(""EPS"",""1M"",+1,0,,,""PORTAGG"",""MEANR"")")</f>
        <v>10</v>
      </c>
      <c r="G8" cm="1">
        <f t="array" ref="G8">_xll.FDS(A8,"SIZE(FG_CONSTITUENTS)")</f>
        <v>47</v>
      </c>
      <c r="H8" s="9">
        <f t="shared" si="0"/>
        <v>0.46808510638297873</v>
      </c>
      <c r="I8" s="9">
        <f t="shared" si="1"/>
        <v>0.21276595744680851</v>
      </c>
      <c r="J8" s="9">
        <f t="shared" si="2"/>
        <v>0.25531914893617025</v>
      </c>
      <c r="K8" s="5" cm="1">
        <f t="array" ref="K8">_xll.FDS(A8,"FMA_PCT_ABOVE_MAVG(200,0,,,,""PORTAGG"")")/100</f>
        <v>0.71111111111111103</v>
      </c>
      <c r="L8" s="41" cm="1">
        <f t="array" ref="L8">_xll.FDSB(A8,"PERCENT_CHANGE(FMA_EPS(+1,0,,,,""PORTAGG"",""MEAN""),FMA_EPS(+1,-1AM,,,,""PORTAGG"",""MEAN""))")</f>
        <v>2.4311848297724299</v>
      </c>
      <c r="M8" s="41" cm="1">
        <f t="array" ref="M8">_xll.FDSB(A8,"PERCENT_CHANGE(FMA_EPS(+1,0,,,,""PORTAGG"",""MEAN""),FMA_EPS(+1,-3AM,,,,""PORTAGG"",""MEAN""))")</f>
        <v>3.0270841516856399</v>
      </c>
      <c r="N8" s="3" cm="1">
        <f t="array" ref="N8">_xll.FDS(C8,"FG_TOTAL_RETURNC(0,-1AM)")</f>
        <v>4.7512889999999999</v>
      </c>
      <c r="O8" s="3" cm="1">
        <f t="array" ref="O8">_xll.FDS(C8,"FG_TOTAL_RETURNC(0,-3AM)")</f>
        <v>2.5586604999999998</v>
      </c>
      <c r="P8" s="3" cm="1">
        <f t="array" ref="P8">_xll.FDS(C8,"FG_TOTAL_RETURNC(0,-6AM)")</f>
        <v>6.3336969999999999</v>
      </c>
      <c r="Q8" s="9" cm="1">
        <f t="array" ref="Q8">_xll.FDS(C8,"P_PRICE(0)/P_PRICE_HIGH_PR(0,,,,,,""PRICE"",""INTRA"",""52W"")")</f>
        <v>0.96681810000000001</v>
      </c>
      <c r="R8" s="9" cm="1">
        <f t="array" ref="R8">_xll.FDS(C8,"P_PRICE(0)/P_PRICE_low_PR(0,,,,,,""PRICE"",""INTRA"",""52W"")-1")</f>
        <v>0.17809868000000001</v>
      </c>
      <c r="S8" s="3" cm="1">
        <f t="array" ref="S8">_xll.FDS(C8,"FG_TOTAL_RETURNC(0,-12AM)")</f>
        <v>9.0007420000000007</v>
      </c>
      <c r="T8" s="4" cm="1">
        <f t="array" ref="T8">_xlfn.PERCENTRANK.EXC(_xlfn._xlws.FILTER($R$3:$R$15, ISNUMBER($R$3:$R$15)),R8)*100</f>
        <v>42.8</v>
      </c>
      <c r="U8" s="4">
        <f t="shared" si="3"/>
        <v>57.2</v>
      </c>
      <c r="V8" s="4" cm="1">
        <f t="array" ref="V8">_xlfn.PERCENTRANK.EXC(_xlfn._xlws.FILTER($Q$3:$Q$15, ISNUMBER($Q$3:$Q$15)),Q8)*100</f>
        <v>71.399999999999991</v>
      </c>
      <c r="W8" s="4" cm="1">
        <f t="array" ref="W8">_xlfn.PERCENTRANK.EXC(_xlfn._xlws.FILTER($O$3:$O$15, ISNUMBER($O$3:$O$15)),O8)*100</f>
        <v>64.2</v>
      </c>
      <c r="X8" s="4" cm="1">
        <f t="array" ref="X8">_xlfn.PERCENTRANK.EXC(_xlfn._xlws.FILTER($P$3:$P$15, ISNUMBER($P$3:$P$15)),P8)*100</f>
        <v>28.499999999999996</v>
      </c>
      <c r="Y8" s="201" cm="1">
        <f t="array" ref="Y8">_xlfn.PERCENTRANK.EXC(_xlfn._xlws.FILTER($S$3:$S$15, ISNUMBER($S$3:$S$15)),S8)*100</f>
        <v>35.699999999999996</v>
      </c>
      <c r="Z8" s="4" cm="1">
        <f t="array" ref="Z8">_xlfn.PERCENTRANK.EXC(_xlfn._xlws.FILTER($K$3:$K$15, ISNUMBER($K$3:$K$15)),K8)*100</f>
        <v>85.7</v>
      </c>
      <c r="AA8" s="4" cm="1">
        <f t="array" ref="AA8">_xlfn.PERCENTRANK.EXC(_xlfn._xlws.FILTER($H$3:$H$15, ISNUMBER($H$3:$H$15)),H8)*100</f>
        <v>78.5</v>
      </c>
      <c r="AB8" s="4" cm="1">
        <f t="array" ref="AB8">_xlfn.PERCENTRANK.EXC(_xlfn._xlws.FILTER($J$3:$J$15, ISNUMBER($J$3:$J$15)),J8)*100</f>
        <v>92.800000000000011</v>
      </c>
      <c r="AC8" s="4">
        <f t="shared" si="4"/>
        <v>64.2</v>
      </c>
      <c r="AD8" s="4">
        <f t="shared" si="5"/>
        <v>71.399999999999991</v>
      </c>
      <c r="AE8" s="4">
        <f t="shared" si="6"/>
        <v>42.8</v>
      </c>
      <c r="AF8" s="4">
        <f>'Economic Momentum'!Q9</f>
        <v>28.499999999999996</v>
      </c>
      <c r="AG8" s="4">
        <f ca="1">'Economic Momentum'!R9</f>
        <v>42.8</v>
      </c>
      <c r="AH8" s="4">
        <f t="shared" ca="1" si="7"/>
        <v>56.37</v>
      </c>
      <c r="AJ8" s="3" cm="1">
        <f t="array" aca="1" ref="AJ8" ca="1">_xlfn.PERCENTRANK.EXC(_xlfn._xlws.FILTER($AH$3:$AH$15, ISNUMBER($AH$3:$AH$15)),AH8)*100</f>
        <v>57.099999999999994</v>
      </c>
      <c r="AK8">
        <f t="shared" si="8"/>
        <v>4</v>
      </c>
      <c r="AM8" s="4"/>
    </row>
    <row r="9" spans="1:39" x14ac:dyDescent="0.35">
      <c r="A9" t="s">
        <v>48</v>
      </c>
      <c r="B9" t="str" cm="1">
        <f t="array" ref="B9">_xll.FDS(A9,"FG_COMPANY_NAME")</f>
        <v>iShares MSCI United Kingdom ETF</v>
      </c>
      <c r="C9" t="s">
        <v>48</v>
      </c>
      <c r="D9" s="142">
        <f>VLOOKUP(C9,'Market Capitalisation'!$C$2:$G$14,5,FALSE)</f>
        <v>3242559</v>
      </c>
      <c r="E9" cm="1">
        <f t="array" ref="E9">_xll.FDS(C9,"FMA_COS_UP(""EPS"",""1M"",+1,0,,,""PORTAGG"",""MEANR"")")</f>
        <v>44</v>
      </c>
      <c r="F9" cm="1">
        <f t="array" ref="F9">_xll.FDS(C9,"FMA_COS_DOWN(""EPS"",""1M"",+1,0,,,""PORTAGG"",""MEANR"")")</f>
        <v>26</v>
      </c>
      <c r="G9" cm="1">
        <f t="array" ref="G9">_xll.FDS(A9,"SIZE(FG_CONSTITUENTS)")</f>
        <v>82</v>
      </c>
      <c r="H9" s="9">
        <f t="shared" si="0"/>
        <v>0.53658536585365857</v>
      </c>
      <c r="I9" s="9">
        <f t="shared" si="1"/>
        <v>0.31707317073170732</v>
      </c>
      <c r="J9" s="9">
        <f t="shared" si="2"/>
        <v>0.21951219512195125</v>
      </c>
      <c r="K9" s="5" cm="1">
        <f t="array" ref="K9">_xll.FDS(A9,"FMA_PCT_ABOVE_MAVG(200,0,,,,""PORTAGG"")")/100</f>
        <v>0.66249999999999998</v>
      </c>
      <c r="L9" s="41" cm="1">
        <f t="array" ref="L9">_xll.FDSB(A9,"PERCENT_CHANGE(FMA_EPS(+1,0,,,,""PORTAGG"",""MEAN""),FMA_EPS(+1,-1AM,,,,""PORTAGG"",""MEAN""))")</f>
        <v>2.27408724344345</v>
      </c>
      <c r="M9" s="41" cm="1">
        <f t="array" ref="M9">_xll.FDSB(A9,"PERCENT_CHANGE(FMA_EPS(+1,0,,,,""PORTAGG"",""MEAN""),FMA_EPS(+1,-3AM,,,,""PORTAGG"",""MEAN""))")</f>
        <v>3.1397414876582102</v>
      </c>
      <c r="N9" s="3" cm="1">
        <f t="array" ref="N9">_xll.FDS(C9,"FG_TOTAL_RETURNC(0,-1AM)")</f>
        <v>-1.0860205000000001</v>
      </c>
      <c r="O9" s="3" cm="1">
        <f t="array" ref="O9">_xll.FDS(C9,"FG_TOTAL_RETURNC(0,-3AM)")</f>
        <v>5.9750794999999997</v>
      </c>
      <c r="P9" s="3" cm="1">
        <f t="array" ref="P9">_xll.FDS(C9,"FG_TOTAL_RETURNC(0,-6AM)")</f>
        <v>10.978866</v>
      </c>
      <c r="Q9" s="9" cm="1">
        <f t="array" ref="Q9">_xll.FDS(C9,"P_PRICE(0)/P_PRICE_HIGH_PR(0,,,,,,""PRICE"",""INTRA"",""52W"")")</f>
        <v>0.95444035999999999</v>
      </c>
      <c r="R9" s="9" cm="1">
        <f t="array" ref="R9">_xll.FDS(C9,"P_PRICE(0)/P_PRICE_low_PR(0,,,,,,""PRICE"",""INTRA"",""52W"")-1")</f>
        <v>0.16423357</v>
      </c>
      <c r="S9" s="3" cm="1">
        <f t="array" ref="S9">_xll.FDS(C9,"FG_TOTAL_RETURNC(0,-12AM)")</f>
        <v>13.210106</v>
      </c>
      <c r="T9" s="4" cm="1">
        <f t="array" ref="T9">_xlfn.PERCENTRANK.EXC(_xlfn._xlws.FILTER($R$3:$R$15, ISNUMBER($R$3:$R$15)),R9)*100</f>
        <v>21.4</v>
      </c>
      <c r="U9" s="4">
        <f t="shared" si="3"/>
        <v>78.599999999999994</v>
      </c>
      <c r="V9" s="4" cm="1">
        <f t="array" ref="V9">_xlfn.PERCENTRANK.EXC(_xlfn._xlws.FILTER($Q$3:$Q$15, ISNUMBER($Q$3:$Q$15)),Q9)*100</f>
        <v>50</v>
      </c>
      <c r="W9" s="4" cm="1">
        <f t="array" ref="W9">_xlfn.PERCENTRANK.EXC(_xlfn._xlws.FILTER($O$3:$O$15, ISNUMBER($O$3:$O$15)),O9)*100</f>
        <v>85.7</v>
      </c>
      <c r="X9" s="4" cm="1">
        <f t="array" ref="X9">_xlfn.PERCENTRANK.EXC(_xlfn._xlws.FILTER($P$3:$P$15, ISNUMBER($P$3:$P$15)),P9)*100</f>
        <v>57.099999999999994</v>
      </c>
      <c r="Y9" s="201" cm="1">
        <f t="array" ref="Y9">_xlfn.PERCENTRANK.EXC(_xlfn._xlws.FILTER($S$3:$S$15, ISNUMBER($S$3:$S$15)),S9)*100</f>
        <v>57.099999999999994</v>
      </c>
      <c r="Z9" s="4" cm="1">
        <f t="array" ref="Z9">_xlfn.PERCENTRANK.EXC(_xlfn._xlws.FILTER($K$3:$K$15, ISNUMBER($K$3:$K$15)),K9)*100</f>
        <v>57.099999999999994</v>
      </c>
      <c r="AA9" s="4" cm="1">
        <f t="array" ref="AA9">_xlfn.PERCENTRANK.EXC(_xlfn._xlws.FILTER($H$3:$H$15, ISNUMBER($H$3:$H$15)),H9)*100</f>
        <v>92.800000000000011</v>
      </c>
      <c r="AB9" s="4" cm="1">
        <f t="array" ref="AB9">_xlfn.PERCENTRANK.EXC(_xlfn._xlws.FILTER($J$3:$J$15, ISNUMBER($J$3:$J$15)),J9)*100</f>
        <v>85.7</v>
      </c>
      <c r="AC9" s="4">
        <f t="shared" si="4"/>
        <v>57.099999999999994</v>
      </c>
      <c r="AD9" s="4">
        <f t="shared" si="5"/>
        <v>78.5</v>
      </c>
      <c r="AE9" s="4">
        <f t="shared" si="6"/>
        <v>71.399999999999991</v>
      </c>
      <c r="AF9" s="4">
        <f>'Economic Momentum'!Q10</f>
        <v>71.399999999999991</v>
      </c>
      <c r="AG9" s="4">
        <f ca="1">'Economic Momentum'!R10</f>
        <v>50</v>
      </c>
      <c r="AH9" s="4">
        <f t="shared" ca="1" si="7"/>
        <v>62.84</v>
      </c>
      <c r="AJ9" s="3" cm="1">
        <f t="array" aca="1" ref="AJ9" ca="1">_xlfn.PERCENTRANK.EXC(_xlfn._xlws.FILTER($AH$3:$AH$15, ISNUMBER($AH$3:$AH$15)),AH9)*100</f>
        <v>71.399999999999991</v>
      </c>
      <c r="AK9">
        <f t="shared" si="8"/>
        <v>3</v>
      </c>
      <c r="AM9" s="4"/>
    </row>
    <row r="10" spans="1:39" x14ac:dyDescent="0.35">
      <c r="A10" t="s">
        <v>51</v>
      </c>
      <c r="B10" t="str" cm="1">
        <f t="array" ref="B10">_xll.FDS(A10,"FG_COMPANY_NAME")</f>
        <v>Invesco QQQ Trust Series I</v>
      </c>
      <c r="C10" t="s">
        <v>51</v>
      </c>
      <c r="D10" s="142">
        <f>VLOOKUP(C10,'Market Capitalisation'!$C$2:$G$14,5,FALSE)</f>
        <v>56151130</v>
      </c>
      <c r="E10" cm="1">
        <f t="array" ref="E10">_xll.FDS(C10,"FMA_COS_UP(""EPS"",""1M"",+1,0,,,""PORTAGG"",""MEANR"")")</f>
        <v>39</v>
      </c>
      <c r="F10" cm="1">
        <f t="array" ref="F10">_xll.FDS(C10,"FMA_COS_DOWN(""EPS"",""1M"",+1,0,,,""PORTAGG"",""MEANR"")")</f>
        <v>30</v>
      </c>
      <c r="G10" cm="1">
        <f t="array" ref="G10">_xll.FDS(A10,"SIZE(FG_CONSTITUENTS)")</f>
        <v>102</v>
      </c>
      <c r="H10" s="9">
        <f t="shared" si="0"/>
        <v>0.38235294117647056</v>
      </c>
      <c r="I10" s="9">
        <f t="shared" si="1"/>
        <v>0.29411764705882354</v>
      </c>
      <c r="J10" s="9">
        <f t="shared" si="2"/>
        <v>8.8235294117647023E-2</v>
      </c>
      <c r="K10" s="5" cm="1">
        <f t="array" ref="K10">_xll.FDS(A10,"FMA_PCT_ABOVE_MAVG(200,0,,,,""PORTAGG"")")/100</f>
        <v>0.62745098039215697</v>
      </c>
      <c r="L10" s="41" cm="1">
        <f t="array" ref="L10">_xll.FDSB(A10,"PERCENT_CHANGE(FMA_EPS(+1,0,,,,""PORTAGG"",""MEAN""),FMA_EPS(+1,-1AM,,,,""PORTAGG"",""MEAN""))")</f>
        <v>5.0736852885707702</v>
      </c>
      <c r="M10" s="41" cm="1">
        <f t="array" ref="M10">_xll.FDSB(A10,"PERCENT_CHANGE(FMA_EPS(+1,0,,,,""PORTAGG"",""MEAN""),FMA_EPS(+1,-3AM,,,,""PORTAGG"",""MEAN""))")</f>
        <v>4.4267484893809597</v>
      </c>
      <c r="N10" s="3" cm="1">
        <f t="array" ref="N10">_xll.FDS(C10,"FG_TOTAL_RETURNC(0,-1AM)")</f>
        <v>7.5923084999999997</v>
      </c>
      <c r="O10" s="3" cm="1">
        <f t="array" ref="O10">_xll.FDS(C10,"FG_TOTAL_RETURNC(0,-3AM)")</f>
        <v>8.4258670000000002</v>
      </c>
      <c r="P10" s="3" cm="1">
        <f t="array" ref="P10">_xll.FDS(C10,"FG_TOTAL_RETURNC(0,-6AM)")</f>
        <v>18.527650000000001</v>
      </c>
      <c r="Q10" s="9" cm="1">
        <f t="array" ref="Q10">_xll.FDS(C10,"P_PRICE(0)/P_PRICE_HIGH_PR(0,,,,,,""PRICE"",""INTRA"",""52W"")")</f>
        <v>0.99650910000000004</v>
      </c>
      <c r="R10" s="9" cm="1">
        <f t="array" ref="R10">_xll.FDS(C10,"P_PRICE(0)/P_PRICE_low_PR(0,,,,,,""PRICE"",""INTRA"",""52W"")-1")</f>
        <v>0.39249299999999998</v>
      </c>
      <c r="S10" s="3" cm="1">
        <f t="array" ref="S10">_xll.FDS(C10,"FG_TOTAL_RETURNC(0,-12AM)")</f>
        <v>32.107353000000003</v>
      </c>
      <c r="T10" s="4" cm="1">
        <f t="array" ref="T10">_xlfn.PERCENTRANK.EXC(_xlfn._xlws.FILTER($R$3:$R$15, ISNUMBER($R$3:$R$15)),R10)*100</f>
        <v>85.7</v>
      </c>
      <c r="U10" s="4">
        <f t="shared" si="3"/>
        <v>14.299999999999997</v>
      </c>
      <c r="V10" s="4" cm="1">
        <f t="array" ref="V10">_xlfn.PERCENTRANK.EXC(_xlfn._xlws.FILTER($Q$3:$Q$15, ISNUMBER($Q$3:$Q$15)),Q10)*100</f>
        <v>85.7</v>
      </c>
      <c r="W10" s="4" cm="1">
        <f t="array" ref="W10">_xlfn.PERCENTRANK.EXC(_xlfn._xlws.FILTER($O$3:$O$15, ISNUMBER($O$3:$O$15)),O10)*100</f>
        <v>92.800000000000011</v>
      </c>
      <c r="X10" s="4" cm="1">
        <f t="array" ref="X10">_xlfn.PERCENTRANK.EXC(_xlfn._xlws.FILTER($P$3:$P$15, ISNUMBER($P$3:$P$15)),P10)*100</f>
        <v>92.800000000000011</v>
      </c>
      <c r="Y10" s="201" cm="1">
        <f t="array" ref="Y10">_xlfn.PERCENTRANK.EXC(_xlfn._xlws.FILTER($S$3:$S$15, ISNUMBER($S$3:$S$15)),S10)*100</f>
        <v>92.800000000000011</v>
      </c>
      <c r="Z10" s="4" cm="1">
        <f t="array" ref="Z10">_xlfn.PERCENTRANK.EXC(_xlfn._xlws.FILTER($K$3:$K$15, ISNUMBER($K$3:$K$15)),K10)*100</f>
        <v>21.4</v>
      </c>
      <c r="AA10" s="4" cm="1">
        <f t="array" ref="AA10">_xlfn.PERCENTRANK.EXC(_xlfn._xlws.FILTER($H$3:$H$15, ISNUMBER($H$3:$H$15)),H10)*100</f>
        <v>50</v>
      </c>
      <c r="AB10" s="4" cm="1">
        <f t="array" ref="AB10">_xlfn.PERCENTRANK.EXC(_xlfn._xlws.FILTER($J$3:$J$15, ISNUMBER($J$3:$J$15)),J10)*100</f>
        <v>71.399999999999991</v>
      </c>
      <c r="AC10" s="4">
        <f t="shared" si="4"/>
        <v>85.7</v>
      </c>
      <c r="AD10" s="4">
        <f t="shared" si="5"/>
        <v>92.800000000000011</v>
      </c>
      <c r="AE10" s="4">
        <f t="shared" si="6"/>
        <v>85.7</v>
      </c>
      <c r="AF10" s="4">
        <f>'Economic Momentum'!Q11</f>
        <v>78.5</v>
      </c>
      <c r="AG10" s="4">
        <f ca="1">'Economic Momentum'!R11</f>
        <v>57.099999999999994</v>
      </c>
      <c r="AH10" s="4">
        <f t="shared" ca="1" si="7"/>
        <v>89.960000000000008</v>
      </c>
      <c r="AJ10" s="3" cm="1">
        <f t="array" aca="1" ref="AJ10" ca="1">_xlfn.PERCENTRANK.EXC(_xlfn._xlws.FILTER($AH$3:$AH$15, ISNUMBER($AH$3:$AH$15)),AH10)*100</f>
        <v>92.800000000000011</v>
      </c>
      <c r="AK10">
        <f t="shared" si="8"/>
        <v>5</v>
      </c>
      <c r="AM10" s="4"/>
    </row>
    <row r="11" spans="1:39" x14ac:dyDescent="0.35">
      <c r="A11" t="s">
        <v>1</v>
      </c>
      <c r="B11" t="str" cm="1">
        <f t="array" ref="B11">_xll.FDS(A11,"FG_COMPANY_NAME")</f>
        <v>SPDR S&amp;P 500 ETF Trust</v>
      </c>
      <c r="C11" t="s">
        <v>1</v>
      </c>
      <c r="D11" s="142">
        <f>VLOOKUP(C11,'Market Capitalisation'!$C$2:$G$14,5,FALSE)</f>
        <v>56151130</v>
      </c>
      <c r="E11" cm="1">
        <f t="array" ref="E11">_xll.FDS(C11,"FMA_COS_UP(""EPS"",""1M"",+1,0,,,""PORTAGG"",""MEANR"")")</f>
        <v>164</v>
      </c>
      <c r="F11" cm="1">
        <f t="array" ref="F11">_xll.FDS(C11,"FMA_COS_DOWN(""EPS"",""1M"",+1,0,,,""PORTAGG"",""MEANR"")")</f>
        <v>151</v>
      </c>
      <c r="G11" cm="1">
        <f t="array" ref="G11">_xll.FDS(A11,"SIZE(FG_CONSTITUENTS)")</f>
        <v>504</v>
      </c>
      <c r="H11" s="9">
        <f t="shared" si="0"/>
        <v>0.32539682539682541</v>
      </c>
      <c r="I11" s="9">
        <f t="shared" si="1"/>
        <v>0.29960317460317459</v>
      </c>
      <c r="J11" s="9">
        <f t="shared" si="2"/>
        <v>2.5793650793650813E-2</v>
      </c>
      <c r="K11" s="5" cm="1">
        <f t="array" ref="K11">_xll.FDS(A11,"FMA_PCT_ABOVE_MAVG(200,0,,,,""PORTAGG"")")/100</f>
        <v>0.65668662674650702</v>
      </c>
      <c r="L11" s="41" cm="1">
        <f t="array" ref="L11">_xll.FDSB(A11,"PERCENT_CHANGE(FMA_EPS(+1,0,,,,""PORTAGG"",""MEAN""),FMA_EPS(+1,-1AM,,,,""PORTAGG"",""MEAN""))")</f>
        <v>3.0929553010464201</v>
      </c>
      <c r="M11" s="41" cm="1">
        <f t="array" ref="M11">_xll.FDSB(A11,"PERCENT_CHANGE(FMA_EPS(+1,0,,,,""PORTAGG"",""MEAN""),FMA_EPS(+1,-3AM,,,,""PORTAGG"",""MEAN""))")</f>
        <v>2.7722297217498801</v>
      </c>
      <c r="N11" s="3" cm="1">
        <f t="array" ref="N11">_xll.FDS(C11,"FG_TOTAL_RETURNC(0,-1AM)")</f>
        <v>4.135084</v>
      </c>
      <c r="O11" s="3" cm="1">
        <f t="array" ref="O11">_xll.FDS(C11,"FG_TOTAL_RETURNC(0,-3AM)")</f>
        <v>5.4609775999999997</v>
      </c>
      <c r="P11" s="3" cm="1">
        <f t="array" ref="P11">_xll.FDS(C11,"FG_TOTAL_RETURNC(0,-6AM)")</f>
        <v>16.122616000000001</v>
      </c>
      <c r="Q11" s="9" cm="1">
        <f t="array" ref="Q11">_xll.FDS(C11,"P_PRICE(0)/P_PRICE_HIGH_PR(0,,,,,,""PRICE"",""INTRA"",""52W"")")</f>
        <v>0.99693083999999998</v>
      </c>
      <c r="R11" s="9" cm="1">
        <f t="array" ref="R11">_xll.FDS(C11,"P_PRICE(0)/P_PRICE_low_PR(0,,,,,,""PRICE"",""INTRA"",""52W"")-1")</f>
        <v>0.32560299999999998</v>
      </c>
      <c r="S11" s="3" cm="1">
        <f t="array" ref="S11">_xll.FDS(C11,"FG_TOTAL_RETURNC(0,-12AM)")</f>
        <v>26.036728</v>
      </c>
      <c r="T11" s="4" cm="1">
        <f t="array" ref="T11">_xlfn.PERCENTRANK.EXC(_xlfn._xlws.FILTER($R$3:$R$15, ISNUMBER($R$3:$R$15)),R11)*100</f>
        <v>71.399999999999991</v>
      </c>
      <c r="U11" s="4">
        <f t="shared" si="3"/>
        <v>28.600000000000009</v>
      </c>
      <c r="V11" s="4" cm="1">
        <f t="array" ref="V11">_xlfn.PERCENTRANK.EXC(_xlfn._xlws.FILTER($Q$3:$Q$15, ISNUMBER($Q$3:$Q$15)),Q11)*100</f>
        <v>92.800000000000011</v>
      </c>
      <c r="W11" s="4" cm="1">
        <f t="array" ref="W11">_xlfn.PERCENTRANK.EXC(_xlfn._xlws.FILTER($O$3:$O$15, ISNUMBER($O$3:$O$15)),O11)*100</f>
        <v>71.399999999999991</v>
      </c>
      <c r="X11" s="4" cm="1">
        <f t="array" ref="X11">_xlfn.PERCENTRANK.EXC(_xlfn._xlws.FILTER($P$3:$P$15, ISNUMBER($P$3:$P$15)),P11)*100</f>
        <v>78.5</v>
      </c>
      <c r="Y11" s="201" cm="1">
        <f t="array" ref="Y11">_xlfn.PERCENTRANK.EXC(_xlfn._xlws.FILTER($S$3:$S$15, ISNUMBER($S$3:$S$15)),S11)*100</f>
        <v>85.7</v>
      </c>
      <c r="Z11" s="4" cm="1">
        <f t="array" ref="Z11">_xlfn.PERCENTRANK.EXC(_xlfn._xlws.FILTER($K$3:$K$15, ISNUMBER($K$3:$K$15)),K11)*100</f>
        <v>42.8</v>
      </c>
      <c r="AA11" s="4" cm="1">
        <f t="array" ref="AA11">_xlfn.PERCENTRANK.EXC(_xlfn._xlws.FILTER($H$3:$H$15, ISNUMBER($H$3:$H$15)),H11)*100</f>
        <v>21.4</v>
      </c>
      <c r="AB11" s="4" cm="1">
        <f t="array" ref="AB11">_xlfn.PERCENTRANK.EXC(_xlfn._xlws.FILTER($J$3:$J$15, ISNUMBER($J$3:$J$15)),J11)*100</f>
        <v>42.8</v>
      </c>
      <c r="AC11" s="4">
        <f t="shared" si="4"/>
        <v>71.399999999999991</v>
      </c>
      <c r="AD11" s="4">
        <f t="shared" si="5"/>
        <v>64.2</v>
      </c>
      <c r="AE11" s="4">
        <f t="shared" si="6"/>
        <v>85.7</v>
      </c>
      <c r="AF11" s="4">
        <f>'Economic Momentum'!Q12</f>
        <v>78.5</v>
      </c>
      <c r="AG11" s="4">
        <f ca="1">'Economic Momentum'!R12</f>
        <v>57.099999999999994</v>
      </c>
      <c r="AH11" s="4">
        <f t="shared" ca="1" si="7"/>
        <v>82.09</v>
      </c>
      <c r="AJ11" s="3" cm="1">
        <f t="array" aca="1" ref="AJ11" ca="1">_xlfn.PERCENTRANK.EXC(_xlfn._xlws.FILTER($AH$3:$AH$15, ISNUMBER($AH$3:$AH$15)),AH11)*100</f>
        <v>85.7</v>
      </c>
      <c r="AK11">
        <f t="shared" si="8"/>
        <v>4</v>
      </c>
      <c r="AM11" s="4"/>
    </row>
    <row r="12" spans="1:39" x14ac:dyDescent="0.35">
      <c r="A12" t="s">
        <v>865</v>
      </c>
      <c r="B12" t="str" cm="1">
        <f t="array" ref="B12">_xll.FDS(A12,"FG_COMPANY_NAME")</f>
        <v>iShares MSCI France ETF</v>
      </c>
      <c r="C12" t="s">
        <v>865</v>
      </c>
      <c r="D12" s="142">
        <f>VLOOKUP(C12,'Market Capitalisation'!$C$2:$G$14,5,FALSE)</f>
        <v>3227415.8</v>
      </c>
      <c r="E12" cm="1">
        <f t="array" ref="E12">_xll.FDS(C12,"FMA_COS_UP(""EPS"",""1M"",+1,0,,,""PORTAGG"",""MEANR"")")</f>
        <v>22</v>
      </c>
      <c r="F12" cm="1">
        <f t="array" ref="F12">_xll.FDS(C12,"FMA_COS_DOWN(""EPS"",""1M"",+1,0,,,""PORTAGG"",""MEANR"")")</f>
        <v>25</v>
      </c>
      <c r="G12" cm="1">
        <f t="array" ref="G12">_xll.FDS(A12,"SIZE(FG_CONSTITUENTS)")</f>
        <v>63</v>
      </c>
      <c r="H12" s="9">
        <f t="shared" ref="H12:H15" si="9">E12/$G12</f>
        <v>0.34920634920634919</v>
      </c>
      <c r="I12" s="9">
        <f t="shared" ref="I12:I15" si="10">F12/$G12</f>
        <v>0.3968253968253968</v>
      </c>
      <c r="J12" s="9">
        <f t="shared" ref="J12:J15" si="11">H12-I12</f>
        <v>-4.7619047619047616E-2</v>
      </c>
      <c r="K12" s="5" cm="1">
        <f t="array" ref="K12">_xll.FDS(A12,"FMA_PCT_ABOVE_MAVG(200,0,,,,""PORTAGG"")")/100</f>
        <v>0.64516129032258107</v>
      </c>
      <c r="L12" s="41" cm="1">
        <f t="array" ref="L12">_xll.FDSB(A12,"PERCENT_CHANGE(FMA_EPS(+1,0,,,,""PORTAGG"",""MEAN""),FMA_EPS(+1,-1AM,,,,""PORTAGG"",""MEAN""))")</f>
        <v>1.1104944483055901</v>
      </c>
      <c r="M12" s="41" cm="1">
        <f t="array" ref="M12">_xll.FDSB(A12,"PERCENT_CHANGE(FMA_EPS(+1,0,,,,""PORTAGG"",""MEAN""),FMA_EPS(+1,-3AM,,,,""PORTAGG"",""MEAN""))")</f>
        <v>1.5916730833349099E-2</v>
      </c>
      <c r="N12" s="3" cm="1">
        <f t="array" ref="N12">_xll.FDS(C12,"FG_TOTAL_RETURNC(0,-1AM)")</f>
        <v>-5.1752450000000003</v>
      </c>
      <c r="O12" s="3" cm="1">
        <f t="array" ref="O12">_xll.FDS(C12,"FG_TOTAL_RETURNC(0,-3AM)")</f>
        <v>-4.2411269999999996</v>
      </c>
      <c r="P12" s="3" cm="1">
        <f t="array" ref="P12">_xll.FDS(C12,"FG_TOTAL_RETURNC(0,-6AM)")</f>
        <v>2.9102564000000002</v>
      </c>
      <c r="Q12" s="9" cm="1">
        <f t="array" ref="Q12">_xll.FDS(C12,"P_PRICE(0)/P_PRICE_HIGH_PR(0,,,,,,""PRICE"",""INTRA"",""52W"")")</f>
        <v>0.91431929999999995</v>
      </c>
      <c r="R12" s="9" cm="1">
        <f t="array" ref="R12">_xll.FDS(C12,"P_PRICE(0)/P_PRICE_low_PR(0,,,,,,""PRICE"",""INTRA"",""52W"")-1")</f>
        <v>0.15715979999999999</v>
      </c>
      <c r="S12" s="3" cm="1">
        <f t="array" ref="S12">_xll.FDS(C12,"FG_TOTAL_RETURNC(0,-12AM)")</f>
        <v>7.1145889999999996</v>
      </c>
      <c r="T12" s="4" cm="1">
        <f t="array" ref="T12">_xlfn.PERCENTRANK.EXC(_xlfn._xlws.FILTER($R$3:$R$15, ISNUMBER($R$3:$R$15)),R12)*100</f>
        <v>14.2</v>
      </c>
      <c r="U12" s="4">
        <f t="shared" ref="U12:U15" si="12">100-T12</f>
        <v>85.8</v>
      </c>
      <c r="V12" s="4" cm="1">
        <f t="array" ref="V12">_xlfn.PERCENTRANK.EXC(_xlfn._xlws.FILTER($Q$3:$Q$15, ISNUMBER($Q$3:$Q$15)),Q12)*100</f>
        <v>14.2</v>
      </c>
      <c r="W12" s="4" cm="1">
        <f t="array" ref="W12">_xlfn.PERCENTRANK.EXC(_xlfn._xlws.FILTER($O$3:$O$15, ISNUMBER($O$3:$O$15)),O12)*100</f>
        <v>7.1</v>
      </c>
      <c r="X12" s="4" cm="1">
        <f t="array" ref="X12">_xlfn.PERCENTRANK.EXC(_xlfn._xlws.FILTER($P$3:$P$15, ISNUMBER($P$3:$P$15)),P12)*100</f>
        <v>14.2</v>
      </c>
      <c r="Y12" s="201" cm="1">
        <f t="array" ref="Y12">_xlfn.PERCENTRANK.EXC(_xlfn._xlws.FILTER($S$3:$S$15, ISNUMBER($S$3:$S$15)),S12)*100</f>
        <v>14.2</v>
      </c>
      <c r="Z12" s="4" cm="1">
        <f t="array" ref="Z12">_xlfn.PERCENTRANK.EXC(_xlfn._xlws.FILTER($K$3:$K$15, ISNUMBER($K$3:$K$15)),K12)*100</f>
        <v>35.699999999999996</v>
      </c>
      <c r="AA12" s="4" cm="1">
        <f t="array" ref="AA12">_xlfn.PERCENTRANK.EXC(_xlfn._xlws.FILTER($H$3:$H$15, ISNUMBER($H$3:$H$15)),H12)*100</f>
        <v>28.499999999999996</v>
      </c>
      <c r="AB12" s="4" cm="1">
        <f t="array" ref="AB12">_xlfn.PERCENTRANK.EXC(_xlfn._xlws.FILTER($J$3:$J$15, ISNUMBER($J$3:$J$15)),J12)*100</f>
        <v>28.499999999999996</v>
      </c>
      <c r="AC12" s="4">
        <f t="shared" si="4"/>
        <v>42.8</v>
      </c>
      <c r="AD12" s="4">
        <f t="shared" si="5"/>
        <v>28.499999999999996</v>
      </c>
      <c r="AE12" s="4">
        <f t="shared" si="6"/>
        <v>64.2</v>
      </c>
      <c r="AF12" s="4">
        <f>'Economic Momentum'!Q13</f>
        <v>21.4</v>
      </c>
      <c r="AG12" s="4">
        <f ca="1">'Economic Momentum'!R13</f>
        <v>71.399999999999991</v>
      </c>
      <c r="AH12" s="4">
        <f t="shared" ca="1" si="7"/>
        <v>12.07</v>
      </c>
      <c r="AJ12" s="3" cm="1">
        <f t="array" aca="1" ref="AJ12" ca="1">_xlfn.PERCENTRANK.EXC(_xlfn._xlws.FILTER($AH$3:$AH$15, ISNUMBER($AH$3:$AH$15)),AH12)*100</f>
        <v>7.1</v>
      </c>
      <c r="AK12">
        <f t="shared" si="8"/>
        <v>0</v>
      </c>
    </row>
    <row r="13" spans="1:39" x14ac:dyDescent="0.35">
      <c r="A13" t="s">
        <v>867</v>
      </c>
      <c r="B13" t="str" cm="1">
        <f t="array" ref="B13">_xll.FDS(A13,"FG_COMPANY_NAME")</f>
        <v>iShares MSCI Netherlands ETF</v>
      </c>
      <c r="C13" t="s">
        <v>867</v>
      </c>
      <c r="D13" s="142">
        <f>VLOOKUP(C13,'Market Capitalisation'!$C$2:$G$14,5,FALSE)</f>
        <v>1185687.1000000001</v>
      </c>
      <c r="E13" cm="1">
        <f t="array" ref="E13">_xll.FDS(C13,"FMA_COS_UP(""EPS"",""1M"",+1,0,,,""PORTAGG"",""MEANR"")")</f>
        <v>17</v>
      </c>
      <c r="F13" cm="1">
        <f t="array" ref="F13">_xll.FDS(C13,"FMA_COS_DOWN(""EPS"",""1M"",+1,0,,,""PORTAGG"",""MEANR"")")</f>
        <v>20</v>
      </c>
      <c r="G13" cm="1">
        <f t="array" ref="G13">_xll.FDS(A13,"SIZE(FG_CONSTITUENTS)")</f>
        <v>54</v>
      </c>
      <c r="H13" s="9">
        <f t="shared" si="9"/>
        <v>0.31481481481481483</v>
      </c>
      <c r="I13" s="9">
        <f t="shared" si="10"/>
        <v>0.37037037037037035</v>
      </c>
      <c r="J13" s="9">
        <f t="shared" si="11"/>
        <v>-5.5555555555555525E-2</v>
      </c>
      <c r="K13" s="5" cm="1">
        <f t="array" ref="K13">_xll.FDS(A13,"FMA_PCT_ABOVE_MAVG(200,0,,,,""PORTAGG"")")/100</f>
        <v>0.660377358490566</v>
      </c>
      <c r="L13" s="41" cm="1">
        <f t="array" ref="L13">_xll.FDSB(A13,"PERCENT_CHANGE(FMA_EPS(+1,0,,,,""PORTAGG"",""MEAN""),FMA_EPS(+1,-1AM,,,,""PORTAGG"",""MEAN""))")</f>
        <v>-3.87623940185019</v>
      </c>
      <c r="M13" s="41" cm="1">
        <f t="array" ref="M13">_xll.FDSB(A13,"PERCENT_CHANGE(FMA_EPS(+1,0,,,,""PORTAGG"",""MEAN""),FMA_EPS(+1,-3AM,,,,""PORTAGG"",""MEAN""))")</f>
        <v>-3.1940944155517199</v>
      </c>
      <c r="N13" s="3" cm="1">
        <f t="array" ref="N13">_xll.FDS(C13,"FG_TOTAL_RETURNC(0,-1AM)")</f>
        <v>1.9652008999999999</v>
      </c>
      <c r="O13" s="3" cm="1">
        <f t="array" ref="O13">_xll.FDS(C13,"FG_TOTAL_RETURNC(0,-3AM)")</f>
        <v>5.6938649999999997</v>
      </c>
      <c r="P13" s="3" cm="1">
        <f t="array" ref="P13">_xll.FDS(C13,"FG_TOTAL_RETURNC(0,-6AM)")</f>
        <v>18.042314999999999</v>
      </c>
      <c r="Q13" s="9" cm="1">
        <f t="array" ref="Q13">_xll.FDS(C13,"P_PRICE(0)/P_PRICE_HIGH_PR(0,,,,,,""PRICE"",""INTRA"",""52W"")")</f>
        <v>0.9709622</v>
      </c>
      <c r="R13" s="9" cm="1">
        <f t="array" ref="R13">_xll.FDS(C13,"P_PRICE(0)/P_PRICE_low_PR(0,,,,,,""PRICE"",""INTRA"",""52W"")-1")</f>
        <v>0.40975475</v>
      </c>
      <c r="S13" s="3" cm="1">
        <f t="array" ref="S13">_xll.FDS(C13,"FG_TOTAL_RETURNC(0,-12AM)")</f>
        <v>21.707879999999999</v>
      </c>
      <c r="T13" s="4" cm="1">
        <f t="array" ref="T13">_xlfn.PERCENTRANK.EXC(_xlfn._xlws.FILTER($R$3:$R$15, ISNUMBER($R$3:$R$15)),R13)*100</f>
        <v>92.800000000000011</v>
      </c>
      <c r="U13" s="4">
        <f t="shared" si="12"/>
        <v>7.1999999999999886</v>
      </c>
      <c r="V13" s="4" cm="1">
        <f t="array" ref="V13">_xlfn.PERCENTRANK.EXC(_xlfn._xlws.FILTER($Q$3:$Q$15, ISNUMBER($Q$3:$Q$15)),Q13)*100</f>
        <v>78.5</v>
      </c>
      <c r="W13" s="4" cm="1">
        <f t="array" ref="W13">_xlfn.PERCENTRANK.EXC(_xlfn._xlws.FILTER($O$3:$O$15, ISNUMBER($O$3:$O$15)),O13)*100</f>
        <v>78.5</v>
      </c>
      <c r="X13" s="4" cm="1">
        <f t="array" ref="X13">_xlfn.PERCENTRANK.EXC(_xlfn._xlws.FILTER($P$3:$P$15, ISNUMBER($P$3:$P$15)),P13)*100</f>
        <v>85.7</v>
      </c>
      <c r="Y13" s="201" cm="1">
        <f t="array" ref="Y13">_xlfn.PERCENTRANK.EXC(_xlfn._xlws.FILTER($S$3:$S$15, ISNUMBER($S$3:$S$15)),S13)*100</f>
        <v>71.399999999999991</v>
      </c>
      <c r="Z13" s="4" cm="1">
        <f t="array" ref="Z13">_xlfn.PERCENTRANK.EXC(_xlfn._xlws.FILTER($K$3:$K$15, ISNUMBER($K$3:$K$15)),K13)*100</f>
        <v>50</v>
      </c>
      <c r="AA13" s="4" cm="1">
        <f t="array" ref="AA13">_xlfn.PERCENTRANK.EXC(_xlfn._xlws.FILTER($H$3:$H$15, ISNUMBER($H$3:$H$15)),H13)*100</f>
        <v>14.2</v>
      </c>
      <c r="AB13" s="4" cm="1">
        <f t="array" ref="AB13">_xlfn.PERCENTRANK.EXC(_xlfn._xlws.FILTER($J$3:$J$15, ISNUMBER($J$3:$J$15)),J13)*100</f>
        <v>21.4</v>
      </c>
      <c r="AC13" s="4">
        <f t="shared" si="4"/>
        <v>7.1</v>
      </c>
      <c r="AD13" s="4">
        <f t="shared" si="5"/>
        <v>21.4</v>
      </c>
      <c r="AE13" s="4">
        <f t="shared" si="6"/>
        <v>28.499999999999996</v>
      </c>
      <c r="AF13" s="4">
        <f>'Economic Momentum'!Q14</f>
        <v>92.800000000000011</v>
      </c>
      <c r="AG13" s="4">
        <f ca="1">'Economic Momentum'!R14</f>
        <v>92.800000000000011</v>
      </c>
      <c r="AH13" s="4">
        <f t="shared" ca="1" si="7"/>
        <v>80.66</v>
      </c>
      <c r="AJ13" s="3" cm="1">
        <f t="array" aca="1" ref="AJ13" ca="1">_xlfn.PERCENTRANK.EXC(_xlfn._xlws.FILTER($AH$3:$AH$15, ISNUMBER($AH$3:$AH$15)),AH13)*100</f>
        <v>78.5</v>
      </c>
      <c r="AK13">
        <f t="shared" si="8"/>
        <v>4</v>
      </c>
    </row>
    <row r="14" spans="1:39" x14ac:dyDescent="0.35">
      <c r="A14" t="s">
        <v>864</v>
      </c>
      <c r="B14" t="str" cm="1">
        <f t="array" ref="B14">_xll.FDS(A14,"FG_COMPANY_NAME")</f>
        <v>iShares MSCI Sweden ETF</v>
      </c>
      <c r="C14" t="s">
        <v>864</v>
      </c>
      <c r="D14" s="142">
        <f>VLOOKUP(C14,'Market Capitalisation'!$C$2:$G$14,5,FALSE)</f>
        <v>1032775.25</v>
      </c>
      <c r="E14" cm="1">
        <f t="array" ref="E14">_xll.FDS(C14,"FMA_COS_UP(""EPS"",""1M"",+1,0,,,""PORTAGG"",""MEANR"")")</f>
        <v>14</v>
      </c>
      <c r="F14" cm="1">
        <f t="array" ref="F14">_xll.FDS(C14,"FMA_COS_DOWN(""EPS"",""1M"",+1,0,,,""PORTAGG"",""MEANR"")")</f>
        <v>12</v>
      </c>
      <c r="G14" cm="1">
        <f t="array" ref="G14">_xll.FDS(A14,"SIZE(FG_CONSTITUENTS)")</f>
        <v>46</v>
      </c>
      <c r="H14" s="9">
        <f t="shared" si="9"/>
        <v>0.30434782608695654</v>
      </c>
      <c r="I14" s="9">
        <f t="shared" si="10"/>
        <v>0.2608695652173913</v>
      </c>
      <c r="J14" s="9">
        <f t="shared" si="11"/>
        <v>4.3478260869565244E-2</v>
      </c>
      <c r="K14" s="5" cm="1">
        <f t="array" ref="K14">_xll.FDS(A14,"FMA_PCT_ABOVE_MAVG(200,0,,,,""PORTAGG"")")/100</f>
        <v>0.88636363636363602</v>
      </c>
      <c r="L14" s="41" cm="1">
        <f t="array" ref="L14">_xll.FDSB(A14,"PERCENT_CHANGE(FMA_EPS(+1,0,,,,""PORTAGG"",""MEAN""),FMA_EPS(+1,-1AM,,,,""PORTAGG"",""MEAN""))")</f>
        <v>4.3686270868395196</v>
      </c>
      <c r="M14" s="41" cm="1">
        <f t="array" ref="M14">_xll.FDSB(A14,"PERCENT_CHANGE(FMA_EPS(+1,0,,,,""PORTAGG"",""MEAN""),FMA_EPS(+1,-3AM,,,,""PORTAGG"",""MEAN""))")</f>
        <v>3.2880544569233598</v>
      </c>
      <c r="N14" s="3" cm="1">
        <f t="array" ref="N14">_xll.FDS(C14,"FG_TOTAL_RETURNC(0,-1AM)")</f>
        <v>2.3103832999999998</v>
      </c>
      <c r="O14" s="3" cm="1">
        <f t="array" ref="O14">_xll.FDS(C14,"FG_TOTAL_RETURNC(0,-3AM)")</f>
        <v>0.50766469999999997</v>
      </c>
      <c r="P14" s="3" cm="1">
        <f t="array" ref="P14">_xll.FDS(C14,"FG_TOTAL_RETURNC(0,-6AM)")</f>
        <v>11.290037</v>
      </c>
      <c r="Q14" s="9" cm="1">
        <f t="array" ref="Q14">_xll.FDS(C14,"P_PRICE(0)/P_PRICE_HIGH_PR(0,,,,,,""PRICE"",""INTRA"",""52W"")")</f>
        <v>0.96084404000000001</v>
      </c>
      <c r="R14" s="9" cm="1">
        <f t="array" ref="R14">_xll.FDS(C14,"P_PRICE(0)/P_PRICE_low_PR(0,,,,,,""PRICE"",""INTRA"",""52W"")-1")</f>
        <v>0.33550595999999999</v>
      </c>
      <c r="S14" s="3" cm="1">
        <f t="array" ref="S14">_xll.FDS(C14,"FG_TOTAL_RETURNC(0,-12AM)")</f>
        <v>18.425225999999999</v>
      </c>
      <c r="T14" s="4" cm="1">
        <f t="array" ref="T14">_xlfn.PERCENTRANK.EXC(_xlfn._xlws.FILTER($R$3:$R$15, ISNUMBER($R$3:$R$15)),R14)*100</f>
        <v>78.5</v>
      </c>
      <c r="U14" s="4">
        <f t="shared" si="12"/>
        <v>21.5</v>
      </c>
      <c r="V14" s="4" cm="1">
        <f t="array" ref="V14">_xlfn.PERCENTRANK.EXC(_xlfn._xlws.FILTER($Q$3:$Q$15, ISNUMBER($Q$3:$Q$15)),Q14)*100</f>
        <v>57.099999999999994</v>
      </c>
      <c r="W14" s="4" cm="1">
        <f t="array" ref="W14">_xlfn.PERCENTRANK.EXC(_xlfn._xlws.FILTER($O$3:$O$15, ISNUMBER($O$3:$O$15)),O14)*100</f>
        <v>42.8</v>
      </c>
      <c r="X14" s="4" cm="1">
        <f t="array" ref="X14">_xlfn.PERCENTRANK.EXC(_xlfn._xlws.FILTER($P$3:$P$15, ISNUMBER($P$3:$P$15)),P14)*100</f>
        <v>71.399999999999991</v>
      </c>
      <c r="Y14" s="201" cm="1">
        <f t="array" ref="Y14">_xlfn.PERCENTRANK.EXC(_xlfn._xlws.FILTER($S$3:$S$15, ISNUMBER($S$3:$S$15)),S14)*100</f>
        <v>64.2</v>
      </c>
      <c r="Z14" s="4" cm="1">
        <f t="array" ref="Z14">_xlfn.PERCENTRANK.EXC(_xlfn._xlws.FILTER($K$3:$K$15, ISNUMBER($K$3:$K$15)),K14)*100</f>
        <v>92.800000000000011</v>
      </c>
      <c r="AA14" s="4" cm="1">
        <f t="array" ref="AA14">_xlfn.PERCENTRANK.EXC(_xlfn._xlws.FILTER($H$3:$H$15, ISNUMBER($H$3:$H$15)),H14)*100</f>
        <v>7.1</v>
      </c>
      <c r="AB14" s="4" cm="1">
        <f t="array" ref="AB14">_xlfn.PERCENTRANK.EXC(_xlfn._xlws.FILTER($J$3:$J$15, ISNUMBER($J$3:$J$15)),J14)*100</f>
        <v>57.099999999999994</v>
      </c>
      <c r="AC14" s="4">
        <f t="shared" si="4"/>
        <v>78.5</v>
      </c>
      <c r="AD14" s="4">
        <f t="shared" si="5"/>
        <v>85.7</v>
      </c>
      <c r="AE14" s="4">
        <f t="shared" si="6"/>
        <v>21.4</v>
      </c>
      <c r="AF14" s="4">
        <f>'Economic Momentum'!Q15</f>
        <v>57.099999999999994</v>
      </c>
      <c r="AG14" s="4">
        <f ca="1">'Economic Momentum'!R15</f>
        <v>21.4</v>
      </c>
      <c r="AH14" s="4">
        <f t="shared" ca="1" si="7"/>
        <v>57.099999999999994</v>
      </c>
      <c r="AJ14" s="3" cm="1">
        <f t="array" aca="1" ref="AJ14" ca="1">_xlfn.PERCENTRANK.EXC(_xlfn._xlws.FILTER($AH$3:$AH$15, ISNUMBER($AH$3:$AH$15)),AH14)*100</f>
        <v>64.2</v>
      </c>
      <c r="AK14">
        <f t="shared" si="8"/>
        <v>2</v>
      </c>
    </row>
    <row r="15" spans="1:39" x14ac:dyDescent="0.35">
      <c r="A15" t="s">
        <v>866</v>
      </c>
      <c r="B15" t="str" cm="1">
        <f t="array" ref="B15">_xll.FDS(A15,"FG_COMPANY_NAME")</f>
        <v>iShares MSCI Italy ETF</v>
      </c>
      <c r="C15" t="s">
        <v>866</v>
      </c>
      <c r="D15" s="142">
        <f>VLOOKUP(C15,'Market Capitalisation'!$C$2:$G$14,5,FALSE)</f>
        <v>863832.4</v>
      </c>
      <c r="E15" cm="1">
        <f t="array" ref="E15">_xll.FDS(C15,"FMA_COS_UP(""EPS"",""1M"",+1,0,,,""PORTAGG"",""MEANR"")")</f>
        <v>12</v>
      </c>
      <c r="F15" cm="1">
        <f t="array" ref="F15">_xll.FDS(C15,"FMA_COS_DOWN(""EPS"",""1M"",+1,0,,,""PORTAGG"",""MEANR"")")</f>
        <v>6</v>
      </c>
      <c r="G15" cm="1">
        <f t="array" ref="G15">_xll.FDS(A15,"SIZE(FG_CONSTITUENTS)")</f>
        <v>28</v>
      </c>
      <c r="H15" s="9">
        <f t="shared" si="9"/>
        <v>0.42857142857142855</v>
      </c>
      <c r="I15" s="9">
        <f t="shared" si="10"/>
        <v>0.21428571428571427</v>
      </c>
      <c r="J15" s="9">
        <f t="shared" si="11"/>
        <v>0.21428571428571427</v>
      </c>
      <c r="K15" s="5" cm="1">
        <f t="array" ref="K15">_xll.FDS(A15,"FMA_PCT_ABOVE_MAVG(200,0,,,,""PORTAGG"")")/100</f>
        <v>0.64</v>
      </c>
      <c r="L15" s="41" cm="1">
        <f t="array" ref="L15">_xll.FDSB(A15,"PERCENT_CHANGE(FMA_EPS(+1,0,,,,""PORTAGG"",""MEAN""),FMA_EPS(+1,-1AM,,,,""PORTAGG"",""MEAN""))")</f>
        <v>0.37882389114814102</v>
      </c>
      <c r="M15" s="41" cm="1">
        <f t="array" ref="M15">_xll.FDSB(A15,"PERCENT_CHANGE(FMA_EPS(+1,0,,,,""PORTAGG"",""MEAN""),FMA_EPS(+1,-3AM,,,,""PORTAGG"",""MEAN""))")</f>
        <v>0.43702702234264801</v>
      </c>
      <c r="N15" s="3" cm="1">
        <f t="array" ref="N15">_xll.FDS(C15,"FG_TOTAL_RETURNC(0,-1AM)")</f>
        <v>-2.8719366000000002</v>
      </c>
      <c r="O15" s="3" cm="1">
        <f t="array" ref="O15">_xll.FDS(C15,"FG_TOTAL_RETURNC(0,-3AM)")</f>
        <v>-8.1944465999999994E-2</v>
      </c>
      <c r="P15" s="3" cm="1">
        <f t="array" ref="P15">_xll.FDS(C15,"FG_TOTAL_RETURNC(0,-6AM)")</f>
        <v>11.242723</v>
      </c>
      <c r="Q15" s="9" cm="1">
        <f t="array" ref="Q15">_xll.FDS(C15,"P_PRICE(0)/P_PRICE_HIGH_PR(0,,,,,,""PRICE"",""INTRA"",""52W"")")</f>
        <v>0.92252990000000001</v>
      </c>
      <c r="R15" s="9" cm="1">
        <f t="array" ref="R15">_xll.FDS(C15,"P_PRICE(0)/P_PRICE_low_PR(0,,,,,,""PRICE"",""INTRA"",""52W"")-1")</f>
        <v>0.25176631999999999</v>
      </c>
      <c r="S15" s="3" cm="1">
        <f t="array" ref="S15">_xll.FDS(C15,"FG_TOTAL_RETURNC(0,-12AM)")</f>
        <v>22.685670000000002</v>
      </c>
      <c r="T15" s="4" cm="1">
        <f t="array" ref="T15">_xlfn.PERCENTRANK.EXC(_xlfn._xlws.FILTER($R$3:$R$15, ISNUMBER($R$3:$R$15)),R15)*100</f>
        <v>64.2</v>
      </c>
      <c r="U15" s="4">
        <f t="shared" si="12"/>
        <v>35.799999999999997</v>
      </c>
      <c r="V15" s="4" cm="1">
        <f t="array" ref="V15">_xlfn.PERCENTRANK.EXC(_xlfn._xlws.FILTER($Q$3:$Q$15, ISNUMBER($Q$3:$Q$15)),Q15)*100</f>
        <v>21.4</v>
      </c>
      <c r="W15" s="4" cm="1">
        <f t="array" ref="W15">_xlfn.PERCENTRANK.EXC(_xlfn._xlws.FILTER($O$3:$O$15, ISNUMBER($O$3:$O$15)),O15)*100</f>
        <v>35.699999999999996</v>
      </c>
      <c r="X15" s="4" cm="1">
        <f t="array" ref="X15">_xlfn.PERCENTRANK.EXC(_xlfn._xlws.FILTER($P$3:$P$15, ISNUMBER($P$3:$P$15)),P15)*100</f>
        <v>64.2</v>
      </c>
      <c r="Y15" s="201" cm="1">
        <f t="array" ref="Y15">_xlfn.PERCENTRANK.EXC(_xlfn._xlws.FILTER($S$3:$S$15, ISNUMBER($S$3:$S$15)),S15)*100</f>
        <v>78.5</v>
      </c>
      <c r="Z15" s="4" cm="1">
        <f t="array" ref="Z15">_xlfn.PERCENTRANK.EXC(_xlfn._xlws.FILTER($K$3:$K$15, ISNUMBER($K$3:$K$15)),K15)*100</f>
        <v>28.499999999999996</v>
      </c>
      <c r="AA15" s="4" cm="1">
        <f t="array" ref="AA15">_xlfn.PERCENTRANK.EXC(_xlfn._xlws.FILTER($H$3:$H$15, ISNUMBER($H$3:$H$15)),H15)*100</f>
        <v>64.2</v>
      </c>
      <c r="AB15" s="4" cm="1">
        <f t="array" ref="AB15">_xlfn.PERCENTRANK.EXC(_xlfn._xlws.FILTER($J$3:$J$15, ISNUMBER($J$3:$J$15)),J15)*100</f>
        <v>78.5</v>
      </c>
      <c r="AC15" s="4">
        <f t="shared" si="4"/>
        <v>28.499999999999996</v>
      </c>
      <c r="AD15" s="4">
        <f t="shared" si="5"/>
        <v>35.699999999999996</v>
      </c>
      <c r="AE15" s="4">
        <f t="shared" si="6"/>
        <v>14.2</v>
      </c>
      <c r="AF15" s="4">
        <f>'Economic Momentum'!Q16</f>
        <v>14.2</v>
      </c>
      <c r="AG15" s="4">
        <f ca="1">'Economic Momentum'!R16</f>
        <v>85.7</v>
      </c>
      <c r="AH15" s="4">
        <f t="shared" ca="1" si="7"/>
        <v>38.53</v>
      </c>
      <c r="AJ15" s="3" cm="1">
        <f t="array" aca="1" ref="AJ15" ca="1">_xlfn.PERCENTRANK.EXC(_xlfn._xlws.FILTER($AH$3:$AH$15, ISNUMBER($AH$3:$AH$15)),AH15)*100</f>
        <v>42.8</v>
      </c>
      <c r="AK15">
        <f t="shared" si="8"/>
        <v>2</v>
      </c>
    </row>
    <row r="16" spans="1:39" x14ac:dyDescent="0.35">
      <c r="H16" s="9"/>
      <c r="I16" s="9"/>
      <c r="J16" s="9"/>
      <c r="K16" s="5"/>
      <c r="L16" s="41"/>
      <c r="M16" s="41"/>
      <c r="N16" s="3"/>
      <c r="O16" s="3"/>
      <c r="Q16" s="9"/>
      <c r="R16" s="9"/>
      <c r="S16" s="3"/>
      <c r="V16" s="4"/>
      <c r="W16" s="4"/>
      <c r="X16" s="4"/>
      <c r="Z16" s="4"/>
      <c r="AA16" s="4"/>
      <c r="AB16" s="4"/>
      <c r="AC16" s="4"/>
      <c r="AD16" s="4"/>
      <c r="AE16" s="4"/>
      <c r="AF16" s="4"/>
      <c r="AG16" s="4"/>
      <c r="AH16" s="4"/>
      <c r="AJ16" s="4"/>
    </row>
    <row r="17" spans="1:37" x14ac:dyDescent="0.35">
      <c r="A17" s="1" t="s">
        <v>779</v>
      </c>
      <c r="H17" s="9"/>
      <c r="I17" s="9"/>
      <c r="J17" s="9"/>
      <c r="K17" s="5"/>
      <c r="L17" s="41"/>
      <c r="M17" s="41"/>
      <c r="N17" s="3"/>
      <c r="O17" s="3"/>
      <c r="Q17" s="9"/>
      <c r="R17" s="9"/>
      <c r="S17" s="3"/>
      <c r="V17" s="4"/>
      <c r="W17" s="4"/>
      <c r="X17" s="4"/>
      <c r="Z17" s="4"/>
      <c r="AA17" s="4"/>
      <c r="AB17" s="4"/>
      <c r="AC17" s="4"/>
      <c r="AD17" s="4"/>
      <c r="AE17" s="4"/>
      <c r="AF17" s="4"/>
      <c r="AG17" s="4"/>
      <c r="AH17" s="4"/>
      <c r="AJ17" s="4"/>
    </row>
    <row r="18" spans="1:37" x14ac:dyDescent="0.35">
      <c r="A18" t="s">
        <v>536</v>
      </c>
      <c r="B18" t="s">
        <v>227</v>
      </c>
      <c r="C18" t="str">
        <f>A18</f>
        <v>VGK</v>
      </c>
      <c r="E18" cm="1">
        <f t="array" ref="E18">_xll.FDS(C18,"FMA_COS_UP(""EPS"",""1M"",+1,0,,,""PORTAGG"",""MEANR"")")</f>
        <v>466</v>
      </c>
      <c r="F18" cm="1">
        <f t="array" ref="F18">_xll.FDS(C18,"FMA_COS_DOWN(""EPS"",""1M"",+1,0,,,""PORTAGG"",""MEANR"")")</f>
        <v>540</v>
      </c>
      <c r="G18" cm="1">
        <f t="array" ref="G18">_xll.FDS(A18,"SIZE(FG_CONSTITUENTS)")</f>
        <v>1281</v>
      </c>
      <c r="H18" s="9">
        <f>E18/$G18</f>
        <v>0.36377829820452773</v>
      </c>
      <c r="I18" s="9">
        <f>F18/$G18</f>
        <v>0.42154566744730682</v>
      </c>
      <c r="J18" s="9">
        <f t="shared" ref="J18" si="13">H18-I18</f>
        <v>-5.7767369242779087E-2</v>
      </c>
      <c r="K18" s="5" cm="1">
        <f t="array" ref="K18">_xll.FDS(A18,"FMA_PCT_ABOVE_MAVG(200,0,,,,""PORTAGG"")")/100</f>
        <v>0.67301587301587307</v>
      </c>
      <c r="L18" s="41" cm="1">
        <f t="array" ref="L18">_xll.FDSB(A18,"PERCENT_CHANGE(FMA_EPS(+1,0,,,,""PORTAGG"",""MEAN""),FMA_EPS(+1,-1AM,,,,""PORTAGG"",""MEAN""))")</f>
        <v>0</v>
      </c>
      <c r="M18" s="41" cm="1">
        <f t="array" ref="M18">_xll.FDSB(A18,"PERCENT_CHANGE(FMA_EPS(+1,0,,,,""PORTAGG"",""MEAN""),FMA_EPS(+1,-3AM,,,,""PORTAGG"",""MEAN""))")</f>
        <v>-1.87116091588412</v>
      </c>
      <c r="N18" s="3" cm="1">
        <f t="array" ref="N18">_xll.FDS(C18,"FG_TOTAL_RETURNC(0,-1AM)")</f>
        <v>-0.37698150000000002</v>
      </c>
      <c r="O18" s="3" cm="1">
        <f t="array" ref="O18">_xll.FDS(C18,"FG_TOTAL_RETURNC(0,-3AM)")</f>
        <v>2.1762967</v>
      </c>
      <c r="P18" s="3" cm="1">
        <f t="array" ref="P18">_xll.FDS(C18,"FG_TOTAL_RETURNC(0,-6AM)")</f>
        <v>9.6615909999999996</v>
      </c>
      <c r="Q18" s="9" cm="1">
        <f t="array" ref="Q18">_xll.FDS(C18,"P_PRICE(0)/P_PRICE_HIGH_PR(0,,,,,,""PRICE"",""INTRA"",""52W"")")</f>
        <v>0.97219663999999995</v>
      </c>
      <c r="R18" s="9" cm="1">
        <f t="array" ref="R18">_xll.FDS(C18,"P_PRICE(0)/P_PRICE_low_PR(0,,,,,,""PRICE"",""INTRA"",""52W"")-1")</f>
        <v>0.24791133000000001</v>
      </c>
      <c r="S18" s="3" cm="1">
        <f t="array" ref="S18">_xll.FDS(C18,"FG_TOTAL_RETURNC(0,-12AM)")</f>
        <v>14.277399000000001</v>
      </c>
      <c r="W18" s="4"/>
      <c r="X18" s="4"/>
      <c r="Y18" s="201"/>
      <c r="AA18" s="4"/>
      <c r="AB18" s="4"/>
      <c r="AC18" s="4"/>
      <c r="AD18" s="4"/>
      <c r="AE18" s="4"/>
      <c r="AF18" s="4"/>
      <c r="AG18" s="4"/>
      <c r="AH18" s="4"/>
      <c r="AI18" s="4"/>
      <c r="AK18" s="4"/>
    </row>
    <row r="19" spans="1:37" x14ac:dyDescent="0.35">
      <c r="A19" t="s">
        <v>6</v>
      </c>
      <c r="B19" t="s">
        <v>749</v>
      </c>
      <c r="C19" t="str">
        <f>A19</f>
        <v>VWO</v>
      </c>
      <c r="E19" cm="1">
        <f t="array" ref="E19">_xll.FDS(C19,"FMA_COS_UP(""EPS"",""1M"",+1,0,,,""PORTAGG"",""MEANR"")")</f>
        <v>857</v>
      </c>
      <c r="F19" cm="1">
        <f t="array" ref="F19">_xll.FDS(C19,"FMA_COS_DOWN(""EPS"",""1M"",+1,0,,,""PORTAGG"",""MEANR"")")</f>
        <v>1618</v>
      </c>
      <c r="G19" cm="1">
        <f t="array" ref="G19">_xll.FDS(A19,"SIZE(FG_CONSTITUENTS)")</f>
        <v>1</v>
      </c>
      <c r="H19" s="9">
        <f>E19/$G19</f>
        <v>857</v>
      </c>
      <c r="I19" s="9">
        <f>F19/$G19</f>
        <v>1618</v>
      </c>
      <c r="J19" s="9">
        <f t="shared" ref="J19" si="14">H19-I19</f>
        <v>-761</v>
      </c>
      <c r="K19" s="5" cm="1">
        <f t="array" ref="K19">_xll.FDS(A19,"FMA_PCT_ABOVE_MAVG(200,0,,,,""PORTAGG"")")/100</f>
        <v>0.46895810955961303</v>
      </c>
      <c r="L19" s="41" cm="1">
        <f t="array" ref="L19">_xll.FDSB(A19,"PERCENT_CHANGE(FMA_EPS(+1,0,,,,""PORTAGG"",""MEAN""),FMA_EPS(+1,-1AM,,,,""PORTAGG"",""MEAN""))")</f>
        <v>0</v>
      </c>
      <c r="M19" s="41" cm="1">
        <f t="array" ref="M19">_xll.FDSB(A19,"PERCENT_CHANGE(FMA_EPS(+1,0,,,,""PORTAGG"",""MEAN""),FMA_EPS(+1,-3AM,,,,""PORTAGG"",""MEAN""))")</f>
        <v>-2.6166058157078602</v>
      </c>
      <c r="N19" s="3" cm="1">
        <f t="array" ref="N19">_xll.FDS(C19,"FG_TOTAL_RETURNC(0,-1AM)")</f>
        <v>-0.36529899999999998</v>
      </c>
      <c r="O19" s="3" cm="1">
        <f t="array" ref="O19">_xll.FDS(C19,"FG_TOTAL_RETURNC(0,-3AM)")</f>
        <v>4.0256860000000003</v>
      </c>
      <c r="P19" s="3" cm="1">
        <f t="array" ref="P19">_xll.FDS(C19,"FG_TOTAL_RETURNC(0,-6AM)")</f>
        <v>9.4436280000000004</v>
      </c>
      <c r="Q19" s="9" cm="1">
        <f t="array" ref="Q19">_xll.FDS(C19,"P_PRICE(0)/P_PRICE_HIGH_PR(0,,,,,,""PRICE"",""INTRA"",""52W"")")</f>
        <v>0.97051315999999999</v>
      </c>
      <c r="R19" s="9" cm="1">
        <f t="array" ref="R19">_xll.FDS(C19,"P_PRICE(0)/P_PRICE_low_PR(0,,,,,,""PRICE"",""INTRA"",""52W"")-1")</f>
        <v>0.16513145000000001</v>
      </c>
      <c r="S19" s="3" cm="1">
        <f t="array" ref="S19">_xll.FDS(C19,"FG_TOTAL_RETURNC(0,-12AM)")</f>
        <v>9.5231060000000003</v>
      </c>
    </row>
    <row r="20" spans="1:37" x14ac:dyDescent="0.35">
      <c r="A20" t="s">
        <v>780</v>
      </c>
      <c r="B20" t="s">
        <v>781</v>
      </c>
      <c r="C20" t="str">
        <f t="shared" ref="C20" si="15">A20</f>
        <v>URTH</v>
      </c>
      <c r="E20" cm="1">
        <f t="array" ref="E20">_xll.FDS(C20,"FMA_COS_UP(""EPS"",""1M"",+1,0,,,""PORTAGG"",""MEANR"")")</f>
        <v>574</v>
      </c>
      <c r="F20" cm="1">
        <f t="array" ref="F20">_xll.FDS(C20,"FMA_COS_DOWN(""EPS"",""1M"",+1,0,,,""PORTAGG"",""MEANR"")")</f>
        <v>474</v>
      </c>
      <c r="G20" cm="1">
        <f t="array" ref="G20">_xll.FDS(A20,"SIZE(FG_CONSTITUENTS)")</f>
        <v>1432</v>
      </c>
      <c r="H20" s="9">
        <f t="shared" ref="H20" si="16">E20/$G20</f>
        <v>0.40083798882681565</v>
      </c>
      <c r="I20" s="9">
        <f t="shared" ref="I20" si="17">F20/$G20</f>
        <v>0.33100558659217877</v>
      </c>
      <c r="J20" s="9">
        <f t="shared" ref="J20" si="18">H20-I20</f>
        <v>6.9832402234636881E-2</v>
      </c>
      <c r="K20" s="5" cm="1">
        <f t="array" ref="K20">_xll.FDS(A20,"FMA_PCT_ABOVE_MAVG(200,0,,,,""PORTAGG"")")/100</f>
        <v>0.68535388927820606</v>
      </c>
      <c r="L20" s="41" cm="1">
        <f t="array" ref="L20">_xll.FDSB(A20,"PERCENT_CHANGE(FMA_EPS(+1,0,,,,""PORTAGG"",""MEAN""),FMA_EPS(+1,-1AM,,,,""PORTAGG"",""MEAN""))")</f>
        <v>1.9487594513731901</v>
      </c>
      <c r="M20" s="41" cm="1">
        <f t="array" ref="M20">_xll.FDSB(A20,"PERCENT_CHANGE(FMA_EPS(+1,0,,,,""PORTAGG"",""MEAN""),FMA_EPS(+1,-3AM,,,,""PORTAGG"",""MEAN""))")</f>
        <v>1.56274410171236</v>
      </c>
      <c r="N20" s="3" cm="1">
        <f t="array" ref="N20">_xll.FDS(C20,"FG_TOTAL_RETURNC(0,-1AM)")</f>
        <v>2.7152180000000001</v>
      </c>
      <c r="O20" s="3" cm="1">
        <f t="array" ref="O20">_xll.FDS(C20,"FG_TOTAL_RETURNC(0,-3AM)")</f>
        <v>3.6200643000000001</v>
      </c>
      <c r="P20" s="3" cm="1">
        <f t="array" ref="P20">_xll.FDS(C20,"FG_TOTAL_RETURNC(0,-6AM)")</f>
        <v>13.498699</v>
      </c>
      <c r="Q20" s="9" cm="1">
        <f t="array" ref="Q20">_xll.FDS(C20,"P_PRICE(0)/P_PRICE_HIGH_PR(0,,,,,,""PRICE"",""INTRA"",""52W"")")</f>
        <v>0.99240490000000003</v>
      </c>
      <c r="R20" s="9" cm="1">
        <f t="array" ref="R20">_xll.FDS(C20,"P_PRICE(0)/P_PRICE_low_PR(0,,,,,,""PRICE"",""INTRA"",""52W"")-1")</f>
        <v>0.28169129999999998</v>
      </c>
      <c r="S20" s="3" cm="1">
        <f t="array" ref="S20">_xll.FDS(C20,"FG_TOTAL_RETURNC(0,-12AM)")</f>
        <v>21.548378</v>
      </c>
    </row>
    <row r="21" spans="1:37" x14ac:dyDescent="0.35">
      <c r="A21" t="s">
        <v>46</v>
      </c>
      <c r="B21" t="s">
        <v>816</v>
      </c>
      <c r="C21" t="str">
        <f t="shared" ref="C21:C22" si="19">A21</f>
        <v>EWJ</v>
      </c>
      <c r="E21" cm="1">
        <f t="array" ref="E21">_xll.FDS(C21,"FMA_COS_UP(""EPS"",""1M"",+1,0,,,""PORTAGG"",""MEANR"")")</f>
        <v>103</v>
      </c>
      <c r="F21" cm="1">
        <f t="array" ref="F21">_xll.FDS(C21,"FMA_COS_DOWN(""EPS"",""1M"",+1,0,,,""PORTAGG"",""MEANR"")")</f>
        <v>86</v>
      </c>
      <c r="G21" cm="1">
        <f t="array" ref="G21">_xll.FDS(A21,"SIZE(FG_CONSTITUENTS)")</f>
        <v>205</v>
      </c>
      <c r="H21" s="9">
        <f t="shared" ref="H21:H22" si="20">E21/$G21</f>
        <v>0.5024390243902439</v>
      </c>
      <c r="I21" s="9">
        <f t="shared" ref="I21:I22" si="21">F21/$G21</f>
        <v>0.4195121951219512</v>
      </c>
      <c r="J21" s="9">
        <f t="shared" ref="J21:J22" si="22">H21-I21</f>
        <v>8.2926829268292701E-2</v>
      </c>
      <c r="K21" s="5" cm="1">
        <f t="array" ref="K21">_xll.FDS(A21,"FMA_PCT_ABOVE_MAVG(200,0,,,,""PORTAGG"")")/100</f>
        <v>0.71078431372549</v>
      </c>
      <c r="L21" s="41" cm="1">
        <f t="array" ref="L21">_xll.FDSB(A21,"PERCENT_CHANGE(FMA_EPS(+1,0,,,,""PORTAGG"",""MEAN""),FMA_EPS(+1,-1AM,,,,""PORTAGG"",""MEAN""))")</f>
        <v>-0.67696713824398802</v>
      </c>
      <c r="M21" s="41" cm="1">
        <f t="array" ref="M21">_xll.FDSB(A21,"PERCENT_CHANGE(FMA_EPS(+1,0,,,,""PORTAGG"",""MEAN""),FMA_EPS(+1,-3AM,,,,""PORTAGG"",""MEAN""))")</f>
        <v>-4.5949211124910203</v>
      </c>
      <c r="N21" s="3" cm="1">
        <f t="array" ref="N21">_xll.FDS(C21,"FG_TOTAL_RETURNC(0,-1AM)")</f>
        <v>-4.1592120000000003E-2</v>
      </c>
      <c r="O21" s="3" cm="1">
        <f t="array" ref="O21">_xll.FDS(C21,"FG_TOTAL_RETURNC(0,-3AM)")</f>
        <v>-2.4767934999999999</v>
      </c>
      <c r="P21" s="3" cm="1">
        <f t="array" ref="P21">_xll.FDS(C21,"FG_TOTAL_RETURNC(0,-6AM)")</f>
        <v>7.1791887000000001</v>
      </c>
      <c r="Q21" s="9" cm="1">
        <f t="array" ref="Q21">_xll.FDS(C21,"P_PRICE(0)/P_PRICE_HIGH_PR(0,,,,,,""PRICE"",""INTRA"",""52W"")")</f>
        <v>0.93179769999999995</v>
      </c>
      <c r="R21" s="9" cm="1">
        <f t="array" ref="R21">_xll.FDS(C21,"P_PRICE(0)/P_PRICE_low_PR(0,,,,,,""PRICE"",""INTRA"",""52W"")-1")</f>
        <v>0.17395103000000001</v>
      </c>
      <c r="S21" s="3" cm="1">
        <f t="array" ref="S21">_xll.FDS(C21,"FG_TOTAL_RETURNC(0,-12AM)")</f>
        <v>8.0229870000000005</v>
      </c>
    </row>
    <row r="22" spans="1:37" x14ac:dyDescent="0.35">
      <c r="A22" t="s">
        <v>1</v>
      </c>
      <c r="B22" t="s">
        <v>119</v>
      </c>
      <c r="C22" t="str">
        <f t="shared" si="19"/>
        <v>SPY</v>
      </c>
      <c r="E22" cm="1">
        <f t="array" ref="E22">_xll.FDS(C22,"FMA_COS_UP(""EPS"",""1M"",+1,0,,,""PORTAGG"",""MEANR"")")</f>
        <v>164</v>
      </c>
      <c r="F22" cm="1">
        <f t="array" ref="F22">_xll.FDS(C22,"FMA_COS_DOWN(""EPS"",""1M"",+1,0,,,""PORTAGG"",""MEANR"")")</f>
        <v>151</v>
      </c>
      <c r="G22" cm="1">
        <f t="array" ref="G22">_xll.FDS(A22,"SIZE(FG_CONSTITUENTS)")</f>
        <v>504</v>
      </c>
      <c r="H22" s="9">
        <f t="shared" si="20"/>
        <v>0.32539682539682541</v>
      </c>
      <c r="I22" s="9">
        <f t="shared" si="21"/>
        <v>0.29960317460317459</v>
      </c>
      <c r="J22" s="9">
        <f t="shared" si="22"/>
        <v>2.5793650793650813E-2</v>
      </c>
      <c r="K22" s="5" cm="1">
        <f t="array" ref="K22">_xll.FDS(A22,"FMA_PCT_ABOVE_MAVG(200,0,,,,""PORTAGG"")")/100</f>
        <v>0.65668662674650702</v>
      </c>
      <c r="L22" s="41" cm="1">
        <f t="array" ref="L22">_xll.FDSB(A22,"PERCENT_CHANGE(FMA_EPS(+1,0,,,,""PORTAGG"",""MEAN""),FMA_EPS(+1,-1AM,,,,""PORTAGG"",""MEAN""))")</f>
        <v>3.0929553010464201</v>
      </c>
      <c r="M22" s="41" cm="1">
        <f t="array" ref="M22">_xll.FDSB(A22,"PERCENT_CHANGE(FMA_EPS(+1,0,,,,""PORTAGG"",""MEAN""),FMA_EPS(+1,-3AM,,,,""PORTAGG"",""MEAN""))")</f>
        <v>2.7722297217498801</v>
      </c>
      <c r="N22" s="3" cm="1">
        <f t="array" ref="N22">_xll.FDS(C22,"FG_TOTAL_RETURNC(0,-1AM)")</f>
        <v>4.135084</v>
      </c>
      <c r="O22" s="3" cm="1">
        <f t="array" ref="O22">_xll.FDS(C22,"FG_TOTAL_RETURNC(0,-3AM)")</f>
        <v>5.4609775999999997</v>
      </c>
      <c r="P22" s="3" cm="1">
        <f t="array" ref="P22">_xll.FDS(C22,"FG_TOTAL_RETURNC(0,-6AM)")</f>
        <v>16.122616000000001</v>
      </c>
      <c r="Q22" s="9" cm="1">
        <f t="array" ref="Q22">_xll.FDS(C22,"P_PRICE(0)/P_PRICE_HIGH_PR(0,,,,,,""PRICE"",""INTRA"",""52W"")")</f>
        <v>0.99693083999999998</v>
      </c>
      <c r="R22" s="9" cm="1">
        <f t="array" ref="R22">_xll.FDS(C22,"P_PRICE(0)/P_PRICE_low_PR(0,,,,,,""PRICE"",""INTRA"",""52W"")-1")</f>
        <v>0.32560299999999998</v>
      </c>
      <c r="S22" s="3" cm="1">
        <f t="array" ref="S22">_xll.FDS(C22,"FG_TOTAL_RETURNC(0,-12AM)")</f>
        <v>26.036728</v>
      </c>
    </row>
    <row r="23" spans="1:37" x14ac:dyDescent="0.35">
      <c r="A23" t="s">
        <v>895</v>
      </c>
      <c r="B23" t="s">
        <v>602</v>
      </c>
      <c r="C23" t="str">
        <f t="shared" ref="C23" si="23">A23</f>
        <v>FXI</v>
      </c>
      <c r="E23" cm="1">
        <f t="array" ref="E23">_xll.FDS(C23,"FMA_COS_UP(""EPS"",""1M"",+1,0,,,""PORTAGG"",""MEANR"")")</f>
        <v>21</v>
      </c>
      <c r="F23" cm="1">
        <f t="array" ref="F23">_xll.FDS(C23,"FMA_COS_DOWN(""EPS"",""1M"",+1,0,,,""PORTAGG"",""MEANR"")")</f>
        <v>18</v>
      </c>
      <c r="G23" cm="1">
        <f t="array" ref="G23">_xll.FDS(A23,"SIZE(FG_CONSTITUENTS)")</f>
        <v>53</v>
      </c>
      <c r="H23" s="9">
        <f t="shared" ref="H23" si="24">E23/$G23</f>
        <v>0.39622641509433965</v>
      </c>
      <c r="I23" s="9">
        <f t="shared" ref="I23" si="25">F23/$G23</f>
        <v>0.33962264150943394</v>
      </c>
      <c r="J23" s="9">
        <f t="shared" ref="J23" si="26">H23-I23</f>
        <v>5.6603773584905703E-2</v>
      </c>
      <c r="K23" s="5" cm="1">
        <f t="array" ref="K23">_xll.FDS(A23,"FMA_PCT_ABOVE_MAVG(200,0,,,,""PORTAGG"")")/100</f>
        <v>0.74509803921568607</v>
      </c>
      <c r="L23" s="41" cm="1">
        <f t="array" ref="L23">_xll.FDSB(A23,"PERCENT_CHANGE(FMA_EPS(+1,0,,,,""PORTAGG"",""MEAN""),FMA_EPS(+1,-1AM,,,,""PORTAGG"",""MEAN""))")</f>
        <v>-1.98361902477945E-2</v>
      </c>
      <c r="M23" s="41" cm="1">
        <f t="array" ref="M23">_xll.FDSB(A23,"PERCENT_CHANGE(FMA_EPS(+1,0,,,,""PORTAGG"",""MEAN""),FMA_EPS(+1,-3AM,,,,""PORTAGG"",""MEAN""))")</f>
        <v>-1.7411135011391202E-2</v>
      </c>
      <c r="N23" s="3" cm="1">
        <f t="array" ref="N23">_xll.FDS(C23,"FG_TOTAL_RETURNC(0,-1AM)")</f>
        <v>-6.6482964000000004</v>
      </c>
      <c r="O23" s="3" cm="1">
        <f t="array" ref="O23">_xll.FDS(C23,"FG_TOTAL_RETURNC(0,-3AM)")</f>
        <v>7.4453950000000004</v>
      </c>
      <c r="P23" s="3" cm="1">
        <f t="array" ref="P23">_xll.FDS(C23,"FG_TOTAL_RETURNC(0,-6AM)")</f>
        <v>13.852083</v>
      </c>
      <c r="Q23" s="9" cm="1">
        <f t="array" ref="Q23">_xll.FDS(C23,"P_PRICE(0)/P_PRICE_HIGH_PR(0,,,,,,""PRICE"",""INTRA"",""52W"")")</f>
        <v>0.86411260000000001</v>
      </c>
      <c r="R23" s="9" cm="1">
        <f t="array" ref="R23">_xll.FDS(C23,"P_PRICE(0)/P_PRICE_low_PR(0,,,,,,""PRICE"",""INTRA"",""52W"")-1")</f>
        <v>0.26510060000000002</v>
      </c>
      <c r="S23" s="3" cm="1">
        <f t="array" ref="S23">_xll.FDS(C23,"FG_TOTAL_RETURNC(0,-12AM)")</f>
        <v>-3.1831323999999999</v>
      </c>
    </row>
    <row r="24" spans="1:37" x14ac:dyDescent="0.35">
      <c r="Q24" s="9"/>
      <c r="R24" s="9"/>
    </row>
    <row r="25" spans="1:37" x14ac:dyDescent="0.35">
      <c r="Q25" s="9"/>
      <c r="R25" s="9"/>
    </row>
    <row r="26" spans="1:37" ht="15" customHeight="1" x14ac:dyDescent="0.35">
      <c r="E26" s="43"/>
      <c r="F26" s="43"/>
      <c r="Q26" s="9"/>
      <c r="R26" s="9"/>
    </row>
    <row r="27" spans="1:37" ht="15" customHeight="1" x14ac:dyDescent="0.35">
      <c r="E27" s="43"/>
      <c r="F27" s="43"/>
      <c r="Q27" s="9"/>
      <c r="R27" s="9"/>
    </row>
    <row r="28" spans="1:37" ht="15" customHeight="1" x14ac:dyDescent="0.35">
      <c r="E28" s="43"/>
      <c r="F28" s="43"/>
      <c r="Q28" s="9"/>
      <c r="R28" s="9"/>
    </row>
    <row r="29" spans="1:37" ht="15" customHeight="1" x14ac:dyDescent="0.35">
      <c r="C29" s="1"/>
      <c r="D29" s="1"/>
      <c r="E29" s="43"/>
      <c r="F29" s="43"/>
      <c r="Q29" s="9"/>
      <c r="R29" s="9"/>
    </row>
    <row r="30" spans="1:37" ht="15" customHeight="1" x14ac:dyDescent="0.35">
      <c r="E30" s="43"/>
      <c r="F30" s="43"/>
      <c r="Q30" s="9"/>
      <c r="R30" s="9"/>
    </row>
    <row r="31" spans="1:37" ht="15" customHeight="1" x14ac:dyDescent="0.35">
      <c r="E31" s="43"/>
      <c r="F31" s="43"/>
      <c r="Q31" s="9"/>
      <c r="R31" s="9"/>
    </row>
    <row r="32" spans="1:37" ht="15" customHeight="1" x14ac:dyDescent="0.35">
      <c r="E32" s="43"/>
      <c r="F32" s="43"/>
      <c r="Q32" s="9"/>
      <c r="R32" s="9"/>
    </row>
    <row r="33" spans="3:18" ht="15" customHeight="1" x14ac:dyDescent="0.35">
      <c r="E33" s="43"/>
      <c r="F33" s="43"/>
      <c r="P33" s="1"/>
      <c r="Q33" s="9"/>
      <c r="R33" s="9"/>
    </row>
    <row r="34" spans="3:18" ht="15" customHeight="1" x14ac:dyDescent="0.35">
      <c r="E34" s="43"/>
      <c r="F34" s="43"/>
      <c r="Q34" s="9"/>
      <c r="R34" s="9"/>
    </row>
    <row r="35" spans="3:18" ht="15" customHeight="1" x14ac:dyDescent="0.35">
      <c r="E35" s="43"/>
      <c r="F35" s="43"/>
      <c r="Q35" s="9"/>
      <c r="R35" s="9"/>
    </row>
    <row r="36" spans="3:18" ht="15" customHeight="1" x14ac:dyDescent="0.35">
      <c r="C36" s="1"/>
      <c r="D36" s="1"/>
      <c r="E36" s="43"/>
      <c r="F36" s="43"/>
      <c r="Q36" s="9"/>
      <c r="R36" s="9"/>
    </row>
    <row r="37" spans="3:18" ht="15" customHeight="1" x14ac:dyDescent="0.35">
      <c r="E37" s="43"/>
      <c r="F37" s="43"/>
      <c r="Q37" s="9"/>
      <c r="R37" s="9"/>
    </row>
    <row r="38" spans="3:18" ht="15" customHeight="1" x14ac:dyDescent="0.35">
      <c r="E38" s="43"/>
      <c r="F38" s="43"/>
      <c r="Q38" s="9"/>
      <c r="R38" s="9"/>
    </row>
    <row r="39" spans="3:18" ht="15" customHeight="1" x14ac:dyDescent="0.35">
      <c r="E39" s="43"/>
      <c r="F39" s="43"/>
      <c r="Q39" s="9"/>
      <c r="R39" s="9"/>
    </row>
    <row r="40" spans="3:18" ht="15" customHeight="1" x14ac:dyDescent="0.35">
      <c r="E40" s="43"/>
      <c r="F40" s="43"/>
      <c r="Q40" s="9"/>
      <c r="R40" s="9"/>
    </row>
    <row r="41" spans="3:18" ht="15" customHeight="1" x14ac:dyDescent="0.35">
      <c r="C41" s="1"/>
      <c r="D41" s="1"/>
      <c r="E41" s="43"/>
      <c r="F41" s="43"/>
      <c r="Q41" s="9"/>
      <c r="R41" s="9"/>
    </row>
    <row r="42" spans="3:18" ht="15" customHeight="1" x14ac:dyDescent="0.35">
      <c r="E42" s="43"/>
      <c r="F42" s="43"/>
      <c r="Q42" s="9"/>
      <c r="R42" s="9"/>
    </row>
    <row r="43" spans="3:18" ht="15" customHeight="1" x14ac:dyDescent="0.35">
      <c r="E43" s="43"/>
      <c r="F43" s="43"/>
      <c r="Q43" s="9"/>
      <c r="R43" s="9"/>
    </row>
    <row r="44" spans="3:18" ht="15" customHeight="1" x14ac:dyDescent="0.35">
      <c r="E44" s="43"/>
      <c r="F44" s="43"/>
      <c r="Q44" s="9"/>
      <c r="R44" s="9"/>
    </row>
    <row r="45" spans="3:18" ht="15" customHeight="1" x14ac:dyDescent="0.35">
      <c r="E45" s="43"/>
      <c r="F45" s="43"/>
      <c r="Q45" s="9"/>
      <c r="R45" s="9"/>
    </row>
    <row r="46" spans="3:18" ht="15" customHeight="1" x14ac:dyDescent="0.35">
      <c r="C46" s="1"/>
      <c r="D46" s="1"/>
      <c r="E46" s="43"/>
      <c r="F46" s="43"/>
      <c r="Q46" s="9"/>
      <c r="R46" s="9"/>
    </row>
    <row r="47" spans="3:18" ht="15" customHeight="1" x14ac:dyDescent="0.35">
      <c r="C47" s="1"/>
      <c r="D47" s="1"/>
      <c r="E47" s="43"/>
      <c r="F47" s="43"/>
    </row>
    <row r="48" spans="3:18" ht="15" customHeight="1" x14ac:dyDescent="0.35">
      <c r="E48" s="43"/>
      <c r="F48" s="43"/>
    </row>
    <row r="49" spans="5:7" ht="15" customHeight="1" x14ac:dyDescent="0.35">
      <c r="E49" s="43"/>
      <c r="F49" s="43"/>
    </row>
    <row r="50" spans="5:7" ht="15" customHeight="1" x14ac:dyDescent="0.35">
      <c r="E50" s="44"/>
      <c r="F50" s="44"/>
      <c r="G50" s="1"/>
    </row>
    <row r="51" spans="5:7" ht="15" customHeight="1" x14ac:dyDescent="0.35">
      <c r="E51" s="43"/>
      <c r="F51" s="43"/>
    </row>
    <row r="52" spans="5:7" ht="15" customHeight="1" x14ac:dyDescent="0.35">
      <c r="E52" s="43"/>
      <c r="F52" s="43"/>
    </row>
    <row r="53" spans="5:7" ht="15" customHeight="1" x14ac:dyDescent="0.35">
      <c r="E53" s="43"/>
      <c r="F53" s="43"/>
    </row>
    <row r="54" spans="5:7" ht="15" customHeight="1" x14ac:dyDescent="0.35">
      <c r="E54" s="43"/>
      <c r="F54" s="43"/>
    </row>
    <row r="55" spans="5:7" ht="15" customHeight="1" x14ac:dyDescent="0.35">
      <c r="E55" s="43"/>
      <c r="F55" s="43"/>
    </row>
    <row r="56" spans="5:7" ht="15" customHeight="1" x14ac:dyDescent="0.35">
      <c r="E56" s="43"/>
      <c r="F56" s="43"/>
    </row>
    <row r="57" spans="5:7" ht="15" customHeight="1" x14ac:dyDescent="0.35">
      <c r="E57" s="43"/>
      <c r="F57" s="43"/>
    </row>
    <row r="58" spans="5:7" ht="15" customHeight="1" x14ac:dyDescent="0.35">
      <c r="E58" s="44"/>
      <c r="F58" s="44"/>
      <c r="G58" s="1"/>
    </row>
    <row r="59" spans="5:7" ht="15" customHeight="1" x14ac:dyDescent="0.35">
      <c r="E59" s="43"/>
      <c r="F59" s="43"/>
    </row>
    <row r="60" spans="5:7" ht="15" customHeight="1" x14ac:dyDescent="0.35">
      <c r="E60" s="43"/>
      <c r="F60" s="43"/>
    </row>
    <row r="61" spans="5:7" ht="15" customHeight="1" x14ac:dyDescent="0.35">
      <c r="E61" s="43"/>
      <c r="F61" s="43"/>
    </row>
    <row r="62" spans="5:7" ht="15" customHeight="1" x14ac:dyDescent="0.35">
      <c r="E62" s="43"/>
      <c r="F62" s="43"/>
    </row>
    <row r="63" spans="5:7" ht="15" customHeight="1" x14ac:dyDescent="0.35">
      <c r="E63" s="43"/>
      <c r="F63" s="43"/>
    </row>
    <row r="64" spans="5:7" ht="15" customHeight="1" x14ac:dyDescent="0.35">
      <c r="E64" s="43"/>
      <c r="F64" s="43"/>
    </row>
    <row r="65" spans="6:6" x14ac:dyDescent="0.35">
      <c r="F65" s="4"/>
    </row>
    <row r="66" spans="6:6" x14ac:dyDescent="0.35">
      <c r="F66" s="4"/>
    </row>
    <row r="67" spans="6:6" x14ac:dyDescent="0.35">
      <c r="F67" s="4"/>
    </row>
    <row r="68" spans="6:6" x14ac:dyDescent="0.35">
      <c r="F68" s="4"/>
    </row>
    <row r="69" spans="6:6" x14ac:dyDescent="0.35">
      <c r="F69" s="4"/>
    </row>
    <row r="70" spans="6:6" x14ac:dyDescent="0.35">
      <c r="F70" s="4"/>
    </row>
    <row r="71" spans="6:6" x14ac:dyDescent="0.35">
      <c r="F71" s="4"/>
    </row>
    <row r="72" spans="6:6" x14ac:dyDescent="0.35">
      <c r="F72" s="4"/>
    </row>
    <row r="73" spans="6:6" x14ac:dyDescent="0.35">
      <c r="F73" s="4"/>
    </row>
    <row r="74" spans="6:6" x14ac:dyDescent="0.35">
      <c r="F74" s="4"/>
    </row>
    <row r="75" spans="6:6" x14ac:dyDescent="0.35">
      <c r="F75" s="4"/>
    </row>
    <row r="76" spans="6:6" x14ac:dyDescent="0.35">
      <c r="F76" s="4"/>
    </row>
    <row r="77" spans="6:6" x14ac:dyDescent="0.35">
      <c r="F77" s="4"/>
    </row>
    <row r="78" spans="6:6" x14ac:dyDescent="0.35">
      <c r="F78" s="4"/>
    </row>
    <row r="79" spans="6:6" x14ac:dyDescent="0.35">
      <c r="F79" s="4"/>
    </row>
    <row r="80" spans="6:6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</sheetData>
  <sortState xmlns:xlrd2="http://schemas.microsoft.com/office/spreadsheetml/2017/richdata2" ref="E30:F68">
    <sortCondition descending="1" ref="F30:F68"/>
  </sortState>
  <phoneticPr fontId="1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20"/>
  <sheetViews>
    <sheetView zoomScale="82" zoomScaleNormal="160" workbookViewId="0">
      <selection activeCell="V16" sqref="V16"/>
    </sheetView>
  </sheetViews>
  <sheetFormatPr defaultRowHeight="14.5" x14ac:dyDescent="0.35"/>
  <cols>
    <col min="3" max="3" width="45.54296875" customWidth="1"/>
    <col min="4" max="4" width="14.54296875" customWidth="1"/>
    <col min="5" max="5" width="10.81640625" customWidth="1"/>
    <col min="6" max="7" width="8.453125" customWidth="1"/>
    <col min="8" max="8" width="24.1796875" customWidth="1"/>
    <col min="9" max="9" width="20.453125" customWidth="1"/>
    <col min="10" max="10" width="24.453125" style="183" bestFit="1" customWidth="1"/>
    <col min="11" max="11" width="13.453125" style="183" customWidth="1"/>
    <col min="12" max="12" width="14.453125" customWidth="1"/>
    <col min="13" max="13" width="15.54296875" customWidth="1"/>
    <col min="14" max="14" width="12.453125" customWidth="1"/>
    <col min="16" max="16" width="9.54296875" customWidth="1"/>
  </cols>
  <sheetData>
    <row r="1" spans="2:18" ht="58" x14ac:dyDescent="0.35">
      <c r="L1" t="s">
        <v>523</v>
      </c>
      <c r="M1" t="s">
        <v>522</v>
      </c>
      <c r="N1" s="49" t="s">
        <v>405</v>
      </c>
      <c r="P1" s="49" t="s">
        <v>404</v>
      </c>
    </row>
    <row r="2" spans="2:18" x14ac:dyDescent="0.35">
      <c r="L2" s="6">
        <f>Assumption!E53</f>
        <v>0.25</v>
      </c>
      <c r="M2" s="6">
        <f>Assumption!F53</f>
        <v>0.25</v>
      </c>
      <c r="N2" s="6">
        <f>Assumption!G53</f>
        <v>0.5</v>
      </c>
    </row>
    <row r="3" spans="2:18" x14ac:dyDescent="0.35">
      <c r="D3" t="s">
        <v>402</v>
      </c>
      <c r="E3" s="46" t="s">
        <v>89</v>
      </c>
      <c r="H3" t="s">
        <v>403</v>
      </c>
      <c r="I3" t="s">
        <v>94</v>
      </c>
      <c r="J3" s="184"/>
      <c r="P3" t="s">
        <v>910</v>
      </c>
      <c r="R3" t="s">
        <v>911</v>
      </c>
    </row>
    <row r="4" spans="2:18" x14ac:dyDescent="0.35">
      <c r="B4" t="s">
        <v>431</v>
      </c>
      <c r="C4" t="str" cm="1">
        <f t="array" ref="C4">_xll.FDS(B4,"FG_COMPANY_NAME")</f>
        <v>iShares MSCI New Zealand ETF</v>
      </c>
      <c r="D4" s="9">
        <f>HLOOKUP(B4,'Monthly Returns'!$A$1:$Q$134, 127, FALSE)</f>
        <v>-0.14385228999999999</v>
      </c>
      <c r="E4" s="9">
        <f>HLOOKUP(B4,'Monthly Returns'!$A$1:$Q$134, 132, FALSE)</f>
        <v>0.13223140495867769</v>
      </c>
      <c r="H4" s="9">
        <f>HLOOKUP(B4,'Yearly returns'!$B$1:$N$140, 133, FALSE)</f>
        <v>0.1487603305785124</v>
      </c>
      <c r="I4" s="9">
        <f>HLOOKUP(B4,'Yearly returns'!$B$1:$N$140, 138, FALSE)</f>
        <v>0.30299999999999999</v>
      </c>
      <c r="J4" s="183">
        <f>1/E4</f>
        <v>7.5625</v>
      </c>
      <c r="K4" s="185">
        <f>PERCENTRANK($J$4:$J$16,J4)*100</f>
        <v>16.600000000000001</v>
      </c>
      <c r="L4" s="47">
        <f>(1-PERCENTRANK($E$4:$E$16,E4))*100</f>
        <v>16.700000000000003</v>
      </c>
      <c r="M4" s="47">
        <f>(1-PERCENTRANK($H$4:$H$16,H4))*100</f>
        <v>50</v>
      </c>
      <c r="N4" s="47">
        <f>(1-PERCENTRANK($I$4:$I$16,I4))*100</f>
        <v>100</v>
      </c>
      <c r="P4">
        <f>L4*Assumption!$E$53 + M4*Assumption!$F$53 + N4*Assumption!$G$53</f>
        <v>66.674999999999997</v>
      </c>
      <c r="R4" cm="1">
        <f t="array" ref="R4">_xlfn.PERCENTRANK.EXC(_xlfn._xlws.FILTER(P$4:P$16, ISNUMBER(P$4:P$16)),P4)*100</f>
        <v>71.399999999999991</v>
      </c>
    </row>
    <row r="5" spans="2:18" x14ac:dyDescent="0.35">
      <c r="B5" t="s">
        <v>44</v>
      </c>
      <c r="C5" t="str" cm="1">
        <f t="array" ref="C5">_xll.FDS(B5,"FG_COMPANY_NAME")</f>
        <v>iShares MSCI Australia ETF</v>
      </c>
      <c r="D5" s="9">
        <f>HLOOKUP(B5,'Monthly Returns'!$A$1:$Q$134, 127, FALSE)</f>
        <v>-0.24923880000000001</v>
      </c>
      <c r="E5" s="9">
        <f>HLOOKUP(B5,'Monthly Returns'!$A$1:$Q$134, 132, FALSE)</f>
        <v>0.11570247933884298</v>
      </c>
      <c r="H5" s="9">
        <f>HLOOKUP(B5,'Yearly returns'!$B$1:$N$140, 133, FALSE)</f>
        <v>0.16528925619834711</v>
      </c>
      <c r="I5" s="9">
        <f>HLOOKUP(B5,'Yearly returns'!$B$1:$N$140, 138, FALSE)</f>
        <v>0.69599999999999995</v>
      </c>
      <c r="J5" s="183">
        <f t="shared" ref="J5:J16" si="0">1/E5</f>
        <v>8.6428571428571423</v>
      </c>
      <c r="K5" s="185">
        <f t="shared" ref="K5:K16" si="1">PERCENTRANK($J$4:$J$16,J5)*100</f>
        <v>41.6</v>
      </c>
      <c r="L5" s="47">
        <f t="shared" ref="L5:L16" si="2">(1-PERCENTRANK($E$4:$E$16,E5))*100</f>
        <v>50</v>
      </c>
      <c r="M5" s="47">
        <f t="shared" ref="M5:M16" si="3">(1-PERCENTRANK($H$4:$H$16,H5))*100</f>
        <v>25</v>
      </c>
      <c r="N5" s="47">
        <f t="shared" ref="N5:N16" si="4">(1-PERCENTRANK($I$4:$I$16,I5))*100</f>
        <v>50</v>
      </c>
      <c r="P5">
        <f>L5*Assumption!$E$53 + M5*Assumption!$F$53 + N5*Assumption!$G$53</f>
        <v>43.75</v>
      </c>
      <c r="R5" cm="1">
        <f t="array" ref="R5">_xlfn.PERCENTRANK.EXC(_xlfn._xlws.FILTER(P$4:P$16, ISNUMBER(P$4:P$16)),P5)*100</f>
        <v>28.499999999999996</v>
      </c>
    </row>
    <row r="6" spans="2:18" x14ac:dyDescent="0.35">
      <c r="B6" t="s">
        <v>49</v>
      </c>
      <c r="C6" t="str" cm="1">
        <f t="array" ref="C6">_xll.FDS(B6,"FG_COMPANY_NAME")</f>
        <v>iShares MSCI Canada ETF</v>
      </c>
      <c r="D6" s="9">
        <f>HLOOKUP(B6,'Monthly Returns'!$A$1:$Q$134, 127, FALSE)</f>
        <v>-0.26229507000000002</v>
      </c>
      <c r="E6" s="9">
        <f>HLOOKUP(B6,'Monthly Returns'!$A$1:$Q$134, 132, FALSE)</f>
        <v>0.11570247933884298</v>
      </c>
      <c r="H6" s="9">
        <f>HLOOKUP(B6,'Yearly returns'!$B$1:$N$140, 133, FALSE)</f>
        <v>0.15702479338842976</v>
      </c>
      <c r="I6" s="9">
        <f>HLOOKUP(B6,'Yearly returns'!$B$1:$N$140, 138, FALSE)</f>
        <v>0.65500000000000003</v>
      </c>
      <c r="J6" s="183">
        <f t="shared" si="0"/>
        <v>8.6428571428571423</v>
      </c>
      <c r="K6" s="185">
        <f t="shared" si="1"/>
        <v>41.6</v>
      </c>
      <c r="L6" s="47">
        <f t="shared" si="2"/>
        <v>50</v>
      </c>
      <c r="M6" s="47">
        <f t="shared" si="3"/>
        <v>41.7</v>
      </c>
      <c r="N6" s="47">
        <f t="shared" si="4"/>
        <v>58.400000000000006</v>
      </c>
      <c r="P6">
        <f>L6*Assumption!$E$53 + M6*Assumption!$F$53 + N6*Assumption!$G$53</f>
        <v>52.125</v>
      </c>
      <c r="R6" cm="1">
        <f t="array" ref="R6">_xlfn.PERCENTRANK.EXC(_xlfn._xlws.FILTER(P$4:P$16, ISNUMBER(P$4:P$16)),P6)*100</f>
        <v>64.2</v>
      </c>
    </row>
    <row r="7" spans="2:18" x14ac:dyDescent="0.35">
      <c r="B7" t="s">
        <v>11</v>
      </c>
      <c r="C7" t="str" cm="1">
        <f t="array" ref="C7">_xll.FDS(B7,"FG_COMPANY_NAME")</f>
        <v>iShares MSCI Germany ETF</v>
      </c>
      <c r="D7" s="9">
        <f>HLOOKUP(B7,'Monthly Returns'!$A$1:$Q$134, 127, FALSE)</f>
        <v>-0.27970128999999999</v>
      </c>
      <c r="E7" s="9">
        <f>HLOOKUP(B7,'Monthly Returns'!$A$1:$Q$134, 132, FALSE)</f>
        <v>0.12396694214876033</v>
      </c>
      <c r="H7" s="9">
        <f>HLOOKUP(B7,'Yearly returns'!$B$1:$N$140, 133, FALSE)</f>
        <v>0.24793388429752067</v>
      </c>
      <c r="I7" s="9">
        <f>HLOOKUP(B7,'Yearly returns'!$B$1:$N$140, 138, FALSE)</f>
        <v>0.622</v>
      </c>
      <c r="J7" s="183">
        <f t="shared" si="0"/>
        <v>8.0666666666666664</v>
      </c>
      <c r="K7" s="185">
        <f t="shared" si="1"/>
        <v>25</v>
      </c>
      <c r="L7" s="47">
        <f t="shared" si="2"/>
        <v>33.4</v>
      </c>
      <c r="M7" s="47">
        <f t="shared" si="3"/>
        <v>8.3999999999999968</v>
      </c>
      <c r="N7" s="47">
        <f t="shared" si="4"/>
        <v>66.7</v>
      </c>
      <c r="P7">
        <f>L7*Assumption!$E$53 + M7*Assumption!$F$53 + N7*Assumption!$G$53</f>
        <v>43.8</v>
      </c>
      <c r="R7" cm="1">
        <f t="array" ref="R7">_xlfn.PERCENTRANK.EXC(_xlfn._xlws.FILTER(P$4:P$16, ISNUMBER(P$4:P$16)),P7)*100</f>
        <v>35.699999999999996</v>
      </c>
    </row>
    <row r="8" spans="2:18" x14ac:dyDescent="0.35">
      <c r="B8" t="s">
        <v>46</v>
      </c>
      <c r="C8" t="str" cm="1">
        <f t="array" ref="C8">_xll.FDS(B8,"FG_COMPANY_NAME")</f>
        <v>iShares MSCI Japan ETF</v>
      </c>
      <c r="D8" s="9">
        <f>HLOOKUP(B8,'Monthly Returns'!$A$1:$Q$134, 127, FALSE)</f>
        <v>-0.21429782999999999</v>
      </c>
      <c r="E8" s="9">
        <f>HLOOKUP(B8,'Monthly Returns'!$A$1:$Q$134, 132, FALSE)</f>
        <v>7.43801652892562E-2</v>
      </c>
      <c r="H8" s="9">
        <f>HLOOKUP(B8,'Yearly returns'!$B$1:$N$140, 133, FALSE)</f>
        <v>0.14049586776859505</v>
      </c>
      <c r="I8" s="9">
        <f>HLOOKUP(B8,'Yearly returns'!$B$1:$N$140, 138, FALSE)</f>
        <v>0.51600000000000001</v>
      </c>
      <c r="J8" s="183">
        <f t="shared" si="0"/>
        <v>13.444444444444445</v>
      </c>
      <c r="K8" s="185">
        <f t="shared" si="1"/>
        <v>100</v>
      </c>
      <c r="L8" s="47">
        <f t="shared" si="2"/>
        <v>100</v>
      </c>
      <c r="M8" s="47">
        <f t="shared" si="3"/>
        <v>58.400000000000006</v>
      </c>
      <c r="N8" s="47">
        <f t="shared" si="4"/>
        <v>91.7</v>
      </c>
      <c r="P8">
        <f>L8*Assumption!$E$53 + M8*Assumption!$F$53 + N8*Assumption!$G$53</f>
        <v>85.45</v>
      </c>
      <c r="R8" cm="1">
        <f t="array" ref="R8">_xlfn.PERCENTRANK.EXC(_xlfn._xlws.FILTER(P$4:P$16, ISNUMBER(P$4:P$16)),P8)*100</f>
        <v>85.7</v>
      </c>
    </row>
    <row r="9" spans="2:18" x14ac:dyDescent="0.35">
      <c r="B9" t="s">
        <v>42</v>
      </c>
      <c r="C9" t="str" cm="1">
        <f t="array" ref="C9">_xll.FDS(B9,"FG_COMPANY_NAME")</f>
        <v>iShares MSCI Switzerland ETF</v>
      </c>
      <c r="D9" s="9">
        <f>HLOOKUP(B9,'Monthly Returns'!$A$1:$Q$134, 127, FALSE)</f>
        <v>-0.17687886999999999</v>
      </c>
      <c r="E9" s="9">
        <f>HLOOKUP(B9,'Monthly Returns'!$A$1:$Q$134, 132, FALSE)</f>
        <v>8.2644628099173556E-2</v>
      </c>
      <c r="H9" s="9">
        <f>HLOOKUP(B9,'Yearly returns'!$B$1:$N$140, 133, FALSE)</f>
        <v>9.9173553719008267E-2</v>
      </c>
      <c r="I9" s="9">
        <f>HLOOKUP(B9,'Yearly returns'!$B$1:$N$140, 138, FALSE)</f>
        <v>0.53200000000000003</v>
      </c>
      <c r="J9" s="183">
        <f t="shared" si="0"/>
        <v>12.1</v>
      </c>
      <c r="K9" s="185">
        <f t="shared" si="1"/>
        <v>83.3</v>
      </c>
      <c r="L9" s="47">
        <f t="shared" si="2"/>
        <v>91.7</v>
      </c>
      <c r="M9" s="47">
        <f t="shared" si="3"/>
        <v>83.399999999999991</v>
      </c>
      <c r="N9" s="47">
        <f t="shared" si="4"/>
        <v>83.399999999999991</v>
      </c>
      <c r="P9">
        <f>L9*Assumption!$E$53 + M9*Assumption!$F$53 + N9*Assumption!$G$53</f>
        <v>85.474999999999994</v>
      </c>
      <c r="R9" cm="1">
        <f t="array" ref="R9">_xlfn.PERCENTRANK.EXC(_xlfn._xlws.FILTER(P$4:P$16, ISNUMBER(P$4:P$16)),P9)*100</f>
        <v>92.800000000000011</v>
      </c>
    </row>
    <row r="10" spans="2:18" x14ac:dyDescent="0.35">
      <c r="B10" t="s">
        <v>48</v>
      </c>
      <c r="C10" t="str" cm="1">
        <f t="array" ref="C10">_xll.FDS(B10,"FG_COMPANY_NAME")</f>
        <v>iShares MSCI United Kingdom ETF</v>
      </c>
      <c r="D10" s="9">
        <f>HLOOKUP(B10,'Monthly Returns'!$A$1:$Q$134, 127, FALSE)</f>
        <v>-0.27366192</v>
      </c>
      <c r="E10" s="9">
        <f>HLOOKUP(B10,'Monthly Returns'!$A$1:$Q$134, 132, FALSE)</f>
        <v>9.9173553719008267E-2</v>
      </c>
      <c r="H10" s="9">
        <f>HLOOKUP(B10,'Yearly returns'!$B$1:$N$140, 133, FALSE)</f>
        <v>0.15702479338842976</v>
      </c>
      <c r="I10" s="9">
        <f>HLOOKUP(B10,'Yearly returns'!$B$1:$N$140, 138, FALSE)</f>
        <v>0.76200000000000001</v>
      </c>
      <c r="J10" s="183">
        <f t="shared" si="0"/>
        <v>10.083333333333334</v>
      </c>
      <c r="K10" s="185">
        <f t="shared" si="1"/>
        <v>75</v>
      </c>
      <c r="L10" s="47">
        <f t="shared" si="2"/>
        <v>75</v>
      </c>
      <c r="M10" s="47">
        <f t="shared" si="3"/>
        <v>41.7</v>
      </c>
      <c r="N10" s="47">
        <f t="shared" si="4"/>
        <v>8.3999999999999968</v>
      </c>
      <c r="P10">
        <f>L10*Assumption!$E$53 + M10*Assumption!$F$53 + N10*Assumption!$G$53</f>
        <v>33.375</v>
      </c>
      <c r="R10" cm="1">
        <f t="array" ref="R10">_xlfn.PERCENTRANK.EXC(_xlfn._xlws.FILTER(P$4:P$16, ISNUMBER(P$4:P$16)),P10)*100</f>
        <v>21.4</v>
      </c>
    </row>
    <row r="11" spans="2:18" x14ac:dyDescent="0.35">
      <c r="B11" t="s">
        <v>51</v>
      </c>
      <c r="C11" t="str" cm="1">
        <f t="array" ref="C11">_xll.FDS(B11,"FG_COMPANY_NAME")</f>
        <v>Invesco QQQ Trust Series I</v>
      </c>
      <c r="D11" s="9">
        <f>HLOOKUP(B11,'Monthly Returns'!$A$1:$Q$134, 127, FALSE)</f>
        <v>-0.17792881000000002</v>
      </c>
      <c r="E11" s="9">
        <f>HLOOKUP(B11,'Monthly Returns'!$A$1:$Q$134, 132, FALSE)</f>
        <v>0.10743801652892562</v>
      </c>
      <c r="H11" s="9">
        <f>HLOOKUP(B11,'Yearly returns'!$B$1:$N$140, 133, FALSE)</f>
        <v>6.6115702479338845E-2</v>
      </c>
      <c r="I11" s="9">
        <f>HLOOKUP(B11,'Yearly returns'!$B$1:$N$140, 138, FALSE)</f>
        <v>0.73699999999999999</v>
      </c>
      <c r="J11" s="183">
        <f t="shared" si="0"/>
        <v>9.3076923076923066</v>
      </c>
      <c r="K11" s="185">
        <f t="shared" si="1"/>
        <v>58.3</v>
      </c>
      <c r="L11" s="47">
        <f t="shared" si="2"/>
        <v>66.7</v>
      </c>
      <c r="M11" s="47">
        <f t="shared" si="3"/>
        <v>91.7</v>
      </c>
      <c r="N11" s="47">
        <f t="shared" si="4"/>
        <v>16.700000000000003</v>
      </c>
      <c r="P11">
        <f>L11*Assumption!$E$53 + M11*Assumption!$F$53 + N11*Assumption!$G$53</f>
        <v>47.95</v>
      </c>
      <c r="R11" cm="1">
        <f t="array" ref="R11">_xlfn.PERCENTRANK.EXC(_xlfn._xlws.FILTER(P$4:P$16, ISNUMBER(P$4:P$16)),P11)*100</f>
        <v>50</v>
      </c>
    </row>
    <row r="12" spans="2:18" x14ac:dyDescent="0.35">
      <c r="B12" t="s">
        <v>1</v>
      </c>
      <c r="C12" t="str" cm="1">
        <f t="array" ref="C12">_xll.FDS(B12,"FG_COMPANY_NAME")</f>
        <v>SPDR S&amp;P 500 ETF Trust</v>
      </c>
      <c r="D12" s="9">
        <f>HLOOKUP(B12,'Monthly Returns'!$A$1:$Q$134, 127, FALSE)</f>
        <v>-0.20097310000000002</v>
      </c>
      <c r="E12" s="9">
        <f>HLOOKUP(B12,'Monthly Returns'!$A$1:$Q$134, 132, FALSE)</f>
        <v>8.2644628099173556E-2</v>
      </c>
      <c r="H12" s="9">
        <f>HLOOKUP(B12,'Yearly returns'!$B$1:$N$140, 133, FALSE)</f>
        <v>5.7851239669421489E-2</v>
      </c>
      <c r="I12" s="9">
        <f>HLOOKUP(B12,'Yearly returns'!$B$1:$N$140, 138, FALSE)</f>
        <v>0.86799999999999999</v>
      </c>
      <c r="J12" s="183">
        <f t="shared" si="0"/>
        <v>12.1</v>
      </c>
      <c r="K12" s="185">
        <f t="shared" si="1"/>
        <v>83.3</v>
      </c>
      <c r="L12" s="47">
        <f t="shared" si="2"/>
        <v>91.7</v>
      </c>
      <c r="M12" s="47">
        <f t="shared" si="3"/>
        <v>100</v>
      </c>
      <c r="N12" s="47">
        <f t="shared" si="4"/>
        <v>0</v>
      </c>
      <c r="P12">
        <f>L12*Assumption!$E$53 + M12*Assumption!$F$53 + N12*Assumption!$G$53</f>
        <v>47.924999999999997</v>
      </c>
      <c r="R12" cm="1">
        <f t="array" ref="R12">_xlfn.PERCENTRANK.EXC(_xlfn._xlws.FILTER(P$4:P$16, ISNUMBER(P$4:P$16)),P12)*100</f>
        <v>42.8</v>
      </c>
    </row>
    <row r="13" spans="2:18" x14ac:dyDescent="0.35">
      <c r="B13" t="s">
        <v>865</v>
      </c>
      <c r="C13" t="str" cm="1">
        <f t="array" ref="C13">_xll.FDS(B13,"FG_COMPANY_NAME")</f>
        <v>iShares MSCI France ETF</v>
      </c>
      <c r="D13" s="9">
        <f>HLOOKUP(B13,'Monthly Returns'!$A$1:$Q$134, 127, FALSE)</f>
        <v>-0.26955174999999998</v>
      </c>
      <c r="E13" s="9">
        <f>HLOOKUP(B13,'Monthly Returns'!$A$1:$Q$134, 132, FALSE)</f>
        <v>0.10743801652892562</v>
      </c>
      <c r="H13" s="9">
        <f>HLOOKUP(B13,'Yearly returns'!$B$1:$N$140, 133, FALSE)</f>
        <v>0.13223140495867769</v>
      </c>
      <c r="I13" s="9">
        <f>HLOOKUP(B13,'Yearly returns'!$B$1:$N$140, 138, FALSE)</f>
        <v>0.56499999999999995</v>
      </c>
      <c r="J13" s="183">
        <f t="shared" si="0"/>
        <v>9.3076923076923066</v>
      </c>
      <c r="K13" s="185">
        <f t="shared" si="1"/>
        <v>58.3</v>
      </c>
      <c r="L13" s="47">
        <f t="shared" si="2"/>
        <v>66.7</v>
      </c>
      <c r="M13" s="47">
        <f t="shared" si="3"/>
        <v>66.7</v>
      </c>
      <c r="N13" s="47">
        <f t="shared" si="4"/>
        <v>75</v>
      </c>
      <c r="P13">
        <f>L13*Assumption!$E$53 + M13*Assumption!$F$53 + N13*Assumption!$G$53</f>
        <v>70.849999999999994</v>
      </c>
      <c r="R13" cm="1">
        <f t="array" ref="R13">_xlfn.PERCENTRANK.EXC(_xlfn._xlws.FILTER(P$4:P$16, ISNUMBER(P$4:P$16)),P13)*100</f>
        <v>78.5</v>
      </c>
    </row>
    <row r="14" spans="2:18" x14ac:dyDescent="0.35">
      <c r="B14" t="s">
        <v>867</v>
      </c>
      <c r="C14" t="str" cm="1">
        <f t="array" ref="C14">_xll.FDS(B14,"FG_COMPANY_NAME")</f>
        <v>iShares MSCI Netherlands ETF</v>
      </c>
      <c r="D14" s="9">
        <f>HLOOKUP(B14,'Monthly Returns'!$A$1:$Q$134, 127, FALSE)</f>
        <v>-0.25350688999999998</v>
      </c>
      <c r="E14" s="9">
        <f>HLOOKUP(B14,'Monthly Returns'!$A$1:$Q$134, 132, FALSE)</f>
        <v>0.12396694214876033</v>
      </c>
      <c r="H14" s="9">
        <f>HLOOKUP(B14,'Yearly returns'!$B$1:$N$140, 133, FALSE)</f>
        <v>0.12396694214876033</v>
      </c>
      <c r="I14" s="9">
        <f>HLOOKUP(B14,'Yearly returns'!$B$1:$N$140, 138, FALSE)</f>
        <v>0.72099999999999997</v>
      </c>
      <c r="J14" s="183">
        <f t="shared" si="0"/>
        <v>8.0666666666666664</v>
      </c>
      <c r="K14" s="185">
        <f t="shared" si="1"/>
        <v>25</v>
      </c>
      <c r="L14" s="47">
        <f t="shared" si="2"/>
        <v>33.4</v>
      </c>
      <c r="M14" s="47">
        <f t="shared" si="3"/>
        <v>75</v>
      </c>
      <c r="N14" s="47">
        <f t="shared" si="4"/>
        <v>41.7</v>
      </c>
      <c r="P14">
        <f>L14*Assumption!$E$53 + M14*Assumption!$F$53 + N14*Assumption!$G$53</f>
        <v>47.95</v>
      </c>
      <c r="R14" cm="1">
        <f t="array" ref="R14">_xlfn.PERCENTRANK.EXC(_xlfn._xlws.FILTER(P$4:P$16, ISNUMBER(P$4:P$16)),P14)*100</f>
        <v>50</v>
      </c>
    </row>
    <row r="15" spans="2:18" x14ac:dyDescent="0.35">
      <c r="B15" t="s">
        <v>864</v>
      </c>
      <c r="C15" t="str" cm="1">
        <f t="array" ref="C15">_xll.FDS(B15,"FG_COMPANY_NAME")</f>
        <v>iShares MSCI Sweden ETF</v>
      </c>
      <c r="D15" s="9">
        <f>HLOOKUP(B15,'Monthly Returns'!$A$1:$Q$134, 127, FALSE)</f>
        <v>-0.23539823999999998</v>
      </c>
      <c r="E15" s="9">
        <f>HLOOKUP(B15,'Monthly Returns'!$A$1:$Q$134, 132, FALSE)</f>
        <v>0.14049586776859505</v>
      </c>
      <c r="H15" s="9">
        <f>HLOOKUP(B15,'Yearly returns'!$B$1:$N$140, 133, FALSE)</f>
        <v>0.17355371900826447</v>
      </c>
      <c r="I15" s="9">
        <f>HLOOKUP(B15,'Yearly returns'!$B$1:$N$140, 138, FALSE)</f>
        <v>0.72899999999999998</v>
      </c>
      <c r="J15" s="183">
        <f t="shared" si="0"/>
        <v>7.117647058823529</v>
      </c>
      <c r="K15" s="185">
        <f t="shared" si="1"/>
        <v>8.3000000000000007</v>
      </c>
      <c r="L15" s="47">
        <f t="shared" si="2"/>
        <v>8.3999999999999968</v>
      </c>
      <c r="M15" s="47">
        <f t="shared" si="3"/>
        <v>16.700000000000003</v>
      </c>
      <c r="N15" s="47">
        <f t="shared" si="4"/>
        <v>25</v>
      </c>
      <c r="P15">
        <f>L15*Assumption!$E$53 + M15*Assumption!$F$53 + N15*Assumption!$G$53</f>
        <v>18.774999999999999</v>
      </c>
      <c r="R15" cm="1">
        <f t="array" ref="R15">_xlfn.PERCENTRANK.EXC(_xlfn._xlws.FILTER(P$4:P$16, ISNUMBER(P$4:P$16)),P15)*100</f>
        <v>7.1</v>
      </c>
    </row>
    <row r="16" spans="2:18" x14ac:dyDescent="0.35">
      <c r="B16" t="s">
        <v>866</v>
      </c>
      <c r="C16" t="str" cm="1">
        <f t="array" ref="C16">_xll.FDS(B16,"FG_COMPANY_NAME")</f>
        <v>iShares MSCI Italy ETF</v>
      </c>
      <c r="D16" s="9">
        <f>HLOOKUP(B16,'Monthly Returns'!$A$1:$Q$134, 127, FALSE)</f>
        <v>-0.30494325999999999</v>
      </c>
      <c r="E16" s="9">
        <f>HLOOKUP(B16,'Monthly Returns'!$A$1:$Q$134, 132, FALSE)</f>
        <v>0.1487603305785124</v>
      </c>
      <c r="H16" s="9">
        <f>HLOOKUP(B16,'Yearly returns'!$B$1:$N$140, 133, FALSE)</f>
        <v>0.28099173553719009</v>
      </c>
      <c r="I16" s="9">
        <f>HLOOKUP(B16,'Yearly returns'!$B$1:$N$140, 138, FALSE)</f>
        <v>0.72099999999999997</v>
      </c>
      <c r="J16" s="183">
        <f t="shared" si="0"/>
        <v>6.7222222222222223</v>
      </c>
      <c r="K16" s="185">
        <f t="shared" si="1"/>
        <v>0</v>
      </c>
      <c r="L16" s="47">
        <f t="shared" si="2"/>
        <v>0</v>
      </c>
      <c r="M16" s="47">
        <f t="shared" si="3"/>
        <v>0</v>
      </c>
      <c r="N16" s="47">
        <f t="shared" si="4"/>
        <v>41.7</v>
      </c>
      <c r="P16">
        <f>L16*Assumption!$E$53 + M16*Assumption!$F$53 + N16*Assumption!$G$53</f>
        <v>20.85</v>
      </c>
      <c r="R16" cm="1">
        <f t="array" ref="R16">_xlfn.PERCENTRANK.EXC(_xlfn._xlws.FILTER(P$4:P$16, ISNUMBER(P$4:P$16)),P16)*100</f>
        <v>14.2</v>
      </c>
    </row>
    <row r="17" spans="4:4" x14ac:dyDescent="0.35">
      <c r="D17" s="9"/>
    </row>
    <row r="18" spans="4:4" x14ac:dyDescent="0.35">
      <c r="D18" s="9"/>
    </row>
    <row r="19" spans="4:4" x14ac:dyDescent="0.35">
      <c r="D19" s="9"/>
    </row>
    <row r="20" spans="4:4" x14ac:dyDescent="0.35">
      <c r="D20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A328-5514-40FF-B3A2-CDAE989FE53A}">
  <dimension ref="A1:V26"/>
  <sheetViews>
    <sheetView topLeftCell="I13" zoomScaleNormal="100" workbookViewId="0">
      <selection activeCell="N22" sqref="N22"/>
    </sheetView>
  </sheetViews>
  <sheetFormatPr defaultRowHeight="14.5" x14ac:dyDescent="0.35"/>
  <cols>
    <col min="1" max="1" width="15.1796875" bestFit="1" customWidth="1"/>
    <col min="2" max="2" width="34.453125" customWidth="1"/>
    <col min="3" max="3" width="10" bestFit="1" customWidth="1"/>
    <col min="4" max="4" width="18.1796875" bestFit="1" customWidth="1"/>
    <col min="5" max="5" width="11.54296875" customWidth="1"/>
    <col min="6" max="6" width="21" customWidth="1"/>
    <col min="7" max="7" width="11.1796875" bestFit="1" customWidth="1"/>
    <col min="8" max="9" width="31.453125" style="40" customWidth="1"/>
    <col min="10" max="10" width="36.1796875" style="40" customWidth="1"/>
    <col min="12" max="12" width="10.453125" customWidth="1"/>
    <col min="18" max="18" width="14.81640625" bestFit="1" customWidth="1"/>
    <col min="19" max="19" width="11.1796875" customWidth="1"/>
    <col min="20" max="20" width="14.1796875" bestFit="1" customWidth="1"/>
    <col min="21" max="21" width="13.453125" bestFit="1" customWidth="1"/>
    <col min="22" max="22" width="14.54296875" bestFit="1" customWidth="1"/>
  </cols>
  <sheetData>
    <row r="1" spans="1:22" x14ac:dyDescent="0.35">
      <c r="H1"/>
      <c r="I1"/>
      <c r="J1"/>
    </row>
    <row r="2" spans="1:22" x14ac:dyDescent="0.35">
      <c r="H2"/>
      <c r="I2"/>
      <c r="J2"/>
      <c r="L2" s="5"/>
    </row>
    <row r="3" spans="1:22" x14ac:dyDescent="0.35">
      <c r="H3"/>
      <c r="I3"/>
      <c r="J3"/>
      <c r="L3" s="5"/>
    </row>
    <row r="4" spans="1:22" x14ac:dyDescent="0.35">
      <c r="A4" t="s">
        <v>821</v>
      </c>
      <c r="B4" t="s">
        <v>519</v>
      </c>
      <c r="C4" t="s">
        <v>820</v>
      </c>
      <c r="D4" t="s">
        <v>544</v>
      </c>
      <c r="F4" t="s">
        <v>783</v>
      </c>
      <c r="G4" s="110" t="s">
        <v>818</v>
      </c>
      <c r="H4" s="110" t="s">
        <v>817</v>
      </c>
      <c r="I4" s="110" t="s">
        <v>837</v>
      </c>
      <c r="J4" s="110" t="s">
        <v>819</v>
      </c>
      <c r="S4" s="110" t="s">
        <v>818</v>
      </c>
      <c r="T4" s="110" t="s">
        <v>817</v>
      </c>
      <c r="U4" s="110" t="s">
        <v>837</v>
      </c>
      <c r="V4" s="110" t="s">
        <v>819</v>
      </c>
    </row>
    <row r="5" spans="1:22" x14ac:dyDescent="0.35">
      <c r="A5" t="s">
        <v>198</v>
      </c>
      <c r="B5" t="str" cm="1">
        <f t="array" ref="B5">_xll.FDS(C5,"FG_COMPANY_NAME")</f>
        <v>iShares MSCI New Zealand ETF</v>
      </c>
      <c r="C5" t="s">
        <v>431</v>
      </c>
      <c r="D5" t="s">
        <v>674</v>
      </c>
      <c r="E5" s="3" t="s">
        <v>431</v>
      </c>
      <c r="F5" s="9">
        <f>HLOOKUP(E5,'Monthly Returns'!$A$1:$AE$136,134,FALSE)</f>
        <v>0.76200000000000001</v>
      </c>
      <c r="G5" s="141" cm="1">
        <f t="array" ref="G5">_xll.FDSZ(C5,"FG_PRICE(0)")</f>
        <v>46.04</v>
      </c>
      <c r="H5" s="141" cm="1">
        <f t="array" ref="H5">_xll.FDSZ(C5,"FG_PRICE_MAVG(0,,,,30)")</f>
        <v>45.616664999999998</v>
      </c>
      <c r="I5" s="141" cm="1">
        <f t="array" ref="I5">_xll.FDSZ(C5,"FG_PRICE_MAVG(0,,,,60)")</f>
        <v>45.268047000000003</v>
      </c>
      <c r="J5" s="141" cm="1">
        <f t="array" ref="J5">_xll.FDSZ(C5,"FG_PRICE_MAVG(0,,,,200)")</f>
        <v>45.348488000000003</v>
      </c>
      <c r="L5">
        <f>IF($G5&gt;H5, 1, 0)</f>
        <v>1</v>
      </c>
      <c r="M5">
        <f>IF($G5&gt;I5, 1, 0)</f>
        <v>1</v>
      </c>
      <c r="N5">
        <f>IF($G5&gt;J5, 1, 0)</f>
        <v>1</v>
      </c>
      <c r="P5">
        <f>SUM(L5:N5)</f>
        <v>3</v>
      </c>
      <c r="R5" t="s">
        <v>839</v>
      </c>
      <c r="S5" s="7" cm="1">
        <f t="array" ref="S5">_xll.FDSZ($R5,"FG_PRICE(0)")</f>
        <v>395.41663</v>
      </c>
      <c r="T5" s="7" cm="1">
        <f t="array" ref="T5">_xll.FDSZ($R5,"FG_PRICE(0)")</f>
        <v>395.41663</v>
      </c>
      <c r="U5" s="7" cm="1">
        <f t="array" ref="U5">_xll.FDSZ($R5,"FG_PRICE(0)")</f>
        <v>395.41663</v>
      </c>
      <c r="V5" s="7" cm="1">
        <f t="array" ref="V5">_xll.FDSZ($R5,"FG_PRICE(0)")</f>
        <v>395.41663</v>
      </c>
    </row>
    <row r="6" spans="1:22" x14ac:dyDescent="0.35">
      <c r="A6" t="s">
        <v>174</v>
      </c>
      <c r="B6" t="str" cm="1">
        <f t="array" ref="B6">_xll.FDS(C6,"FG_COMPANY_NAME")</f>
        <v>iShares MSCI Australia ETF</v>
      </c>
      <c r="C6" t="s">
        <v>44</v>
      </c>
      <c r="D6" t="s">
        <v>576</v>
      </c>
      <c r="E6" s="3" t="s">
        <v>44</v>
      </c>
      <c r="F6" s="9">
        <f>HLOOKUP(E6,'Monthly Returns'!$A$1:$AE$136,134,FALSE)</f>
        <v>0.47499999999999998</v>
      </c>
      <c r="G6" s="141" cm="1">
        <f t="array" ref="G6">_xll.FDSZ(C6,"FG_PRICE(0)")</f>
        <v>24.26</v>
      </c>
      <c r="H6" s="141" cm="1">
        <f t="array" ref="H6">_xll.FDSZ(C6,"FG_PRICE_MAVG(0,,,,30)")</f>
        <v>24.625333999999999</v>
      </c>
      <c r="I6" s="141" cm="1">
        <f t="array" ref="I6">_xll.FDSZ(C6,"FG_PRICE_MAVG(0,,,,60)")</f>
        <v>24.348167</v>
      </c>
      <c r="J6" s="141" cm="1">
        <f t="array" ref="J6">_xll.FDSZ(C6,"FG_PRICE_MAVG(0,,,,200)")</f>
        <v>23.224</v>
      </c>
      <c r="L6">
        <f t="shared" ref="L6:L17" si="0">IF($G6&gt;H6, 1, 0)</f>
        <v>0</v>
      </c>
      <c r="M6">
        <f t="shared" ref="M6:M17" si="1">IF($G6&gt;I6, 1, 0)</f>
        <v>0</v>
      </c>
      <c r="N6">
        <f t="shared" ref="N6:N17" si="2">IF($G6&gt;J6, 1, 0)</f>
        <v>1</v>
      </c>
      <c r="P6">
        <f t="shared" ref="P6:P17" si="3">SUM(L6:N6)</f>
        <v>1</v>
      </c>
      <c r="R6" t="s">
        <v>840</v>
      </c>
      <c r="S6" s="7" cm="1">
        <f t="array" ref="S6">_xll.FDSZ($R6,"FG_PRICE(0)")</f>
        <v>359.88344999999998</v>
      </c>
      <c r="T6" s="7" cm="1">
        <f t="array" ref="T6">_xll.FDSZ($R6,"FG_PRICE(0)")</f>
        <v>359.88344999999998</v>
      </c>
      <c r="U6" s="7" cm="1">
        <f t="array" ref="U6">_xll.FDSZ($R6,"FG_PRICE(0)")</f>
        <v>359.88344999999998</v>
      </c>
      <c r="V6" s="7" cm="1">
        <f t="array" ref="V6">_xll.FDSZ($R6,"FG_PRICE(0)")</f>
        <v>359.88344999999998</v>
      </c>
    </row>
    <row r="7" spans="1:22" x14ac:dyDescent="0.35">
      <c r="A7" t="s">
        <v>157</v>
      </c>
      <c r="B7" t="str" cm="1">
        <f t="array" ref="B7">_xll.FDS(C7,"FG_COMPANY_NAME")</f>
        <v>iShares MSCI Canada ETF</v>
      </c>
      <c r="C7" t="s">
        <v>49</v>
      </c>
      <c r="D7" t="s">
        <v>598</v>
      </c>
      <c r="E7" s="3" t="s">
        <v>49</v>
      </c>
      <c r="F7" s="9">
        <f>HLOOKUP(E7,'Monthly Returns'!$A$1:$AE$136,134,FALSE)</f>
        <v>0.19600000000000001</v>
      </c>
      <c r="G7" s="141" cm="1">
        <f t="array" ref="G7">_xll.FDSZ(C7,"FG_PRICE(0)")</f>
        <v>36.6</v>
      </c>
      <c r="H7" s="141" cm="1">
        <f t="array" ref="H7">_xll.FDSZ(C7,"FG_PRICE_MAVG(0,,,,30)")</f>
        <v>37.887</v>
      </c>
      <c r="I7" s="141" cm="1">
        <f t="array" ref="I7">_xll.FDSZ(C7,"FG_PRICE_MAVG(0,,,,60)")</f>
        <v>37.776333000000001</v>
      </c>
      <c r="J7" s="141" cm="1">
        <f t="array" ref="J7">_xll.FDSZ(C7,"FG_PRICE_MAVG(0,,,,200)")</f>
        <v>35.915550000000003</v>
      </c>
      <c r="L7">
        <f t="shared" si="0"/>
        <v>0</v>
      </c>
      <c r="M7">
        <f t="shared" si="1"/>
        <v>0</v>
      </c>
      <c r="N7">
        <f t="shared" si="2"/>
        <v>1</v>
      </c>
      <c r="P7">
        <f t="shared" si="3"/>
        <v>1</v>
      </c>
      <c r="R7" t="s">
        <v>841</v>
      </c>
      <c r="S7" s="7" cm="1">
        <f t="array" ref="S7">_xll.FDSZ($R7,"FG_PRICE(0)")</f>
        <v>283.8682</v>
      </c>
      <c r="T7" s="7" cm="1">
        <f t="array" ref="T7">_xll.FDSZ($R7,"FG_PRICE(0)")</f>
        <v>283.8682</v>
      </c>
      <c r="U7" s="7" cm="1">
        <f t="array" ref="U7">_xll.FDSZ($R7,"FG_PRICE(0)")</f>
        <v>283.8682</v>
      </c>
      <c r="V7" s="7" cm="1">
        <f t="array" ref="V7">_xll.FDSZ($R7,"FG_PRICE(0)")</f>
        <v>283.8682</v>
      </c>
    </row>
    <row r="8" spans="1:22" x14ac:dyDescent="0.35">
      <c r="A8" t="s">
        <v>555</v>
      </c>
      <c r="B8" t="str" cm="1">
        <f t="array" ref="B8">_xll.FDS(C8,"FG_COMPANY_NAME")</f>
        <v>iShares MSCI Germany ETF</v>
      </c>
      <c r="C8" t="s">
        <v>11</v>
      </c>
      <c r="D8" t="s">
        <v>625</v>
      </c>
      <c r="E8" s="3" t="s">
        <v>11</v>
      </c>
      <c r="F8" s="9">
        <f>HLOOKUP(E8,'Monthly Returns'!$A$1:$AE$136,134,FALSE)</f>
        <v>0.245</v>
      </c>
      <c r="G8" s="141" cm="1">
        <f t="array" ref="G8">_xll.FDSZ(C8,"FG_PRICE(0)")</f>
        <v>30.61</v>
      </c>
      <c r="H8" s="141" cm="1">
        <f t="array" ref="H8">_xll.FDSZ(C8,"FG_PRICE_MAVG(0,,,,30)")</f>
        <v>31.885334</v>
      </c>
      <c r="I8" s="141" cm="1">
        <f t="array" ref="I8">_xll.FDSZ(C8,"FG_PRICE_MAVG(0,,,,60)")</f>
        <v>31.429167</v>
      </c>
      <c r="J8" s="141" cm="1">
        <f t="array" ref="J8">_xll.FDSZ(C8,"FG_PRICE_MAVG(0,,,,200)")</f>
        <v>29.168150000000001</v>
      </c>
      <c r="L8">
        <f t="shared" si="0"/>
        <v>0</v>
      </c>
      <c r="M8">
        <f t="shared" si="1"/>
        <v>0</v>
      </c>
      <c r="N8">
        <f t="shared" si="2"/>
        <v>1</v>
      </c>
      <c r="P8">
        <f t="shared" si="3"/>
        <v>1</v>
      </c>
      <c r="R8" t="s">
        <v>838</v>
      </c>
      <c r="S8" s="7" cm="1">
        <f t="array" ref="S8">_xll.FDSZ($R8,"FG_PRICE(0)")</f>
        <v>9.6194579999999998</v>
      </c>
      <c r="T8" s="7" cm="1">
        <f t="array" ref="T8">_xll.FDSZ($R8,"FG_PRICE(0)")</f>
        <v>9.6194579999999998</v>
      </c>
      <c r="U8" s="7" cm="1">
        <f t="array" ref="U8">_xll.FDSZ($R8,"FG_PRICE(0)")</f>
        <v>9.6194579999999998</v>
      </c>
      <c r="V8" s="7" cm="1">
        <f t="array" ref="V8">_xll.FDSZ($R8,"FG_PRICE(0)")</f>
        <v>9.6194579999999998</v>
      </c>
    </row>
    <row r="9" spans="1:22" x14ac:dyDescent="0.35">
      <c r="A9" t="s">
        <v>164</v>
      </c>
      <c r="B9" t="str" cm="1">
        <f t="array" ref="B9">_xll.FDS(C9,"FG_COMPANY_NAME")</f>
        <v>iShares MSCI Japan ETF</v>
      </c>
      <c r="C9" t="s">
        <v>46</v>
      </c>
      <c r="D9" t="s">
        <v>643</v>
      </c>
      <c r="E9" s="3" t="s">
        <v>46</v>
      </c>
      <c r="F9" s="9">
        <f>HLOOKUP(E9,'Monthly Returns'!$A$1:$AE$136,134,FALSE)</f>
        <v>0.40899999999999997</v>
      </c>
      <c r="G9" s="141" cm="1">
        <f t="array" ref="G9">_xll.FDSZ(C9,"FG_PRICE(0)")</f>
        <v>67.150000000000006</v>
      </c>
      <c r="H9" s="141" cm="1">
        <f t="array" ref="H9">_xll.FDSZ(C9,"FG_PRICE_MAVG(0,,,,30)")</f>
        <v>68.572000000000003</v>
      </c>
      <c r="I9" s="141" cm="1">
        <f t="array" ref="I9">_xll.FDSZ(C9,"FG_PRICE_MAVG(0,,,,60)")</f>
        <v>68.862660000000005</v>
      </c>
      <c r="J9" s="141" cm="1">
        <f t="array" ref="J9">_xll.FDSZ(C9,"FG_PRICE_MAVG(0,,,,200)")</f>
        <v>65.217799999999997</v>
      </c>
      <c r="L9">
        <f t="shared" si="0"/>
        <v>0</v>
      </c>
      <c r="M9">
        <f t="shared" si="1"/>
        <v>0</v>
      </c>
      <c r="N9">
        <f t="shared" si="2"/>
        <v>1</v>
      </c>
      <c r="P9">
        <f t="shared" si="3"/>
        <v>1</v>
      </c>
      <c r="R9" t="s">
        <v>842</v>
      </c>
      <c r="S9" s="7" cm="1">
        <f t="array" ref="S9">_xll.FDSZ($R9,"FG_PRICE(0)")</f>
        <v>170.70012</v>
      </c>
      <c r="T9" s="7" cm="1">
        <f t="array" ref="T9">_xll.FDSZ($R9,"FG_PRICE(0)")</f>
        <v>170.70012</v>
      </c>
      <c r="U9" s="7" cm="1">
        <f t="array" ref="U9">_xll.FDSZ($R9,"FG_PRICE(0)")</f>
        <v>170.70012</v>
      </c>
      <c r="V9" s="7" cm="1">
        <f t="array" ref="V9">_xll.FDSZ($R9,"FG_PRICE(0)")</f>
        <v>170.70012</v>
      </c>
    </row>
    <row r="10" spans="1:22" x14ac:dyDescent="0.35">
      <c r="A10" t="s">
        <v>276</v>
      </c>
      <c r="B10" t="str" cm="1">
        <f t="array" ref="B10">_xll.FDS(C10,"FG_COMPANY_NAME")</f>
        <v>iShares MSCI Switzerland ETF</v>
      </c>
      <c r="C10" t="s">
        <v>42</v>
      </c>
      <c r="D10" t="s">
        <v>706</v>
      </c>
      <c r="E10" s="3" t="s">
        <v>42</v>
      </c>
      <c r="F10" s="9">
        <f>HLOOKUP(E10,'Monthly Returns'!$A$1:$AE$136,134,FALSE)</f>
        <v>0.86</v>
      </c>
      <c r="G10" s="141" cm="1">
        <f t="array" ref="G10">_xll.FDSZ(C10,"FG_PRICE(0)")</f>
        <v>48.95</v>
      </c>
      <c r="H10" s="141" cm="1">
        <f t="array" ref="H10">_xll.FDSZ(C10,"FG_PRICE_MAVG(0,,,,30)")</f>
        <v>48.434334</v>
      </c>
      <c r="I10" s="141" cm="1">
        <f t="array" ref="I10">_xll.FDSZ(C10,"FG_PRICE_MAVG(0,,,,60)")</f>
        <v>47.420499999999997</v>
      </c>
      <c r="J10" s="141" cm="1">
        <f t="array" ref="J10">_xll.FDSZ(C10,"FG_PRICE_MAVG(0,,,,200)")</f>
        <v>46.222299999999997</v>
      </c>
      <c r="L10">
        <f t="shared" si="0"/>
        <v>1</v>
      </c>
      <c r="M10">
        <f t="shared" si="1"/>
        <v>1</v>
      </c>
      <c r="N10">
        <f t="shared" si="2"/>
        <v>1</v>
      </c>
      <c r="P10">
        <f t="shared" si="3"/>
        <v>3</v>
      </c>
      <c r="R10" t="s">
        <v>843</v>
      </c>
      <c r="S10" s="7" cm="1">
        <f t="array" ref="S10">_xll.FDSZ($R10,"FG_PRICE(0)")</f>
        <v>333.19851999999997</v>
      </c>
      <c r="T10" s="7" cm="1">
        <f t="array" ref="T10">_xll.FDSZ($R10,"FG_PRICE(0)")</f>
        <v>333.19851999999997</v>
      </c>
      <c r="U10" s="7" cm="1">
        <f t="array" ref="U10">_xll.FDSZ($R10,"FG_PRICE(0)")</f>
        <v>333.19851999999997</v>
      </c>
      <c r="V10" s="7" cm="1">
        <f t="array" ref="V10">_xll.FDSZ($R10,"FG_PRICE(0)")</f>
        <v>333.19851999999997</v>
      </c>
    </row>
    <row r="11" spans="1:22" x14ac:dyDescent="0.35">
      <c r="A11" t="s">
        <v>167</v>
      </c>
      <c r="B11" t="str" cm="1">
        <f t="array" ref="B11">_xll.FDS(C11,"FG_COMPANY_NAME")</f>
        <v>iShares MSCI United Kingdom ETF</v>
      </c>
      <c r="C11" t="s">
        <v>48</v>
      </c>
      <c r="D11" t="s">
        <v>719</v>
      </c>
      <c r="E11" s="3" t="s">
        <v>48</v>
      </c>
      <c r="F11" s="9">
        <f>HLOOKUP(E11,'Monthly Returns'!$A$1:$AE$136,134,FALSE)</f>
        <v>0.36799999999999999</v>
      </c>
      <c r="G11" s="141" cm="1">
        <f t="array" ref="G11">_xll.FDSZ(C11,"FG_PRICE(0)")</f>
        <v>35.090000000000003</v>
      </c>
      <c r="H11" s="141" cm="1">
        <f t="array" ref="H11">_xll.FDSZ(C11,"FG_PRICE_MAVG(0,,,,30)")</f>
        <v>36.027999999999999</v>
      </c>
      <c r="I11" s="141" cm="1">
        <f t="array" ref="I11">_xll.FDSZ(C11,"FG_PRICE_MAVG(0,,,,60)")</f>
        <v>35.043166999999997</v>
      </c>
      <c r="J11" s="141" cm="1">
        <f t="array" ref="J11">_xll.FDSZ(C11,"FG_PRICE_MAVG(0,,,,200)")</f>
        <v>33.064399999999999</v>
      </c>
      <c r="L11">
        <f t="shared" si="0"/>
        <v>0</v>
      </c>
      <c r="M11">
        <f t="shared" si="1"/>
        <v>1</v>
      </c>
      <c r="N11">
        <f t="shared" si="2"/>
        <v>1</v>
      </c>
      <c r="P11">
        <f t="shared" si="3"/>
        <v>2</v>
      </c>
      <c r="R11" t="s">
        <v>844</v>
      </c>
      <c r="S11" s="7" cm="1">
        <f t="array" ref="S11">_xll.FDSZ($R11,"FG_PRICE(0)")</f>
        <v>127.1915</v>
      </c>
      <c r="T11" s="7" cm="1">
        <f t="array" ref="T11">_xll.FDSZ($R11,"FG_PRICE(0)")</f>
        <v>127.1915</v>
      </c>
      <c r="U11" s="7" cm="1">
        <f t="array" ref="U11">_xll.FDSZ($R11,"FG_PRICE(0)")</f>
        <v>127.1915</v>
      </c>
      <c r="V11" s="7" cm="1">
        <f t="array" ref="V11">_xll.FDSZ($R11,"FG_PRICE(0)")</f>
        <v>127.1915</v>
      </c>
    </row>
    <row r="12" spans="1:22" x14ac:dyDescent="0.35">
      <c r="A12" t="s">
        <v>170</v>
      </c>
      <c r="B12" t="str" cm="1">
        <f t="array" ref="B12">_xll.FDS(C12,"FG_COMPANY_NAME")</f>
        <v>Invesco QQQ Trust Series I</v>
      </c>
      <c r="C12" t="s">
        <v>51</v>
      </c>
      <c r="D12" t="s">
        <v>720</v>
      </c>
      <c r="E12" s="3" t="s">
        <v>51</v>
      </c>
      <c r="F12" s="9">
        <f>HLOOKUP(E12,'Monthly Returns'!$A$1:$AE$136,134,FALSE)</f>
        <v>0.90100000000000002</v>
      </c>
      <c r="G12" s="141" cm="1">
        <f t="array" ref="G12">_xll.FDSZ(C12,"FG_PRICE(0)")</f>
        <v>476.72</v>
      </c>
      <c r="H12" s="141" cm="1">
        <f t="array" ref="H12">_xll.FDSZ(C12,"FG_PRICE_MAVG(0,,,,30)")</f>
        <v>452.97433000000001</v>
      </c>
      <c r="I12" s="141" cm="1">
        <f t="array" ref="I12">_xll.FDSZ(C12,"FG_PRICE_MAVG(0,,,,60)")</f>
        <v>444.02917000000002</v>
      </c>
      <c r="J12" s="141" cm="1">
        <f t="array" ref="J12">_xll.FDSZ(C12,"FG_PRICE_MAVG(0,,,,200)")</f>
        <v>410.40514999999999</v>
      </c>
      <c r="L12">
        <f t="shared" si="0"/>
        <v>1</v>
      </c>
      <c r="M12">
        <f t="shared" si="1"/>
        <v>1</v>
      </c>
      <c r="N12">
        <f t="shared" si="2"/>
        <v>1</v>
      </c>
      <c r="P12">
        <f t="shared" si="3"/>
        <v>3</v>
      </c>
      <c r="R12" t="s">
        <v>845</v>
      </c>
      <c r="S12" s="7" cm="1">
        <f t="array" ref="S12">_xll.FDSZ($R12,"FG_PRICE(0)")</f>
        <v>405.11874</v>
      </c>
      <c r="T12" s="7" cm="1">
        <f t="array" ref="T12">_xll.FDSZ($R12,"FG_PRICE(0)")</f>
        <v>405.11874</v>
      </c>
      <c r="U12" s="7" cm="1">
        <f t="array" ref="U12">_xll.FDSZ($R12,"FG_PRICE(0)")</f>
        <v>405.11874</v>
      </c>
      <c r="V12" s="7" cm="1">
        <f t="array" ref="V12">_xll.FDSZ($R12,"FG_PRICE(0)")</f>
        <v>405.11874</v>
      </c>
    </row>
    <row r="13" spans="1:22" x14ac:dyDescent="0.35">
      <c r="A13" t="s">
        <v>170</v>
      </c>
      <c r="B13" t="str" cm="1">
        <f t="array" ref="B13">_xll.FDS(C13,"FG_COMPANY_NAME")</f>
        <v>SPDR S&amp;P 500 ETF Trust</v>
      </c>
      <c r="C13" t="s">
        <v>1</v>
      </c>
      <c r="D13" t="s">
        <v>720</v>
      </c>
      <c r="E13" s="3" t="s">
        <v>1</v>
      </c>
      <c r="F13" s="9">
        <f>HLOOKUP(E13,'Monthly Returns'!$A$1:$AE$136,134,FALSE)</f>
        <v>0.83599999999999997</v>
      </c>
      <c r="G13" s="141" cm="1">
        <f t="array" ref="G13">_xll.FDSZ(C13,"FG_PRICE(0)")</f>
        <v>542.45000000000005</v>
      </c>
      <c r="H13" s="141" cm="1">
        <f t="array" ref="H13">_xll.FDSZ(C13,"FG_PRICE_MAVG(0,,,,30)")</f>
        <v>526.96169999999995</v>
      </c>
      <c r="I13" s="141" cm="1">
        <f t="array" ref="I13">_xll.FDSZ(C13,"FG_PRICE_MAVG(0,,,,60)")</f>
        <v>519.47680000000003</v>
      </c>
      <c r="J13" s="141" cm="1">
        <f t="array" ref="J13">_xll.FDSZ(C13,"FG_PRICE_MAVG(0,,,,200)")</f>
        <v>480.51049999999998</v>
      </c>
      <c r="L13">
        <f t="shared" si="0"/>
        <v>1</v>
      </c>
      <c r="M13">
        <f t="shared" si="1"/>
        <v>1</v>
      </c>
      <c r="N13">
        <f t="shared" si="2"/>
        <v>1</v>
      </c>
      <c r="P13">
        <f t="shared" si="3"/>
        <v>3</v>
      </c>
      <c r="R13" t="s">
        <v>845</v>
      </c>
      <c r="S13" s="7" cm="1">
        <f t="array" ref="S13">_xll.FDSZ($R13,"FG_PRICE(0)")</f>
        <v>405.11874</v>
      </c>
      <c r="T13" s="7" cm="1">
        <f t="array" ref="T13">_xll.FDSZ($R13,"FG_PRICE(0)")</f>
        <v>405.11874</v>
      </c>
      <c r="U13" s="7" cm="1">
        <f t="array" ref="U13">_xll.FDSZ($R13,"FG_PRICE(0)")</f>
        <v>405.11874</v>
      </c>
      <c r="V13" s="7" cm="1">
        <f t="array" ref="V13">_xll.FDSZ($R13,"FG_PRICE(0)")</f>
        <v>405.11874</v>
      </c>
    </row>
    <row r="14" spans="1:22" x14ac:dyDescent="0.35">
      <c r="A14" t="s">
        <v>869</v>
      </c>
      <c r="B14" t="str" cm="1">
        <f t="array" ref="B14">_xll.FDS(C14,"FG_COMPANY_NAME")</f>
        <v>iShares MSCI France ETF</v>
      </c>
      <c r="C14" t="s">
        <v>865</v>
      </c>
      <c r="D14" t="s">
        <v>621</v>
      </c>
      <c r="E14" t="s">
        <v>865</v>
      </c>
      <c r="F14" s="9">
        <f>HLOOKUP(E14,'Monthly Returns'!$A$1:$AE$136,134,FALSE)</f>
        <v>8.1000000000000003E-2</v>
      </c>
      <c r="G14" s="141" cm="1">
        <f t="array" ref="G14">_xll.FDSZ(C14,"FG_PRICE(0)")</f>
        <v>38.950000000000003</v>
      </c>
      <c r="H14" s="141" cm="1">
        <f t="array" ref="H14">_xll.FDSZ(C14,"FG_PRICE_MAVG(0,,,,30)")</f>
        <v>41.463000000000001</v>
      </c>
      <c r="I14" s="141" cm="1">
        <f t="array" ref="I14">_xll.FDSZ(C14,"FG_PRICE_MAVG(0,,,,60)")</f>
        <v>41.044834000000002</v>
      </c>
      <c r="J14" s="141" cm="1">
        <f t="array" ref="J14">_xll.FDSZ(C14,"FG_PRICE_MAVG(0,,,,200)")</f>
        <v>38.661427000000003</v>
      </c>
      <c r="L14">
        <f t="shared" si="0"/>
        <v>0</v>
      </c>
      <c r="M14">
        <f t="shared" si="1"/>
        <v>0</v>
      </c>
      <c r="N14">
        <f t="shared" si="2"/>
        <v>1</v>
      </c>
      <c r="P14">
        <f t="shared" si="3"/>
        <v>1</v>
      </c>
      <c r="R14" t="s">
        <v>845</v>
      </c>
      <c r="S14" s="7" cm="1">
        <f t="array" ref="S14">_xll.FDSZ($R14,"FG_PRICE(0)")</f>
        <v>405.11874</v>
      </c>
      <c r="T14" s="7" cm="1">
        <f t="array" ref="T14">_xll.FDSZ($R14,"FG_PRICE(0)")</f>
        <v>405.11874</v>
      </c>
      <c r="U14" s="7" cm="1">
        <f t="array" ref="U14">_xll.FDSZ($R14,"FG_PRICE(0)")</f>
        <v>405.11874</v>
      </c>
      <c r="V14" s="7" cm="1">
        <f t="array" ref="V14">_xll.FDSZ($R14,"FG_PRICE(0)")</f>
        <v>405.11874</v>
      </c>
    </row>
    <row r="15" spans="1:22" x14ac:dyDescent="0.35">
      <c r="A15" t="s">
        <v>870</v>
      </c>
      <c r="B15" t="str" cm="1">
        <f t="array" ref="B15">_xll.FDS(C15,"FG_COMPANY_NAME")</f>
        <v>iShares MSCI Netherlands ETF</v>
      </c>
      <c r="C15" t="s">
        <v>867</v>
      </c>
      <c r="D15" t="s">
        <v>673</v>
      </c>
      <c r="E15" t="s">
        <v>867</v>
      </c>
      <c r="F15" s="9">
        <f>HLOOKUP(E15,'Monthly Returns'!$A$1:$AE$136,134,FALSE)</f>
        <v>0.55700000000000005</v>
      </c>
      <c r="G15" s="141" cm="1">
        <f t="array" ref="G15">_xll.FDSZ(C15,"FG_PRICE(0)")</f>
        <v>51.16</v>
      </c>
      <c r="H15" s="141" cm="1">
        <f t="array" ref="H15">_xll.FDSZ(C15,"FG_PRICE_MAVG(0,,,,30)")</f>
        <v>51.092666999999999</v>
      </c>
      <c r="I15" s="141" cm="1">
        <f t="array" ref="I15">_xll.FDSZ(C15,"FG_PRICE_MAVG(0,,,,60)")</f>
        <v>49.921332999999997</v>
      </c>
      <c r="J15" s="141" cm="1">
        <f t="array" ref="J15">_xll.FDSZ(C15,"FG_PRICE_MAVG(0,,,,200)")</f>
        <v>44.775303000000001</v>
      </c>
      <c r="L15">
        <f t="shared" si="0"/>
        <v>1</v>
      </c>
      <c r="M15">
        <f t="shared" si="1"/>
        <v>1</v>
      </c>
      <c r="N15">
        <f t="shared" si="2"/>
        <v>1</v>
      </c>
      <c r="P15">
        <f t="shared" si="3"/>
        <v>3</v>
      </c>
      <c r="R15" t="s">
        <v>845</v>
      </c>
      <c r="S15" s="7" cm="1">
        <f t="array" ref="S15">_xll.FDSZ($R15,"FG_PRICE(0)")</f>
        <v>405.11874</v>
      </c>
      <c r="T15" s="7" cm="1">
        <f t="array" ref="T15">_xll.FDSZ($R15,"FG_PRICE(0)")</f>
        <v>405.11874</v>
      </c>
      <c r="U15" s="7" cm="1">
        <f t="array" ref="U15">_xll.FDSZ($R15,"FG_PRICE(0)")</f>
        <v>405.11874</v>
      </c>
      <c r="V15" s="7" cm="1">
        <f t="array" ref="V15">_xll.FDSZ($R15,"FG_PRICE(0)")</f>
        <v>405.11874</v>
      </c>
    </row>
    <row r="16" spans="1:22" x14ac:dyDescent="0.35">
      <c r="A16" t="s">
        <v>273</v>
      </c>
      <c r="B16" t="str" cm="1">
        <f t="array" ref="B16">_xll.FDS(C16,"FG_COMPANY_NAME")</f>
        <v>iShares MSCI Sweden ETF</v>
      </c>
      <c r="C16" t="s">
        <v>864</v>
      </c>
      <c r="D16" t="s">
        <v>705</v>
      </c>
      <c r="E16" t="s">
        <v>864</v>
      </c>
      <c r="F16" s="9">
        <f>HLOOKUP(E16,'Monthly Returns'!$A$1:$AE$136,134,FALSE)</f>
        <v>0.63100000000000001</v>
      </c>
      <c r="G16" s="141" cm="1">
        <f t="array" ref="G16">_xll.FDSZ(C16,"FG_PRICE(0)")</f>
        <v>40.98</v>
      </c>
      <c r="H16" s="141" cm="1">
        <f t="array" ref="H16">_xll.FDSZ(C16,"FG_PRICE_MAVG(0,,,,30)")</f>
        <v>41.186</v>
      </c>
      <c r="I16" s="141" cm="1">
        <f t="array" ref="I16">_xll.FDSZ(C16,"FG_PRICE_MAVG(0,,,,60)")</f>
        <v>40.368084000000003</v>
      </c>
      <c r="J16" s="141" cm="1">
        <f t="array" ref="J16">_xll.FDSZ(C16,"FG_PRICE_MAVG(0,,,,200)")</f>
        <v>37.287875999999997</v>
      </c>
      <c r="L16">
        <f t="shared" si="0"/>
        <v>0</v>
      </c>
      <c r="M16">
        <f t="shared" si="1"/>
        <v>1</v>
      </c>
      <c r="N16">
        <f t="shared" si="2"/>
        <v>1</v>
      </c>
      <c r="P16">
        <f t="shared" si="3"/>
        <v>2</v>
      </c>
      <c r="R16" t="s">
        <v>845</v>
      </c>
      <c r="S16" s="7" cm="1">
        <f t="array" ref="S16">_xll.FDSZ($R16,"FG_PRICE(0)")</f>
        <v>405.11874</v>
      </c>
      <c r="T16" s="7" cm="1">
        <f t="array" ref="T16">_xll.FDSZ($R16,"FG_PRICE(0)")</f>
        <v>405.11874</v>
      </c>
      <c r="U16" s="7" cm="1">
        <f t="array" ref="U16">_xll.FDSZ($R16,"FG_PRICE(0)")</f>
        <v>405.11874</v>
      </c>
      <c r="V16" s="7" cm="1">
        <f t="array" ref="V16">_xll.FDSZ($R16,"FG_PRICE(0)")</f>
        <v>405.11874</v>
      </c>
    </row>
    <row r="17" spans="1:22" x14ac:dyDescent="0.35">
      <c r="A17" t="s">
        <v>868</v>
      </c>
      <c r="B17" t="str" cm="1">
        <f t="array" ref="B17">_xll.FDS(C17,"FG_COMPANY_NAME")</f>
        <v>iShares MSCI Italy ETF</v>
      </c>
      <c r="C17" t="s">
        <v>866</v>
      </c>
      <c r="D17" t="s">
        <v>641</v>
      </c>
      <c r="E17" t="s">
        <v>866</v>
      </c>
      <c r="F17" s="9">
        <f>HLOOKUP(E17,'Monthly Returns'!$A$1:$AE$136,134,FALSE)</f>
        <v>0.29499999999999998</v>
      </c>
      <c r="G17" s="141" cm="1">
        <f t="array" ref="G17">_xll.FDSZ(C17,"FG_PRICE(0)")</f>
        <v>36.32</v>
      </c>
      <c r="H17" s="141" cm="1">
        <f t="array" ref="H17">_xll.FDSZ(C17,"FG_PRICE_MAVG(0,,,,30)")</f>
        <v>38.240333999999997</v>
      </c>
      <c r="I17" s="141" cm="1">
        <f t="array" ref="I17">_xll.FDSZ(C17,"FG_PRICE_MAVG(0,,,,60)")</f>
        <v>37.633335000000002</v>
      </c>
      <c r="J17" s="141" cm="1">
        <f t="array" ref="J17">_xll.FDSZ(C17,"FG_PRICE_MAVG(0,,,,200)")</f>
        <v>34.2438</v>
      </c>
      <c r="L17">
        <f t="shared" si="0"/>
        <v>0</v>
      </c>
      <c r="M17">
        <f t="shared" si="1"/>
        <v>0</v>
      </c>
      <c r="N17">
        <f t="shared" si="2"/>
        <v>1</v>
      </c>
      <c r="P17">
        <f t="shared" si="3"/>
        <v>1</v>
      </c>
      <c r="R17" t="s">
        <v>845</v>
      </c>
      <c r="S17" s="7" cm="1">
        <f t="array" ref="S17">_xll.FDSZ($R17,"FG_PRICE(0)")</f>
        <v>405.11874</v>
      </c>
      <c r="T17" s="7" cm="1">
        <f t="array" ref="T17">_xll.FDSZ($R17,"FG_PRICE(0)")</f>
        <v>405.11874</v>
      </c>
      <c r="U17" s="7" cm="1">
        <f t="array" ref="U17">_xll.FDSZ($R17,"FG_PRICE(0)")</f>
        <v>405.11874</v>
      </c>
      <c r="V17" s="7" cm="1">
        <f t="array" ref="V17">_xll.FDSZ($R17,"FG_PRICE(0)")</f>
        <v>405.11874</v>
      </c>
    </row>
    <row r="19" spans="1:22" x14ac:dyDescent="0.35">
      <c r="K19" s="1" t="s">
        <v>906</v>
      </c>
      <c r="L19" s="1">
        <f>SUM(L5:L17)</f>
        <v>5</v>
      </c>
      <c r="M19" s="1">
        <f t="shared" ref="M19:N19" si="4">SUM(M5:M17)</f>
        <v>7</v>
      </c>
      <c r="N19" s="1">
        <f t="shared" si="4"/>
        <v>13</v>
      </c>
    </row>
    <row r="20" spans="1:22" x14ac:dyDescent="0.35">
      <c r="K20" s="1" t="s">
        <v>86</v>
      </c>
      <c r="L20" s="1">
        <f>COUNT(L5:L17)</f>
        <v>13</v>
      </c>
      <c r="M20" s="1">
        <f t="shared" ref="M20:N20" si="5">COUNT(M5:M17)</f>
        <v>13</v>
      </c>
      <c r="N20" s="1">
        <f t="shared" si="5"/>
        <v>13</v>
      </c>
    </row>
    <row r="21" spans="1:22" x14ac:dyDescent="0.35">
      <c r="K21" s="1"/>
      <c r="L21" s="1"/>
      <c r="M21" s="1"/>
      <c r="N21" s="1"/>
    </row>
    <row r="22" spans="1:22" x14ac:dyDescent="0.35">
      <c r="K22" s="1" t="s">
        <v>88</v>
      </c>
      <c r="L22" s="182">
        <f>L19/L20</f>
        <v>0.38461538461538464</v>
      </c>
      <c r="M22" s="182">
        <f t="shared" ref="M22:N22" si="6">M19/M20</f>
        <v>0.53846153846153844</v>
      </c>
      <c r="N22" s="182">
        <f t="shared" si="6"/>
        <v>1</v>
      </c>
    </row>
    <row r="23" spans="1:22" x14ac:dyDescent="0.35">
      <c r="A23" t="s">
        <v>865</v>
      </c>
      <c r="B23" t="s">
        <v>869</v>
      </c>
      <c r="C23" t="str" cm="1">
        <f t="array" ref="C23">_xll.FDS(A23,"FG_COMPANY_NAME")</f>
        <v>iShares MSCI France ETF</v>
      </c>
      <c r="D23" t="s">
        <v>865</v>
      </c>
    </row>
    <row r="24" spans="1:22" x14ac:dyDescent="0.35">
      <c r="A24" t="s">
        <v>867</v>
      </c>
      <c r="B24" t="s">
        <v>870</v>
      </c>
      <c r="C24" t="str" cm="1">
        <f t="array" ref="C24">_xll.FDS(A24,"FG_COMPANY_NAME")</f>
        <v>iShares MSCI Netherlands ETF</v>
      </c>
      <c r="D24" t="s">
        <v>867</v>
      </c>
    </row>
    <row r="25" spans="1:22" x14ac:dyDescent="0.35">
      <c r="A25" t="s">
        <v>864</v>
      </c>
      <c r="B25" t="s">
        <v>273</v>
      </c>
      <c r="C25" t="str" cm="1">
        <f t="array" ref="C25">_xll.FDS(A25,"FG_COMPANY_NAME")</f>
        <v>iShares MSCI Sweden ETF</v>
      </c>
      <c r="D25" t="s">
        <v>864</v>
      </c>
    </row>
    <row r="26" spans="1:22" x14ac:dyDescent="0.35">
      <c r="A26" t="s">
        <v>866</v>
      </c>
      <c r="B26" t="s">
        <v>868</v>
      </c>
      <c r="C26" t="str" cm="1">
        <f t="array" ref="C26">_xll.FDS(A26,"FG_COMPANY_NAME")</f>
        <v>iShares MSCI Italy ETF</v>
      </c>
      <c r="D26" t="s">
        <v>866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5AB5-57C2-41E5-A6C3-F039F33CB971}">
  <dimension ref="A2:T32"/>
  <sheetViews>
    <sheetView topLeftCell="H1" workbookViewId="0">
      <selection activeCell="R5" sqref="R5"/>
    </sheetView>
  </sheetViews>
  <sheetFormatPr defaultRowHeight="14.5" x14ac:dyDescent="0.35"/>
  <cols>
    <col min="1" max="2" width="17" customWidth="1"/>
    <col min="3" max="3" width="11.453125" customWidth="1"/>
    <col min="4" max="4" width="14.54296875" customWidth="1"/>
    <col min="5" max="5" width="12.54296875" customWidth="1"/>
    <col min="6" max="6" width="10" customWidth="1"/>
    <col min="7" max="7" width="15.54296875" bestFit="1" customWidth="1"/>
    <col min="8" max="8" width="11.453125" customWidth="1"/>
    <col min="9" max="9" width="19.54296875" bestFit="1" customWidth="1"/>
    <col min="10" max="10" width="15.453125" customWidth="1"/>
    <col min="16" max="16" width="22.81640625" customWidth="1"/>
    <col min="17" max="17" width="32.54296875" customWidth="1"/>
    <col min="18" max="20" width="12.453125" customWidth="1"/>
  </cols>
  <sheetData>
    <row r="2" spans="1:20" x14ac:dyDescent="0.35">
      <c r="B2" t="s">
        <v>784</v>
      </c>
      <c r="C2" t="s">
        <v>785</v>
      </c>
      <c r="D2" t="s">
        <v>786</v>
      </c>
      <c r="E2" t="s">
        <v>787</v>
      </c>
      <c r="F2" t="s">
        <v>788</v>
      </c>
      <c r="G2" t="s">
        <v>789</v>
      </c>
      <c r="H2" t="s">
        <v>790</v>
      </c>
      <c r="I2" t="s">
        <v>791</v>
      </c>
      <c r="J2" t="s">
        <v>792</v>
      </c>
      <c r="S2" t="s">
        <v>793</v>
      </c>
    </row>
    <row r="3" spans="1:20" x14ac:dyDescent="0.35">
      <c r="A3" t="s">
        <v>794</v>
      </c>
      <c r="B3" t="s">
        <v>795</v>
      </c>
      <c r="C3" cm="1">
        <f t="array" ref="C3">_xll.FDS($A3,"FG_PRICE(0)")</f>
        <v>107.12</v>
      </c>
      <c r="D3" cm="1">
        <f t="array" ref="D3">_xll.FDS($A3,"FG_PRICE_MAVG(0,,,,30)")</f>
        <v>114.53833</v>
      </c>
      <c r="E3" s="47" cm="1">
        <f t="array" ref="E3">_xll.FDS($A3,"FG_PRICE_CHANGE(0,-1AM)")</f>
        <v>-8.6863864973147997</v>
      </c>
      <c r="F3" s="47" cm="1">
        <f t="array" ref="F3">_xll.FDS($A3,"FG_PRICE_CHANGE(0,-3AM)")</f>
        <v>-4.1603292475619504</v>
      </c>
      <c r="G3" s="47" cm="1">
        <f t="array" ref="G3">_xll.FDS($A3,"FG_PRICE_CHANGE(0,-6AM)")</f>
        <v>-20.669480856105999</v>
      </c>
      <c r="H3" s="47" cm="1">
        <f t="array" ref="H3">_xll.FDS($A3,"FG_PRICE_CHANGE(0,-1AY)")</f>
        <v>-4.7398843930635897</v>
      </c>
      <c r="I3" s="47" cm="1">
        <f t="array" ref="I3">_xll.FDS($A3,"FG_PRICE(0)/MAX(FG_PRICE(0,-1AY))")</f>
        <v>0.74306326304106596</v>
      </c>
      <c r="J3" cm="1">
        <f t="array" ref="J3">_xll.FDS($A3,"MAX(FG_PRICE(0,-5AY))")</f>
        <v>219.77</v>
      </c>
      <c r="P3" t="s">
        <v>430</v>
      </c>
      <c r="Q3" t="s">
        <v>432</v>
      </c>
      <c r="R3" t="s">
        <v>430</v>
      </c>
      <c r="S3">
        <f>IF(E3&lt;$C$19, 1, IF(E3&gt;$C$20,-1,0))</f>
        <v>1</v>
      </c>
      <c r="T3">
        <f>S3</f>
        <v>1</v>
      </c>
    </row>
    <row r="4" spans="1:20" x14ac:dyDescent="0.35">
      <c r="A4" t="s">
        <v>796</v>
      </c>
      <c r="B4" t="s">
        <v>797</v>
      </c>
      <c r="C4" cm="1">
        <f t="array" ref="C4">_xll.FDS($A4,"FG_PRICE(0)")</f>
        <v>4.5075000000000003</v>
      </c>
      <c r="D4" cm="1">
        <f t="array" ref="D4">_xll.FDS($A4,"FG_PRICE_MAVG(0,,,,30)")</f>
        <v>4.7232500000000002</v>
      </c>
      <c r="E4" s="47" cm="1">
        <f t="array" ref="E4">_xll.FDS($A4,"FG_PRICE_CHANGE(0,-1AM)")</f>
        <v>-6.1817046518888503</v>
      </c>
      <c r="F4" s="47" cm="1">
        <f t="array" ref="F4">_xll.FDS($A4,"FG_PRICE_CHANGE(0,-3AM)")</f>
        <v>11.227637260950001</v>
      </c>
      <c r="G4" s="47" cm="1">
        <f t="array" ref="G4">_xll.FDS($A4,"FG_PRICE_CHANGE(0,-6AM)")</f>
        <v>19.057052297939801</v>
      </c>
      <c r="H4" s="47" cm="1">
        <f t="array" ref="H4">_xll.FDS($A4,"FG_PRICE_CHANGE(0,-1AY)")</f>
        <v>17.7354055112969</v>
      </c>
      <c r="I4" s="47" cm="1">
        <f t="array" ref="I4">_xll.FDS($A4,"FG_PRICE(0)/MAX(FG_PRICE(0,-1AY))")</f>
        <v>0.88054307481930105</v>
      </c>
      <c r="J4" cm="1">
        <f t="array" ref="J4">_xll.FDS($A4,"MAX(FG_PRICE(0,-5AY))")</f>
        <v>5.1189999999999998</v>
      </c>
      <c r="P4" t="s">
        <v>27</v>
      </c>
      <c r="Q4" t="s">
        <v>433</v>
      </c>
      <c r="R4" t="s">
        <v>27</v>
      </c>
      <c r="S4">
        <f>IF(E4&lt;$C$19, 1, IF(E4&gt;$C$20,-1,0))</f>
        <v>1</v>
      </c>
      <c r="T4">
        <f t="shared" ref="T4:T5" si="0">S4</f>
        <v>1</v>
      </c>
    </row>
    <row r="5" spans="1:20" x14ac:dyDescent="0.35">
      <c r="A5" t="s">
        <v>798</v>
      </c>
      <c r="B5" t="s">
        <v>457</v>
      </c>
      <c r="C5" cm="1">
        <f t="array" ref="C5">_xll.FDS($A5,"FG_PRICE(0)")</f>
        <v>85.86</v>
      </c>
      <c r="D5" cm="1">
        <f t="array" ref="D5">_xll.FDS($A5,"FG_PRICE_MAVG(0,,,,30)")</f>
        <v>85.86</v>
      </c>
      <c r="E5" s="47" cm="1">
        <f t="array" ref="E5">_xll.FDS($A5,"FG_PRICE_CHANGE(0,-1AM)")</f>
        <v>0</v>
      </c>
      <c r="F5" s="47" cm="1">
        <f t="array" ref="F5">_xll.FDS($A5,"FG_PRICE_CHANGE(0,-3AM)")</f>
        <v>0</v>
      </c>
      <c r="G5" s="47" cm="1">
        <f t="array" ref="G5">_xll.FDS($A5,"FG_PRICE_CHANGE(0,-6AM)")</f>
        <v>0</v>
      </c>
      <c r="H5" s="47" cm="1">
        <f t="array" ref="H5">_xll.FDS($A5,"FG_PRICE_CHANGE(0,-1AY)")</f>
        <v>16.152597402597401</v>
      </c>
      <c r="I5" s="47" cm="1">
        <f t="array" ref="I5">_xll.FDS($A5,"FG_PRICE(0)/MAX(FG_PRICE(0,-1AY))")</f>
        <v>0.87061447982153695</v>
      </c>
      <c r="J5" cm="1">
        <f t="array" ref="J5">_xll.FDS($A5,"MAX(FG_PRICE(0,-5AY))")</f>
        <v>140.85</v>
      </c>
      <c r="P5" t="s">
        <v>35</v>
      </c>
      <c r="Q5" t="s">
        <v>434</v>
      </c>
      <c r="R5" t="s">
        <v>35</v>
      </c>
      <c r="S5">
        <f>IF(E9&lt;$C$19, 1, IF(E9&gt;$C$20,-1,0))</f>
        <v>1</v>
      </c>
      <c r="T5">
        <f t="shared" si="0"/>
        <v>1</v>
      </c>
    </row>
    <row r="6" spans="1:20" x14ac:dyDescent="0.35">
      <c r="A6" t="s">
        <v>799</v>
      </c>
      <c r="B6" t="s">
        <v>800</v>
      </c>
      <c r="C6" cm="1">
        <f t="array" ref="C6">_xll.FDS($A6,"FG_PRICE(0)")</f>
        <v>6.2</v>
      </c>
      <c r="D6" cm="1">
        <f t="array" ref="D6">_xll.FDS($A6,"FG_PRICE_MAVG(0,,,,30)")</f>
        <v>6.5270834000000004</v>
      </c>
      <c r="E6" s="47" cm="1">
        <f t="array" ref="E6">_xll.FDS($A6,"FG_PRICE_CHANGE(0,-1AM)")</f>
        <v>-7.4972025363670198</v>
      </c>
      <c r="F6" s="47" cm="1">
        <f t="array" ref="F6">_xll.FDS($A6,"FG_PRICE_CHANGE(0,-3AM)")</f>
        <v>16.486613433536899</v>
      </c>
      <c r="G6" s="47" cm="1">
        <f t="array" ref="G6">_xll.FDS($A6,"FG_PRICE_CHANGE(0,-6AM)")</f>
        <v>5.9376334899615504</v>
      </c>
      <c r="H6" s="47" cm="1">
        <f t="array" ref="H6">_xll.FDS($A6,"FG_PRICE_CHANGE(0,-1AY)")</f>
        <v>-2.5540275049115801</v>
      </c>
      <c r="I6" s="47" cm="1">
        <f t="array" ref="I6">_xll.FDS($A6,"FG_PRICE(0)/MAX(FG_PRICE(0,-1AY))")</f>
        <v>0.81552121012824696</v>
      </c>
      <c r="J6" cm="1">
        <f t="array" ref="J6">_xll.FDS($A6,"MAX(FG_PRICE(0,-5AY))")</f>
        <v>14.2525</v>
      </c>
      <c r="P6" t="s">
        <v>30</v>
      </c>
      <c r="Q6" t="s">
        <v>435</v>
      </c>
      <c r="R6" t="s">
        <v>30</v>
      </c>
    </row>
    <row r="7" spans="1:20" x14ac:dyDescent="0.35">
      <c r="A7" t="s">
        <v>801</v>
      </c>
      <c r="B7" t="s">
        <v>802</v>
      </c>
      <c r="C7" cm="1">
        <f t="array" ref="C7">_xll.FDS($A7,"FG_PRICE(0)")</f>
        <v>3934</v>
      </c>
      <c r="D7" cm="1">
        <f t="array" ref="D7">_xll.FDS($A7,"FG_PRICE_MAVG(0,,,,30)")</f>
        <v>3913.8332999999998</v>
      </c>
      <c r="E7" s="47" cm="1">
        <f t="array" ref="E7">_xll.FDS($A7,"FG_PRICE_CHANGE(0,-1AM)")</f>
        <v>0.66530194472875803</v>
      </c>
      <c r="F7" s="47" cm="1">
        <f t="array" ref="F7">_xll.FDS($A7,"FG_PRICE_CHANGE(0,-3AM)")</f>
        <v>-7.3262661955241404</v>
      </c>
      <c r="G7" s="47" cm="1">
        <f t="array" ref="G7">_xll.FDS($A7,"FG_PRICE_CHANGE(0,-6AM)")</f>
        <v>9.7350069735006901</v>
      </c>
      <c r="H7" s="47" cm="1">
        <f t="array" ref="H7">_xll.FDS($A7,"FG_PRICE_CHANGE(0,-1AY)")</f>
        <v>14.327230456262701</v>
      </c>
      <c r="I7" s="47" cm="1">
        <f t="array" ref="I7">_xll.FDS($A7,"FG_PRICE(0)/MAX(FG_PRICE(0,-1AY))")</f>
        <v>0.859139550120114</v>
      </c>
      <c r="J7" cm="1">
        <f t="array" ref="J7">_xll.FDS($A7,"MAX(FG_PRICE(0,-5AY))")</f>
        <v>8163</v>
      </c>
      <c r="P7" t="s">
        <v>23</v>
      </c>
      <c r="Q7" t="s">
        <v>436</v>
      </c>
      <c r="R7" t="s">
        <v>23</v>
      </c>
    </row>
    <row r="8" spans="1:20" x14ac:dyDescent="0.35">
      <c r="A8" t="s">
        <v>803</v>
      </c>
      <c r="B8" t="s">
        <v>804</v>
      </c>
      <c r="C8" cm="1">
        <f t="array" ref="C8">_xll.FDS($A8,"FG_PRICE(0)")</f>
        <v>965</v>
      </c>
      <c r="D8" cm="1">
        <f t="array" ref="D8">_xll.FDS($A8,"FG_PRICE_MAVG(0,,,,30)")</f>
        <v>1013.06665</v>
      </c>
      <c r="E8" s="47" cm="1">
        <f t="array" ref="E8">_xll.FDS($A8,"FG_PRICE_CHANGE(0,-1AM)")</f>
        <v>-4.4554455445544603</v>
      </c>
      <c r="F8" s="47" cm="1">
        <f t="array" ref="F8">_xll.FDS($A8,"FG_PRICE_CHANGE(0,-3AM)")</f>
        <v>3.2085561497326101</v>
      </c>
      <c r="G8" s="47" cm="1">
        <f t="array" ref="G8">_xll.FDS($A8,"FG_PRICE_CHANGE(0,-6AM)")</f>
        <v>4.2116630669546398</v>
      </c>
      <c r="H8" s="47" cm="1">
        <f t="array" ref="H8">_xll.FDS($A8,"FG_PRICE_CHANGE(0,-1AY)")</f>
        <v>-3.5</v>
      </c>
      <c r="I8" s="47" cm="1">
        <f t="array" ref="I8">_xll.FDS($A8,"FG_PRICE(0)/MAX(FG_PRICE(0,-1AY))")</f>
        <v>0.90271281571562201</v>
      </c>
      <c r="J8" cm="1">
        <f t="array" ref="J8">_xll.FDS($A8,"MAX(FG_PRICE(0,-5AY))")</f>
        <v>1272.5899999999999</v>
      </c>
      <c r="P8" t="s">
        <v>29</v>
      </c>
      <c r="Q8" t="s">
        <v>437</v>
      </c>
      <c r="R8" t="s">
        <v>29</v>
      </c>
    </row>
    <row r="9" spans="1:20" x14ac:dyDescent="0.35">
      <c r="A9" t="s">
        <v>805</v>
      </c>
      <c r="B9" t="s">
        <v>806</v>
      </c>
      <c r="C9" cm="1">
        <f t="array" ref="C9">_xll.FDS($A9,"FG_PRICE(0)")</f>
        <v>17550</v>
      </c>
      <c r="D9" cm="1">
        <f t="array" ref="D9">_xll.FDS($A9,"FG_PRICE_MAVG(0,,,,30)")</f>
        <v>19108.833999999999</v>
      </c>
      <c r="E9" s="47" cm="1">
        <f t="array" ref="E9">_xll.FDS($A9,"FG_PRICE_CHANGE(0,-1AM)")</f>
        <v>-7.1919619249074502</v>
      </c>
      <c r="F9" s="47" cm="1">
        <f t="array" ref="F9">_xll.FDS($A9,"FG_PRICE_CHANGE(0,-3AM)")</f>
        <v>-3.3856317093311299</v>
      </c>
      <c r="G9" s="47" cm="1">
        <f t="array" ref="G9">_xll.FDS($A9,"FG_PRICE_CHANGE(0,-6AM)")</f>
        <v>9.0062111801242093</v>
      </c>
      <c r="H9" s="47" cm="1">
        <f t="array" ref="H9">_xll.FDS($A9,"FG_PRICE_CHANGE(0,-1AY)")</f>
        <v>-17.411764705882302</v>
      </c>
      <c r="I9" s="47" cm="1">
        <f t="array" ref="I9">_xll.FDS($A9,"FG_PRICE(0)/MAX(FG_PRICE(0,-1AY))")</f>
        <v>0.75842696629213502</v>
      </c>
      <c r="J9" cm="1">
        <f t="array" ref="J9">_xll.FDS($A9,"MAX(FG_PRICE(0,-5AY))")</f>
        <v>48241</v>
      </c>
      <c r="P9" t="s">
        <v>33</v>
      </c>
      <c r="Q9" t="s">
        <v>438</v>
      </c>
      <c r="R9" t="s">
        <v>33</v>
      </c>
      <c r="S9">
        <f>IF(E7&lt;$C$19, 1, IF(E7&gt;$C$20,-1,0))</f>
        <v>0</v>
      </c>
      <c r="T9">
        <f t="shared" ref="T9" si="1">S9</f>
        <v>0</v>
      </c>
    </row>
    <row r="10" spans="1:20" x14ac:dyDescent="0.35">
      <c r="A10" t="s">
        <v>807</v>
      </c>
      <c r="B10" t="s">
        <v>808</v>
      </c>
      <c r="C10" cm="1">
        <f t="array" ref="C10">_xll.FDS($A10,"FG_PRICE(0)")</f>
        <v>915</v>
      </c>
      <c r="D10" cm="1">
        <f t="array" ref="D10">_xll.FDS($A10,"FG_PRICE_MAVG(0,,,,30)")</f>
        <v>969.13336000000004</v>
      </c>
      <c r="E10" s="47" cm="1">
        <f t="array" ref="E10">_xll.FDS($A10,"FG_PRICE_CHANGE(0,-1AM)")</f>
        <v>-7.9476861167001998</v>
      </c>
      <c r="F10" s="47" cm="1">
        <f t="array" ref="F10">_xll.FDS($A10,"FG_PRICE_CHANGE(0,-3AM)")</f>
        <v>-15.668202764977</v>
      </c>
      <c r="G10" s="47" cm="1">
        <f t="array" ref="G10">_xll.FDS($A10,"FG_PRICE_CHANGE(0,-6AM)")</f>
        <v>-7.5757575757575797</v>
      </c>
      <c r="H10" s="47" cm="1">
        <f t="array" ref="H10">_xll.FDS($A10,"FG_PRICE_CHANGE(0,-1AY)")</f>
        <v>-33.695652173912997</v>
      </c>
      <c r="I10" s="47" cm="1">
        <f t="array" ref="I10">_xll.FDS($A10,"FG_PRICE(0)/MAX(FG_PRICE(0,-1AY))")</f>
        <v>0.64893617021276595</v>
      </c>
      <c r="J10" cm="1">
        <f t="array" ref="J10">_xll.FDS($A10,"MAX(FG_PRICE(0,-5AY))")</f>
        <v>3158.12</v>
      </c>
      <c r="P10" t="s">
        <v>24</v>
      </c>
      <c r="Q10" t="s">
        <v>40</v>
      </c>
      <c r="R10" t="s">
        <v>24</v>
      </c>
    </row>
    <row r="11" spans="1:20" x14ac:dyDescent="0.35">
      <c r="A11" t="s">
        <v>809</v>
      </c>
      <c r="C11" cm="1">
        <f t="array" ref="C11">_xll.FDS($A11,"FG_PRICE(0)")</f>
        <v>567.4</v>
      </c>
      <c r="D11" cm="1">
        <f t="array" ref="D11">_xll.FDS($A11,"FG_PRICE_MAVG(0,,,,30)")</f>
        <v>554.35333000000003</v>
      </c>
      <c r="E11" s="47" cm="1">
        <f t="array" ref="E11">_xll.FDS($A11,"FG_PRICE_CHANGE(0,-1AM)")</f>
        <v>3.1636363636363698</v>
      </c>
      <c r="F11" s="47" cm="1">
        <f t="array" ref="F11">_xll.FDS($A11,"FG_PRICE_CHANGE(0,-3AM)")</f>
        <v>-7.6797917344614497</v>
      </c>
      <c r="G11" s="47" cm="1">
        <f t="array" ref="G11">_xll.FDS($A11,"FG_PRICE_CHANGE(0,-6AM)")</f>
        <v>-9.5920968769917199</v>
      </c>
      <c r="H11" s="47" cm="1">
        <f t="array" ref="H11">_xll.FDS($A11,"FG_PRICE_CHANGE(0,-1AY)")</f>
        <v>-16.5588235294118</v>
      </c>
      <c r="I11" s="47" cm="1">
        <f t="array" ref="I11">_xll.FDS($A11,"FG_PRICE(0)/MAX(FG_PRICE(0,-1AY))")</f>
        <v>0.743253864291328</v>
      </c>
      <c r="J11" cm="1">
        <f t="array" ref="J11">_xll.FDS($A11,"MAX(FG_PRICE(0,-5AY))")</f>
        <v>763.4</v>
      </c>
      <c r="P11" t="s">
        <v>7</v>
      </c>
      <c r="Q11" t="s">
        <v>53</v>
      </c>
      <c r="R11" t="s">
        <v>7</v>
      </c>
    </row>
    <row r="12" spans="1:20" x14ac:dyDescent="0.35">
      <c r="A12" t="s">
        <v>810</v>
      </c>
      <c r="B12" t="s">
        <v>811</v>
      </c>
      <c r="C12" cm="1">
        <f t="array" ref="C12">_xll.FDS($A12,"FG_PRICE(0)")</f>
        <v>0.95497330000000002</v>
      </c>
      <c r="D12" cm="1">
        <f t="array" ref="D12">_xll.FDS($A12,"FG_PRICE_MAVG(0,,,,30)")</f>
        <v>0.96337269999999997</v>
      </c>
      <c r="E12" s="47" cm="1">
        <f t="array" ref="E12">_xll.FDS($A12,"FG_PRICE_CHANGE(0,-1AM)")</f>
        <v>-1.31894890561515</v>
      </c>
      <c r="F12" s="47" cm="1">
        <f t="array" ref="F12">_xll.FDS($A12,"FG_PRICE_CHANGE(0,-3AM)")</f>
        <v>-0.83359224623696904</v>
      </c>
      <c r="G12" s="47" cm="1">
        <f t="array" ref="G12">_xll.FDS($A12,"FG_PRICE_CHANGE(0,-6AM)")</f>
        <v>-4.2043008837044296</v>
      </c>
      <c r="H12" s="47" cm="1">
        <f t="array" ref="H12">_xll.FDS($A12,"FG_PRICE_CHANGE(0,-1AY)")</f>
        <v>-6.8007582629049397</v>
      </c>
      <c r="I12" s="47" cm="1">
        <f t="array" ref="I12">_xll.FDS($A12,"FG_PRICE(0)/MAX(FG_PRICE(0,-1AY))")</f>
        <v>0.91824355769230803</v>
      </c>
      <c r="J12" cm="1">
        <f t="array" ref="J12">_xll.FDS($A12,"MAX(FG_PRICE(0,-5AY))")</f>
        <v>3.3053631999999999</v>
      </c>
      <c r="P12" t="s">
        <v>21</v>
      </c>
      <c r="Q12" t="s">
        <v>38</v>
      </c>
      <c r="R12" t="s">
        <v>21</v>
      </c>
    </row>
    <row r="13" spans="1:20" x14ac:dyDescent="0.35">
      <c r="P13" t="s">
        <v>12</v>
      </c>
      <c r="Q13" t="s">
        <v>54</v>
      </c>
      <c r="R13" t="s">
        <v>12</v>
      </c>
      <c r="S13">
        <f>IF(E3&lt;$C$19, 1, IF(E3&gt;$C$20,-1,0))</f>
        <v>1</v>
      </c>
      <c r="T13">
        <f t="shared" ref="T13:T23" si="2">S13</f>
        <v>1</v>
      </c>
    </row>
    <row r="14" spans="1:20" x14ac:dyDescent="0.35">
      <c r="P14" t="s">
        <v>22</v>
      </c>
      <c r="Q14" t="s">
        <v>439</v>
      </c>
      <c r="R14" t="s">
        <v>22</v>
      </c>
    </row>
    <row r="15" spans="1:20" x14ac:dyDescent="0.35">
      <c r="P15" t="s">
        <v>28</v>
      </c>
      <c r="Q15" t="s">
        <v>440</v>
      </c>
      <c r="R15" t="s">
        <v>28</v>
      </c>
    </row>
    <row r="16" spans="1:20" x14ac:dyDescent="0.35">
      <c r="P16" t="s">
        <v>32</v>
      </c>
      <c r="Q16" t="s">
        <v>52</v>
      </c>
      <c r="R16" t="s">
        <v>32</v>
      </c>
      <c r="S16" s="1">
        <f>IF(E5&lt;$C$19, 1, IF(E5&gt;$C$20,-1,0))</f>
        <v>0</v>
      </c>
      <c r="T16">
        <f t="shared" si="2"/>
        <v>0</v>
      </c>
    </row>
    <row r="17" spans="2:20" x14ac:dyDescent="0.35">
      <c r="P17" t="s">
        <v>26</v>
      </c>
      <c r="Q17" t="s">
        <v>41</v>
      </c>
      <c r="R17" t="s">
        <v>26</v>
      </c>
    </row>
    <row r="18" spans="2:20" x14ac:dyDescent="0.35">
      <c r="P18" t="s">
        <v>31</v>
      </c>
      <c r="Q18" t="s">
        <v>441</v>
      </c>
      <c r="R18" t="s">
        <v>31</v>
      </c>
    </row>
    <row r="19" spans="2:20" x14ac:dyDescent="0.35">
      <c r="B19" t="s">
        <v>813</v>
      </c>
      <c r="C19" s="53">
        <v>-5</v>
      </c>
      <c r="P19" s="1" t="s">
        <v>744</v>
      </c>
      <c r="Q19" s="1" t="s">
        <v>745</v>
      </c>
      <c r="R19" s="1" t="s">
        <v>744</v>
      </c>
    </row>
    <row r="20" spans="2:20" x14ac:dyDescent="0.35">
      <c r="B20" t="s">
        <v>814</v>
      </c>
      <c r="C20" s="53">
        <v>10</v>
      </c>
      <c r="P20" t="s">
        <v>25</v>
      </c>
      <c r="Q20" t="s">
        <v>442</v>
      </c>
      <c r="R20" t="s">
        <v>25</v>
      </c>
    </row>
    <row r="21" spans="2:20" x14ac:dyDescent="0.35">
      <c r="P21" t="s">
        <v>34</v>
      </c>
      <c r="Q21" t="s">
        <v>443</v>
      </c>
      <c r="R21" t="s">
        <v>34</v>
      </c>
      <c r="S21" s="1"/>
    </row>
    <row r="22" spans="2:20" x14ac:dyDescent="0.35">
      <c r="P22" t="s">
        <v>37</v>
      </c>
      <c r="Q22" t="s">
        <v>444</v>
      </c>
      <c r="R22" t="s">
        <v>37</v>
      </c>
    </row>
    <row r="23" spans="2:20" x14ac:dyDescent="0.35">
      <c r="P23" t="s">
        <v>36</v>
      </c>
      <c r="Q23" t="s">
        <v>445</v>
      </c>
      <c r="R23" t="s">
        <v>36</v>
      </c>
      <c r="S23" s="1">
        <f>IF(E5&lt;$C$19, -1, IF(E12&gt;$C$20,1,0))</f>
        <v>0</v>
      </c>
      <c r="T23">
        <f t="shared" si="2"/>
        <v>0</v>
      </c>
    </row>
    <row r="24" spans="2:20" x14ac:dyDescent="0.35">
      <c r="P24" t="s">
        <v>431</v>
      </c>
      <c r="Q24" t="s">
        <v>446</v>
      </c>
      <c r="R24" t="s">
        <v>431</v>
      </c>
    </row>
    <row r="25" spans="2:20" x14ac:dyDescent="0.35">
      <c r="P25" t="s">
        <v>44</v>
      </c>
      <c r="Q25" t="s">
        <v>45</v>
      </c>
      <c r="R25" t="s">
        <v>44</v>
      </c>
    </row>
    <row r="26" spans="2:20" x14ac:dyDescent="0.35">
      <c r="P26" t="s">
        <v>49</v>
      </c>
      <c r="Q26" t="s">
        <v>50</v>
      </c>
      <c r="R26" t="s">
        <v>49</v>
      </c>
    </row>
    <row r="27" spans="2:20" x14ac:dyDescent="0.35">
      <c r="P27" t="s">
        <v>11</v>
      </c>
      <c r="Q27" t="s">
        <v>39</v>
      </c>
      <c r="R27" t="s">
        <v>11</v>
      </c>
    </row>
    <row r="28" spans="2:20" x14ac:dyDescent="0.35">
      <c r="P28" t="s">
        <v>46</v>
      </c>
      <c r="Q28" t="s">
        <v>47</v>
      </c>
      <c r="R28" t="s">
        <v>46</v>
      </c>
    </row>
    <row r="29" spans="2:20" x14ac:dyDescent="0.35">
      <c r="P29" t="s">
        <v>42</v>
      </c>
      <c r="Q29" t="s">
        <v>43</v>
      </c>
      <c r="R29" t="s">
        <v>42</v>
      </c>
    </row>
    <row r="30" spans="2:20" x14ac:dyDescent="0.35">
      <c r="P30" t="s">
        <v>48</v>
      </c>
      <c r="Q30" t="s">
        <v>447</v>
      </c>
      <c r="R30" t="s">
        <v>48</v>
      </c>
    </row>
    <row r="31" spans="2:20" x14ac:dyDescent="0.35">
      <c r="P31" t="s">
        <v>51</v>
      </c>
      <c r="Q31" t="s">
        <v>448</v>
      </c>
      <c r="R31" t="s">
        <v>51</v>
      </c>
    </row>
    <row r="32" spans="2:20" x14ac:dyDescent="0.35">
      <c r="P32" t="s">
        <v>1</v>
      </c>
      <c r="Q32" t="s">
        <v>1</v>
      </c>
      <c r="R32" t="s">
        <v>1</v>
      </c>
    </row>
  </sheetData>
  <conditionalFormatting sqref="T3:T32">
    <cfRule type="iconSet" priority="1">
      <iconSet iconSet="3Arrows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8EF2-E064-42F1-B93C-9765F64DD753}">
  <dimension ref="A1:Y127"/>
  <sheetViews>
    <sheetView topLeftCell="A121" workbookViewId="0">
      <selection activeCell="N127" sqref="N127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122">_xll.FDS(B1,"JULIAN(FMA_DIV_YLD(LTMA,-10AY,0,AM,""PORTAGG"",""MEANR"").dates)")</f>
        <v>41803</v>
      </c>
      <c r="B2" s="3" cm="1">
        <f t="array" ref="B2:B122">_xll.FDS(B1,"FMA_PE(LTMA,-10AY,0,AM,""PORTAGG"",""MEANR"")")</f>
        <v>17.969472348832799</v>
      </c>
      <c r="C2" s="3" cm="1">
        <f t="array" ref="C2:C122">_xll.FDS(C1,"FMA_PE(LTMA,-10AY,0,AM,""PORTAGG"",""MEANR"")")</f>
        <v>15.1298565139047</v>
      </c>
      <c r="D2" s="3" cm="1">
        <f t="array" ref="D2:D122">_xll.FDS(D1,"FMA_PE(LTMA,-10AY,0,AM,""PORTAGG"",""MEANR"")")</f>
        <v>16.257487117684601</v>
      </c>
      <c r="E2" s="3" cm="1">
        <f t="array" ref="E2:E122">_xll.FDS(E1,"FMA_PE(LTMA,-10AY,0,AM,""PORTAGG"",""MEANR"")")</f>
        <v>14.6801581144297</v>
      </c>
      <c r="F2" s="3" cm="1">
        <f t="array" ref="F2:F122">_xll.FDS(F1,"FMA_PE(LTMA,-10AY,0,AM,""PORTAGG"",""MEANR"")")</f>
        <v>15.3231129784518</v>
      </c>
      <c r="G2" s="3" cm="1">
        <f t="array" ref="G2:G122">_xll.FDS(G1,"FMA_PE(LTMA,-10AY,0,AM,""PORTAGG"",""MEANR"")")</f>
        <v>17.185362217148</v>
      </c>
      <c r="H2" s="3" cm="1">
        <f t="array" ref="H2:H122">_xll.FDS(H1,"FMA_PE(LTMA,-10AY,0,AM,""PORTAGG"",""MEANR"")")</f>
        <v>14.3668182943823</v>
      </c>
      <c r="I2" s="3" cm="1">
        <f t="array" ref="I2:I122">_xll.FDS(I1,"FMA_PE(LTMA,-10AY,0,AM,""PORTAGG"",""MEANR"")")</f>
        <v>18.9082508072172</v>
      </c>
      <c r="J2" s="3" cm="1">
        <f t="array" ref="J2:J122">_xll.FDS(J1,"FMA_PE(LTMA,-10AY,0,AM,""PORTAGG"",""MEANR"")")</f>
        <v>16.3092176938252</v>
      </c>
      <c r="K2" s="3" cm="1">
        <f t="array" ref="K2:K122">_xll.FDS(K1,"FMA_PE(LTMA,-10AY,0,AM,""PORTAGG"",""MEANR"")")</f>
        <v>15.8668394492878</v>
      </c>
      <c r="L2" s="3" cm="1">
        <f t="array" ref="L2:L122">_xll.FDS(L1,"FMA_PE(LTMA,-10AY,0,AM,""PORTAGG"",""MEANR"")")</f>
        <v>16.840398709433799</v>
      </c>
      <c r="M2" s="3" cm="1">
        <f t="array" ref="M2:M122">_xll.FDS(M1,"FMA_PE(LTMA,-10AY,0,AM,""PORTAGG"",""MEANR"")")</f>
        <v>15.7408257747952</v>
      </c>
      <c r="N2" s="3" cm="1">
        <f t="array" ref="N2:N122">_xll.FDS(N1,"FMA_PE(LTMA,-10AY,0,AM,""PORTAGG"",""MEANR"")")</f>
        <v>17.361448323148299</v>
      </c>
    </row>
    <row r="3" spans="1:14" x14ac:dyDescent="0.35">
      <c r="A3" s="2">
        <v>41831</v>
      </c>
      <c r="B3" s="3">
        <v>17.909637835618099</v>
      </c>
      <c r="C3" s="3">
        <v>15.2998893822455</v>
      </c>
      <c r="D3" s="3">
        <v>16.266517579643001</v>
      </c>
      <c r="E3" s="3">
        <v>14.4068300416694</v>
      </c>
      <c r="F3" s="3">
        <v>15.187666793849299</v>
      </c>
      <c r="G3" s="3">
        <v>17.057274401968101</v>
      </c>
      <c r="H3" s="3">
        <v>14.274449399348301</v>
      </c>
      <c r="I3" s="3">
        <v>19.139868290309199</v>
      </c>
      <c r="J3" s="3">
        <v>16.406171362147099</v>
      </c>
      <c r="K3" s="3">
        <v>15.4514760346479</v>
      </c>
      <c r="L3" s="3">
        <v>16.494715893554702</v>
      </c>
      <c r="M3" s="3">
        <v>15.6998568725583</v>
      </c>
      <c r="N3" s="3">
        <v>17.093273847979901</v>
      </c>
    </row>
    <row r="4" spans="1:14" x14ac:dyDescent="0.35">
      <c r="A4" s="2">
        <v>41864</v>
      </c>
      <c r="B4" s="3">
        <v>17.825681424464801</v>
      </c>
      <c r="C4" s="3">
        <v>15.2998025723277</v>
      </c>
      <c r="D4" s="3">
        <v>16.277794114582001</v>
      </c>
      <c r="E4" s="3">
        <v>13.988873203231799</v>
      </c>
      <c r="F4" s="3">
        <v>15.019889629204901</v>
      </c>
      <c r="G4" s="3">
        <v>17.087314796928901</v>
      </c>
      <c r="H4" s="3">
        <v>14.127477384874499</v>
      </c>
      <c r="I4" s="3">
        <v>19.080516034954002</v>
      </c>
      <c r="J4" s="3">
        <v>16.227219375405099</v>
      </c>
      <c r="K4" s="3">
        <v>15.121137576360301</v>
      </c>
      <c r="L4" s="3">
        <v>16.206346386501501</v>
      </c>
      <c r="M4" s="3">
        <v>15.9001830461187</v>
      </c>
      <c r="N4" s="3">
        <v>16.7319561344178</v>
      </c>
    </row>
    <row r="5" spans="1:14" x14ac:dyDescent="0.35">
      <c r="A5" s="2">
        <v>41894</v>
      </c>
      <c r="B5" s="3">
        <v>17.918363776308301</v>
      </c>
      <c r="C5" s="3">
        <v>15.248715225744601</v>
      </c>
      <c r="D5" s="3">
        <v>16.425004875966799</v>
      </c>
      <c r="E5" s="3">
        <v>14.277326060256399</v>
      </c>
      <c r="F5" s="3">
        <v>15.2585615979241</v>
      </c>
      <c r="G5" s="3">
        <v>17.394911007235802</v>
      </c>
      <c r="H5" s="3">
        <v>14.1692022582628</v>
      </c>
      <c r="I5" s="3">
        <v>19.399703077372799</v>
      </c>
      <c r="J5" s="3">
        <v>16.453658623244699</v>
      </c>
      <c r="K5" s="3">
        <v>15.530155352287499</v>
      </c>
      <c r="L5" s="3">
        <v>16.756418022500899</v>
      </c>
      <c r="M5" s="3">
        <v>15.5418822235997</v>
      </c>
      <c r="N5" s="3">
        <v>17.958840274314699</v>
      </c>
    </row>
    <row r="6" spans="1:14" x14ac:dyDescent="0.35">
      <c r="A6" s="2">
        <v>41925</v>
      </c>
      <c r="B6" s="3">
        <v>17.707431041440699</v>
      </c>
      <c r="C6" s="3">
        <v>14.500229671001399</v>
      </c>
      <c r="D6" s="3">
        <v>15.3254694060965</v>
      </c>
      <c r="E6" s="3">
        <v>13.2735121244735</v>
      </c>
      <c r="F6" s="3">
        <v>14.6677555453729</v>
      </c>
      <c r="G6" s="3">
        <v>16.573470730051199</v>
      </c>
      <c r="H6" s="3">
        <v>13.4607811563717</v>
      </c>
      <c r="I6" s="3">
        <v>18.419673786361699</v>
      </c>
      <c r="J6" s="3">
        <v>15.7668499743705</v>
      </c>
      <c r="K6" s="3">
        <v>14.5286901003824</v>
      </c>
      <c r="L6" s="3">
        <v>15.942788507690199</v>
      </c>
      <c r="M6" s="3">
        <v>15.1435848683315</v>
      </c>
      <c r="N6" s="3">
        <v>16.533098877631598</v>
      </c>
    </row>
    <row r="7" spans="1:14" x14ac:dyDescent="0.35">
      <c r="A7" s="2">
        <v>41956</v>
      </c>
      <c r="B7" s="3">
        <v>18.714716877982902</v>
      </c>
      <c r="C7" s="3">
        <v>15.086780810757601</v>
      </c>
      <c r="D7" s="3">
        <v>15.7720392194064</v>
      </c>
      <c r="E7" s="3">
        <v>13.631865412091599</v>
      </c>
      <c r="F7" s="3">
        <v>15.8994241445046</v>
      </c>
      <c r="G7" s="3">
        <v>17.544939245330301</v>
      </c>
      <c r="H7" s="3">
        <v>13.910216730097501</v>
      </c>
      <c r="I7" s="3">
        <v>19.983251695293902</v>
      </c>
      <c r="J7" s="3">
        <v>16.889344839062499</v>
      </c>
      <c r="K7" s="3">
        <v>14.8188686487337</v>
      </c>
      <c r="L7" s="3">
        <v>17.271152496895599</v>
      </c>
      <c r="M7" s="3">
        <v>16.745518110302601</v>
      </c>
      <c r="N7" s="3">
        <v>17.121221191169301</v>
      </c>
    </row>
    <row r="8" spans="1:14" x14ac:dyDescent="0.35">
      <c r="A8" s="2">
        <v>41985</v>
      </c>
      <c r="B8" s="3">
        <v>18.936400045424101</v>
      </c>
      <c r="C8" s="3">
        <v>14.1659501262923</v>
      </c>
      <c r="D8" s="3">
        <v>14.8072666396075</v>
      </c>
      <c r="E8" s="3">
        <v>14.0426136947858</v>
      </c>
      <c r="F8" s="3">
        <v>15.6711940372779</v>
      </c>
      <c r="G8" s="3">
        <v>17.127901925489599</v>
      </c>
      <c r="H8" s="3">
        <v>13.275844348119501</v>
      </c>
      <c r="I8" s="3">
        <v>19.935976692912</v>
      </c>
      <c r="J8" s="3">
        <v>16.688650113344199</v>
      </c>
      <c r="K8" s="3">
        <v>14.6271358430067</v>
      </c>
      <c r="L8" s="3">
        <v>17.1197986578401</v>
      </c>
      <c r="M8" s="3">
        <v>17.0741162601201</v>
      </c>
      <c r="N8" s="3">
        <v>17.856932097787301</v>
      </c>
    </row>
    <row r="9" spans="1:14" x14ac:dyDescent="0.35">
      <c r="A9" s="2">
        <v>42017</v>
      </c>
      <c r="B9" s="3">
        <v>19.4951732465757</v>
      </c>
      <c r="C9" s="3">
        <v>14.777375691423201</v>
      </c>
      <c r="D9" s="3">
        <v>15.134770355533201</v>
      </c>
      <c r="E9" s="3">
        <v>14.470286780373501</v>
      </c>
      <c r="F9" s="3">
        <v>15.482440484550301</v>
      </c>
      <c r="G9" s="3">
        <v>17.490068125098599</v>
      </c>
      <c r="H9" s="3">
        <v>13.5738203616608</v>
      </c>
      <c r="I9" s="3">
        <v>19.6948581086628</v>
      </c>
      <c r="J9" s="3">
        <v>16.986016033922699</v>
      </c>
      <c r="K9" s="3">
        <v>15.103997826543401</v>
      </c>
      <c r="L9" s="3">
        <v>17.833836117955201</v>
      </c>
      <c r="M9" s="3">
        <v>17.557732386155799</v>
      </c>
      <c r="N9" s="3">
        <v>18.991054215102899</v>
      </c>
    </row>
    <row r="10" spans="1:14" x14ac:dyDescent="0.35">
      <c r="A10" s="2">
        <v>42048</v>
      </c>
      <c r="B10" s="3">
        <v>20.017002944026501</v>
      </c>
      <c r="C10" s="3">
        <v>15.992758416720999</v>
      </c>
      <c r="D10" s="3">
        <v>16.652474664029199</v>
      </c>
      <c r="E10" s="3">
        <v>15.8521558227276</v>
      </c>
      <c r="F10" s="3">
        <v>16.061630638816599</v>
      </c>
      <c r="G10" s="3">
        <v>17.334918024213799</v>
      </c>
      <c r="H10" s="3">
        <v>14.660163515819599</v>
      </c>
      <c r="I10" s="3">
        <v>20.503105924457198</v>
      </c>
      <c r="J10" s="3">
        <v>17.549487542970599</v>
      </c>
      <c r="K10" s="3">
        <v>16.714979955750302</v>
      </c>
      <c r="L10" s="3">
        <v>19.233606824607101</v>
      </c>
      <c r="M10" s="3">
        <v>19.805548147586101</v>
      </c>
      <c r="N10" s="3">
        <v>42.469796285180898</v>
      </c>
    </row>
    <row r="11" spans="1:14" x14ac:dyDescent="0.35">
      <c r="A11" s="2">
        <v>42076</v>
      </c>
      <c r="B11" s="3">
        <v>20.459712180040999</v>
      </c>
      <c r="C11" s="3">
        <v>16.146771947462</v>
      </c>
      <c r="D11" s="3">
        <v>16.9688255904431</v>
      </c>
      <c r="E11" s="3">
        <v>16.556524745015199</v>
      </c>
      <c r="F11" s="3">
        <v>16.932912698452999</v>
      </c>
      <c r="G11" s="3">
        <v>17.979258294890101</v>
      </c>
      <c r="H11" s="3">
        <v>15.119562724852299</v>
      </c>
      <c r="I11" s="3">
        <v>20.5977290581868</v>
      </c>
      <c r="J11" s="3">
        <v>17.503051524893898</v>
      </c>
      <c r="K11" s="3">
        <v>17.557523690049099</v>
      </c>
      <c r="L11" s="3">
        <v>20.124002038384699</v>
      </c>
      <c r="M11" s="3">
        <v>20.1337936825262</v>
      </c>
      <c r="N11" s="3">
        <v>44.058815356087599</v>
      </c>
    </row>
    <row r="12" spans="1:14" x14ac:dyDescent="0.35">
      <c r="A12" s="2">
        <v>42107</v>
      </c>
      <c r="B12" s="3">
        <v>20.196227780841902</v>
      </c>
      <c r="C12" s="3">
        <v>16.361457558015299</v>
      </c>
      <c r="D12" s="3">
        <v>17.214638647345701</v>
      </c>
      <c r="E12" s="3">
        <v>16.632070037624299</v>
      </c>
      <c r="F12" s="3">
        <v>16.897886422738999</v>
      </c>
      <c r="G12" s="3">
        <v>18.1879612229442</v>
      </c>
      <c r="H12" s="3">
        <v>15.4589224887731</v>
      </c>
      <c r="I12" s="3">
        <v>20.4830606194033</v>
      </c>
      <c r="J12" s="3">
        <v>17.536277227098999</v>
      </c>
      <c r="K12" s="3">
        <v>17.731631283758102</v>
      </c>
      <c r="L12" s="3">
        <v>20.022918107561502</v>
      </c>
      <c r="M12" s="3">
        <v>19.883483738654899</v>
      </c>
      <c r="N12" s="3">
        <v>41.367395886841798</v>
      </c>
    </row>
    <row r="13" spans="1:14" x14ac:dyDescent="0.35">
      <c r="A13" s="2">
        <v>42137</v>
      </c>
      <c r="B13" s="3">
        <v>20.0363899192999</v>
      </c>
      <c r="C13" s="3">
        <v>16.2973134716784</v>
      </c>
      <c r="D13" s="3">
        <v>17.181980747752601</v>
      </c>
      <c r="E13" s="3">
        <v>16.026952416507701</v>
      </c>
      <c r="F13" s="3">
        <v>16.955045908153</v>
      </c>
      <c r="G13" s="3">
        <v>18.009456146789802</v>
      </c>
      <c r="H13" s="3">
        <v>15.679186644403501</v>
      </c>
      <c r="I13" s="3">
        <v>20.245670168947701</v>
      </c>
      <c r="J13" s="3">
        <v>17.505356203793699</v>
      </c>
      <c r="K13" s="3">
        <v>17.381502238235502</v>
      </c>
      <c r="L13" s="3">
        <v>19.459572327435701</v>
      </c>
      <c r="M13" s="3">
        <v>19.139489575749799</v>
      </c>
      <c r="N13" s="3">
        <v>38.459789665052902</v>
      </c>
    </row>
    <row r="14" spans="1:14" x14ac:dyDescent="0.35">
      <c r="A14" s="2">
        <v>42167</v>
      </c>
      <c r="B14" s="3">
        <v>19.960864174025399</v>
      </c>
      <c r="C14" s="3">
        <v>15.9774469485795</v>
      </c>
      <c r="D14" s="3">
        <v>17.120800213700001</v>
      </c>
      <c r="E14" s="3">
        <v>15.6856312016131</v>
      </c>
      <c r="F14" s="3">
        <v>17.018206918410101</v>
      </c>
      <c r="G14" s="3">
        <v>17.949987353111101</v>
      </c>
      <c r="H14" s="3">
        <v>15.645627539342801</v>
      </c>
      <c r="I14" s="3">
        <v>20.098888269473299</v>
      </c>
      <c r="J14" s="3">
        <v>17.4577741585105</v>
      </c>
      <c r="K14" s="3">
        <v>17.215772808702098</v>
      </c>
      <c r="L14" s="3">
        <v>19.092702076304299</v>
      </c>
      <c r="M14" s="3">
        <v>18.931319532822702</v>
      </c>
      <c r="N14" s="3">
        <v>35.4727126625504</v>
      </c>
    </row>
    <row r="15" spans="1:14" x14ac:dyDescent="0.35">
      <c r="A15" s="2">
        <v>42198</v>
      </c>
      <c r="B15" s="3">
        <v>19.564706124662401</v>
      </c>
      <c r="C15" s="3">
        <v>15.8179265839181</v>
      </c>
      <c r="D15" s="3">
        <v>17.011122146526201</v>
      </c>
      <c r="E15" s="3">
        <v>15.6468000748393</v>
      </c>
      <c r="F15" s="3">
        <v>16.624003817995501</v>
      </c>
      <c r="G15" s="3">
        <v>18.063999040760599</v>
      </c>
      <c r="H15" s="3">
        <v>15.677319056665199</v>
      </c>
      <c r="I15" s="3">
        <v>19.992430068675802</v>
      </c>
      <c r="J15" s="3">
        <v>17.4743187768083</v>
      </c>
      <c r="K15" s="3">
        <v>17.231039664306198</v>
      </c>
      <c r="L15" s="3">
        <v>19.086159798463498</v>
      </c>
      <c r="M15" s="3">
        <v>18.725985490655699</v>
      </c>
      <c r="N15" s="3">
        <v>32.626786754392199</v>
      </c>
    </row>
    <row r="16" spans="1:14" x14ac:dyDescent="0.35">
      <c r="A16" s="2">
        <v>42229</v>
      </c>
      <c r="B16" s="3">
        <v>19.4392605913674</v>
      </c>
      <c r="C16" s="3">
        <v>15.7857736277013</v>
      </c>
      <c r="D16" s="3">
        <v>16.921426806061799</v>
      </c>
      <c r="E16" s="3">
        <v>15.0669784451428</v>
      </c>
      <c r="F16" s="3">
        <v>16.825877736424101</v>
      </c>
      <c r="G16" s="3">
        <v>17.966670000571099</v>
      </c>
      <c r="H16" s="3">
        <v>15.6395442506655</v>
      </c>
      <c r="I16" s="3">
        <v>20.212756778309501</v>
      </c>
      <c r="J16" s="3">
        <v>17.4266631502481</v>
      </c>
      <c r="K16" s="3">
        <v>16.926834328885299</v>
      </c>
      <c r="L16" s="3">
        <v>18.396430319827299</v>
      </c>
      <c r="M16" s="3">
        <v>18.392747070942999</v>
      </c>
      <c r="N16" s="3">
        <v>30.165041478197502</v>
      </c>
    </row>
    <row r="17" spans="1:14" x14ac:dyDescent="0.35">
      <c r="A17" s="2">
        <v>42258</v>
      </c>
      <c r="B17" s="3">
        <v>19.0525039041733</v>
      </c>
      <c r="C17" s="3">
        <v>15.2345937139231</v>
      </c>
      <c r="D17" s="3">
        <v>16.445158907232901</v>
      </c>
      <c r="E17" s="3">
        <v>14.1879545370979</v>
      </c>
      <c r="F17" s="3">
        <v>15.455487207127501</v>
      </c>
      <c r="G17" s="3">
        <v>17.304875112428999</v>
      </c>
      <c r="H17" s="3">
        <v>15.018967059324</v>
      </c>
      <c r="I17" s="3">
        <v>19.5311811452464</v>
      </c>
      <c r="J17" s="3">
        <v>16.738054289114199</v>
      </c>
      <c r="K17" s="3">
        <v>15.847970967571801</v>
      </c>
      <c r="L17" s="3">
        <v>17.088862481413699</v>
      </c>
      <c r="M17" s="3">
        <v>17.279303963411099</v>
      </c>
      <c r="N17" s="3">
        <v>26.819784968498801</v>
      </c>
    </row>
    <row r="18" spans="1:14" x14ac:dyDescent="0.35">
      <c r="A18" s="2">
        <v>42290</v>
      </c>
      <c r="B18" s="3">
        <v>18.820594414325601</v>
      </c>
      <c r="C18" s="3">
        <v>15.5664984814587</v>
      </c>
      <c r="D18" s="3">
        <v>16.945323058647201</v>
      </c>
      <c r="E18" s="3">
        <v>13.818017950639</v>
      </c>
      <c r="F18" s="3">
        <v>15.4558570640475</v>
      </c>
      <c r="G18" s="3">
        <v>17.353144756734</v>
      </c>
      <c r="H18" s="3">
        <v>15.5822700623152</v>
      </c>
      <c r="I18" s="3">
        <v>19.5009476420562</v>
      </c>
      <c r="J18" s="3">
        <v>17.0069449824204</v>
      </c>
      <c r="K18" s="3">
        <v>15.9159838288006</v>
      </c>
      <c r="L18" s="3">
        <v>16.835888308925</v>
      </c>
      <c r="M18" s="3">
        <v>16.800473232100199</v>
      </c>
      <c r="N18" s="3">
        <v>24.321965150025701</v>
      </c>
    </row>
    <row r="19" spans="1:14" x14ac:dyDescent="0.35">
      <c r="A19" s="2">
        <v>42321</v>
      </c>
      <c r="B19" s="3">
        <v>19.373674526303802</v>
      </c>
      <c r="C19" s="3">
        <v>15.1281328575469</v>
      </c>
      <c r="D19" s="3">
        <v>16.330463980720801</v>
      </c>
      <c r="E19" s="3">
        <v>14.377203614954899</v>
      </c>
      <c r="F19" s="3">
        <v>16.137440149189398</v>
      </c>
      <c r="G19" s="3">
        <v>17.310079802819601</v>
      </c>
      <c r="H19" s="3">
        <v>15.370119193446699</v>
      </c>
      <c r="I19" s="3">
        <v>19.794764468941199</v>
      </c>
      <c r="J19" s="3">
        <v>17.015966971882701</v>
      </c>
      <c r="K19" s="3">
        <v>16.1027094154616</v>
      </c>
      <c r="L19" s="3">
        <v>17.735035190880499</v>
      </c>
      <c r="M19" s="3">
        <v>16.579208784753501</v>
      </c>
      <c r="N19" s="3">
        <v>22.141568188019299</v>
      </c>
    </row>
    <row r="20" spans="1:14" x14ac:dyDescent="0.35">
      <c r="A20" s="2">
        <v>42349</v>
      </c>
      <c r="B20" s="3">
        <v>19.473205954471201</v>
      </c>
      <c r="C20" s="3">
        <v>15.1460539267285</v>
      </c>
      <c r="D20" s="3">
        <v>15.8825064152861</v>
      </c>
      <c r="E20" s="3">
        <v>13.7111668565447</v>
      </c>
      <c r="F20" s="3">
        <v>15.734426555517899</v>
      </c>
      <c r="G20" s="3">
        <v>17.009780886121</v>
      </c>
      <c r="H20" s="3">
        <v>15.0845130535522</v>
      </c>
      <c r="I20" s="3">
        <v>19.8636286828396</v>
      </c>
      <c r="J20" s="3">
        <v>16.874155521536601</v>
      </c>
      <c r="K20" s="3">
        <v>15.2843130643889</v>
      </c>
      <c r="L20" s="3">
        <v>16.9058584507065</v>
      </c>
      <c r="M20" s="3">
        <v>15.838998612314001</v>
      </c>
      <c r="N20" s="3">
        <v>19.344343780991899</v>
      </c>
    </row>
    <row r="21" spans="1:14" x14ac:dyDescent="0.35">
      <c r="A21" s="2">
        <v>42382</v>
      </c>
      <c r="B21" s="3">
        <v>19.2214774563727</v>
      </c>
      <c r="C21" s="3">
        <v>15.0130574853666</v>
      </c>
      <c r="D21" s="3">
        <v>14.749895202045799</v>
      </c>
      <c r="E21" s="3">
        <v>12.9808547862912</v>
      </c>
      <c r="F21" s="3">
        <v>14.7187240337656</v>
      </c>
      <c r="G21" s="3">
        <v>16.571576296561901</v>
      </c>
      <c r="H21" s="3">
        <v>14.9850650050683</v>
      </c>
      <c r="I21" s="3">
        <v>18.4753428958699</v>
      </c>
      <c r="J21" s="3">
        <v>15.8637772617823</v>
      </c>
      <c r="K21" s="3">
        <v>14.5779901750901</v>
      </c>
      <c r="L21" s="3">
        <v>15.9912935002846</v>
      </c>
      <c r="M21" s="3">
        <v>15.0062598291327</v>
      </c>
      <c r="N21" s="3">
        <v>16.9833907630738</v>
      </c>
    </row>
    <row r="22" spans="1:14" x14ac:dyDescent="0.35">
      <c r="A22" s="2">
        <v>42412</v>
      </c>
      <c r="B22" s="3">
        <v>18.4106846123147</v>
      </c>
      <c r="C22" s="3">
        <v>14.568773726304601</v>
      </c>
      <c r="D22" s="3">
        <v>14.9497150856927</v>
      </c>
      <c r="E22" s="3">
        <v>11.882136960508101</v>
      </c>
      <c r="F22" s="3">
        <v>12.4005548182792</v>
      </c>
      <c r="G22" s="3">
        <v>16.1151152552656</v>
      </c>
      <c r="H22" s="3">
        <v>14.444541912726701</v>
      </c>
      <c r="I22" s="3">
        <v>17.6074768266086</v>
      </c>
      <c r="J22" s="3">
        <v>16.2966838906097</v>
      </c>
      <c r="K22" s="3">
        <v>13.963219371118999</v>
      </c>
      <c r="L22" s="3">
        <v>14.7508105727415</v>
      </c>
      <c r="M22" s="3">
        <v>14.3012901753472</v>
      </c>
      <c r="N22" s="3">
        <v>14.702628526124199</v>
      </c>
    </row>
    <row r="23" spans="1:14" x14ac:dyDescent="0.35">
      <c r="A23" s="2">
        <v>42440</v>
      </c>
      <c r="B23" s="3">
        <v>19.335646029564799</v>
      </c>
      <c r="C23" s="3">
        <v>15.155161120515899</v>
      </c>
      <c r="D23" s="3">
        <v>15.905055466823701</v>
      </c>
      <c r="E23" s="3">
        <v>12.7194321345345</v>
      </c>
      <c r="F23" s="3">
        <v>13.898062195756101</v>
      </c>
      <c r="G23" s="3">
        <v>16.665841029193299</v>
      </c>
      <c r="H23" s="3">
        <v>15.6255820413721</v>
      </c>
      <c r="I23" s="3">
        <v>18.266448060217801</v>
      </c>
      <c r="J23" s="3">
        <v>16.188193427520002</v>
      </c>
      <c r="K23" s="3">
        <v>15.218487822890101</v>
      </c>
      <c r="L23" s="3">
        <v>16.423990037399498</v>
      </c>
      <c r="M23" s="3">
        <v>15.6817963226905</v>
      </c>
      <c r="N23" s="3">
        <v>15.491198863705</v>
      </c>
    </row>
    <row r="24" spans="1:14" x14ac:dyDescent="0.35">
      <c r="A24" s="2">
        <v>42473</v>
      </c>
      <c r="B24" s="3">
        <v>19.331529260576101</v>
      </c>
      <c r="C24" s="3">
        <v>15.1830360379131</v>
      </c>
      <c r="D24" s="3">
        <v>16.139785626546601</v>
      </c>
      <c r="E24" s="3">
        <v>12.8211988526383</v>
      </c>
      <c r="F24" s="3">
        <v>13.7821664064796</v>
      </c>
      <c r="G24" s="3">
        <v>16.766512574396302</v>
      </c>
      <c r="H24" s="3">
        <v>15.9463696069775</v>
      </c>
      <c r="I24" s="3">
        <v>18.484257510018899</v>
      </c>
      <c r="J24" s="3">
        <v>16.445215307047398</v>
      </c>
      <c r="K24" s="3">
        <v>15.237515704402799</v>
      </c>
      <c r="L24" s="3">
        <v>16.380780732234701</v>
      </c>
      <c r="M24" s="3">
        <v>15.681273379870101</v>
      </c>
      <c r="N24" s="3">
        <v>15.2703574622871</v>
      </c>
    </row>
    <row r="25" spans="1:14" x14ac:dyDescent="0.35">
      <c r="A25" s="2">
        <v>42503</v>
      </c>
      <c r="B25" s="3">
        <v>19.629776474435801</v>
      </c>
      <c r="C25" s="3">
        <v>15.615815396443301</v>
      </c>
      <c r="D25" s="3">
        <v>16.4473021211926</v>
      </c>
      <c r="E25" s="3">
        <v>12.7834179318133</v>
      </c>
      <c r="F25" s="3">
        <v>13.8150023298499</v>
      </c>
      <c r="G25" s="3">
        <v>16.839680249946198</v>
      </c>
      <c r="H25" s="3">
        <v>15.831245491947501</v>
      </c>
      <c r="I25" s="3">
        <v>18.307306862223399</v>
      </c>
      <c r="J25" s="3">
        <v>16.565182572190999</v>
      </c>
      <c r="K25" s="3">
        <v>15.061149734187</v>
      </c>
      <c r="L25" s="3">
        <v>16.1434028920266</v>
      </c>
      <c r="M25" s="3">
        <v>15.4022254971138</v>
      </c>
      <c r="N25" s="3">
        <v>15.417256461717701</v>
      </c>
    </row>
    <row r="26" spans="1:14" x14ac:dyDescent="0.35">
      <c r="A26" s="2">
        <v>42534</v>
      </c>
      <c r="B26" s="3">
        <v>19.695465291580302</v>
      </c>
      <c r="C26" s="3">
        <v>15.770641559134299</v>
      </c>
      <c r="D26" s="3">
        <v>16.7171105865973</v>
      </c>
      <c r="E26" s="3">
        <v>12.6174632973649</v>
      </c>
      <c r="F26" s="3">
        <v>13.805979928225399</v>
      </c>
      <c r="G26" s="3">
        <v>16.833925475618098</v>
      </c>
      <c r="H26" s="3">
        <v>15.809706625049801</v>
      </c>
      <c r="I26" s="3">
        <v>18.479871488179299</v>
      </c>
      <c r="J26" s="3">
        <v>16.735797146648</v>
      </c>
      <c r="K26" s="3">
        <v>14.845722908929501</v>
      </c>
      <c r="L26" s="3">
        <v>15.8735799391609</v>
      </c>
      <c r="M26" s="3">
        <v>15.222379802988</v>
      </c>
      <c r="N26" s="3">
        <v>14.607878242486001</v>
      </c>
    </row>
    <row r="27" spans="1:14" x14ac:dyDescent="0.35">
      <c r="A27" s="2">
        <v>42564</v>
      </c>
      <c r="B27" s="3">
        <v>19.972324712154101</v>
      </c>
      <c r="C27" s="3">
        <v>16.053040142454901</v>
      </c>
      <c r="D27" s="3">
        <v>17.1164617932067</v>
      </c>
      <c r="E27" s="3">
        <v>12.82532462693</v>
      </c>
      <c r="F27" s="3">
        <v>14.0323917871213</v>
      </c>
      <c r="G27" s="3">
        <v>17.313007717910001</v>
      </c>
      <c r="H27" s="3">
        <v>16.4440346130474</v>
      </c>
      <c r="I27" s="3">
        <v>18.9586380728671</v>
      </c>
      <c r="J27" s="3">
        <v>17.196159323698101</v>
      </c>
      <c r="K27" s="3">
        <v>14.933289019294801</v>
      </c>
      <c r="L27" s="3">
        <v>15.945238877769601</v>
      </c>
      <c r="M27" s="3">
        <v>15.545792469623301</v>
      </c>
      <c r="N27" s="3">
        <v>14.5785379015028</v>
      </c>
    </row>
    <row r="28" spans="1:14" x14ac:dyDescent="0.35">
      <c r="A28" s="2">
        <v>42594</v>
      </c>
      <c r="B28" s="3">
        <v>20.6738365589074</v>
      </c>
      <c r="C28" s="3">
        <v>16.609676108332</v>
      </c>
      <c r="D28" s="3">
        <v>17.451468651531101</v>
      </c>
      <c r="E28" s="3">
        <v>13.4364864067603</v>
      </c>
      <c r="F28" s="3">
        <v>14.143870773512299</v>
      </c>
      <c r="G28" s="3">
        <v>17.948334295711501</v>
      </c>
      <c r="H28" s="3">
        <v>16.947690749445101</v>
      </c>
      <c r="I28" s="3">
        <v>19.5557290844995</v>
      </c>
      <c r="J28" s="3">
        <v>17.521430505283799</v>
      </c>
      <c r="K28" s="3">
        <v>15.0967390108048</v>
      </c>
      <c r="L28" s="3">
        <v>16.2220108363401</v>
      </c>
      <c r="M28" s="3">
        <v>16.043187619888901</v>
      </c>
      <c r="N28" s="3">
        <v>15.1614797734865</v>
      </c>
    </row>
    <row r="29" spans="1:14" x14ac:dyDescent="0.35">
      <c r="A29" s="2">
        <v>42626</v>
      </c>
      <c r="B29" s="3">
        <v>20.789936367775201</v>
      </c>
      <c r="C29" s="3">
        <v>16.044712987735199</v>
      </c>
      <c r="D29" s="3">
        <v>17.373314051438399</v>
      </c>
      <c r="E29" s="3">
        <v>13.3908528684512</v>
      </c>
      <c r="F29" s="3">
        <v>14.2424809255706</v>
      </c>
      <c r="G29" s="3">
        <v>17.904079110412798</v>
      </c>
      <c r="H29" s="3">
        <v>16.593168321817501</v>
      </c>
      <c r="I29" s="3">
        <v>19.4329638450149</v>
      </c>
      <c r="J29" s="3">
        <v>17.401809459317501</v>
      </c>
      <c r="K29" s="3">
        <v>14.8193978016344</v>
      </c>
      <c r="L29" s="3">
        <v>15.863992820777</v>
      </c>
      <c r="M29" s="3">
        <v>15.9699232431105</v>
      </c>
      <c r="N29" s="3">
        <v>14.716114481537099</v>
      </c>
    </row>
    <row r="30" spans="1:14" x14ac:dyDescent="0.35">
      <c r="A30" s="2">
        <v>42656</v>
      </c>
      <c r="B30" s="3">
        <v>20.4398896859487</v>
      </c>
      <c r="C30" s="3">
        <v>16.764915556908299</v>
      </c>
      <c r="D30" s="3">
        <v>17.931496466995299</v>
      </c>
      <c r="E30" s="3">
        <v>13.508633150128199</v>
      </c>
      <c r="F30" s="3">
        <v>14.322039223625101</v>
      </c>
      <c r="G30" s="3">
        <v>17.738879235462498</v>
      </c>
      <c r="H30" s="3">
        <v>16.850766786947901</v>
      </c>
      <c r="I30" s="3">
        <v>19.799603964553398</v>
      </c>
      <c r="J30" s="3">
        <v>17.597116660825201</v>
      </c>
      <c r="K30" s="3">
        <v>14.763631526675701</v>
      </c>
      <c r="L30" s="3">
        <v>15.7108541275612</v>
      </c>
      <c r="M30" s="3">
        <v>16.803934126902501</v>
      </c>
      <c r="N30" s="3">
        <v>14.4847339195343</v>
      </c>
    </row>
    <row r="31" spans="1:14" x14ac:dyDescent="0.35">
      <c r="A31" s="2">
        <v>42685</v>
      </c>
      <c r="B31" s="3">
        <v>19.512437207791098</v>
      </c>
      <c r="C31" s="3">
        <v>16.999167312351499</v>
      </c>
      <c r="D31" s="3">
        <v>18.267031202304</v>
      </c>
      <c r="E31" s="3">
        <v>13.7021570143689</v>
      </c>
      <c r="F31" s="3">
        <v>14.726368354767001</v>
      </c>
      <c r="G31" s="3">
        <v>17.609316617434299</v>
      </c>
      <c r="H31" s="3">
        <v>16.317418282621102</v>
      </c>
      <c r="I31" s="3">
        <v>19.597928995487798</v>
      </c>
      <c r="J31" s="3">
        <v>17.9034217539695</v>
      </c>
      <c r="K31" s="3">
        <v>14.7815856200756</v>
      </c>
      <c r="L31" s="3">
        <v>15.4974932696237</v>
      </c>
      <c r="M31" s="3">
        <v>17.041238710600499</v>
      </c>
      <c r="N31" s="3">
        <v>14.4928546227796</v>
      </c>
    </row>
    <row r="32" spans="1:14" x14ac:dyDescent="0.35">
      <c r="A32" s="2">
        <v>42717</v>
      </c>
      <c r="B32" s="3">
        <v>19.762257774789202</v>
      </c>
      <c r="C32" s="3">
        <v>17.443970420926501</v>
      </c>
      <c r="D32" s="3">
        <v>19.279575068504901</v>
      </c>
      <c r="E32" s="3">
        <v>14.4631366243547</v>
      </c>
      <c r="F32" s="3">
        <v>16.531602331792701</v>
      </c>
      <c r="G32" s="3">
        <v>18.048123234752701</v>
      </c>
      <c r="H32" s="3">
        <v>16.973972978007701</v>
      </c>
      <c r="I32" s="3">
        <v>20.4279021010306</v>
      </c>
      <c r="J32" s="3">
        <v>18.918233737419701</v>
      </c>
      <c r="K32" s="3">
        <v>15.606074714684601</v>
      </c>
      <c r="L32" s="3">
        <v>16.010427723253802</v>
      </c>
      <c r="M32" s="3">
        <v>18.301608034457601</v>
      </c>
      <c r="N32" s="3">
        <v>16.1165998868778</v>
      </c>
    </row>
    <row r="33" spans="1:14" x14ac:dyDescent="0.35">
      <c r="A33" s="2">
        <v>42748</v>
      </c>
      <c r="B33" s="3">
        <v>20.415154258844701</v>
      </c>
      <c r="C33" s="3">
        <v>17.899478016068901</v>
      </c>
      <c r="D33" s="3">
        <v>19.554377553316101</v>
      </c>
      <c r="E33" s="3">
        <v>14.9405384559455</v>
      </c>
      <c r="F33" s="3">
        <v>16.631460362506601</v>
      </c>
      <c r="G33" s="3">
        <v>18.7173341123518</v>
      </c>
      <c r="H33" s="3">
        <v>17.3701048915432</v>
      </c>
      <c r="I33" s="3">
        <v>21.033039230799599</v>
      </c>
      <c r="J33" s="3">
        <v>19.023310778664602</v>
      </c>
      <c r="K33" s="3">
        <v>15.9757532534259</v>
      </c>
      <c r="L33" s="3">
        <v>16.440876407480499</v>
      </c>
      <c r="M33" s="3">
        <v>18.272590511740098</v>
      </c>
      <c r="N33" s="3">
        <v>27.708500491864001</v>
      </c>
    </row>
    <row r="34" spans="1:14" x14ac:dyDescent="0.35">
      <c r="A34" s="2">
        <v>42779</v>
      </c>
      <c r="B34" s="3">
        <v>20.633139968505301</v>
      </c>
      <c r="C34" s="3">
        <v>17.812021306235199</v>
      </c>
      <c r="D34" s="3">
        <v>19.819117235427498</v>
      </c>
      <c r="E34" s="3">
        <v>15.046812639456</v>
      </c>
      <c r="F34" s="3">
        <v>16.439621818134</v>
      </c>
      <c r="G34" s="3">
        <v>18.688251452701799</v>
      </c>
      <c r="H34" s="3">
        <v>17.372223602811701</v>
      </c>
      <c r="I34" s="3">
        <v>21.633653537551801</v>
      </c>
      <c r="J34" s="3">
        <v>19.275865270583701</v>
      </c>
      <c r="K34" s="3">
        <v>15.613815488808701</v>
      </c>
      <c r="L34" s="3">
        <v>16.319613250373699</v>
      </c>
      <c r="M34" s="3">
        <v>17.9388471910009</v>
      </c>
      <c r="N34" s="3">
        <v>20.902085275943499</v>
      </c>
    </row>
    <row r="35" spans="1:14" x14ac:dyDescent="0.35">
      <c r="A35" s="2">
        <v>42807</v>
      </c>
      <c r="B35" s="3">
        <v>19.792018994774701</v>
      </c>
      <c r="C35" s="3">
        <v>17.452839298521202</v>
      </c>
      <c r="D35" s="3">
        <v>19.285232378146802</v>
      </c>
      <c r="E35" s="3">
        <v>14.967829516237799</v>
      </c>
      <c r="F35" s="3">
        <v>15.9471994908653</v>
      </c>
      <c r="G35" s="3">
        <v>19.632812599284801</v>
      </c>
      <c r="H35" s="3">
        <v>17.265925061245401</v>
      </c>
      <c r="I35" s="3">
        <v>21.695757541075899</v>
      </c>
      <c r="J35" s="3">
        <v>19.447973792702701</v>
      </c>
      <c r="K35" s="3">
        <v>15.608420099559799</v>
      </c>
      <c r="L35" s="3">
        <v>16.499538319420601</v>
      </c>
      <c r="M35" s="3">
        <v>17.530883578800999</v>
      </c>
      <c r="N35" s="3">
        <v>82.990509891019698</v>
      </c>
    </row>
    <row r="36" spans="1:14" x14ac:dyDescent="0.35">
      <c r="A36" s="2">
        <v>42838</v>
      </c>
      <c r="B36" s="3">
        <v>19.815803711743701</v>
      </c>
      <c r="C36" s="3">
        <v>17.343945984861499</v>
      </c>
      <c r="D36" s="3">
        <v>18.960332629777199</v>
      </c>
      <c r="E36" s="3">
        <v>14.88237161468</v>
      </c>
      <c r="F36" s="3">
        <v>15.521472072599799</v>
      </c>
      <c r="G36" s="3">
        <v>19.421607365103601</v>
      </c>
      <c r="H36" s="3">
        <v>17.023136879781401</v>
      </c>
      <c r="I36" s="3">
        <v>21.5288296751513</v>
      </c>
      <c r="J36" s="3">
        <v>19.207054810493599</v>
      </c>
      <c r="K36" s="3">
        <v>15.614623915448201</v>
      </c>
      <c r="L36" s="3">
        <v>16.543263235766499</v>
      </c>
      <c r="M36" s="3">
        <v>17.5466888677906</v>
      </c>
      <c r="N36" s="3">
        <v>75.6114101750278</v>
      </c>
    </row>
    <row r="37" spans="1:14" x14ac:dyDescent="0.35">
      <c r="A37" s="2">
        <v>42867</v>
      </c>
      <c r="B37" s="3">
        <v>20.015258309174801</v>
      </c>
      <c r="C37" s="3">
        <v>17.1268254270935</v>
      </c>
      <c r="D37" s="3">
        <v>18.653351064750701</v>
      </c>
      <c r="E37" s="3">
        <v>14.9118486583776</v>
      </c>
      <c r="F37" s="3">
        <v>15.6974544801761</v>
      </c>
      <c r="G37" s="3">
        <v>19.567043329907499</v>
      </c>
      <c r="H37" s="3">
        <v>16.884467220911699</v>
      </c>
      <c r="I37" s="3">
        <v>21.841770830310899</v>
      </c>
      <c r="J37" s="3">
        <v>19.1845115873076</v>
      </c>
      <c r="K37" s="3">
        <v>15.864664468419599</v>
      </c>
      <c r="L37" s="3">
        <v>16.743210305938799</v>
      </c>
      <c r="M37" s="3">
        <v>17.669918177105</v>
      </c>
      <c r="N37" s="3">
        <v>69.138955295486298</v>
      </c>
    </row>
    <row r="38" spans="1:14" x14ac:dyDescent="0.35">
      <c r="A38" s="2">
        <v>42899</v>
      </c>
      <c r="B38" s="3">
        <v>19.954642177366601</v>
      </c>
      <c r="C38" s="3">
        <v>16.874833271622499</v>
      </c>
      <c r="D38" s="3">
        <v>18.275466419218901</v>
      </c>
      <c r="E38" s="3">
        <v>14.777854147536299</v>
      </c>
      <c r="F38" s="3">
        <v>15.620734071455599</v>
      </c>
      <c r="G38" s="3">
        <v>19.448126739128099</v>
      </c>
      <c r="H38" s="3">
        <v>16.637762881348699</v>
      </c>
      <c r="I38" s="3">
        <v>21.890219321155101</v>
      </c>
      <c r="J38" s="3">
        <v>19.210348756396701</v>
      </c>
      <c r="K38" s="3">
        <v>15.6968271926021</v>
      </c>
      <c r="L38" s="3">
        <v>16.677405102813299</v>
      </c>
      <c r="M38" s="3">
        <v>17.607400563345202</v>
      </c>
      <c r="N38" s="3">
        <v>61.513753778474801</v>
      </c>
    </row>
    <row r="39" spans="1:14" x14ac:dyDescent="0.35">
      <c r="A39" s="2">
        <v>42929</v>
      </c>
      <c r="B39" s="3">
        <v>20.094316133783501</v>
      </c>
      <c r="C39" s="3">
        <v>16.772590471535501</v>
      </c>
      <c r="D39" s="3">
        <v>17.971799455100602</v>
      </c>
      <c r="E39" s="3">
        <v>14.654648995362701</v>
      </c>
      <c r="F39" s="3">
        <v>15.486693842368201</v>
      </c>
      <c r="G39" s="3">
        <v>19.394162850206602</v>
      </c>
      <c r="H39" s="3">
        <v>16.4599624765778</v>
      </c>
      <c r="I39" s="3">
        <v>21.925252437856098</v>
      </c>
      <c r="J39" s="3">
        <v>19.145321085296001</v>
      </c>
      <c r="K39" s="3">
        <v>15.7086204042439</v>
      </c>
      <c r="L39" s="3">
        <v>16.660573247482699</v>
      </c>
      <c r="M39" s="3">
        <v>17.732316616645502</v>
      </c>
      <c r="N39" s="3">
        <v>54.664009947308898</v>
      </c>
    </row>
    <row r="40" spans="1:14" x14ac:dyDescent="0.35">
      <c r="A40" s="2">
        <v>42958</v>
      </c>
      <c r="B40" s="3">
        <v>20.494670637444798</v>
      </c>
      <c r="C40" s="3">
        <v>16.667988537797498</v>
      </c>
      <c r="D40" s="3">
        <v>17.747573770022601</v>
      </c>
      <c r="E40" s="3">
        <v>14.1397285354081</v>
      </c>
      <c r="F40" s="3">
        <v>15.1952121941301</v>
      </c>
      <c r="G40" s="3">
        <v>19.1066122872748</v>
      </c>
      <c r="H40" s="3">
        <v>16.132960714296601</v>
      </c>
      <c r="I40" s="3">
        <v>21.941226155273899</v>
      </c>
      <c r="J40" s="3">
        <v>18.996217932583001</v>
      </c>
      <c r="K40" s="3">
        <v>15.398844769082499</v>
      </c>
      <c r="L40" s="3">
        <v>16.548118592389201</v>
      </c>
      <c r="M40" s="3">
        <v>16.846638162441</v>
      </c>
      <c r="N40" s="3">
        <v>47.6640328840124</v>
      </c>
    </row>
    <row r="41" spans="1:14" x14ac:dyDescent="0.35">
      <c r="A41" s="2">
        <v>42991</v>
      </c>
      <c r="B41" s="3">
        <v>20.5717983249532</v>
      </c>
      <c r="C41" s="3">
        <v>16.606600079413699</v>
      </c>
      <c r="D41" s="3">
        <v>17.359236044210402</v>
      </c>
      <c r="E41" s="3">
        <v>14.387473840132801</v>
      </c>
      <c r="F41" s="3">
        <v>14.8407603772546</v>
      </c>
      <c r="G41" s="3">
        <v>19.283069392648802</v>
      </c>
      <c r="H41" s="3">
        <v>15.977209597220099</v>
      </c>
      <c r="I41" s="3">
        <v>22.364455522541999</v>
      </c>
      <c r="J41" s="3">
        <v>19.194807804528601</v>
      </c>
      <c r="K41" s="3">
        <v>15.725813203119699</v>
      </c>
      <c r="L41" s="3">
        <v>16.8020755128261</v>
      </c>
      <c r="M41" s="3">
        <v>17.131802116970601</v>
      </c>
      <c r="N41" s="3">
        <v>40.180675097788402</v>
      </c>
    </row>
    <row r="42" spans="1:14" x14ac:dyDescent="0.35">
      <c r="A42" s="2">
        <v>43021</v>
      </c>
      <c r="B42" s="3">
        <v>20.904552088890199</v>
      </c>
      <c r="C42" s="3">
        <v>16.536661655920501</v>
      </c>
      <c r="D42" s="3">
        <v>17.556281809217801</v>
      </c>
      <c r="E42" s="3">
        <v>14.795717122248901</v>
      </c>
      <c r="F42" s="3">
        <v>15.128520837204199</v>
      </c>
      <c r="G42" s="3">
        <v>19.835247778248799</v>
      </c>
      <c r="H42" s="3">
        <v>15.908369719248</v>
      </c>
      <c r="I42" s="3">
        <v>22.640477791501201</v>
      </c>
      <c r="J42" s="3">
        <v>19.551021765147201</v>
      </c>
      <c r="K42" s="3">
        <v>16.049556331729299</v>
      </c>
      <c r="L42" s="3">
        <v>17.264249391865199</v>
      </c>
      <c r="M42" s="3">
        <v>17.579835894798201</v>
      </c>
      <c r="N42" s="3">
        <v>33.411349842512202</v>
      </c>
    </row>
    <row r="43" spans="1:14" x14ac:dyDescent="0.35">
      <c r="A43" s="2">
        <v>43052</v>
      </c>
      <c r="B43" s="3">
        <v>21.049194415041399</v>
      </c>
      <c r="C43" s="3">
        <v>16.838985547019998</v>
      </c>
      <c r="D43" s="3">
        <v>17.395367065097702</v>
      </c>
      <c r="E43" s="3">
        <v>15.225482041872</v>
      </c>
      <c r="F43" s="3">
        <v>15.717403814778001</v>
      </c>
      <c r="G43" s="3">
        <v>20.108595709459099</v>
      </c>
      <c r="H43" s="3">
        <v>15.295466481751101</v>
      </c>
      <c r="I43" s="3">
        <v>22.975660053436499</v>
      </c>
      <c r="J43" s="3">
        <v>19.6132607604751</v>
      </c>
      <c r="K43" s="3">
        <v>15.8710179458265</v>
      </c>
      <c r="L43" s="3">
        <v>17.289820226101298</v>
      </c>
      <c r="M43" s="3">
        <v>18.1637773614727</v>
      </c>
      <c r="N43" s="3">
        <v>26.292433830305399</v>
      </c>
    </row>
    <row r="44" spans="1:14" x14ac:dyDescent="0.35">
      <c r="A44" s="2">
        <v>43082</v>
      </c>
      <c r="B44" s="3">
        <v>21.985063180124001</v>
      </c>
      <c r="C44" s="3">
        <v>16.681849087212001</v>
      </c>
      <c r="D44" s="3">
        <v>17.291854654973601</v>
      </c>
      <c r="E44" s="3">
        <v>15.4843513945666</v>
      </c>
      <c r="F44" s="3">
        <v>16.221518238545102</v>
      </c>
      <c r="G44" s="3">
        <v>20.563808886555702</v>
      </c>
      <c r="H44" s="3">
        <v>15.2780976901192</v>
      </c>
      <c r="I44" s="3">
        <v>23.301567305979098</v>
      </c>
      <c r="J44" s="3">
        <v>20.151557951496098</v>
      </c>
      <c r="K44" s="3">
        <v>16.191344829031301</v>
      </c>
      <c r="L44" s="3">
        <v>17.373966606019199</v>
      </c>
      <c r="M44" s="3">
        <v>18.169952049978299</v>
      </c>
      <c r="N44" s="3">
        <v>19.5950206458892</v>
      </c>
    </row>
    <row r="45" spans="1:14" x14ac:dyDescent="0.35">
      <c r="A45" s="2">
        <v>43112</v>
      </c>
      <c r="B45" s="3">
        <v>21.848862749189699</v>
      </c>
      <c r="C45" s="3">
        <v>16.7844566738707</v>
      </c>
      <c r="D45" s="3">
        <v>17.271454816986999</v>
      </c>
      <c r="E45" s="3">
        <v>15.580782151481699</v>
      </c>
      <c r="F45" s="3">
        <v>16.855447380846101</v>
      </c>
      <c r="G45" s="3">
        <v>21.073605269275401</v>
      </c>
      <c r="H45" s="3">
        <v>15.7490795361722</v>
      </c>
      <c r="I45" s="3">
        <v>24.797315880769101</v>
      </c>
      <c r="J45" s="3">
        <v>20.998146408467498</v>
      </c>
      <c r="K45" s="3">
        <v>16.539432368589601</v>
      </c>
      <c r="L45" s="3">
        <v>17.5270297534334</v>
      </c>
      <c r="M45" s="3">
        <v>18.241840340286998</v>
      </c>
      <c r="N45" s="3">
        <v>15.9424340507552</v>
      </c>
    </row>
    <row r="46" spans="1:14" x14ac:dyDescent="0.35">
      <c r="A46" s="2">
        <v>43144</v>
      </c>
      <c r="B46" s="3">
        <v>20.6262746160719</v>
      </c>
      <c r="C46" s="3">
        <v>16.174274638727901</v>
      </c>
      <c r="D46" s="3">
        <v>15.871084729845601</v>
      </c>
      <c r="E46" s="3">
        <v>14.167472342287301</v>
      </c>
      <c r="F46" s="3">
        <v>15.0228583656402</v>
      </c>
      <c r="G46" s="3">
        <v>20.136303651182601</v>
      </c>
      <c r="H46" s="3">
        <v>14.3791795177215</v>
      </c>
      <c r="I46" s="3">
        <v>23.224173500589501</v>
      </c>
      <c r="J46" s="3">
        <v>19.555813555316799</v>
      </c>
      <c r="K46" s="3">
        <v>15.4690590481272</v>
      </c>
      <c r="L46" s="3">
        <v>16.386613554082299</v>
      </c>
      <c r="M46" s="3">
        <v>16.2974999143402</v>
      </c>
      <c r="N46" s="3">
        <v>14.178597694370101</v>
      </c>
    </row>
    <row r="47" spans="1:14" x14ac:dyDescent="0.35">
      <c r="A47" s="2">
        <v>43172</v>
      </c>
      <c r="B47" s="3">
        <v>22.583622305321899</v>
      </c>
      <c r="C47" s="3">
        <v>16.5004993606249</v>
      </c>
      <c r="D47" s="3">
        <v>15.8147204487877</v>
      </c>
      <c r="E47" s="3">
        <v>14.1883483694528</v>
      </c>
      <c r="F47" s="3">
        <v>14.416168182374699</v>
      </c>
      <c r="G47" s="3">
        <v>21.022013459154</v>
      </c>
      <c r="H47" s="3">
        <v>13.9521102089314</v>
      </c>
      <c r="I47" s="3">
        <v>24.113697316908201</v>
      </c>
      <c r="J47" s="3">
        <v>19.7491178253693</v>
      </c>
      <c r="K47" s="3">
        <v>15.566541011953399</v>
      </c>
      <c r="L47" s="3">
        <v>16.645294427049901</v>
      </c>
      <c r="M47" s="3">
        <v>16.952705402022001</v>
      </c>
      <c r="N47" s="3">
        <v>14.1881695258378</v>
      </c>
    </row>
    <row r="48" spans="1:14" x14ac:dyDescent="0.35">
      <c r="A48" s="2">
        <v>43203</v>
      </c>
      <c r="B48" s="3">
        <v>22.378895339754798</v>
      </c>
      <c r="C48" s="3">
        <v>16.271828424974299</v>
      </c>
      <c r="D48" s="3">
        <v>15.5799164297714</v>
      </c>
      <c r="E48" s="3">
        <v>14.143057716878699</v>
      </c>
      <c r="F48" s="3">
        <v>14.2381202740088</v>
      </c>
      <c r="G48" s="3">
        <v>20.509550429754899</v>
      </c>
      <c r="H48" s="3">
        <v>13.9760879557659</v>
      </c>
      <c r="I48" s="3">
        <v>23.5066934333558</v>
      </c>
      <c r="J48" s="3">
        <v>19.3137726161765</v>
      </c>
      <c r="K48" s="3">
        <v>15.520040567509101</v>
      </c>
      <c r="L48" s="3">
        <v>16.6149063581327</v>
      </c>
      <c r="M48" s="3">
        <v>16.735332068909599</v>
      </c>
      <c r="N48" s="3">
        <v>14.121318355000099</v>
      </c>
    </row>
    <row r="49" spans="1:14" x14ac:dyDescent="0.35">
      <c r="A49" s="2">
        <v>43231</v>
      </c>
      <c r="B49" s="3">
        <v>22.4615906030511</v>
      </c>
      <c r="C49" s="3">
        <v>16.370851383081401</v>
      </c>
      <c r="D49" s="3">
        <v>15.629074682320599</v>
      </c>
      <c r="E49" s="3">
        <v>14.2223580899837</v>
      </c>
      <c r="F49" s="3">
        <v>14.306577150591901</v>
      </c>
      <c r="G49" s="3">
        <v>20.224376876977399</v>
      </c>
      <c r="H49" s="3">
        <v>14.1292551417902</v>
      </c>
      <c r="I49" s="3">
        <v>23.366229577558599</v>
      </c>
      <c r="J49" s="3">
        <v>19.119224165829198</v>
      </c>
      <c r="K49" s="3">
        <v>15.612696251900999</v>
      </c>
      <c r="L49" s="3">
        <v>16.5893750068721</v>
      </c>
      <c r="M49" s="3">
        <v>16.828270239738899</v>
      </c>
      <c r="N49" s="3">
        <v>14.134232565194599</v>
      </c>
    </row>
    <row r="50" spans="1:14" x14ac:dyDescent="0.35">
      <c r="A50" s="2">
        <v>43264</v>
      </c>
      <c r="B50" s="3">
        <v>22.782088710484</v>
      </c>
      <c r="C50" s="3">
        <v>16.119002540691799</v>
      </c>
      <c r="D50" s="3">
        <v>15.5965017740533</v>
      </c>
      <c r="E50" s="3">
        <v>14.1807687047069</v>
      </c>
      <c r="F50" s="3">
        <v>14.204834602865599</v>
      </c>
      <c r="G50" s="3">
        <v>19.564409194028599</v>
      </c>
      <c r="H50" s="3">
        <v>13.9613793500304</v>
      </c>
      <c r="I50" s="3">
        <v>23.341192950816399</v>
      </c>
      <c r="J50" s="3">
        <v>18.936088219324599</v>
      </c>
      <c r="K50" s="3">
        <v>15.372235979157301</v>
      </c>
      <c r="L50" s="3">
        <v>16.721434779816001</v>
      </c>
      <c r="M50" s="3">
        <v>16.5153845948916</v>
      </c>
      <c r="N50" s="3">
        <v>13.535345147535899</v>
      </c>
    </row>
    <row r="51" spans="1:14" x14ac:dyDescent="0.35">
      <c r="A51" s="2">
        <v>43294</v>
      </c>
      <c r="B51" s="3">
        <v>22.922128245239101</v>
      </c>
      <c r="C51" s="3">
        <v>16.324867049336</v>
      </c>
      <c r="D51" s="3">
        <v>15.5761536672732</v>
      </c>
      <c r="E51" s="3">
        <v>14.0322196984777</v>
      </c>
      <c r="F51" s="3">
        <v>13.8786754005506</v>
      </c>
      <c r="G51" s="3">
        <v>19.321293887011699</v>
      </c>
      <c r="H51" s="3">
        <v>13.837812378318</v>
      </c>
      <c r="I51" s="3">
        <v>23.3931313026631</v>
      </c>
      <c r="J51" s="3">
        <v>18.750765336043202</v>
      </c>
      <c r="K51" s="3">
        <v>15.2903902974495</v>
      </c>
      <c r="L51" s="3">
        <v>16.629085645329798</v>
      </c>
      <c r="M51" s="3">
        <v>16.466578610599701</v>
      </c>
      <c r="N51" s="3">
        <v>13.2622659063843</v>
      </c>
    </row>
    <row r="52" spans="1:14" x14ac:dyDescent="0.35">
      <c r="A52" s="2">
        <v>43325</v>
      </c>
      <c r="B52" s="3">
        <v>22.9884954892708</v>
      </c>
      <c r="C52" s="3">
        <v>16.2626889938992</v>
      </c>
      <c r="D52" s="3">
        <v>15.3515777796484</v>
      </c>
      <c r="E52" s="3">
        <v>13.9493816145777</v>
      </c>
      <c r="F52" s="3">
        <v>13.512540098574</v>
      </c>
      <c r="G52" s="3">
        <v>18.936064492241499</v>
      </c>
      <c r="H52" s="3">
        <v>13.750730513536499</v>
      </c>
      <c r="I52" s="3">
        <v>23.080976923129999</v>
      </c>
      <c r="J52" s="3">
        <v>18.517087749563601</v>
      </c>
      <c r="K52" s="3">
        <v>15.076008687595101</v>
      </c>
      <c r="L52" s="3">
        <v>16.589043236289399</v>
      </c>
      <c r="M52" s="3">
        <v>16.546515253841701</v>
      </c>
      <c r="N52" s="3">
        <v>12.840716361788701</v>
      </c>
    </row>
    <row r="53" spans="1:14" x14ac:dyDescent="0.35">
      <c r="A53" s="2">
        <v>43356</v>
      </c>
      <c r="B53" s="3">
        <v>23.536323035729101</v>
      </c>
      <c r="C53" s="3">
        <v>15.9492070614026</v>
      </c>
      <c r="D53" s="3">
        <v>15.017703598953201</v>
      </c>
      <c r="E53" s="3">
        <v>13.7918104760047</v>
      </c>
      <c r="F53" s="3">
        <v>13.457954588396399</v>
      </c>
      <c r="G53" s="3">
        <v>18.645335267448299</v>
      </c>
      <c r="H53" s="3">
        <v>13.353457218617899</v>
      </c>
      <c r="I53" s="3">
        <v>23.181634869758199</v>
      </c>
      <c r="J53" s="3">
        <v>18.621936352826499</v>
      </c>
      <c r="K53" s="3">
        <v>14.855897615444301</v>
      </c>
      <c r="L53" s="3">
        <v>16.257829461461</v>
      </c>
      <c r="M53" s="3">
        <v>16.604817364408401</v>
      </c>
      <c r="N53" s="3">
        <v>12.4970784398138</v>
      </c>
    </row>
    <row r="54" spans="1:14" x14ac:dyDescent="0.35">
      <c r="A54" s="2">
        <v>43385</v>
      </c>
      <c r="B54" s="3">
        <v>22.730182309972001</v>
      </c>
      <c r="C54" s="3">
        <v>15.414780971712</v>
      </c>
      <c r="D54" s="3">
        <v>14.5102549502659</v>
      </c>
      <c r="E54" s="3">
        <v>13.249230370718101</v>
      </c>
      <c r="F54" s="3">
        <v>13.2519175787343</v>
      </c>
      <c r="G54" s="3">
        <v>17.644374815760099</v>
      </c>
      <c r="H54" s="3">
        <v>12.9027782632447</v>
      </c>
      <c r="I54" s="3">
        <v>22.112471239716999</v>
      </c>
      <c r="J54" s="3">
        <v>17.814910955459801</v>
      </c>
      <c r="K54" s="3">
        <v>14.224698213193999</v>
      </c>
      <c r="L54" s="3">
        <v>15.4917908262192</v>
      </c>
      <c r="M54" s="3">
        <v>15.6954705019185</v>
      </c>
      <c r="N54" s="3">
        <v>11.640564339924</v>
      </c>
    </row>
    <row r="55" spans="1:14" x14ac:dyDescent="0.35">
      <c r="A55" s="2">
        <v>43417</v>
      </c>
      <c r="B55" s="3">
        <v>22.965049592517499</v>
      </c>
      <c r="C55" s="3">
        <v>15.2767577831374</v>
      </c>
      <c r="D55" s="3">
        <v>14.0830488325443</v>
      </c>
      <c r="E55" s="3">
        <v>13.104373224430701</v>
      </c>
      <c r="F55" s="3">
        <v>12.6924279903707</v>
      </c>
      <c r="G55" s="3">
        <v>17.816780595905001</v>
      </c>
      <c r="H55" s="3">
        <v>12.837688686009701</v>
      </c>
      <c r="I55" s="3">
        <v>20.622085670992099</v>
      </c>
      <c r="J55" s="3">
        <v>17.203563873897199</v>
      </c>
      <c r="K55" s="3">
        <v>14.124143710916099</v>
      </c>
      <c r="L55" s="3">
        <v>15.7029461414691</v>
      </c>
      <c r="M55" s="3">
        <v>15.100718199669499</v>
      </c>
      <c r="N55" s="3">
        <v>11.430424812637201</v>
      </c>
    </row>
    <row r="56" spans="1:14" x14ac:dyDescent="0.35">
      <c r="A56" s="2">
        <v>43447</v>
      </c>
      <c r="B56" s="3">
        <v>22.867338165425402</v>
      </c>
      <c r="C56" s="3">
        <v>14.7802990434887</v>
      </c>
      <c r="D56" s="3">
        <v>13.6290651006058</v>
      </c>
      <c r="E56" s="3">
        <v>12.564919794526499</v>
      </c>
      <c r="F56" s="3">
        <v>12.458955683893199</v>
      </c>
      <c r="G56" s="3">
        <v>17.180060520012699</v>
      </c>
      <c r="H56" s="3">
        <v>12.2722914883503</v>
      </c>
      <c r="I56" s="3">
        <v>20.099055004824201</v>
      </c>
      <c r="J56" s="3">
        <v>16.522376503112302</v>
      </c>
      <c r="K56" s="3">
        <v>13.4764949624905</v>
      </c>
      <c r="L56" s="3">
        <v>14.9923872517882</v>
      </c>
      <c r="M56" s="3">
        <v>14.449810946683501</v>
      </c>
      <c r="N56" s="3">
        <v>10.9541326764414</v>
      </c>
    </row>
    <row r="57" spans="1:14" x14ac:dyDescent="0.35">
      <c r="A57" s="2">
        <v>43476</v>
      </c>
      <c r="B57" s="3">
        <v>23.2702327107766</v>
      </c>
      <c r="C57" s="3">
        <v>14.9955251256875</v>
      </c>
      <c r="D57" s="3">
        <v>13.730512975445199</v>
      </c>
      <c r="E57" s="3">
        <v>12.428601960199099</v>
      </c>
      <c r="F57" s="3">
        <v>11.791634012400801</v>
      </c>
      <c r="G57" s="3">
        <v>16.970166277381999</v>
      </c>
      <c r="H57" s="3">
        <v>12.303393323161901</v>
      </c>
      <c r="I57" s="3">
        <v>19.547982918936601</v>
      </c>
      <c r="J57" s="3">
        <v>16.0581802784709</v>
      </c>
      <c r="K57" s="3">
        <v>13.1270548197616</v>
      </c>
      <c r="L57" s="3">
        <v>14.670371538714001</v>
      </c>
      <c r="M57" s="3">
        <v>14.482977662131301</v>
      </c>
      <c r="N57" s="3">
        <v>10.924546920709499</v>
      </c>
    </row>
    <row r="58" spans="1:14" x14ac:dyDescent="0.35">
      <c r="A58" s="2">
        <v>43509</v>
      </c>
      <c r="B58" s="3">
        <v>24.1621774130004</v>
      </c>
      <c r="C58" s="3">
        <v>15.6559801755776</v>
      </c>
      <c r="D58" s="3">
        <v>14.751319658405301</v>
      </c>
      <c r="E58" s="3">
        <v>12.883307936479101</v>
      </c>
      <c r="F58" s="3">
        <v>12.465563938195499</v>
      </c>
      <c r="G58" s="3">
        <v>17.710750548741899</v>
      </c>
      <c r="H58" s="3">
        <v>12.7856044415234</v>
      </c>
      <c r="I58" s="3">
        <v>20.6595451928311</v>
      </c>
      <c r="J58" s="3">
        <v>16.927069642544499</v>
      </c>
      <c r="K58" s="3">
        <v>13.9959467503631</v>
      </c>
      <c r="L58" s="3">
        <v>15.746124505019401</v>
      </c>
      <c r="M58" s="3">
        <v>17.147620587182502</v>
      </c>
      <c r="N58" s="3">
        <v>11.0535185979235</v>
      </c>
    </row>
    <row r="59" spans="1:14" x14ac:dyDescent="0.35">
      <c r="A59" s="2">
        <v>43537</v>
      </c>
      <c r="B59" s="3">
        <v>24.078151555790001</v>
      </c>
      <c r="C59" s="3">
        <v>15.862645334199501</v>
      </c>
      <c r="D59" s="3">
        <v>14.736011706985</v>
      </c>
      <c r="E59" s="3">
        <v>13.206713477794599</v>
      </c>
      <c r="F59" s="3">
        <v>12.680047825754</v>
      </c>
      <c r="G59" s="3">
        <v>18.293362070776599</v>
      </c>
      <c r="H59" s="3">
        <v>12.9332659971328</v>
      </c>
      <c r="I59" s="3">
        <v>20.958138001914101</v>
      </c>
      <c r="J59" s="3">
        <v>17.116815426779599</v>
      </c>
      <c r="K59" s="3">
        <v>14.5623980334225</v>
      </c>
      <c r="L59" s="3">
        <v>16.125895023624501</v>
      </c>
      <c r="M59" s="3">
        <v>18.027601350102199</v>
      </c>
      <c r="N59" s="3">
        <v>11.2791958666872</v>
      </c>
    </row>
    <row r="60" spans="1:14" x14ac:dyDescent="0.35">
      <c r="A60" s="2">
        <v>43567</v>
      </c>
      <c r="B60" s="3">
        <v>24.077491238826799</v>
      </c>
      <c r="C60" s="3">
        <v>15.8579386987641</v>
      </c>
      <c r="D60" s="3">
        <v>14.7010571244936</v>
      </c>
      <c r="E60" s="3">
        <v>13.2891373410779</v>
      </c>
      <c r="F60" s="3">
        <v>12.7270650621839</v>
      </c>
      <c r="G60" s="3">
        <v>18.2895294226761</v>
      </c>
      <c r="H60" s="3">
        <v>13.023160989523801</v>
      </c>
      <c r="I60" s="3">
        <v>21.237585178393299</v>
      </c>
      <c r="J60" s="3">
        <v>17.257952370920201</v>
      </c>
      <c r="K60" s="3">
        <v>14.635346883748101</v>
      </c>
      <c r="L60" s="3">
        <v>16.251727639303802</v>
      </c>
      <c r="M60" s="3">
        <v>17.8625117461428</v>
      </c>
      <c r="N60" s="3">
        <v>11.350617872666099</v>
      </c>
    </row>
    <row r="61" spans="1:14" x14ac:dyDescent="0.35">
      <c r="A61" s="2">
        <v>43598</v>
      </c>
      <c r="B61" s="3">
        <v>24.271479888015602</v>
      </c>
      <c r="C61" s="3">
        <v>15.846346671408901</v>
      </c>
      <c r="D61" s="3">
        <v>14.459416858211499</v>
      </c>
      <c r="E61" s="3">
        <v>13.1992217919352</v>
      </c>
      <c r="F61" s="3">
        <v>12.602118658409299</v>
      </c>
      <c r="G61" s="3">
        <v>18.0170626429843</v>
      </c>
      <c r="H61" s="3">
        <v>12.8342137292874</v>
      </c>
      <c r="I61" s="3">
        <v>21.017259987485801</v>
      </c>
      <c r="J61" s="3">
        <v>17.041311670374899</v>
      </c>
      <c r="K61" s="3">
        <v>14.3961770246101</v>
      </c>
      <c r="L61" s="3">
        <v>16.071724557511999</v>
      </c>
      <c r="M61" s="3">
        <v>17.429202945491699</v>
      </c>
      <c r="N61" s="3">
        <v>11.093493394054899</v>
      </c>
    </row>
    <row r="62" spans="1:14" x14ac:dyDescent="0.35">
      <c r="A62" s="2">
        <v>43629</v>
      </c>
      <c r="B62" s="3">
        <v>24.316622023318601</v>
      </c>
      <c r="C62" s="3">
        <v>16.0933713044586</v>
      </c>
      <c r="D62" s="3">
        <v>14.4238110738301</v>
      </c>
      <c r="E62" s="3">
        <v>13.236905413469</v>
      </c>
      <c r="F62" s="3">
        <v>12.7548885304622</v>
      </c>
      <c r="G62" s="3">
        <v>18.291280762971301</v>
      </c>
      <c r="H62" s="3">
        <v>12.969532032999</v>
      </c>
      <c r="I62" s="3">
        <v>21.271468374458902</v>
      </c>
      <c r="J62" s="3">
        <v>17.220648955274498</v>
      </c>
      <c r="K62" s="3">
        <v>14.485484791197701</v>
      </c>
      <c r="L62" s="3">
        <v>16.284525204134699</v>
      </c>
      <c r="M62" s="3">
        <v>17.189107732233602</v>
      </c>
      <c r="N62" s="3">
        <v>11.0016390503922</v>
      </c>
    </row>
    <row r="63" spans="1:14" x14ac:dyDescent="0.35">
      <c r="A63" s="2">
        <v>43658</v>
      </c>
      <c r="B63" s="3">
        <v>25.0577862933579</v>
      </c>
      <c r="C63" s="3">
        <v>16.265298083520602</v>
      </c>
      <c r="D63" s="3">
        <v>14.483195724719399</v>
      </c>
      <c r="E63" s="3">
        <v>13.4989856607263</v>
      </c>
      <c r="F63" s="3">
        <v>12.984453869151301</v>
      </c>
      <c r="G63" s="3">
        <v>18.245574163258201</v>
      </c>
      <c r="H63" s="3">
        <v>13.111456581266101</v>
      </c>
      <c r="I63" s="3">
        <v>22.071574185996599</v>
      </c>
      <c r="J63" s="3">
        <v>17.689154659421799</v>
      </c>
      <c r="K63" s="3">
        <v>14.792285541703601</v>
      </c>
      <c r="L63" s="3">
        <v>16.438043175378802</v>
      </c>
      <c r="M63" s="3">
        <v>17.1068951540671</v>
      </c>
      <c r="N63" s="3">
        <v>11.3631178857439</v>
      </c>
    </row>
    <row r="64" spans="1:14" x14ac:dyDescent="0.35">
      <c r="A64" s="2">
        <v>43690</v>
      </c>
      <c r="B64" s="3">
        <v>25.424921755856701</v>
      </c>
      <c r="C64" s="3">
        <v>16.255926974574599</v>
      </c>
      <c r="D64" s="3">
        <v>14.400378880206899</v>
      </c>
      <c r="E64" s="3">
        <v>13.327908974849301</v>
      </c>
      <c r="F64" s="3">
        <v>12.6594022904562</v>
      </c>
      <c r="G64" s="3">
        <v>18.2142467934843</v>
      </c>
      <c r="H64" s="3">
        <v>12.7696314603571</v>
      </c>
      <c r="I64" s="3">
        <v>21.834118186062401</v>
      </c>
      <c r="J64" s="3">
        <v>17.501207991330801</v>
      </c>
      <c r="K64" s="3">
        <v>14.567802948724401</v>
      </c>
      <c r="L64" s="3">
        <v>16.247277268526599</v>
      </c>
      <c r="M64" s="3">
        <v>15.9679283127921</v>
      </c>
      <c r="N64" s="3">
        <v>10.868161100036099</v>
      </c>
    </row>
    <row r="65" spans="1:14" x14ac:dyDescent="0.35">
      <c r="A65" s="2">
        <v>43721</v>
      </c>
      <c r="B65" s="3">
        <v>28.559821367191901</v>
      </c>
      <c r="C65" s="3">
        <v>16.7062563116354</v>
      </c>
      <c r="D65" s="3">
        <v>14.640082243663301</v>
      </c>
      <c r="E65" s="3">
        <v>14.068447523148301</v>
      </c>
      <c r="F65" s="3">
        <v>13.514227393476499</v>
      </c>
      <c r="G65" s="3">
        <v>18.465557327479999</v>
      </c>
      <c r="H65" s="3">
        <v>13.125952189240801</v>
      </c>
      <c r="I65" s="3">
        <v>22.294234821539501</v>
      </c>
      <c r="J65" s="3">
        <v>17.904649289683199</v>
      </c>
      <c r="K65" s="3">
        <v>15.1215960365358</v>
      </c>
      <c r="L65" s="3">
        <v>17.138557786234902</v>
      </c>
      <c r="M65" s="3">
        <v>16.439827114261899</v>
      </c>
      <c r="N65" s="3">
        <v>11.3828438390413</v>
      </c>
    </row>
    <row r="66" spans="1:14" x14ac:dyDescent="0.35">
      <c r="A66" s="2">
        <v>43749</v>
      </c>
      <c r="B66" s="3">
        <v>28.712591973249499</v>
      </c>
      <c r="C66" s="3">
        <v>16.817885529516101</v>
      </c>
      <c r="D66" s="3">
        <v>14.561994378523099</v>
      </c>
      <c r="E66" s="3">
        <v>14.2074658759574</v>
      </c>
      <c r="F66" s="3">
        <v>13.5026267323471</v>
      </c>
      <c r="G66" s="3">
        <v>18.423805499766502</v>
      </c>
      <c r="H66" s="3">
        <v>13.120744372717001</v>
      </c>
      <c r="I66" s="3">
        <v>22.359016129461502</v>
      </c>
      <c r="J66" s="3">
        <v>17.925877090943398</v>
      </c>
      <c r="K66" s="3">
        <v>15.2320561854942</v>
      </c>
      <c r="L66" s="3">
        <v>17.209138214964899</v>
      </c>
      <c r="M66" s="3">
        <v>16.470651656617498</v>
      </c>
      <c r="N66" s="3">
        <v>11.4178771454536</v>
      </c>
    </row>
    <row r="67" spans="1:14" x14ac:dyDescent="0.35">
      <c r="A67" s="2">
        <v>43782</v>
      </c>
      <c r="B67" s="3">
        <v>28.907109655095301</v>
      </c>
      <c r="C67" s="3">
        <v>17.394367798183598</v>
      </c>
      <c r="D67" s="3">
        <v>15.083811632477101</v>
      </c>
      <c r="E67" s="3">
        <v>15.1302869925974</v>
      </c>
      <c r="F67" s="3">
        <v>14.466384355129399</v>
      </c>
      <c r="G67" s="3">
        <v>18.860834927957999</v>
      </c>
      <c r="H67" s="3">
        <v>13.416666435757501</v>
      </c>
      <c r="I67" s="3">
        <v>23.472278641934501</v>
      </c>
      <c r="J67" s="3">
        <v>18.690813046618299</v>
      </c>
      <c r="K67" s="3">
        <v>15.999387645693901</v>
      </c>
      <c r="L67" s="3">
        <v>17.9204230371233</v>
      </c>
      <c r="M67" s="3">
        <v>16.962046654885501</v>
      </c>
      <c r="N67" s="3">
        <v>12.0153598341587</v>
      </c>
    </row>
    <row r="68" spans="1:14" x14ac:dyDescent="0.35">
      <c r="A68" s="2">
        <v>43812</v>
      </c>
      <c r="B68" s="3">
        <v>31.3729911298711</v>
      </c>
      <c r="C68" s="3">
        <v>17.691391181435002</v>
      </c>
      <c r="D68" s="3">
        <v>15.158617801813</v>
      </c>
      <c r="E68" s="3">
        <v>15.4104144504806</v>
      </c>
      <c r="F68" s="3">
        <v>15.3019185915254</v>
      </c>
      <c r="G68" s="3">
        <v>19.178793750258802</v>
      </c>
      <c r="H68" s="3">
        <v>13.787266551030401</v>
      </c>
      <c r="I68" s="3">
        <v>24.511009997593899</v>
      </c>
      <c r="J68" s="3">
        <v>19.338120895326099</v>
      </c>
      <c r="K68" s="3">
        <v>16.225610013948</v>
      </c>
      <c r="L68" s="3">
        <v>18.461589604733302</v>
      </c>
      <c r="M68" s="3">
        <v>16.124275480742199</v>
      </c>
      <c r="N68" s="3">
        <v>11.967960341724201</v>
      </c>
    </row>
    <row r="69" spans="1:14" x14ac:dyDescent="0.35">
      <c r="A69" s="2">
        <v>43843</v>
      </c>
      <c r="B69" s="3">
        <v>32.267252869184198</v>
      </c>
      <c r="C69" s="3">
        <v>18.214614941845301</v>
      </c>
      <c r="D69" s="3">
        <v>15.4174572400345</v>
      </c>
      <c r="E69" s="3">
        <v>15.723295994003401</v>
      </c>
      <c r="F69" s="3">
        <v>15.453918711132699</v>
      </c>
      <c r="G69" s="3">
        <v>19.6051311240488</v>
      </c>
      <c r="H69" s="3">
        <v>14.210069796449501</v>
      </c>
      <c r="I69" s="3">
        <v>26.345247750758698</v>
      </c>
      <c r="J69" s="3">
        <v>20.194126309604201</v>
      </c>
      <c r="K69" s="3">
        <v>16.6196608025279</v>
      </c>
      <c r="L69" s="3">
        <v>18.696833359007201</v>
      </c>
      <c r="M69" s="3">
        <v>16.4488226570394</v>
      </c>
      <c r="N69" s="3">
        <v>12.2467817657152</v>
      </c>
    </row>
    <row r="70" spans="1:14" x14ac:dyDescent="0.35">
      <c r="A70" s="2">
        <v>43874</v>
      </c>
      <c r="B70" s="3">
        <v>33.489551912110002</v>
      </c>
      <c r="C70" s="3">
        <v>18.807214305070801</v>
      </c>
      <c r="D70" s="3">
        <v>15.756457901432199</v>
      </c>
      <c r="E70" s="3">
        <v>16.270162452936201</v>
      </c>
      <c r="F70" s="3">
        <v>15.4200647467762</v>
      </c>
      <c r="G70" s="3">
        <v>19.998716109382499</v>
      </c>
      <c r="H70" s="3">
        <v>13.9563660322508</v>
      </c>
      <c r="I70" s="3">
        <v>27.1127152614491</v>
      </c>
      <c r="J70" s="3">
        <v>20.486484143203601</v>
      </c>
      <c r="K70" s="3">
        <v>16.7062627468557</v>
      </c>
      <c r="L70" s="3">
        <v>19.859886582882201</v>
      </c>
      <c r="M70" s="3">
        <v>14.538890807463</v>
      </c>
      <c r="N70" s="3">
        <v>12.7747632243036</v>
      </c>
    </row>
    <row r="71" spans="1:14" x14ac:dyDescent="0.35">
      <c r="A71" s="2">
        <v>43903</v>
      </c>
      <c r="B71" s="3">
        <v>30.223776917972401</v>
      </c>
      <c r="C71" s="3">
        <v>16.500958625637299</v>
      </c>
      <c r="D71" s="3">
        <v>14.0171229787097</v>
      </c>
      <c r="E71" s="3">
        <v>13.4496531080948</v>
      </c>
      <c r="F71" s="3">
        <v>13.5416684257252</v>
      </c>
      <c r="G71" s="3">
        <v>17.4910328649663</v>
      </c>
      <c r="H71" s="3">
        <v>11.9796715863848</v>
      </c>
      <c r="I71" s="3">
        <v>23.529123029893999</v>
      </c>
      <c r="J71" s="3">
        <v>17.644633733764302</v>
      </c>
      <c r="K71" s="3">
        <v>14.1193430828462</v>
      </c>
      <c r="L71" s="3">
        <v>16.6897483665973</v>
      </c>
      <c r="M71" s="3">
        <v>12.5449837315607</v>
      </c>
      <c r="N71" s="3">
        <v>10.8037466285777</v>
      </c>
    </row>
    <row r="72" spans="1:14" x14ac:dyDescent="0.35">
      <c r="A72" s="2">
        <v>43934</v>
      </c>
      <c r="B72" s="3">
        <v>30.740735828705901</v>
      </c>
      <c r="C72" s="3">
        <v>16.782325849327599</v>
      </c>
      <c r="D72" s="3">
        <v>14.719005147185101</v>
      </c>
      <c r="E72" s="3">
        <v>14.2793709568494</v>
      </c>
      <c r="F72" s="3">
        <v>13.8716230321811</v>
      </c>
      <c r="G72" s="3">
        <v>18.1239154677145</v>
      </c>
      <c r="H72" s="3">
        <v>12.8421927669546</v>
      </c>
      <c r="I72" s="3">
        <v>24.050713625175799</v>
      </c>
      <c r="J72" s="3">
        <v>18.277283027240198</v>
      </c>
      <c r="K72" s="3">
        <v>14.986389215725801</v>
      </c>
      <c r="L72" s="3">
        <v>17.295772559364501</v>
      </c>
      <c r="M72" s="3">
        <v>13.782984986912</v>
      </c>
      <c r="N72" s="3">
        <v>11.4067698529858</v>
      </c>
    </row>
    <row r="73" spans="1:14" x14ac:dyDescent="0.35">
      <c r="A73" s="2">
        <v>43964</v>
      </c>
      <c r="B73" s="3">
        <v>32.201393370371797</v>
      </c>
      <c r="C73" s="3">
        <v>17.399667770100798</v>
      </c>
      <c r="D73" s="3">
        <v>16.261898169364802</v>
      </c>
      <c r="E73" s="3">
        <v>15.1771881096776</v>
      </c>
      <c r="F73" s="3">
        <v>14.5083024960276</v>
      </c>
      <c r="G73" s="3">
        <v>18.755932835741401</v>
      </c>
      <c r="H73" s="3">
        <v>13.898535154343699</v>
      </c>
      <c r="I73" s="3">
        <v>25.4915256609377</v>
      </c>
      <c r="J73" s="3">
        <v>19.470706121350702</v>
      </c>
      <c r="K73" s="3">
        <v>15.9532611328548</v>
      </c>
      <c r="L73" s="3">
        <v>17.961488161137101</v>
      </c>
      <c r="M73" s="3">
        <v>15.2664532628635</v>
      </c>
      <c r="N73" s="3">
        <v>13.4562399400701</v>
      </c>
    </row>
    <row r="74" spans="1:14" x14ac:dyDescent="0.35">
      <c r="A74" s="2">
        <v>43994</v>
      </c>
      <c r="B74" s="3">
        <v>32.077754467608798</v>
      </c>
      <c r="C74" s="3">
        <v>18.298232114856098</v>
      </c>
      <c r="D74" s="3">
        <v>17.0070582743184</v>
      </c>
      <c r="E74" s="3">
        <v>16.8837185007981</v>
      </c>
      <c r="F74" s="3">
        <v>16.3134710553222</v>
      </c>
      <c r="G74" s="3">
        <v>19.083678442177</v>
      </c>
      <c r="H74" s="3">
        <v>14.836807734409399</v>
      </c>
      <c r="I74" s="3">
        <v>26.846078097810501</v>
      </c>
      <c r="J74" s="3">
        <v>20.652926900225001</v>
      </c>
      <c r="K74" s="3">
        <v>17.636580802125099</v>
      </c>
      <c r="L74" s="3">
        <v>19.0325354546946</v>
      </c>
      <c r="M74" s="3">
        <v>16.200197245481199</v>
      </c>
      <c r="N74" s="3">
        <v>15.4533738878511</v>
      </c>
    </row>
    <row r="75" spans="1:14" x14ac:dyDescent="0.35">
      <c r="A75" s="2">
        <v>44025</v>
      </c>
      <c r="B75" s="3">
        <v>33.309797326031898</v>
      </c>
      <c r="C75" s="3">
        <v>18.687209299650402</v>
      </c>
      <c r="D75" s="3">
        <v>17.526668290544201</v>
      </c>
      <c r="E75" s="3">
        <v>18.6733890413011</v>
      </c>
      <c r="F75" s="3">
        <v>17.422436588453301</v>
      </c>
      <c r="G75" s="3">
        <v>19.9810938524605</v>
      </c>
      <c r="H75" s="3">
        <v>15.386964529303899</v>
      </c>
      <c r="I75" s="3">
        <v>28.619679795439399</v>
      </c>
      <c r="J75" s="3">
        <v>21.7263208067181</v>
      </c>
      <c r="K75" s="3">
        <v>19.7143793806849</v>
      </c>
      <c r="L75" s="3">
        <v>20.3254113691629</v>
      </c>
      <c r="M75" s="3">
        <v>18.1497513539158</v>
      </c>
      <c r="N75" s="3">
        <v>17.0203969382225</v>
      </c>
    </row>
    <row r="76" spans="1:14" x14ac:dyDescent="0.35">
      <c r="A76" s="2">
        <v>44056</v>
      </c>
      <c r="B76" s="3">
        <v>33.764551827354502</v>
      </c>
      <c r="C76" s="3">
        <v>19.548235656185501</v>
      </c>
      <c r="D76" s="3">
        <v>18.191367149845</v>
      </c>
      <c r="E76" s="3">
        <v>19.585061028692198</v>
      </c>
      <c r="F76" s="3">
        <v>18.146048489477</v>
      </c>
      <c r="G76" s="3">
        <v>20.443499199342501</v>
      </c>
      <c r="H76" s="3">
        <v>16.436026023793001</v>
      </c>
      <c r="I76" s="3">
        <v>29.3057638387955</v>
      </c>
      <c r="J76" s="3">
        <v>22.7577442172589</v>
      </c>
      <c r="K76" s="3">
        <v>22.250127293871898</v>
      </c>
      <c r="L76" s="3">
        <v>21.0324451439947</v>
      </c>
      <c r="M76" s="3">
        <v>17.8458093409632</v>
      </c>
      <c r="N76" s="3">
        <v>17.9243443576045</v>
      </c>
    </row>
    <row r="77" spans="1:14" x14ac:dyDescent="0.35">
      <c r="A77" s="2">
        <v>44085</v>
      </c>
      <c r="B77" s="3">
        <v>33.7593155996043</v>
      </c>
      <c r="C77" s="3">
        <v>19.209427890328602</v>
      </c>
      <c r="D77" s="3">
        <v>18.215291526295299</v>
      </c>
      <c r="E77" s="3">
        <v>20.441463049558099</v>
      </c>
      <c r="F77" s="3">
        <v>19.5249453821875</v>
      </c>
      <c r="G77" s="3">
        <v>20.8774630508209</v>
      </c>
      <c r="H77" s="3">
        <v>16.7737634359504</v>
      </c>
      <c r="I77" s="3">
        <v>29.758948895246299</v>
      </c>
      <c r="J77" s="3">
        <v>23.0686106960665</v>
      </c>
      <c r="K77" s="3">
        <v>23.2316284651282</v>
      </c>
      <c r="L77" s="3">
        <v>21.524317427225199</v>
      </c>
      <c r="M77" s="3">
        <v>17.7061851474242</v>
      </c>
      <c r="N77" s="3">
        <v>18.2445832226643</v>
      </c>
    </row>
    <row r="78" spans="1:14" x14ac:dyDescent="0.35">
      <c r="A78" s="2">
        <v>44117</v>
      </c>
      <c r="B78" s="3">
        <v>35.4227440561232</v>
      </c>
      <c r="C78" s="3">
        <v>20.126225941147599</v>
      </c>
      <c r="D78" s="3">
        <v>18.854017161869901</v>
      </c>
      <c r="E78" s="3">
        <v>20.736924110797201</v>
      </c>
      <c r="F78" s="3">
        <v>20.607518407932599</v>
      </c>
      <c r="G78" s="3">
        <v>21.127979640546801</v>
      </c>
      <c r="H78" s="3">
        <v>17.119366161111</v>
      </c>
      <c r="I78" s="3">
        <v>32.618208027537101</v>
      </c>
      <c r="J78" s="3">
        <v>24.545311908326202</v>
      </c>
      <c r="K78" s="3">
        <v>24.051660176410799</v>
      </c>
      <c r="L78" s="3">
        <v>22.9568777573757</v>
      </c>
      <c r="M78" s="3">
        <v>18.3547680104409</v>
      </c>
      <c r="N78" s="3">
        <v>18.984875210437899</v>
      </c>
    </row>
    <row r="79" spans="1:14" x14ac:dyDescent="0.35">
      <c r="A79" s="2">
        <v>44148</v>
      </c>
      <c r="B79" s="3">
        <v>36.065183193669</v>
      </c>
      <c r="C79" s="3">
        <v>21.158367907748399</v>
      </c>
      <c r="D79" s="3">
        <v>19.1834456162841</v>
      </c>
      <c r="E79" s="3">
        <v>20.534644057143701</v>
      </c>
      <c r="F79" s="3">
        <v>21.715572196722</v>
      </c>
      <c r="G79" s="3">
        <v>21.198792584171098</v>
      </c>
      <c r="H79" s="3">
        <v>18.300762229555499</v>
      </c>
      <c r="I79" s="3">
        <v>32.000507923938599</v>
      </c>
      <c r="J79" s="3">
        <v>24.8600215202272</v>
      </c>
      <c r="K79" s="3">
        <v>26.759068998752301</v>
      </c>
      <c r="L79" s="3">
        <v>24.584009647068399</v>
      </c>
      <c r="M79" s="3">
        <v>16.689221396711901</v>
      </c>
      <c r="N79" s="3">
        <v>20.529622003030301</v>
      </c>
    </row>
    <row r="80" spans="1:14" x14ac:dyDescent="0.35">
      <c r="A80" s="2">
        <v>44176</v>
      </c>
      <c r="B80" s="3">
        <v>37.121253672062601</v>
      </c>
      <c r="C80" s="3">
        <v>22.528460991955999</v>
      </c>
      <c r="D80" s="3">
        <v>20.211759591420002</v>
      </c>
      <c r="E80" s="3">
        <v>20.7392148199832</v>
      </c>
      <c r="F80" s="3">
        <v>22.732381341255401</v>
      </c>
      <c r="G80" s="3">
        <v>21.082547609437899</v>
      </c>
      <c r="H80" s="3">
        <v>19.283586066307201</v>
      </c>
      <c r="I80" s="3">
        <v>33.705663456505597</v>
      </c>
      <c r="J80" s="3">
        <v>25.799554263603</v>
      </c>
      <c r="K80" s="3">
        <v>27.872952212046499</v>
      </c>
      <c r="L80" s="3">
        <v>25.980191050456099</v>
      </c>
      <c r="M80" s="3">
        <v>17.415634061862999</v>
      </c>
      <c r="N80" s="3">
        <v>22.271072725982801</v>
      </c>
    </row>
    <row r="81" spans="1:14" x14ac:dyDescent="0.35">
      <c r="A81" s="2">
        <v>44209</v>
      </c>
      <c r="B81" s="3">
        <v>37.856820831323098</v>
      </c>
      <c r="C81" s="3">
        <v>23.2826760368674</v>
      </c>
      <c r="D81" s="3">
        <v>21.186967938680201</v>
      </c>
      <c r="E81" s="3">
        <v>22.1809063715795</v>
      </c>
      <c r="F81" s="3">
        <v>24.037144818848599</v>
      </c>
      <c r="G81" s="3">
        <v>22.02842805021</v>
      </c>
      <c r="H81" s="3">
        <v>20.2181772161384</v>
      </c>
      <c r="I81" s="3">
        <v>35.215358293188601</v>
      </c>
      <c r="J81" s="3">
        <v>27.576427163966098</v>
      </c>
      <c r="K81" s="3">
        <v>29.100227669294199</v>
      </c>
      <c r="L81" s="3">
        <v>28.010913896565601</v>
      </c>
      <c r="M81" s="3">
        <v>19.020787827342001</v>
      </c>
      <c r="N81" s="3">
        <v>23.887448432212299</v>
      </c>
    </row>
    <row r="82" spans="1:14" x14ac:dyDescent="0.35">
      <c r="A82" s="2">
        <v>44239</v>
      </c>
      <c r="B82" s="3">
        <v>34.9563876207825</v>
      </c>
      <c r="C82" s="3">
        <v>22.937427705351102</v>
      </c>
      <c r="D82" s="3">
        <v>20.976142993367901</v>
      </c>
      <c r="E82" s="3">
        <v>21.463579160509401</v>
      </c>
      <c r="F82" s="3">
        <v>23.700848268224501</v>
      </c>
      <c r="G82" s="3">
        <v>21.246912300408098</v>
      </c>
      <c r="H82" s="3">
        <v>19.502636730780399</v>
      </c>
      <c r="I82" s="3">
        <v>35.596468553824401</v>
      </c>
      <c r="J82" s="3">
        <v>27.430274730116</v>
      </c>
      <c r="K82" s="3">
        <v>27.390124333887599</v>
      </c>
      <c r="L82" s="3">
        <v>29.898961082204298</v>
      </c>
      <c r="M82" s="3">
        <v>17.9855587435841</v>
      </c>
      <c r="N82" s="3">
        <v>20.6366449810922</v>
      </c>
    </row>
    <row r="83" spans="1:14" x14ac:dyDescent="0.35">
      <c r="A83" s="2">
        <v>44267</v>
      </c>
      <c r="B83" s="3">
        <v>34.442354958063603</v>
      </c>
      <c r="C83" s="3">
        <v>21.652438995592899</v>
      </c>
      <c r="D83" s="3">
        <v>19.8566267002582</v>
      </c>
      <c r="E83" s="3">
        <v>20.217652175691299</v>
      </c>
      <c r="F83" s="3">
        <v>21.592602997539</v>
      </c>
      <c r="G83" s="3">
        <v>20.464076937312399</v>
      </c>
      <c r="H83" s="3">
        <v>18.663367278929101</v>
      </c>
      <c r="I83" s="3">
        <v>32.743857583947097</v>
      </c>
      <c r="J83" s="3">
        <v>26.215167708130402</v>
      </c>
      <c r="K83" s="3">
        <v>26.834801558052298</v>
      </c>
      <c r="L83" s="3">
        <v>28.758283167673302</v>
      </c>
      <c r="M83" s="3">
        <v>18.289362744675199</v>
      </c>
      <c r="N83" s="3">
        <v>20.130979384569301</v>
      </c>
    </row>
    <row r="84" spans="1:14" x14ac:dyDescent="0.35">
      <c r="A84" s="2">
        <v>44299</v>
      </c>
      <c r="B84" s="3">
        <v>34.507916214361899</v>
      </c>
      <c r="C84" s="3">
        <v>21.220252235283301</v>
      </c>
      <c r="D84" s="3">
        <v>19.465774973576401</v>
      </c>
      <c r="E84" s="3">
        <v>19.929135952304399</v>
      </c>
      <c r="F84" s="3">
        <v>21.147388248013399</v>
      </c>
      <c r="G84" s="3">
        <v>20.5734478809247</v>
      </c>
      <c r="H84" s="3">
        <v>17.989822322843001</v>
      </c>
      <c r="I84" s="3">
        <v>32.929846139254401</v>
      </c>
      <c r="J84" s="3">
        <v>26.059828694927798</v>
      </c>
      <c r="K84" s="3">
        <v>25.977475146352699</v>
      </c>
      <c r="L84" s="3">
        <v>28.4209143746249</v>
      </c>
      <c r="M84" s="3">
        <v>18.7188791492426</v>
      </c>
      <c r="N84" s="3">
        <v>19.543556681778298</v>
      </c>
    </row>
    <row r="85" spans="1:14" x14ac:dyDescent="0.35">
      <c r="A85" s="2">
        <v>44329</v>
      </c>
      <c r="B85" s="3">
        <v>34.7574548808754</v>
      </c>
      <c r="C85" s="3">
        <v>20.748708055068999</v>
      </c>
      <c r="D85" s="3">
        <v>18.982856028014901</v>
      </c>
      <c r="E85" s="3">
        <v>19.018012726174401</v>
      </c>
      <c r="F85" s="3">
        <v>20.263447058846701</v>
      </c>
      <c r="G85" s="3">
        <v>20.369737140238801</v>
      </c>
      <c r="H85" s="3">
        <v>17.403040799006199</v>
      </c>
      <c r="I85" s="3">
        <v>31.359032196515798</v>
      </c>
      <c r="J85" s="3">
        <v>25.200684606091801</v>
      </c>
      <c r="K85" s="3">
        <v>24.952634430199399</v>
      </c>
      <c r="L85" s="3">
        <v>27.259814876152198</v>
      </c>
      <c r="M85" s="3">
        <v>17.759396920935899</v>
      </c>
      <c r="N85" s="3">
        <v>18.738015034769699</v>
      </c>
    </row>
    <row r="86" spans="1:14" x14ac:dyDescent="0.35">
      <c r="A86" s="2">
        <v>44358</v>
      </c>
      <c r="B86" s="3">
        <v>35.367087335165699</v>
      </c>
      <c r="C86" s="3">
        <v>20.573340417432298</v>
      </c>
      <c r="D86" s="3">
        <v>18.677681258182101</v>
      </c>
      <c r="E86" s="3">
        <v>18.748567137033302</v>
      </c>
      <c r="F86" s="3">
        <v>20.117824413330101</v>
      </c>
      <c r="G86" s="3">
        <v>20.8677443041449</v>
      </c>
      <c r="H86" s="3">
        <v>16.953976715968398</v>
      </c>
      <c r="I86" s="3">
        <v>31.558010404828</v>
      </c>
      <c r="J86" s="3">
        <v>24.998538881583599</v>
      </c>
      <c r="K86" s="3">
        <v>24.409192980051898</v>
      </c>
      <c r="L86" s="3">
        <v>27.073149352725999</v>
      </c>
      <c r="M86" s="3">
        <v>18.178453194401399</v>
      </c>
      <c r="N86" s="3">
        <v>18.478375208142499</v>
      </c>
    </row>
    <row r="87" spans="1:14" x14ac:dyDescent="0.35">
      <c r="A87" s="2">
        <v>44390</v>
      </c>
      <c r="B87" s="3">
        <v>36.617313239443398</v>
      </c>
      <c r="C87" s="3">
        <v>19.584203512163199</v>
      </c>
      <c r="D87" s="3">
        <v>18.218170246754902</v>
      </c>
      <c r="E87" s="3">
        <v>18.189570891713899</v>
      </c>
      <c r="F87" s="3">
        <v>19.6504144526528</v>
      </c>
      <c r="G87" s="3">
        <v>21.0334536184955</v>
      </c>
      <c r="H87" s="3">
        <v>16.101304249638499</v>
      </c>
      <c r="I87" s="3">
        <v>32.055025661822199</v>
      </c>
      <c r="J87" s="3">
        <v>24.791242837572199</v>
      </c>
      <c r="K87" s="3">
        <v>23.2219453330008</v>
      </c>
      <c r="L87" s="3">
        <v>26.445120539588601</v>
      </c>
      <c r="M87" s="3">
        <v>18.1431675466754</v>
      </c>
      <c r="N87" s="3">
        <v>17.659169342790701</v>
      </c>
    </row>
    <row r="88" spans="1:14" x14ac:dyDescent="0.35">
      <c r="A88" s="2">
        <v>44421</v>
      </c>
      <c r="B88" s="3">
        <v>36.969383869873397</v>
      </c>
      <c r="C88" s="3">
        <v>19.328353597446</v>
      </c>
      <c r="D88" s="3">
        <v>17.555177023669401</v>
      </c>
      <c r="E88" s="3">
        <v>17.348984166244001</v>
      </c>
      <c r="F88" s="3">
        <v>18.898375343072601</v>
      </c>
      <c r="G88" s="3">
        <v>21.213066692146999</v>
      </c>
      <c r="H88" s="3">
        <v>15.250818967714901</v>
      </c>
      <c r="I88" s="3">
        <v>31.3416059519543</v>
      </c>
      <c r="J88" s="3">
        <v>24.113836672808301</v>
      </c>
      <c r="K88" s="3">
        <v>21.995684014637899</v>
      </c>
      <c r="L88" s="3">
        <v>26.0552632333128</v>
      </c>
      <c r="M88" s="3">
        <v>17.941913153763299</v>
      </c>
      <c r="N88" s="3">
        <v>16.415875083514401</v>
      </c>
    </row>
    <row r="89" spans="1:14" x14ac:dyDescent="0.35">
      <c r="A89" s="2">
        <v>44452</v>
      </c>
      <c r="B89" s="3">
        <v>38.643320267255298</v>
      </c>
      <c r="C89" s="3">
        <v>18.7654269340136</v>
      </c>
      <c r="D89" s="3">
        <v>16.977950055965099</v>
      </c>
      <c r="E89" s="3">
        <v>16.5864580369809</v>
      </c>
      <c r="F89" s="3">
        <v>18.799183147087501</v>
      </c>
      <c r="G89" s="3">
        <v>20.768654932048399</v>
      </c>
      <c r="H89" s="3">
        <v>14.379765320185699</v>
      </c>
      <c r="I89" s="3">
        <v>31.408744735299599</v>
      </c>
      <c r="J89" s="3">
        <v>23.6584511907215</v>
      </c>
      <c r="K89" s="3">
        <v>20.603829889843301</v>
      </c>
      <c r="L89" s="3">
        <v>25.600464899338199</v>
      </c>
      <c r="M89" s="3">
        <v>17.6947284019436</v>
      </c>
      <c r="N89" s="3">
        <v>15.1635494158739</v>
      </c>
    </row>
    <row r="90" spans="1:14" x14ac:dyDescent="0.35">
      <c r="A90" s="2">
        <v>44482</v>
      </c>
      <c r="B90" s="3">
        <v>38.556080664736903</v>
      </c>
      <c r="C90" s="3">
        <v>18.510191338742899</v>
      </c>
      <c r="D90" s="3">
        <v>16.5438002558164</v>
      </c>
      <c r="E90" s="3">
        <v>15.8073664846358</v>
      </c>
      <c r="F90" s="3">
        <v>17.569633775442</v>
      </c>
      <c r="G90" s="3">
        <v>20.304519567954099</v>
      </c>
      <c r="H90" s="3">
        <v>13.808344937728901</v>
      </c>
      <c r="I90" s="3">
        <v>30.1976960711856</v>
      </c>
      <c r="J90" s="3">
        <v>22.873586062230299</v>
      </c>
      <c r="K90" s="3">
        <v>19.137936599305899</v>
      </c>
      <c r="L90" s="3">
        <v>23.972894377593001</v>
      </c>
      <c r="M90" s="3">
        <v>17.390771580268702</v>
      </c>
      <c r="N90" s="3">
        <v>14.354205210376399</v>
      </c>
    </row>
    <row r="91" spans="1:14" x14ac:dyDescent="0.35">
      <c r="A91" s="2">
        <v>44512</v>
      </c>
      <c r="B91" s="3">
        <v>38.760488051300399</v>
      </c>
      <c r="C91" s="3">
        <v>18.422684118165598</v>
      </c>
      <c r="D91" s="3">
        <v>16.611924486979898</v>
      </c>
      <c r="E91" s="3">
        <v>15.379874329784</v>
      </c>
      <c r="F91" s="3">
        <v>17.5921173301574</v>
      </c>
      <c r="G91" s="3">
        <v>21.0671234391185</v>
      </c>
      <c r="H91" s="3">
        <v>13.293780109700901</v>
      </c>
      <c r="I91" s="3">
        <v>31.914019875857502</v>
      </c>
      <c r="J91" s="3">
        <v>23.4119556787583</v>
      </c>
      <c r="K91" s="3">
        <v>18.645907713510699</v>
      </c>
      <c r="L91" s="3">
        <v>24.556316459495001</v>
      </c>
      <c r="M91" s="3">
        <v>17.156108431036401</v>
      </c>
      <c r="N91" s="3">
        <v>13.9049102710615</v>
      </c>
    </row>
    <row r="92" spans="1:14" x14ac:dyDescent="0.35">
      <c r="A92" s="2">
        <v>44540</v>
      </c>
      <c r="B92" s="3">
        <v>39.306031645682303</v>
      </c>
      <c r="C92" s="3">
        <v>17.788655147071001</v>
      </c>
      <c r="D92" s="3">
        <v>15.546549303892901</v>
      </c>
      <c r="E92" s="3">
        <v>14.382121113429299</v>
      </c>
      <c r="F92" s="3">
        <v>16.408091269037101</v>
      </c>
      <c r="G92" s="3">
        <v>21.098797138186502</v>
      </c>
      <c r="H92" s="3">
        <v>12.518250410842001</v>
      </c>
      <c r="I92" s="3">
        <v>31.410124177106301</v>
      </c>
      <c r="J92" s="3">
        <v>22.920748053533298</v>
      </c>
      <c r="K92" s="3">
        <v>17.509417674126599</v>
      </c>
      <c r="L92" s="3">
        <v>22.6955153336399</v>
      </c>
      <c r="M92" s="3">
        <v>16.697342991687901</v>
      </c>
      <c r="N92" s="3">
        <v>12.361884312128799</v>
      </c>
    </row>
    <row r="93" spans="1:14" x14ac:dyDescent="0.35">
      <c r="A93" s="2">
        <v>44574</v>
      </c>
      <c r="B93" s="3">
        <v>38.6032416101094</v>
      </c>
      <c r="C93" s="3">
        <v>17.977891885176899</v>
      </c>
      <c r="D93" s="3">
        <v>15.499198768543501</v>
      </c>
      <c r="E93" s="3">
        <v>14.205357254403401</v>
      </c>
      <c r="F93" s="3">
        <v>16.107424615799701</v>
      </c>
      <c r="G93" s="3">
        <v>21.026060453774001</v>
      </c>
      <c r="H93" s="3">
        <v>12.7574292941863</v>
      </c>
      <c r="I93" s="3">
        <v>30.168709192169899</v>
      </c>
      <c r="J93" s="3">
        <v>22.622064098521101</v>
      </c>
      <c r="K93" s="3">
        <v>17.1573671696577</v>
      </c>
      <c r="L93" s="3">
        <v>22.040032084380901</v>
      </c>
      <c r="M93" s="3">
        <v>16.366159893089701</v>
      </c>
      <c r="N93" s="3">
        <v>12.2585520291659</v>
      </c>
    </row>
    <row r="94" spans="1:14" x14ac:dyDescent="0.35">
      <c r="A94" s="2">
        <v>44603</v>
      </c>
      <c r="B94" s="3">
        <v>36.833960226324002</v>
      </c>
      <c r="C94" s="3">
        <v>16.114745618012901</v>
      </c>
      <c r="D94" s="3">
        <v>15.702805996948101</v>
      </c>
      <c r="E94" s="3">
        <v>13.354393690856901</v>
      </c>
      <c r="F94" s="3">
        <v>15.411752193139099</v>
      </c>
      <c r="G94" s="3">
        <v>18.684306645798902</v>
      </c>
      <c r="H94" s="3">
        <v>12.8897101201569</v>
      </c>
      <c r="I94" s="3">
        <v>26.918513066035199</v>
      </c>
      <c r="J94" s="3">
        <v>21.0611907636365</v>
      </c>
      <c r="K94" s="3">
        <v>16.118428608568799</v>
      </c>
      <c r="L94" s="3">
        <v>20.009613894591698</v>
      </c>
      <c r="M94" s="3">
        <v>12.396273510996499</v>
      </c>
      <c r="N94" s="3">
        <v>11.7749939214889</v>
      </c>
    </row>
    <row r="95" spans="1:14" x14ac:dyDescent="0.35">
      <c r="A95" s="2">
        <v>44631</v>
      </c>
      <c r="B95" s="3">
        <v>35.072985904634997</v>
      </c>
      <c r="C95" s="3">
        <v>15.6568677021589</v>
      </c>
      <c r="D95" s="3">
        <v>15.1225456270506</v>
      </c>
      <c r="E95" s="3">
        <v>12.3681779584845</v>
      </c>
      <c r="F95" s="3">
        <v>14.515145608961101</v>
      </c>
      <c r="G95" s="3">
        <v>18.3477996915388</v>
      </c>
      <c r="H95" s="3">
        <v>12.407786421183699</v>
      </c>
      <c r="I95" s="3">
        <v>26.327299759465198</v>
      </c>
      <c r="J95" s="3">
        <v>20.500497758533399</v>
      </c>
      <c r="K95" s="3">
        <v>15.2608608632233</v>
      </c>
      <c r="L95" s="3">
        <v>18.162327039589002</v>
      </c>
      <c r="M95" s="3">
        <v>11.777822181122501</v>
      </c>
      <c r="N95" s="3">
        <v>10.499769005712601</v>
      </c>
    </row>
    <row r="96" spans="1:14" x14ac:dyDescent="0.35">
      <c r="A96" s="2">
        <v>44664</v>
      </c>
      <c r="B96" s="3">
        <v>34.5064765713296</v>
      </c>
      <c r="C96" s="3">
        <v>15.6402491741832</v>
      </c>
      <c r="D96" s="3">
        <v>14.931404612519801</v>
      </c>
      <c r="E96" s="3">
        <v>12.3319656208387</v>
      </c>
      <c r="F96" s="3">
        <v>14.4575699434698</v>
      </c>
      <c r="G96" s="3">
        <v>18.6539793626178</v>
      </c>
      <c r="H96" s="3">
        <v>12.2406737374755</v>
      </c>
      <c r="I96" s="3">
        <v>26.505127112983299</v>
      </c>
      <c r="J96" s="3">
        <v>20.546464697748601</v>
      </c>
      <c r="K96" s="3">
        <v>15.0729699215183</v>
      </c>
      <c r="L96" s="3">
        <v>18.412776298620699</v>
      </c>
      <c r="M96" s="3">
        <v>12.260911207435001</v>
      </c>
      <c r="N96" s="3">
        <v>10.5060785197462</v>
      </c>
    </row>
    <row r="97" spans="1:14" x14ac:dyDescent="0.35">
      <c r="A97" s="2">
        <v>44694</v>
      </c>
      <c r="B97" s="3">
        <v>34.065085494554999</v>
      </c>
      <c r="C97" s="3">
        <v>15.0694966852221</v>
      </c>
      <c r="D97" s="3">
        <v>14.310868739581901</v>
      </c>
      <c r="E97" s="3">
        <v>12.0748773171004</v>
      </c>
      <c r="F97" s="3">
        <v>14.215028982754999</v>
      </c>
      <c r="G97" s="3">
        <v>18.1588891094123</v>
      </c>
      <c r="H97" s="3">
        <v>11.7572441368683</v>
      </c>
      <c r="I97" s="3">
        <v>25.360270410121501</v>
      </c>
      <c r="J97" s="3">
        <v>19.726574992278898</v>
      </c>
      <c r="K97" s="3">
        <v>14.5061854295733</v>
      </c>
      <c r="L97" s="3">
        <v>17.999477038031099</v>
      </c>
      <c r="M97" s="3">
        <v>13.349952265652201</v>
      </c>
      <c r="N97" s="3">
        <v>10.259286006882499</v>
      </c>
    </row>
    <row r="98" spans="1:14" x14ac:dyDescent="0.35">
      <c r="A98" s="2">
        <v>44725</v>
      </c>
      <c r="B98" s="3">
        <v>32.961932475131199</v>
      </c>
      <c r="C98" s="3">
        <v>14.610073318159699</v>
      </c>
      <c r="D98" s="3">
        <v>13.8783288414719</v>
      </c>
      <c r="E98" s="3">
        <v>11.7371349004283</v>
      </c>
      <c r="F98" s="3">
        <v>14.073946345935999</v>
      </c>
      <c r="G98" s="3">
        <v>17.566657129746599</v>
      </c>
      <c r="H98" s="3">
        <v>11.3481670502764</v>
      </c>
      <c r="I98" s="3">
        <v>24.098569136614699</v>
      </c>
      <c r="J98" s="3">
        <v>18.859968792309001</v>
      </c>
      <c r="K98" s="3">
        <v>13.849614892258099</v>
      </c>
      <c r="L98" s="3">
        <v>17.950504273927301</v>
      </c>
      <c r="M98" s="3">
        <v>13.400692466611</v>
      </c>
      <c r="N98" s="3">
        <v>9.5672253007809598</v>
      </c>
    </row>
    <row r="99" spans="1:14" x14ac:dyDescent="0.35">
      <c r="A99" s="2">
        <v>44755</v>
      </c>
      <c r="B99" s="3">
        <v>33.085194180476797</v>
      </c>
      <c r="C99" s="3">
        <v>14.051280450747701</v>
      </c>
      <c r="D99" s="3">
        <v>13.118948513362501</v>
      </c>
      <c r="E99" s="3">
        <v>11.277715725403301</v>
      </c>
      <c r="F99" s="3">
        <v>13.8266915766038</v>
      </c>
      <c r="G99" s="3">
        <v>17.669005240268699</v>
      </c>
      <c r="H99" s="3">
        <v>10.944117163880399</v>
      </c>
      <c r="I99" s="3">
        <v>24.170021141235701</v>
      </c>
      <c r="J99" s="3">
        <v>18.626146398581199</v>
      </c>
      <c r="K99" s="3">
        <v>13.343091118221899</v>
      </c>
      <c r="L99" s="3">
        <v>18.129195435254299</v>
      </c>
      <c r="M99" s="3">
        <v>13.854231998767601</v>
      </c>
      <c r="N99" s="3">
        <v>9.1820669201769505</v>
      </c>
    </row>
    <row r="100" spans="1:14" x14ac:dyDescent="0.35">
      <c r="A100" s="2">
        <v>44785</v>
      </c>
      <c r="B100" s="3">
        <v>33.346232087366502</v>
      </c>
      <c r="C100" s="3">
        <v>14.619092881656099</v>
      </c>
      <c r="D100" s="3">
        <v>13.346798907314501</v>
      </c>
      <c r="E100" s="3">
        <v>11.3225522616112</v>
      </c>
      <c r="F100" s="3">
        <v>14.0392784969186</v>
      </c>
      <c r="G100" s="3">
        <v>18.371616350394099</v>
      </c>
      <c r="H100" s="3">
        <v>10.8233562063295</v>
      </c>
      <c r="I100" s="3">
        <v>26.440938739784698</v>
      </c>
      <c r="J100" s="3">
        <v>19.705838755220999</v>
      </c>
      <c r="K100" s="3">
        <v>13.2473204592294</v>
      </c>
      <c r="L100" s="3">
        <v>19.735495132100699</v>
      </c>
      <c r="M100" s="3">
        <v>14.9630545678509</v>
      </c>
      <c r="N100" s="3">
        <v>8.7859305006205997</v>
      </c>
    </row>
    <row r="101" spans="1:14" x14ac:dyDescent="0.35">
      <c r="A101" s="2">
        <v>44817</v>
      </c>
      <c r="B101" s="3">
        <v>34.218406771264299</v>
      </c>
      <c r="C101" s="3">
        <v>14.2470842354409</v>
      </c>
      <c r="D101" s="3">
        <v>12.8108054712851</v>
      </c>
      <c r="E101" s="3">
        <v>10.8990774394755</v>
      </c>
      <c r="F101" s="3">
        <v>13.8159569376338</v>
      </c>
      <c r="G101" s="3">
        <v>17.9490244262098</v>
      </c>
      <c r="H101" s="3">
        <v>10.2555776753775</v>
      </c>
      <c r="I101" s="3">
        <v>24.292502691074301</v>
      </c>
      <c r="J101" s="3">
        <v>18.468411444678999</v>
      </c>
      <c r="K101" s="3">
        <v>12.4915524774266</v>
      </c>
      <c r="L101" s="3">
        <v>18.603778631137299</v>
      </c>
      <c r="M101" s="3">
        <v>14.9517201186361</v>
      </c>
      <c r="N101" s="3">
        <v>8.5159784028414602</v>
      </c>
    </row>
    <row r="102" spans="1:14" x14ac:dyDescent="0.35">
      <c r="A102" s="2">
        <v>44847</v>
      </c>
      <c r="B102" s="3">
        <v>31.0513809820993</v>
      </c>
      <c r="C102" s="3">
        <v>13.1640242985524</v>
      </c>
      <c r="D102" s="3">
        <v>12.1173322321697</v>
      </c>
      <c r="E102" s="3">
        <v>10.0832786138601</v>
      </c>
      <c r="F102" s="3">
        <v>12.9683441807967</v>
      </c>
      <c r="G102" s="3">
        <v>16.878378109175799</v>
      </c>
      <c r="H102" s="3">
        <v>9.3909731587667</v>
      </c>
      <c r="I102" s="3">
        <v>22.677072646796301</v>
      </c>
      <c r="J102" s="3">
        <v>17.443826702957999</v>
      </c>
      <c r="K102" s="3">
        <v>11.4291890997553</v>
      </c>
      <c r="L102" s="3">
        <v>16.7400906452953</v>
      </c>
      <c r="M102" s="3">
        <v>14.6147164296115</v>
      </c>
      <c r="N102" s="3">
        <v>7.8677567379886302</v>
      </c>
    </row>
    <row r="103" spans="1:14" x14ac:dyDescent="0.35">
      <c r="A103" s="2">
        <v>44876</v>
      </c>
      <c r="B103" s="3">
        <v>31.294800957603101</v>
      </c>
      <c r="C103" s="3">
        <v>14.1967677109023</v>
      </c>
      <c r="D103" s="3">
        <v>12.704139651641</v>
      </c>
      <c r="E103" s="3">
        <v>11.0081201475376</v>
      </c>
      <c r="F103" s="3">
        <v>13.539753749216899</v>
      </c>
      <c r="G103" s="3">
        <v>19.750684915010101</v>
      </c>
      <c r="H103" s="3">
        <v>9.6873200762054701</v>
      </c>
      <c r="I103" s="3">
        <v>23.936888406096799</v>
      </c>
      <c r="J103" s="3">
        <v>18.4569392169563</v>
      </c>
      <c r="K103" s="3">
        <v>12.2316324380644</v>
      </c>
      <c r="L103" s="3">
        <v>18.466703201275301</v>
      </c>
      <c r="M103" s="3">
        <v>14.329939012055601</v>
      </c>
      <c r="N103" s="3">
        <v>8.4650800712173506</v>
      </c>
    </row>
    <row r="104" spans="1:14" x14ac:dyDescent="0.35">
      <c r="A104" s="2">
        <v>44908</v>
      </c>
      <c r="B104" s="3">
        <v>29.466022068670199</v>
      </c>
      <c r="C104" s="3">
        <v>14.306169324007</v>
      </c>
      <c r="D104" s="3">
        <v>12.5745645253393</v>
      </c>
      <c r="E104" s="3">
        <v>10.882834285194599</v>
      </c>
      <c r="F104" s="3">
        <v>13.390033738667</v>
      </c>
      <c r="G104" s="3">
        <v>20.563009590163301</v>
      </c>
      <c r="H104" s="3">
        <v>9.9191311020008897</v>
      </c>
      <c r="I104" s="3">
        <v>23.632885672699501</v>
      </c>
      <c r="J104" s="3">
        <v>18.328207875789399</v>
      </c>
      <c r="K104" s="3">
        <v>12.133269684635801</v>
      </c>
      <c r="L104" s="3">
        <v>18.9078499097178</v>
      </c>
      <c r="M104" s="3">
        <v>16.0493637553739</v>
      </c>
      <c r="N104" s="3">
        <v>7.7762210255745101</v>
      </c>
    </row>
    <row r="105" spans="1:14" x14ac:dyDescent="0.35">
      <c r="A105" s="2">
        <v>44939</v>
      </c>
      <c r="B105" s="3">
        <v>29.640046548625602</v>
      </c>
      <c r="C105" s="3">
        <v>14.5110175390165</v>
      </c>
      <c r="D105" s="3">
        <v>12.632659695047</v>
      </c>
      <c r="E105" s="3">
        <v>11.391845505047099</v>
      </c>
      <c r="F105" s="3">
        <v>12.8891003587554</v>
      </c>
      <c r="G105" s="3">
        <v>21.384247855043199</v>
      </c>
      <c r="H105" s="3">
        <v>10.1921051359069</v>
      </c>
      <c r="I105" s="3">
        <v>23.933709383189701</v>
      </c>
      <c r="J105" s="3">
        <v>18.130451005197699</v>
      </c>
      <c r="K105" s="3">
        <v>12.603858948673899</v>
      </c>
      <c r="L105" s="3">
        <v>19.3902702993623</v>
      </c>
      <c r="M105" s="3">
        <v>16.698462194965099</v>
      </c>
      <c r="N105" s="3">
        <v>8.0386208158185504</v>
      </c>
    </row>
    <row r="106" spans="1:14" x14ac:dyDescent="0.35">
      <c r="A106" s="2">
        <v>44970</v>
      </c>
      <c r="B106" s="3">
        <v>29.7206267066944</v>
      </c>
      <c r="C106" s="3">
        <v>14.697327681643101</v>
      </c>
      <c r="D106" s="3">
        <v>12.911872758782801</v>
      </c>
      <c r="E106" s="3">
        <v>11.5981030261432</v>
      </c>
      <c r="F106" s="3">
        <v>13.5029757757118</v>
      </c>
      <c r="G106" s="3">
        <v>21.335639855663199</v>
      </c>
      <c r="H106" s="3">
        <v>10.231821535343499</v>
      </c>
      <c r="I106" s="3">
        <v>26.044652426957001</v>
      </c>
      <c r="J106" s="3">
        <v>18.796084743154399</v>
      </c>
      <c r="K106" s="3">
        <v>12.7911104240243</v>
      </c>
      <c r="L106" s="3">
        <v>20.918872951598001</v>
      </c>
      <c r="M106" s="3">
        <v>25.833460427759</v>
      </c>
      <c r="N106" s="3">
        <v>8.3152359845880497</v>
      </c>
    </row>
    <row r="107" spans="1:14" x14ac:dyDescent="0.35">
      <c r="A107" s="2">
        <v>44998</v>
      </c>
      <c r="B107" s="3">
        <v>29.181723677308199</v>
      </c>
      <c r="C107" s="3">
        <v>14.2055700000532</v>
      </c>
      <c r="D107" s="3">
        <v>12.524192901702</v>
      </c>
      <c r="E107" s="3">
        <v>11.2887812382696</v>
      </c>
      <c r="F107" s="3">
        <v>13.655414138160699</v>
      </c>
      <c r="G107" s="3">
        <v>20.4643699610026</v>
      </c>
      <c r="H107" s="3">
        <v>10.1856957747148</v>
      </c>
      <c r="I107" s="3">
        <v>25.138263238552</v>
      </c>
      <c r="J107" s="3">
        <v>17.943182292159399</v>
      </c>
      <c r="K107" s="3">
        <v>12.841546776099801</v>
      </c>
      <c r="L107" s="3">
        <v>20.386623688749399</v>
      </c>
      <c r="M107" s="3">
        <v>24.705835136572301</v>
      </c>
      <c r="N107" s="3">
        <v>8.2289197810687504</v>
      </c>
    </row>
    <row r="108" spans="1:14" x14ac:dyDescent="0.35">
      <c r="A108" s="2">
        <v>45029</v>
      </c>
      <c r="B108" s="3">
        <v>28.727759618985399</v>
      </c>
      <c r="C108" s="3">
        <v>14.3563969485025</v>
      </c>
      <c r="D108" s="3">
        <v>12.733789882818201</v>
      </c>
      <c r="E108" s="3">
        <v>11.405135000488899</v>
      </c>
      <c r="F108" s="3">
        <v>13.6726534210385</v>
      </c>
      <c r="G108" s="3">
        <v>20.392328855764202</v>
      </c>
      <c r="H108" s="3">
        <v>10.3975403065454</v>
      </c>
      <c r="I108" s="3">
        <v>25.673199260011302</v>
      </c>
      <c r="J108" s="3">
        <v>18.307335561807101</v>
      </c>
      <c r="K108" s="3">
        <v>13.12728660794</v>
      </c>
      <c r="L108" s="3">
        <v>20.1735129849</v>
      </c>
      <c r="M108" s="3">
        <v>23.619254519309798</v>
      </c>
      <c r="N108" s="3">
        <v>8.3781063777736797</v>
      </c>
    </row>
    <row r="109" spans="1:14" x14ac:dyDescent="0.35">
      <c r="A109" s="2">
        <v>45058</v>
      </c>
      <c r="B109" s="3">
        <v>28.272840077489899</v>
      </c>
      <c r="C109" s="3">
        <v>14.3444266458699</v>
      </c>
      <c r="D109" s="3">
        <v>12.8459512623024</v>
      </c>
      <c r="E109" s="3">
        <v>11.3301790308254</v>
      </c>
      <c r="F109" s="3">
        <v>13.876641707318001</v>
      </c>
      <c r="G109" s="3">
        <v>20.195011057178199</v>
      </c>
      <c r="H109" s="3">
        <v>10.348936083564499</v>
      </c>
      <c r="I109" s="3">
        <v>25.738106672514</v>
      </c>
      <c r="J109" s="3">
        <v>18.294950163202799</v>
      </c>
      <c r="K109" s="3">
        <v>13.1470065412983</v>
      </c>
      <c r="L109" s="3">
        <v>19.604267168891699</v>
      </c>
      <c r="M109" s="3">
        <v>22.501463805501601</v>
      </c>
      <c r="N109" s="3">
        <v>8.3060522317683994</v>
      </c>
    </row>
    <row r="110" spans="1:14" x14ac:dyDescent="0.35">
      <c r="A110" s="2">
        <v>45090</v>
      </c>
      <c r="B110" s="3">
        <v>26.327448639592799</v>
      </c>
      <c r="C110" s="3">
        <v>14.4450220294625</v>
      </c>
      <c r="D110" s="3">
        <v>12.9174038925264</v>
      </c>
      <c r="E110" s="3">
        <v>11.3180754731439</v>
      </c>
      <c r="F110" s="3">
        <v>14.438724389169</v>
      </c>
      <c r="G110" s="3">
        <v>19.489185290504601</v>
      </c>
      <c r="H110" s="3">
        <v>10.3298615140991</v>
      </c>
      <c r="I110" s="3">
        <v>26.999074942905999</v>
      </c>
      <c r="J110" s="3">
        <v>18.824386182406499</v>
      </c>
      <c r="K110" s="3">
        <v>13.1839107080921</v>
      </c>
      <c r="L110" s="3">
        <v>19.411361055051</v>
      </c>
      <c r="M110" s="3">
        <v>21.441063006036501</v>
      </c>
      <c r="N110" s="3">
        <v>8.5043049199642002</v>
      </c>
    </row>
    <row r="111" spans="1:14" x14ac:dyDescent="0.35">
      <c r="A111" s="2">
        <v>45120</v>
      </c>
      <c r="B111" s="3">
        <v>25.861594799142399</v>
      </c>
      <c r="C111" s="3">
        <v>14.8097100707253</v>
      </c>
      <c r="D111" s="3">
        <v>13.2363371629726</v>
      </c>
      <c r="E111" s="3">
        <v>11.2860310206711</v>
      </c>
      <c r="F111" s="3">
        <v>14.468097536048001</v>
      </c>
      <c r="G111" s="3">
        <v>19.1961623244983</v>
      </c>
      <c r="H111" s="3">
        <v>10.428922877898399</v>
      </c>
      <c r="I111" s="3">
        <v>27.797042828155899</v>
      </c>
      <c r="J111" s="3">
        <v>19.394155945680701</v>
      </c>
      <c r="K111" s="3">
        <v>13.3306755241162</v>
      </c>
      <c r="L111" s="3">
        <v>19.307416181915499</v>
      </c>
      <c r="M111" s="3">
        <v>20.147638907814098</v>
      </c>
      <c r="N111" s="3">
        <v>8.6699799111598903</v>
      </c>
    </row>
    <row r="112" spans="1:14" x14ac:dyDescent="0.35">
      <c r="A112" s="2">
        <v>45149</v>
      </c>
      <c r="B112" s="3">
        <v>24.874991764904902</v>
      </c>
      <c r="C112" s="3">
        <v>15.010201799914601</v>
      </c>
      <c r="D112" s="3">
        <v>13.48258250372</v>
      </c>
      <c r="E112" s="3">
        <v>11.1961324924858</v>
      </c>
      <c r="F112" s="3">
        <v>14.6602819293284</v>
      </c>
      <c r="G112" s="3">
        <v>18.949367158167401</v>
      </c>
      <c r="H112" s="3">
        <v>10.541849310400901</v>
      </c>
      <c r="I112" s="3">
        <v>26.3352865893327</v>
      </c>
      <c r="J112" s="3">
        <v>19.362554738672699</v>
      </c>
      <c r="K112" s="3">
        <v>13.3331684422688</v>
      </c>
      <c r="L112" s="3">
        <v>18.333359119702902</v>
      </c>
      <c r="M112" s="3">
        <v>18.769090173701699</v>
      </c>
      <c r="N112" s="3">
        <v>8.2448394774171891</v>
      </c>
    </row>
    <row r="113" spans="1:25" x14ac:dyDescent="0.35">
      <c r="A113" s="2">
        <v>45182</v>
      </c>
      <c r="B113" s="3">
        <v>24.093327626821001</v>
      </c>
      <c r="C113" s="3">
        <v>14.9687360880603</v>
      </c>
      <c r="D113" s="3">
        <v>13.5996673828233</v>
      </c>
      <c r="E113" s="3">
        <v>11.176900327870101</v>
      </c>
      <c r="F113" s="3">
        <v>15.0227963302764</v>
      </c>
      <c r="G113" s="3">
        <v>18.649431218011401</v>
      </c>
      <c r="H113" s="3">
        <v>10.538243082409</v>
      </c>
      <c r="I113" s="3">
        <v>26.6679449682456</v>
      </c>
      <c r="J113" s="3">
        <v>19.507475349860599</v>
      </c>
      <c r="K113" s="3">
        <v>13.152821100020599</v>
      </c>
      <c r="L113" s="3">
        <v>17.250582164319901</v>
      </c>
      <c r="M113" s="3">
        <v>17.219593687615099</v>
      </c>
      <c r="N113" s="3">
        <v>8.3535994538640796</v>
      </c>
    </row>
    <row r="114" spans="1:25" x14ac:dyDescent="0.35">
      <c r="A114" s="2">
        <v>45212</v>
      </c>
      <c r="B114" s="3">
        <v>23.360001052797799</v>
      </c>
      <c r="C114" s="3">
        <v>14.681287045611599</v>
      </c>
      <c r="D114" s="3">
        <v>13.2483908993354</v>
      </c>
      <c r="E114" s="3">
        <v>10.9290077790697</v>
      </c>
      <c r="F114" s="3">
        <v>14.795516678836799</v>
      </c>
      <c r="G114" s="3">
        <v>18.342082232029199</v>
      </c>
      <c r="H114" s="3">
        <v>10.566713450657399</v>
      </c>
      <c r="I114" s="3">
        <v>26.393852881075599</v>
      </c>
      <c r="J114" s="3">
        <v>19.223243364465802</v>
      </c>
      <c r="K114" s="3">
        <v>12.7494411274212</v>
      </c>
      <c r="L114" s="3">
        <v>16.403564160087502</v>
      </c>
      <c r="M114" s="3">
        <v>16.243315871935401</v>
      </c>
      <c r="N114" s="3">
        <v>8.2127689211674006</v>
      </c>
    </row>
    <row r="115" spans="1:25" x14ac:dyDescent="0.35">
      <c r="A115" s="2">
        <v>45243</v>
      </c>
      <c r="B115" s="3">
        <v>22.5392548498262</v>
      </c>
      <c r="C115" s="3">
        <v>14.728573900307101</v>
      </c>
      <c r="D115" s="3">
        <v>13.4380380216607</v>
      </c>
      <c r="E115" s="3">
        <v>11.040241020523901</v>
      </c>
      <c r="F115" s="3">
        <v>14.9880806603912</v>
      </c>
      <c r="G115" s="3">
        <v>17.600646033928399</v>
      </c>
      <c r="H115" s="3">
        <v>10.510693556578699</v>
      </c>
      <c r="I115" s="3">
        <v>26.942221101025599</v>
      </c>
      <c r="J115" s="3">
        <v>19.741026513009199</v>
      </c>
      <c r="K115" s="3">
        <v>12.9530437696887</v>
      </c>
      <c r="L115" s="3">
        <v>16.251042013945501</v>
      </c>
      <c r="M115" s="3">
        <v>15.449366213368901</v>
      </c>
      <c r="N115" s="3">
        <v>8.1826519605948498</v>
      </c>
    </row>
    <row r="116" spans="1:25" x14ac:dyDescent="0.35">
      <c r="A116" s="2">
        <v>45273</v>
      </c>
      <c r="B116" s="3">
        <v>23.920083563724599</v>
      </c>
      <c r="C116" s="3">
        <v>15.544535204658899</v>
      </c>
      <c r="D116" s="3">
        <v>14.2192669149866</v>
      </c>
      <c r="E116" s="3">
        <v>11.9266159665166</v>
      </c>
      <c r="F116" s="3">
        <v>15.1654293494821</v>
      </c>
      <c r="G116" s="3">
        <v>18.352276189643302</v>
      </c>
      <c r="H116" s="3">
        <v>10.9013483972056</v>
      </c>
      <c r="I116" s="3">
        <v>28.745845154772599</v>
      </c>
      <c r="J116" s="3">
        <v>21.169133118744298</v>
      </c>
      <c r="K116" s="3">
        <v>13.8980991104059</v>
      </c>
      <c r="L116" s="3">
        <v>16.666649167061699</v>
      </c>
      <c r="M116" s="3">
        <v>17.6791771504781</v>
      </c>
      <c r="N116" s="3">
        <v>8.7825761694036899</v>
      </c>
    </row>
    <row r="117" spans="1:25" x14ac:dyDescent="0.35">
      <c r="A117" s="2">
        <v>45303</v>
      </c>
      <c r="B117" s="3">
        <v>24.056602542084502</v>
      </c>
      <c r="C117" s="3">
        <v>16.267359617979999</v>
      </c>
      <c r="D117" s="3">
        <v>14.949383699162199</v>
      </c>
      <c r="E117" s="3">
        <v>11.8873157908649</v>
      </c>
      <c r="F117" s="3">
        <v>16.214916837089898</v>
      </c>
      <c r="G117" s="3">
        <v>18.4583991509618</v>
      </c>
      <c r="H117" s="3">
        <v>11.260711824546901</v>
      </c>
      <c r="I117" s="3">
        <v>29.7582531178066</v>
      </c>
      <c r="J117" s="3">
        <v>22.144335955048799</v>
      </c>
      <c r="K117" s="3">
        <v>14.0963509234823</v>
      </c>
      <c r="L117" s="3">
        <v>16.420280223600201</v>
      </c>
      <c r="M117" s="3">
        <v>17.429438452365201</v>
      </c>
      <c r="N117" s="3">
        <v>8.9891469149161907</v>
      </c>
    </row>
    <row r="118" spans="1:25" x14ac:dyDescent="0.35">
      <c r="A118" s="2">
        <v>45335</v>
      </c>
      <c r="B118" s="3">
        <v>22.861612463180101</v>
      </c>
      <c r="C118" s="3">
        <v>16.348940032197799</v>
      </c>
      <c r="D118" s="3">
        <v>14.6580171723233</v>
      </c>
      <c r="E118" s="3">
        <v>11.9930104354702</v>
      </c>
      <c r="F118" s="3">
        <v>16.7532867523127</v>
      </c>
      <c r="G118" s="3">
        <v>18.673950023067601</v>
      </c>
      <c r="H118" s="3">
        <v>11.0855572107772</v>
      </c>
      <c r="I118" s="3">
        <v>30.499678012506699</v>
      </c>
      <c r="J118" s="3">
        <v>22.577929675621501</v>
      </c>
      <c r="K118" s="3">
        <v>14.680147399782401</v>
      </c>
      <c r="L118" s="3">
        <v>17.652309717502899</v>
      </c>
      <c r="M118" s="3">
        <v>15.096986590529101</v>
      </c>
      <c r="N118" s="3">
        <v>9.0770137370834192</v>
      </c>
    </row>
    <row r="119" spans="1:25" x14ac:dyDescent="0.35">
      <c r="A119" s="2">
        <v>45364</v>
      </c>
      <c r="B119" s="3">
        <v>23.784117262134</v>
      </c>
      <c r="C119" s="3">
        <v>16.621185864291999</v>
      </c>
      <c r="D119" s="3">
        <v>15.310860152070701</v>
      </c>
      <c r="E119" s="3">
        <v>12.547886053393601</v>
      </c>
      <c r="F119" s="3">
        <v>16.933664413169701</v>
      </c>
      <c r="G119" s="3">
        <v>19.245606499981299</v>
      </c>
      <c r="H119" s="3">
        <v>11.4833190905329</v>
      </c>
      <c r="I119" s="3">
        <v>31.0077711380649</v>
      </c>
      <c r="J119" s="3">
        <v>23.141316878803</v>
      </c>
      <c r="K119" s="3">
        <v>15.572137459890699</v>
      </c>
      <c r="L119" s="3">
        <v>18.4672625285679</v>
      </c>
      <c r="M119" s="3">
        <v>15.918793686462999</v>
      </c>
      <c r="N119" s="3">
        <v>9.4144204078557099</v>
      </c>
    </row>
    <row r="120" spans="1:25" x14ac:dyDescent="0.35">
      <c r="A120" s="2">
        <v>45394</v>
      </c>
      <c r="B120" s="3">
        <v>24.094551350480302</v>
      </c>
      <c r="C120" s="3">
        <v>16.627276432108498</v>
      </c>
      <c r="D120" s="3">
        <v>15.2664334043967</v>
      </c>
      <c r="E120" s="3">
        <v>12.5078892828866</v>
      </c>
      <c r="F120" s="3">
        <v>16.9482636239835</v>
      </c>
      <c r="G120" s="3">
        <v>18.938241779589202</v>
      </c>
      <c r="H120" s="3">
        <v>11.549841678789701</v>
      </c>
      <c r="I120" s="3">
        <v>30.677872884416399</v>
      </c>
      <c r="J120" s="3">
        <v>22.9872994472782</v>
      </c>
      <c r="K120" s="3">
        <v>15.454874529350301</v>
      </c>
      <c r="L120" s="3">
        <v>18.301810610818901</v>
      </c>
      <c r="M120" s="3">
        <v>15.8911607232096</v>
      </c>
      <c r="N120" s="3">
        <v>9.4204715276032491</v>
      </c>
    </row>
    <row r="121" spans="1:25" x14ac:dyDescent="0.35">
      <c r="A121" s="2">
        <v>45425</v>
      </c>
      <c r="B121" s="3">
        <v>24.5576831281289</v>
      </c>
      <c r="C121" s="3">
        <v>16.692241816992698</v>
      </c>
      <c r="D121" s="3">
        <v>15.333030964231201</v>
      </c>
      <c r="E121" s="3">
        <v>12.624721216526</v>
      </c>
      <c r="F121" s="3">
        <v>16.714171575818199</v>
      </c>
      <c r="G121" s="3">
        <v>18.8752795942642</v>
      </c>
      <c r="H121" s="3">
        <v>11.763882069329</v>
      </c>
      <c r="I121" s="3">
        <v>30.507427272114299</v>
      </c>
      <c r="J121" s="3">
        <v>22.941462560053299</v>
      </c>
      <c r="K121" s="3">
        <v>15.5609684938758</v>
      </c>
      <c r="L121" s="3">
        <v>18.2700873530395</v>
      </c>
      <c r="M121" s="3">
        <v>16.102433731830001</v>
      </c>
      <c r="N121" s="3">
        <v>9.5675083543401804</v>
      </c>
    </row>
    <row r="122" spans="1:25" x14ac:dyDescent="0.35">
      <c r="A122" s="2">
        <v>45453</v>
      </c>
      <c r="B122" s="3">
        <v>24.198813109609201</v>
      </c>
      <c r="C122" s="3">
        <v>16.764637748709902</v>
      </c>
      <c r="D122" s="3">
        <v>15.032812596350899</v>
      </c>
      <c r="E122" s="3">
        <v>12.5434251689608</v>
      </c>
      <c r="F122" s="3">
        <v>16.810108281422401</v>
      </c>
      <c r="G122" s="3">
        <v>18.9179312645722</v>
      </c>
      <c r="H122" s="3">
        <v>11.683677153033001</v>
      </c>
      <c r="I122" s="3">
        <v>30.4608546390619</v>
      </c>
      <c r="J122" s="3">
        <v>22.8189686508357</v>
      </c>
      <c r="K122" s="3">
        <v>15.276242593467201</v>
      </c>
      <c r="L122" s="3">
        <v>18.469437194169199</v>
      </c>
      <c r="M122" s="3">
        <v>16.069996934167701</v>
      </c>
      <c r="N122" s="3">
        <v>9.5893971882501994</v>
      </c>
    </row>
    <row r="124" spans="1:25" x14ac:dyDescent="0.35">
      <c r="A124" s="2" t="s">
        <v>91</v>
      </c>
      <c r="B124" s="3" cm="1">
        <f t="array" ref="B124">MIN(_xlfn._xlws.FILTER(B1:B122, ISNUMBER(B1:B122)))</f>
        <v>17.707431041440699</v>
      </c>
      <c r="C124" s="3" cm="1">
        <f t="array" ref="C124">MIN(_xlfn._xlws.FILTER(C1:C122, ISNUMBER(C1:C122)))</f>
        <v>13.1640242985524</v>
      </c>
      <c r="D124" s="3" cm="1">
        <f t="array" ref="D124">MIN(_xlfn._xlws.FILTER(D1:D122, ISNUMBER(D1:D122)))</f>
        <v>12.1173322321697</v>
      </c>
      <c r="E124" s="3" cm="1">
        <f t="array" ref="E124">MIN(_xlfn._xlws.FILTER(E1:E122, ISNUMBER(E1:E122)))</f>
        <v>10.0832786138601</v>
      </c>
      <c r="F124" s="3" cm="1">
        <f t="array" ref="F124">MIN(_xlfn._xlws.FILTER(F1:F122, ISNUMBER(F1:F122)))</f>
        <v>11.791634012400801</v>
      </c>
      <c r="G124" s="3" cm="1">
        <f t="array" ref="G124">MIN(_xlfn._xlws.FILTER(G1:G122, ISNUMBER(G1:G122)))</f>
        <v>16.1151152552656</v>
      </c>
      <c r="H124" s="3" cm="1">
        <f t="array" ref="H124">MIN(_xlfn._xlws.FILTER(H1:H122, ISNUMBER(H1:H122)))</f>
        <v>9.3909731587667</v>
      </c>
      <c r="I124" s="3" cm="1">
        <f t="array" ref="I124">MIN(_xlfn._xlws.FILTER(I1:I122, ISNUMBER(I1:I122)))</f>
        <v>17.6074768266086</v>
      </c>
      <c r="J124" s="3" cm="1">
        <f t="array" ref="J124">MIN(_xlfn._xlws.FILTER(J1:J122, ISNUMBER(J1:J122)))</f>
        <v>15.7668499743705</v>
      </c>
      <c r="K124" s="3" cm="1">
        <f t="array" ref="K124">MIN(_xlfn._xlws.FILTER(K1:K122, ISNUMBER(K1:K122)))</f>
        <v>11.4291890997553</v>
      </c>
      <c r="L124" s="3" cm="1">
        <f t="array" ref="L124">MIN(_xlfn._xlws.FILTER(L1:L122, ISNUMBER(L1:L122)))</f>
        <v>14.670371538714001</v>
      </c>
      <c r="M124" s="3" cm="1">
        <f t="array" ref="M124">MIN(_xlfn._xlws.FILTER(M1:M122, ISNUMBER(M1:M122)))</f>
        <v>11.777822181122501</v>
      </c>
      <c r="N124" s="3" cm="1">
        <f t="array" ref="N124">MIN(_xlfn._xlws.FILTER(N1:N122, ISNUMBER(N1:N122)))</f>
        <v>7.7762210255745101</v>
      </c>
    </row>
    <row r="125" spans="1:25" x14ac:dyDescent="0.35">
      <c r="A125" s="2" t="s">
        <v>92</v>
      </c>
      <c r="B125" s="3" cm="1">
        <f t="array" ref="B125">MAX(_xlfn._xlws.FILTER(B1:B122, ISNUMBER(B1:B122)))</f>
        <v>39.306031645682303</v>
      </c>
      <c r="C125" s="3" cm="1">
        <f t="array" ref="C125">MAX(_xlfn._xlws.FILTER(C1:C122, ISNUMBER(C1:C122)))</f>
        <v>23.2826760368674</v>
      </c>
      <c r="D125" s="3" cm="1">
        <f t="array" ref="D125">MAX(_xlfn._xlws.FILTER(D1:D122, ISNUMBER(D1:D122)))</f>
        <v>21.186967938680201</v>
      </c>
      <c r="E125" s="3" cm="1">
        <f t="array" ref="E125">MAX(_xlfn._xlws.FILTER(E1:E122, ISNUMBER(E1:E122)))</f>
        <v>22.1809063715795</v>
      </c>
      <c r="F125" s="3" cm="1">
        <f t="array" ref="F125">MAX(_xlfn._xlws.FILTER(F1:F122, ISNUMBER(F1:F122)))</f>
        <v>24.037144818848599</v>
      </c>
      <c r="G125" s="3" cm="1">
        <f t="array" ref="G125">MAX(_xlfn._xlws.FILTER(G1:G122, ISNUMBER(G1:G122)))</f>
        <v>22.02842805021</v>
      </c>
      <c r="H125" s="3" cm="1">
        <f t="array" ref="H125">MAX(_xlfn._xlws.FILTER(H1:H122, ISNUMBER(H1:H122)))</f>
        <v>20.2181772161384</v>
      </c>
      <c r="I125" s="3" cm="1">
        <f t="array" ref="I125">MAX(_xlfn._xlws.FILTER(I1:I122, ISNUMBER(I1:I122)))</f>
        <v>35.596468553824401</v>
      </c>
      <c r="J125" s="3" cm="1">
        <f t="array" ref="J125">MAX(_xlfn._xlws.FILTER(J1:J122, ISNUMBER(J1:J122)))</f>
        <v>27.576427163966098</v>
      </c>
      <c r="K125" s="3" cm="1">
        <f t="array" ref="K125">MAX(_xlfn._xlws.FILTER(K1:K122, ISNUMBER(K1:K122)))</f>
        <v>29.100227669294199</v>
      </c>
      <c r="L125" s="3" cm="1">
        <f t="array" ref="L125">MAX(_xlfn._xlws.FILTER(L1:L122, ISNUMBER(L1:L122)))</f>
        <v>29.898961082204298</v>
      </c>
      <c r="M125" s="3" cm="1">
        <f t="array" ref="M125">MAX(_xlfn._xlws.FILTER(M1:M122, ISNUMBER(M1:M122)))</f>
        <v>25.833460427759</v>
      </c>
      <c r="N125" s="3" cm="1">
        <f t="array" ref="N125">MAX(_xlfn._xlws.FILTER(N1:N122, ISNUMBER(N1:N122)))</f>
        <v>82.990509891019698</v>
      </c>
    </row>
    <row r="127" spans="1:25" x14ac:dyDescent="0.35">
      <c r="A127" s="2" t="s">
        <v>93</v>
      </c>
      <c r="B127" s="9" cm="1">
        <f t="array" ref="B127">_xlfn.PERCENTRANK.EXC(_xlfn._xlws.FILTER(B1:B122, ISNUMBER(B1:B122)),B121)</f>
        <v>0.58099999999999996</v>
      </c>
      <c r="C127" s="9" cm="1">
        <f t="array" ref="C127">_xlfn.PERCENTRANK.EXC(_xlfn._xlws.FILTER(C1:C122, ISNUMBER(C1:C122)),C121)</f>
        <v>0.65500000000000003</v>
      </c>
      <c r="D127" s="9" cm="1">
        <f t="array" ref="D127">_xlfn.PERCENTRANK.EXC(_xlfn._xlws.FILTER(D1:D122, ISNUMBER(D1:D122)),D121)</f>
        <v>0.41799999999999998</v>
      </c>
      <c r="E127" s="9" cm="1">
        <f t="array" ref="E127">_xlfn.PERCENTRANK.EXC(_xlfn._xlws.FILTER(E1:E122, ISNUMBER(E1:E122)),E121)</f>
        <v>0.26200000000000001</v>
      </c>
      <c r="F127" s="9" cm="1">
        <f t="array" ref="F127">_xlfn.PERCENTRANK.EXC(_xlfn._xlws.FILTER(F1:F122, ISNUMBER(F1:F122)),F121)</f>
        <v>0.77</v>
      </c>
      <c r="G127" s="9" cm="1">
        <f t="array" ref="G127">_xlfn.PERCENTRANK.EXC(_xlfn._xlws.FILTER(G1:G122, ISNUMBER(G1:G122)),G121)</f>
        <v>0.54900000000000004</v>
      </c>
      <c r="H127" s="9" cm="1">
        <f t="array" ref="H127">_xlfn.PERCENTRANK.EXC(_xlfn._xlws.FILTER(H1:H122, ISNUMBER(H1:H122)),H121)</f>
        <v>0.21299999999999999</v>
      </c>
      <c r="I127" s="9" cm="1">
        <f t="array" ref="I127">_xlfn.PERCENTRANK.EXC(_xlfn._xlws.FILTER(I1:I122, ISNUMBER(I1:I122)),I121)</f>
        <v>0.86</v>
      </c>
      <c r="J127" s="9" cm="1">
        <f t="array" ref="J127">_xlfn.PERCENTRANK.EXC(_xlfn._xlws.FILTER(J1:J122, ISNUMBER(J1:J122)),J121)</f>
        <v>0.86</v>
      </c>
      <c r="K127" s="9" cm="1">
        <f t="array" ref="K127">_xlfn.PERCENTRANK.EXC(_xlfn._xlws.FILTER(K1:K122, ISNUMBER(K1:K122)),K121)</f>
        <v>0.55700000000000005</v>
      </c>
      <c r="L127" s="9" cm="1">
        <f t="array" ref="L127">_xlfn.PERCENTRANK.EXC(_xlfn._xlws.FILTER(L1:L122, ISNUMBER(L1:L122)),L121)</f>
        <v>0.60599999999999998</v>
      </c>
      <c r="M127" s="9" cm="1">
        <f t="array" ref="M127">_xlfn.PERCENTRANK.EXC(_xlfn._xlws.FILTER(M1:M122, ISNUMBER(M1:M122)),M121)</f>
        <v>0.33600000000000002</v>
      </c>
      <c r="N127" s="9" cm="1">
        <f t="array" ref="N127">_xlfn.PERCENTRANK.EXC(_xlfn._xlws.FILTER(N1:N122, ISNUMBER(N1:N122)),N121)</f>
        <v>0.19600000000000001</v>
      </c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2419-7243-436C-A223-59D4BBC1CB87}">
  <dimension ref="A1:Y127"/>
  <sheetViews>
    <sheetView workbookViewId="0">
      <selection activeCell="I3" sqref="I3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122">_xll.FDS(B1,"JULIAN(FMA_DIV_YLD(NTMA,-10AY,0,AM,""PORTAGG"",""MEANR"").dates)")</f>
        <v>41803</v>
      </c>
      <c r="B2" s="3" cm="1">
        <f t="array" ref="B2:B122">_xll.FDS(B1,"FMA_PE(NTMA,-10AY,0,AM,""PORTAGG"",""MEANR"")")</f>
        <v>17.254251503368401</v>
      </c>
      <c r="C2" s="3" cm="1">
        <f t="array" ref="C2:C122">_xll.FDS(C1,"FMA_PE(NTMA,-10AY,0,AM,""PORTAGG"",""MEANR"")")</f>
        <v>14.2249325725567</v>
      </c>
      <c r="D2" s="3" cm="1">
        <f t="array" ref="D2:D122">_xll.FDS(D1,"FMA_PE(NTMA,-10AY,0,AM,""PORTAGG"",""MEANR"")")</f>
        <v>14.9419446970441</v>
      </c>
      <c r="E2" s="3" cm="1">
        <f t="array" ref="E2:E122">_xll.FDS(E1,"FMA_PE(NTMA,-10AY,0,AM,""PORTAGG"",""MEANR"")")</f>
        <v>13.293977908284401</v>
      </c>
      <c r="F2" s="3" cm="1">
        <f t="array" ref="F2:F122">_xll.FDS(F1,"FMA_PE(NTMA,-10AY,0,AM,""PORTAGG"",""MEANR"")")</f>
        <v>13.6718209818312</v>
      </c>
      <c r="G2" s="3" cm="1">
        <f t="array" ref="G2:G122">_xll.FDS(G1,"FMA_PE(NTMA,-10AY,0,AM,""PORTAGG"",""MEANR"")")</f>
        <v>16.246940422041099</v>
      </c>
      <c r="H2" s="3" cm="1">
        <f t="array" ref="H2:H122">_xll.FDS(H1,"FMA_PE(NTMA,-10AY,0,AM,""PORTAGG"",""MEANR"")")</f>
        <v>13.6281941834329</v>
      </c>
      <c r="I2" s="3" cm="1">
        <f t="array" ref="I2:I122">_xll.FDS(I1,"FMA_PE(NTMA,-10AY,0,AM,""PORTAGG"",""MEANR"")")</f>
        <v>17.219650037921799</v>
      </c>
      <c r="J2" s="3" cm="1">
        <f t="array" ref="J2:J122">_xll.FDS(J1,"FMA_PE(NTMA,-10AY,0,AM,""PORTAGG"",""MEANR"")")</f>
        <v>15.220867106123499</v>
      </c>
      <c r="K2" s="3" cm="1">
        <f t="array" ref="K2:K122">_xll.FDS(K1,"FMA_PE(NTMA,-10AY,0,AM,""PORTAGG"",""MEANR"")")</f>
        <v>14.325964218380999</v>
      </c>
      <c r="L2" s="3" cm="1">
        <f t="array" ref="L2:L122">_xll.FDS(L1,"FMA_PE(NTMA,-10AY,0,AM,""PORTAGG"",""MEANR"")")</f>
        <v>14.5116842271613</v>
      </c>
      <c r="M2" s="3" cm="1">
        <f t="array" ref="M2:M122">_xll.FDS(M1,"FMA_PE(NTMA,-10AY,0,AM,""PORTAGG"",""MEANR"")")</f>
        <v>15.714576122562301</v>
      </c>
      <c r="N2" s="3" cm="1">
        <f t="array" ref="N2:N122">_xll.FDS(N1,"FMA_PE(NTMA,-10AY,0,AM,""PORTAGG"",""MEANR"")")</f>
        <v>14.5888732738745</v>
      </c>
    </row>
    <row r="3" spans="1:14" x14ac:dyDescent="0.35">
      <c r="A3" s="2">
        <v>41831</v>
      </c>
      <c r="B3" s="3">
        <v>17.104599473607799</v>
      </c>
      <c r="C3" s="3">
        <v>14.634583411235599</v>
      </c>
      <c r="D3" s="3">
        <v>14.999089709596101</v>
      </c>
      <c r="E3" s="3">
        <v>12.842789239977</v>
      </c>
      <c r="F3" s="3">
        <v>13.626301398241401</v>
      </c>
      <c r="G3" s="3">
        <v>15.8759194942779</v>
      </c>
      <c r="H3" s="3">
        <v>13.4705476197054</v>
      </c>
      <c r="I3" s="3">
        <v>17.611067068309101</v>
      </c>
      <c r="J3" s="3">
        <v>15.3433437721194</v>
      </c>
      <c r="K3" s="3">
        <v>13.588114167799599</v>
      </c>
      <c r="L3" s="3">
        <v>14.0701072000707</v>
      </c>
      <c r="M3" s="3">
        <v>15.2762404082585</v>
      </c>
      <c r="N3" s="3">
        <v>13.8617157517757</v>
      </c>
    </row>
    <row r="4" spans="1:14" x14ac:dyDescent="0.35">
      <c r="A4" s="2">
        <v>41864</v>
      </c>
      <c r="B4" s="3">
        <v>16.892919304210999</v>
      </c>
      <c r="C4" s="3">
        <v>14.6396057746101</v>
      </c>
      <c r="D4" s="3">
        <v>14.9391621901103</v>
      </c>
      <c r="E4" s="3">
        <v>12.276151973326</v>
      </c>
      <c r="F4" s="3">
        <v>13.5329040347114</v>
      </c>
      <c r="G4" s="3">
        <v>15.780132908521001</v>
      </c>
      <c r="H4" s="3">
        <v>13.301606863856</v>
      </c>
      <c r="I4" s="3">
        <v>17.395599661507799</v>
      </c>
      <c r="J4" s="3">
        <v>14.981043294154</v>
      </c>
      <c r="K4" s="3">
        <v>13.184985571759</v>
      </c>
      <c r="L4" s="3">
        <v>13.8137393451007</v>
      </c>
      <c r="M4" s="3">
        <v>15.1543407883137</v>
      </c>
      <c r="N4" s="3">
        <v>13.0822758618966</v>
      </c>
    </row>
    <row r="5" spans="1:14" x14ac:dyDescent="0.35">
      <c r="A5" s="2">
        <v>41894</v>
      </c>
      <c r="B5" s="3">
        <v>17.165981647242798</v>
      </c>
      <c r="C5" s="3">
        <v>14.5786822689824</v>
      </c>
      <c r="D5" s="3">
        <v>15.133128947654701</v>
      </c>
      <c r="E5" s="3">
        <v>12.764031224693101</v>
      </c>
      <c r="F5" s="3">
        <v>13.940713611507199</v>
      </c>
      <c r="G5" s="3">
        <v>16.141875232568701</v>
      </c>
      <c r="H5" s="3">
        <v>13.37645788891</v>
      </c>
      <c r="I5" s="3">
        <v>17.676768685200301</v>
      </c>
      <c r="J5" s="3">
        <v>15.173142977187799</v>
      </c>
      <c r="K5" s="3">
        <v>13.776792837184001</v>
      </c>
      <c r="L5" s="3">
        <v>14.620206365386201</v>
      </c>
      <c r="M5" s="3">
        <v>14.072498731329199</v>
      </c>
      <c r="N5" s="3">
        <v>14.0367275641081</v>
      </c>
    </row>
    <row r="6" spans="1:14" x14ac:dyDescent="0.35">
      <c r="A6" s="2">
        <v>41925</v>
      </c>
      <c r="B6" s="3">
        <v>16.849239861193698</v>
      </c>
      <c r="C6" s="3">
        <v>13.5691681427788</v>
      </c>
      <c r="D6" s="3">
        <v>13.725420255169</v>
      </c>
      <c r="E6" s="3">
        <v>11.6216993951635</v>
      </c>
      <c r="F6" s="3">
        <v>13.135722695915099</v>
      </c>
      <c r="G6" s="3">
        <v>15.054899624822999</v>
      </c>
      <c r="H6" s="3">
        <v>12.566727609991499</v>
      </c>
      <c r="I6" s="3">
        <v>16.307450651663501</v>
      </c>
      <c r="J6" s="3">
        <v>14.2780380143617</v>
      </c>
      <c r="K6" s="3">
        <v>12.622526992036599</v>
      </c>
      <c r="L6" s="3">
        <v>13.7083022679716</v>
      </c>
      <c r="M6" s="3">
        <v>13.4291831667139</v>
      </c>
      <c r="N6" s="3">
        <v>12.444395270197299</v>
      </c>
    </row>
    <row r="7" spans="1:14" x14ac:dyDescent="0.35">
      <c r="A7" s="2">
        <v>41956</v>
      </c>
      <c r="B7" s="3">
        <v>18.035642430761399</v>
      </c>
      <c r="C7" s="3">
        <v>14.3496707216571</v>
      </c>
      <c r="D7" s="3">
        <v>14.581297425757599</v>
      </c>
      <c r="E7" s="3">
        <v>12.204577551152299</v>
      </c>
      <c r="F7" s="3">
        <v>14.5511881646789</v>
      </c>
      <c r="G7" s="3">
        <v>16.100191584602101</v>
      </c>
      <c r="H7" s="3">
        <v>13.3633703295638</v>
      </c>
      <c r="I7" s="3">
        <v>17.922500171023401</v>
      </c>
      <c r="J7" s="3">
        <v>15.6324000997892</v>
      </c>
      <c r="K7" s="3">
        <v>13.1051617091704</v>
      </c>
      <c r="L7" s="3">
        <v>14.743014665001001</v>
      </c>
      <c r="M7" s="3">
        <v>15.349459032836901</v>
      </c>
      <c r="N7" s="3">
        <v>12.4137463124913</v>
      </c>
    </row>
    <row r="8" spans="1:14" x14ac:dyDescent="0.35">
      <c r="A8" s="2">
        <v>41985</v>
      </c>
      <c r="B8" s="3">
        <v>18.0288878184422</v>
      </c>
      <c r="C8" s="3">
        <v>13.8352476645141</v>
      </c>
      <c r="D8" s="3">
        <v>14.4756396890698</v>
      </c>
      <c r="E8" s="3">
        <v>12.614054551302299</v>
      </c>
      <c r="F8" s="3">
        <v>14.2531287900094</v>
      </c>
      <c r="G8" s="3">
        <v>15.648985072416499</v>
      </c>
      <c r="H8" s="3">
        <v>13.206753128807399</v>
      </c>
      <c r="I8" s="3">
        <v>17.5899395414054</v>
      </c>
      <c r="J8" s="3">
        <v>15.4666051675582</v>
      </c>
      <c r="K8" s="3">
        <v>13.245095502051401</v>
      </c>
      <c r="L8" s="3">
        <v>14.5120042300371</v>
      </c>
      <c r="M8" s="3">
        <v>15.2689985606935</v>
      </c>
      <c r="N8" s="3">
        <v>12.2693076711912</v>
      </c>
    </row>
    <row r="9" spans="1:14" x14ac:dyDescent="0.35">
      <c r="A9" s="2">
        <v>42017</v>
      </c>
      <c r="B9" s="3">
        <v>18.636702917625801</v>
      </c>
      <c r="C9" s="3">
        <v>14.5777792063276</v>
      </c>
      <c r="D9" s="3">
        <v>15.245544118978099</v>
      </c>
      <c r="E9" s="3">
        <v>13.0391081585999</v>
      </c>
      <c r="F9" s="3">
        <v>13.850211255351301</v>
      </c>
      <c r="G9" s="3">
        <v>15.996352757788699</v>
      </c>
      <c r="H9" s="3">
        <v>13.8201665883999</v>
      </c>
      <c r="I9" s="3">
        <v>17.0657632508197</v>
      </c>
      <c r="J9" s="3">
        <v>15.885624421852</v>
      </c>
      <c r="K9" s="3">
        <v>13.905673253463201</v>
      </c>
      <c r="L9" s="3">
        <v>14.8770201428969</v>
      </c>
      <c r="M9" s="3">
        <v>15.628595416727199</v>
      </c>
      <c r="N9" s="3">
        <v>12.0605506082431</v>
      </c>
    </row>
    <row r="10" spans="1:14" x14ac:dyDescent="0.35">
      <c r="A10" s="2">
        <v>42048</v>
      </c>
      <c r="B10" s="3">
        <v>19.115692959157698</v>
      </c>
      <c r="C10" s="3">
        <v>16.075489149283399</v>
      </c>
      <c r="D10" s="3">
        <v>17.4078061118425</v>
      </c>
      <c r="E10" s="3">
        <v>14.288685581226501</v>
      </c>
      <c r="F10" s="3">
        <v>14.409245604621599</v>
      </c>
      <c r="G10" s="3">
        <v>17.009273524289402</v>
      </c>
      <c r="H10" s="3">
        <v>15.503670268042599</v>
      </c>
      <c r="I10" s="3">
        <v>17.916132680944401</v>
      </c>
      <c r="J10" s="3">
        <v>16.8655024277584</v>
      </c>
      <c r="K10" s="3">
        <v>15.848858426504099</v>
      </c>
      <c r="L10" s="3">
        <v>16.1618023240271</v>
      </c>
      <c r="M10" s="3">
        <v>16.760723561582001</v>
      </c>
      <c r="N10" s="3">
        <v>14.62394735332</v>
      </c>
    </row>
    <row r="11" spans="1:14" x14ac:dyDescent="0.35">
      <c r="A11" s="2">
        <v>42076</v>
      </c>
      <c r="B11" s="3">
        <v>19.108178841114199</v>
      </c>
      <c r="C11" s="3">
        <v>15.869290462108699</v>
      </c>
      <c r="D11" s="3">
        <v>16.888998636169301</v>
      </c>
      <c r="E11" s="3">
        <v>15.434962636623199</v>
      </c>
      <c r="F11" s="3">
        <v>15.413577592077299</v>
      </c>
      <c r="G11" s="3">
        <v>17.540699984586499</v>
      </c>
      <c r="H11" s="3">
        <v>15.161945669855999</v>
      </c>
      <c r="I11" s="3">
        <v>17.577480660067302</v>
      </c>
      <c r="J11" s="3">
        <v>16.471570039773599</v>
      </c>
      <c r="K11" s="3">
        <v>16.481842422714202</v>
      </c>
      <c r="L11" s="3">
        <v>17.521537880729401</v>
      </c>
      <c r="M11" s="3">
        <v>17.0897756019165</v>
      </c>
      <c r="N11" s="3">
        <v>15.5851339871113</v>
      </c>
    </row>
    <row r="12" spans="1:14" x14ac:dyDescent="0.35">
      <c r="A12" s="2">
        <v>42107</v>
      </c>
      <c r="B12" s="3">
        <v>18.414677097736401</v>
      </c>
      <c r="C12" s="3">
        <v>16.500932493569099</v>
      </c>
      <c r="D12" s="3">
        <v>17.353776340539898</v>
      </c>
      <c r="E12" s="3">
        <v>15.8513037207656</v>
      </c>
      <c r="F12" s="3">
        <v>15.5982904794474</v>
      </c>
      <c r="G12" s="3">
        <v>18.208698966885301</v>
      </c>
      <c r="H12" s="3">
        <v>15.9992839919417</v>
      </c>
      <c r="I12" s="3">
        <v>17.9379311578918</v>
      </c>
      <c r="J12" s="3">
        <v>16.663627805297299</v>
      </c>
      <c r="K12" s="3">
        <v>17.128299016435399</v>
      </c>
      <c r="L12" s="3">
        <v>17.8308798559578</v>
      </c>
      <c r="M12" s="3">
        <v>17.1153902383695</v>
      </c>
      <c r="N12" s="3">
        <v>16.2690907438053</v>
      </c>
    </row>
    <row r="13" spans="1:14" x14ac:dyDescent="0.35">
      <c r="A13" s="2">
        <v>42137</v>
      </c>
      <c r="B13" s="3">
        <v>18.2589118288323</v>
      </c>
      <c r="C13" s="3">
        <v>16.122537599244701</v>
      </c>
      <c r="D13" s="3">
        <v>16.6860081166481</v>
      </c>
      <c r="E13" s="3">
        <v>14.188551234322199</v>
      </c>
      <c r="F13" s="3">
        <v>15.855643613430001</v>
      </c>
      <c r="G13" s="3">
        <v>17.552548070094701</v>
      </c>
      <c r="H13" s="3">
        <v>16.118113573098199</v>
      </c>
      <c r="I13" s="3">
        <v>17.772848163332199</v>
      </c>
      <c r="J13" s="3">
        <v>16.553763207864499</v>
      </c>
      <c r="K13" s="3">
        <v>16.074723415290901</v>
      </c>
      <c r="L13" s="3">
        <v>16.7156514288883</v>
      </c>
      <c r="M13" s="3">
        <v>15.8489039212111</v>
      </c>
      <c r="N13" s="3">
        <v>15.694623877884201</v>
      </c>
    </row>
    <row r="14" spans="1:14" x14ac:dyDescent="0.35">
      <c r="A14" s="2">
        <v>42167</v>
      </c>
      <c r="B14" s="3">
        <v>18.250751116659899</v>
      </c>
      <c r="C14" s="3">
        <v>15.284057379595801</v>
      </c>
      <c r="D14" s="3">
        <v>16.209828486425799</v>
      </c>
      <c r="E14" s="3">
        <v>13.7275961497461</v>
      </c>
      <c r="F14" s="3">
        <v>15.9038899955519</v>
      </c>
      <c r="G14" s="3">
        <v>17.325664182119901</v>
      </c>
      <c r="H14" s="3">
        <v>15.5874338361336</v>
      </c>
      <c r="I14" s="3">
        <v>17.759923722691799</v>
      </c>
      <c r="J14" s="3">
        <v>16.3842740921224</v>
      </c>
      <c r="K14" s="3">
        <v>15.714823225082201</v>
      </c>
      <c r="L14" s="3">
        <v>16.377076051090199</v>
      </c>
      <c r="M14" s="3">
        <v>15.923576783166</v>
      </c>
      <c r="N14" s="3">
        <v>15.202325145966901</v>
      </c>
    </row>
    <row r="15" spans="1:14" x14ac:dyDescent="0.35">
      <c r="A15" s="2">
        <v>42198</v>
      </c>
      <c r="B15" s="3">
        <v>17.7139284599617</v>
      </c>
      <c r="C15" s="3">
        <v>15.033370135738</v>
      </c>
      <c r="D15" s="3">
        <v>15.75106421151</v>
      </c>
      <c r="E15" s="3">
        <v>13.938136543276</v>
      </c>
      <c r="F15" s="3">
        <v>15.1793161644762</v>
      </c>
      <c r="G15" s="3">
        <v>17.480187884891901</v>
      </c>
      <c r="H15" s="3">
        <v>15.3798690630206</v>
      </c>
      <c r="I15" s="3">
        <v>17.7941835139865</v>
      </c>
      <c r="J15" s="3">
        <v>16.355225502964501</v>
      </c>
      <c r="K15" s="3">
        <v>15.7513433905636</v>
      </c>
      <c r="L15" s="3">
        <v>16.735182857620501</v>
      </c>
      <c r="M15" s="3">
        <v>16.110885678321299</v>
      </c>
      <c r="N15" s="3">
        <v>15.098762487808999</v>
      </c>
    </row>
    <row r="16" spans="1:14" x14ac:dyDescent="0.35">
      <c r="A16" s="2">
        <v>42229</v>
      </c>
      <c r="B16" s="3">
        <v>17.762272100744902</v>
      </c>
      <c r="C16" s="3">
        <v>15.006729468169</v>
      </c>
      <c r="D16" s="3">
        <v>15.3906465369742</v>
      </c>
      <c r="E16" s="3">
        <v>13.3050242377125</v>
      </c>
      <c r="F16" s="3">
        <v>15.4934630523172</v>
      </c>
      <c r="G16" s="3">
        <v>17.356537276397201</v>
      </c>
      <c r="H16" s="3">
        <v>15.1533422188202</v>
      </c>
      <c r="I16" s="3">
        <v>18.3078405530031</v>
      </c>
      <c r="J16" s="3">
        <v>16.245149502336702</v>
      </c>
      <c r="K16" s="3">
        <v>15.4053657416402</v>
      </c>
      <c r="L16" s="3">
        <v>16.017924403177901</v>
      </c>
      <c r="M16" s="3">
        <v>15.946178267755901</v>
      </c>
      <c r="N16" s="3">
        <v>15.3891495616431</v>
      </c>
    </row>
    <row r="17" spans="1:14" x14ac:dyDescent="0.35">
      <c r="A17" s="2">
        <v>42258</v>
      </c>
      <c r="B17" s="3">
        <v>17.321012404112398</v>
      </c>
      <c r="C17" s="3">
        <v>14.302800692076501</v>
      </c>
      <c r="D17" s="3">
        <v>14.6495285211832</v>
      </c>
      <c r="E17" s="3">
        <v>12.272080495621401</v>
      </c>
      <c r="F17" s="3">
        <v>13.6481190642019</v>
      </c>
      <c r="G17" s="3">
        <v>16.438363475601101</v>
      </c>
      <c r="H17" s="3">
        <v>14.325634596936</v>
      </c>
      <c r="I17" s="3">
        <v>17.422084545231002</v>
      </c>
      <c r="J17" s="3">
        <v>15.2817631966567</v>
      </c>
      <c r="K17" s="3">
        <v>14.1123860445249</v>
      </c>
      <c r="L17" s="3">
        <v>14.559729005272001</v>
      </c>
      <c r="M17" s="3">
        <v>14.810978363045299</v>
      </c>
      <c r="N17" s="3">
        <v>14.3746031426826</v>
      </c>
    </row>
    <row r="18" spans="1:14" x14ac:dyDescent="0.35">
      <c r="A18" s="2">
        <v>42290</v>
      </c>
      <c r="B18" s="3">
        <v>17.2328703694225</v>
      </c>
      <c r="C18" s="3">
        <v>14.9145572182361</v>
      </c>
      <c r="D18" s="3">
        <v>15.088975367702201</v>
      </c>
      <c r="E18" s="3">
        <v>12.3332474221168</v>
      </c>
      <c r="F18" s="3">
        <v>13.8409709336778</v>
      </c>
      <c r="G18" s="3">
        <v>16.416745417321</v>
      </c>
      <c r="H18" s="3">
        <v>15.083304471964199</v>
      </c>
      <c r="I18" s="3">
        <v>17.499539261117398</v>
      </c>
      <c r="J18" s="3">
        <v>15.662097119590101</v>
      </c>
      <c r="K18" s="3">
        <v>14.4608796046594</v>
      </c>
      <c r="L18" s="3">
        <v>14.840375444865201</v>
      </c>
      <c r="M18" s="3">
        <v>14.851447385766001</v>
      </c>
      <c r="N18" s="3">
        <v>14.4417595874021</v>
      </c>
    </row>
    <row r="19" spans="1:14" x14ac:dyDescent="0.35">
      <c r="A19" s="2">
        <v>42321</v>
      </c>
      <c r="B19" s="3">
        <v>17.884830369299799</v>
      </c>
      <c r="C19" s="3">
        <v>14.5676168893394</v>
      </c>
      <c r="D19" s="3">
        <v>14.264365466439299</v>
      </c>
      <c r="E19" s="3">
        <v>13.3288568991972</v>
      </c>
      <c r="F19" s="3">
        <v>14.6459822527216</v>
      </c>
      <c r="G19" s="3">
        <v>16.649590576157401</v>
      </c>
      <c r="H19" s="3">
        <v>14.828904546221599</v>
      </c>
      <c r="I19" s="3">
        <v>18.049144294626402</v>
      </c>
      <c r="J19" s="3">
        <v>15.8518400680542</v>
      </c>
      <c r="K19" s="3">
        <v>14.9247815566812</v>
      </c>
      <c r="L19" s="3">
        <v>15.884369217038801</v>
      </c>
      <c r="M19" s="3">
        <v>15.0614441361468</v>
      </c>
      <c r="N19" s="3">
        <v>14.5157390606785</v>
      </c>
    </row>
    <row r="20" spans="1:14" x14ac:dyDescent="0.35">
      <c r="A20" s="2">
        <v>42349</v>
      </c>
      <c r="B20" s="3">
        <v>18.072781372492699</v>
      </c>
      <c r="C20" s="3">
        <v>14.7746093515713</v>
      </c>
      <c r="D20" s="3">
        <v>13.9753990109654</v>
      </c>
      <c r="E20" s="3">
        <v>12.9023751221756</v>
      </c>
      <c r="F20" s="3">
        <v>14.1751031803682</v>
      </c>
      <c r="G20" s="3">
        <v>16.362903978108498</v>
      </c>
      <c r="H20" s="3">
        <v>14.5504639555129</v>
      </c>
      <c r="I20" s="3">
        <v>18.1011851659073</v>
      </c>
      <c r="J20" s="3">
        <v>15.7300489831403</v>
      </c>
      <c r="K20" s="3">
        <v>14.2868704415095</v>
      </c>
      <c r="L20" s="3">
        <v>15.2061614074946</v>
      </c>
      <c r="M20" s="3">
        <v>14.455218149881899</v>
      </c>
      <c r="N20" s="3">
        <v>13.899697213056101</v>
      </c>
    </row>
    <row r="21" spans="1:14" x14ac:dyDescent="0.35">
      <c r="A21" s="2">
        <v>42382</v>
      </c>
      <c r="B21" s="3">
        <v>17.715681535884801</v>
      </c>
      <c r="C21" s="3">
        <v>14.8543684818508</v>
      </c>
      <c r="D21" s="3">
        <v>13.412602194609301</v>
      </c>
      <c r="E21" s="3">
        <v>12.368156682146701</v>
      </c>
      <c r="F21" s="3">
        <v>13.0923666734639</v>
      </c>
      <c r="G21" s="3">
        <v>16.155966319124399</v>
      </c>
      <c r="H21" s="3">
        <v>15.018529414856699</v>
      </c>
      <c r="I21" s="3">
        <v>16.7898703019994</v>
      </c>
      <c r="J21" s="3">
        <v>14.8820179378534</v>
      </c>
      <c r="K21" s="3">
        <v>14.000775430027399</v>
      </c>
      <c r="L21" s="3">
        <v>14.6882143047197</v>
      </c>
      <c r="M21" s="3">
        <v>14.194934266651201</v>
      </c>
      <c r="N21" s="3">
        <v>13.5925634486648</v>
      </c>
    </row>
    <row r="22" spans="1:14" x14ac:dyDescent="0.35">
      <c r="A22" s="2">
        <v>42412</v>
      </c>
      <c r="B22" s="3">
        <v>16.738014946543199</v>
      </c>
      <c r="C22" s="3">
        <v>14.593803173919399</v>
      </c>
      <c r="D22" s="3">
        <v>14.208987653995701</v>
      </c>
      <c r="E22" s="3">
        <v>11.3732567940769</v>
      </c>
      <c r="F22" s="3">
        <v>11.0013808009965</v>
      </c>
      <c r="G22" s="3">
        <v>15.677969354621601</v>
      </c>
      <c r="H22" s="3">
        <v>14.8392059698641</v>
      </c>
      <c r="I22" s="3">
        <v>16.233587473453799</v>
      </c>
      <c r="J22" s="3">
        <v>15.5099438140132</v>
      </c>
      <c r="K22" s="3">
        <v>13.072435578571399</v>
      </c>
      <c r="L22" s="3">
        <v>13.605002475377001</v>
      </c>
      <c r="M22" s="3">
        <v>14.1745717619362</v>
      </c>
      <c r="N22" s="3">
        <v>11.894123018802301</v>
      </c>
    </row>
    <row r="23" spans="1:14" x14ac:dyDescent="0.35">
      <c r="A23" s="2">
        <v>42440</v>
      </c>
      <c r="B23" s="3">
        <v>18.153055509205</v>
      </c>
      <c r="C23" s="3">
        <v>16.116603670777199</v>
      </c>
      <c r="D23" s="3">
        <v>15.764855796023999</v>
      </c>
      <c r="E23" s="3">
        <v>12.541298654621199</v>
      </c>
      <c r="F23" s="3">
        <v>12.948215571104599</v>
      </c>
      <c r="G23" s="3">
        <v>16.685050964592602</v>
      </c>
      <c r="H23" s="3">
        <v>16.020247807802001</v>
      </c>
      <c r="I23" s="3">
        <v>17.434393650333401</v>
      </c>
      <c r="J23" s="3">
        <v>15.516736353630501</v>
      </c>
      <c r="K23" s="3">
        <v>14.675120516163499</v>
      </c>
      <c r="L23" s="3">
        <v>15.303880693061</v>
      </c>
      <c r="M23" s="3">
        <v>15.6747655272162</v>
      </c>
      <c r="N23" s="3">
        <v>13.7408450918804</v>
      </c>
    </row>
    <row r="24" spans="1:14" x14ac:dyDescent="0.35">
      <c r="A24" s="2">
        <v>42473</v>
      </c>
      <c r="B24" s="3">
        <v>18.4938154834133</v>
      </c>
      <c r="C24" s="3">
        <v>15.6134038168183</v>
      </c>
      <c r="D24" s="3">
        <v>16.193738478405798</v>
      </c>
      <c r="E24" s="3">
        <v>12.7629956117659</v>
      </c>
      <c r="F24" s="3">
        <v>12.7408683820814</v>
      </c>
      <c r="G24" s="3">
        <v>16.725826382653501</v>
      </c>
      <c r="H24" s="3">
        <v>16.52423654255</v>
      </c>
      <c r="I24" s="3">
        <v>18.105067559330099</v>
      </c>
      <c r="J24" s="3">
        <v>16.500463546018398</v>
      </c>
      <c r="K24" s="3">
        <v>14.6964433357284</v>
      </c>
      <c r="L24" s="3">
        <v>15.3349018220921</v>
      </c>
      <c r="M24" s="3">
        <v>15.424252710254301</v>
      </c>
      <c r="N24" s="3">
        <v>13.2109223160834</v>
      </c>
    </row>
    <row r="25" spans="1:14" x14ac:dyDescent="0.35">
      <c r="A25" s="2">
        <v>42503</v>
      </c>
      <c r="B25" s="3">
        <v>19.252474781493401</v>
      </c>
      <c r="C25" s="3">
        <v>16.393474212573398</v>
      </c>
      <c r="D25" s="3">
        <v>16.475189759295301</v>
      </c>
      <c r="E25" s="3">
        <v>12.437001243873301</v>
      </c>
      <c r="F25" s="3">
        <v>12.8965821603457</v>
      </c>
      <c r="G25" s="3">
        <v>16.629149853837099</v>
      </c>
      <c r="H25" s="3">
        <v>15.6788972623022</v>
      </c>
      <c r="I25" s="3">
        <v>17.3670650173386</v>
      </c>
      <c r="J25" s="3">
        <v>16.522677016730398</v>
      </c>
      <c r="K25" s="3">
        <v>14.1462465728977</v>
      </c>
      <c r="L25" s="3">
        <v>14.737338381324699</v>
      </c>
      <c r="M25" s="3">
        <v>14.5829935872032</v>
      </c>
      <c r="N25" s="3">
        <v>13.5082172291081</v>
      </c>
    </row>
    <row r="26" spans="1:14" x14ac:dyDescent="0.35">
      <c r="A26" s="2">
        <v>42534</v>
      </c>
      <c r="B26" s="3">
        <v>19.146153720569199</v>
      </c>
      <c r="C26" s="3">
        <v>16.237733436767499</v>
      </c>
      <c r="D26" s="3">
        <v>16.485766319701</v>
      </c>
      <c r="E26" s="3">
        <v>11.9242712494259</v>
      </c>
      <c r="F26" s="3">
        <v>12.8868155197019</v>
      </c>
      <c r="G26" s="3">
        <v>16.348833455702799</v>
      </c>
      <c r="H26" s="3">
        <v>15.242054276730499</v>
      </c>
      <c r="I26" s="3">
        <v>17.562510276988501</v>
      </c>
      <c r="J26" s="3">
        <v>16.378744953636399</v>
      </c>
      <c r="K26" s="3">
        <v>13.615668139183301</v>
      </c>
      <c r="L26" s="3">
        <v>14.2350997769634</v>
      </c>
      <c r="M26" s="3">
        <v>14.194122584300899</v>
      </c>
      <c r="N26" s="3">
        <v>12.129640577736399</v>
      </c>
    </row>
    <row r="27" spans="1:14" x14ac:dyDescent="0.35">
      <c r="A27" s="2">
        <v>42564</v>
      </c>
      <c r="B27" s="3">
        <v>19.501354613717801</v>
      </c>
      <c r="C27" s="3">
        <v>16.3079784670803</v>
      </c>
      <c r="D27" s="3">
        <v>16.588307283173201</v>
      </c>
      <c r="E27" s="3">
        <v>12.2548287528067</v>
      </c>
      <c r="F27" s="3">
        <v>13.283630687928399</v>
      </c>
      <c r="G27" s="3">
        <v>16.962652230610601</v>
      </c>
      <c r="H27" s="3">
        <v>16.0777523996552</v>
      </c>
      <c r="I27" s="3">
        <v>18.179330206648</v>
      </c>
      <c r="J27" s="3">
        <v>16.887724860728898</v>
      </c>
      <c r="K27" s="3">
        <v>13.877155711124599</v>
      </c>
      <c r="L27" s="3">
        <v>14.4632447492935</v>
      </c>
      <c r="M27" s="3">
        <v>14.8810554964818</v>
      </c>
      <c r="N27" s="3">
        <v>12.2141603992126</v>
      </c>
    </row>
    <row r="28" spans="1:14" x14ac:dyDescent="0.35">
      <c r="A28" s="2">
        <v>42594</v>
      </c>
      <c r="B28" s="3">
        <v>20.317411840701599</v>
      </c>
      <c r="C28" s="3">
        <v>16.804036204235501</v>
      </c>
      <c r="D28" s="3">
        <v>16.546496731309698</v>
      </c>
      <c r="E28" s="3">
        <v>13.1512439580967</v>
      </c>
      <c r="F28" s="3">
        <v>13.4356193501105</v>
      </c>
      <c r="G28" s="3">
        <v>17.6160580413198</v>
      </c>
      <c r="H28" s="3">
        <v>16.325565105227</v>
      </c>
      <c r="I28" s="3">
        <v>18.825070724436099</v>
      </c>
      <c r="J28" s="3">
        <v>16.989361544477401</v>
      </c>
      <c r="K28" s="3">
        <v>14.211056381815901</v>
      </c>
      <c r="L28" s="3">
        <v>15.0113317918091</v>
      </c>
      <c r="M28" s="3">
        <v>15.535038698418999</v>
      </c>
      <c r="N28" s="3">
        <v>12.7699715220756</v>
      </c>
    </row>
    <row r="29" spans="1:14" x14ac:dyDescent="0.35">
      <c r="A29" s="2">
        <v>42626</v>
      </c>
      <c r="B29" s="3">
        <v>20.2635159348456</v>
      </c>
      <c r="C29" s="3">
        <v>15.615705730661601</v>
      </c>
      <c r="D29" s="3">
        <v>15.8374322697327</v>
      </c>
      <c r="E29" s="3">
        <v>12.752921242417001</v>
      </c>
      <c r="F29" s="3">
        <v>13.3948651469751</v>
      </c>
      <c r="G29" s="3">
        <v>17.1712707674338</v>
      </c>
      <c r="H29" s="3">
        <v>15.415691427061301</v>
      </c>
      <c r="I29" s="3">
        <v>18.22417446631</v>
      </c>
      <c r="J29" s="3">
        <v>16.415908612017098</v>
      </c>
      <c r="K29" s="3">
        <v>13.781665373802401</v>
      </c>
      <c r="L29" s="3">
        <v>14.6296602348364</v>
      </c>
      <c r="M29" s="3">
        <v>15.3183170119911</v>
      </c>
      <c r="N29" s="3">
        <v>11.959104697191499</v>
      </c>
    </row>
    <row r="30" spans="1:14" x14ac:dyDescent="0.35">
      <c r="A30" s="2">
        <v>42656</v>
      </c>
      <c r="B30" s="3">
        <v>19.521610698855099</v>
      </c>
      <c r="C30" s="3">
        <v>16.133368104719501</v>
      </c>
      <c r="D30" s="3">
        <v>15.967113571617499</v>
      </c>
      <c r="E30" s="3">
        <v>12.721847054735999</v>
      </c>
      <c r="F30" s="3">
        <v>13.3914597679175</v>
      </c>
      <c r="G30" s="3">
        <v>16.688449490465299</v>
      </c>
      <c r="H30" s="3">
        <v>15.247511374092401</v>
      </c>
      <c r="I30" s="3">
        <v>18.305831660908201</v>
      </c>
      <c r="J30" s="3">
        <v>16.342573954938999</v>
      </c>
      <c r="K30" s="3">
        <v>13.6761631126654</v>
      </c>
      <c r="L30" s="3">
        <v>14.611066527179799</v>
      </c>
      <c r="M30" s="3">
        <v>15.873638153937399</v>
      </c>
      <c r="N30" s="3">
        <v>11.5686195691367</v>
      </c>
    </row>
    <row r="31" spans="1:14" x14ac:dyDescent="0.35">
      <c r="A31" s="2">
        <v>42685</v>
      </c>
      <c r="B31" s="3">
        <v>18.2548768664489</v>
      </c>
      <c r="C31" s="3">
        <v>15.9164664958631</v>
      </c>
      <c r="D31" s="3">
        <v>15.6758626920737</v>
      </c>
      <c r="E31" s="3">
        <v>12.8149234703325</v>
      </c>
      <c r="F31" s="3">
        <v>13.688755478082401</v>
      </c>
      <c r="G31" s="3">
        <v>16.458958123938402</v>
      </c>
      <c r="H31" s="3">
        <v>14.374385281030101</v>
      </c>
      <c r="I31" s="3">
        <v>17.936490780206501</v>
      </c>
      <c r="J31" s="3">
        <v>16.526103060481901</v>
      </c>
      <c r="K31" s="3">
        <v>13.6999609196774</v>
      </c>
      <c r="L31" s="3">
        <v>14.410159051439701</v>
      </c>
      <c r="M31" s="3">
        <v>15.953479396277899</v>
      </c>
      <c r="N31" s="3">
        <v>11.8434378398969</v>
      </c>
    </row>
    <row r="32" spans="1:14" x14ac:dyDescent="0.35">
      <c r="A32" s="2">
        <v>42717</v>
      </c>
      <c r="B32" s="3">
        <v>18.3869668898028</v>
      </c>
      <c r="C32" s="3">
        <v>15.7994431586473</v>
      </c>
      <c r="D32" s="3">
        <v>16.016780733223399</v>
      </c>
      <c r="E32" s="3">
        <v>13.470313884627499</v>
      </c>
      <c r="F32" s="3">
        <v>15.0367385156023</v>
      </c>
      <c r="G32" s="3">
        <v>16.756406198964701</v>
      </c>
      <c r="H32" s="3">
        <v>14.4539562543368</v>
      </c>
      <c r="I32" s="3">
        <v>18.418715617041801</v>
      </c>
      <c r="J32" s="3">
        <v>17.1487678382057</v>
      </c>
      <c r="K32" s="3">
        <v>14.498050992159399</v>
      </c>
      <c r="L32" s="3">
        <v>14.8975298601526</v>
      </c>
      <c r="M32" s="3">
        <v>16.7747408289672</v>
      </c>
      <c r="N32" s="3">
        <v>13.331866333791501</v>
      </c>
    </row>
    <row r="33" spans="1:14" x14ac:dyDescent="0.35">
      <c r="A33" s="2">
        <v>42748</v>
      </c>
      <c r="B33" s="3">
        <v>18.884632883527502</v>
      </c>
      <c r="C33" s="3">
        <v>15.9297274751967</v>
      </c>
      <c r="D33" s="3">
        <v>15.9586827809231</v>
      </c>
      <c r="E33" s="3">
        <v>13.770702033100701</v>
      </c>
      <c r="F33" s="3">
        <v>14.8336948170236</v>
      </c>
      <c r="G33" s="3">
        <v>17.252759195478301</v>
      </c>
      <c r="H33" s="3">
        <v>14.496697551694201</v>
      </c>
      <c r="I33" s="3">
        <v>18.705200777041799</v>
      </c>
      <c r="J33" s="3">
        <v>16.986601319680702</v>
      </c>
      <c r="K33" s="3">
        <v>14.7056745434906</v>
      </c>
      <c r="L33" s="3">
        <v>15.0630903257718</v>
      </c>
      <c r="M33" s="3">
        <v>16.554741834569398</v>
      </c>
      <c r="N33" s="3">
        <v>13.455355395250599</v>
      </c>
    </row>
    <row r="34" spans="1:14" x14ac:dyDescent="0.35">
      <c r="A34" s="2">
        <v>42779</v>
      </c>
      <c r="B34" s="3">
        <v>19.2507979323317</v>
      </c>
      <c r="C34" s="3">
        <v>15.9400705009487</v>
      </c>
      <c r="D34" s="3">
        <v>16.263397309653399</v>
      </c>
      <c r="E34" s="3">
        <v>13.752857237367699</v>
      </c>
      <c r="F34" s="3">
        <v>14.546098156831899</v>
      </c>
      <c r="G34" s="3">
        <v>17.366837453664498</v>
      </c>
      <c r="H34" s="3">
        <v>14.5531744012715</v>
      </c>
      <c r="I34" s="3">
        <v>19.8450870296071</v>
      </c>
      <c r="J34" s="3">
        <v>17.432902217159299</v>
      </c>
      <c r="K34" s="3">
        <v>14.3732596977268</v>
      </c>
      <c r="L34" s="3">
        <v>15.372873861171</v>
      </c>
      <c r="M34" s="3">
        <v>16.5518824037397</v>
      </c>
      <c r="N34" s="3">
        <v>13.1751433026066</v>
      </c>
    </row>
    <row r="35" spans="1:14" x14ac:dyDescent="0.35">
      <c r="A35" s="2">
        <v>42807</v>
      </c>
      <c r="B35" s="3">
        <v>18.969789600818299</v>
      </c>
      <c r="C35" s="3">
        <v>15.7443525858325</v>
      </c>
      <c r="D35" s="3">
        <v>15.924783042633999</v>
      </c>
      <c r="E35" s="3">
        <v>13.8831538673516</v>
      </c>
      <c r="F35" s="3">
        <v>14.4207879642293</v>
      </c>
      <c r="G35" s="3">
        <v>17.667082500420001</v>
      </c>
      <c r="H35" s="3">
        <v>14.4076962399868</v>
      </c>
      <c r="I35" s="3">
        <v>20.136239421458299</v>
      </c>
      <c r="J35" s="3">
        <v>17.676807467638</v>
      </c>
      <c r="K35" s="3">
        <v>14.525482201869499</v>
      </c>
      <c r="L35" s="3">
        <v>16.035605971593899</v>
      </c>
      <c r="M35" s="3">
        <v>16.918791066294698</v>
      </c>
      <c r="N35" s="3">
        <v>13.3017934298196</v>
      </c>
    </row>
    <row r="36" spans="1:14" x14ac:dyDescent="0.35">
      <c r="A36" s="2">
        <v>42838</v>
      </c>
      <c r="B36" s="3">
        <v>19.134478557734901</v>
      </c>
      <c r="C36" s="3">
        <v>15.9096511088234</v>
      </c>
      <c r="D36" s="3">
        <v>15.7418719508532</v>
      </c>
      <c r="E36" s="3">
        <v>13.804441353195999</v>
      </c>
      <c r="F36" s="3">
        <v>13.328188661552099</v>
      </c>
      <c r="G36" s="3">
        <v>17.389278372815301</v>
      </c>
      <c r="H36" s="3">
        <v>14.4367506231128</v>
      </c>
      <c r="I36" s="3">
        <v>19.752047592905299</v>
      </c>
      <c r="J36" s="3">
        <v>17.1920351489964</v>
      </c>
      <c r="K36" s="3">
        <v>14.7212955994013</v>
      </c>
      <c r="L36" s="3">
        <v>16.115731773968001</v>
      </c>
      <c r="M36" s="3">
        <v>16.885848337865198</v>
      </c>
      <c r="N36" s="3">
        <v>12.9901808620348</v>
      </c>
    </row>
    <row r="37" spans="1:14" x14ac:dyDescent="0.35">
      <c r="A37" s="2">
        <v>42867</v>
      </c>
      <c r="B37" s="3">
        <v>19.6615443414974</v>
      </c>
      <c r="C37" s="3">
        <v>15.6329438891962</v>
      </c>
      <c r="D37" s="3">
        <v>15.615759298034099</v>
      </c>
      <c r="E37" s="3">
        <v>14.044322509529101</v>
      </c>
      <c r="F37" s="3">
        <v>14.311627698809501</v>
      </c>
      <c r="G37" s="3">
        <v>18.092399088533799</v>
      </c>
      <c r="H37" s="3">
        <v>14.680801803858399</v>
      </c>
      <c r="I37" s="3">
        <v>20.711133212477201</v>
      </c>
      <c r="J37" s="3">
        <v>17.4302331447348</v>
      </c>
      <c r="K37" s="3">
        <v>15.4449960293393</v>
      </c>
      <c r="L37" s="3">
        <v>16.509277233762798</v>
      </c>
      <c r="M37" s="3">
        <v>17.102609970025899</v>
      </c>
      <c r="N37" s="3">
        <v>13.8504926056749</v>
      </c>
    </row>
    <row r="38" spans="1:14" x14ac:dyDescent="0.35">
      <c r="A38" s="2">
        <v>42899</v>
      </c>
      <c r="B38" s="3">
        <v>19.316991275476202</v>
      </c>
      <c r="C38" s="3">
        <v>15.4416399279802</v>
      </c>
      <c r="D38" s="3">
        <v>15.396374065996699</v>
      </c>
      <c r="E38" s="3">
        <v>13.806626215438</v>
      </c>
      <c r="F38" s="3">
        <v>14.323295807102699</v>
      </c>
      <c r="G38" s="3">
        <v>17.871349075753599</v>
      </c>
      <c r="H38" s="3">
        <v>14.651711822218999</v>
      </c>
      <c r="I38" s="3">
        <v>20.646471991772401</v>
      </c>
      <c r="J38" s="3">
        <v>17.630996135762999</v>
      </c>
      <c r="K38" s="3">
        <v>14.9484104436737</v>
      </c>
      <c r="L38" s="3">
        <v>16.125911919991399</v>
      </c>
      <c r="M38" s="3">
        <v>16.8043835419234</v>
      </c>
      <c r="N38" s="3">
        <v>13.3886767944608</v>
      </c>
    </row>
    <row r="39" spans="1:14" x14ac:dyDescent="0.35">
      <c r="A39" s="2">
        <v>42929</v>
      </c>
      <c r="B39" s="3">
        <v>19.442649096219402</v>
      </c>
      <c r="C39" s="3">
        <v>15.5116764000405</v>
      </c>
      <c r="D39" s="3">
        <v>15.267361871101199</v>
      </c>
      <c r="E39" s="3">
        <v>13.6273518932152</v>
      </c>
      <c r="F39" s="3">
        <v>14.2621266344128</v>
      </c>
      <c r="G39" s="3">
        <v>17.8508869532176</v>
      </c>
      <c r="H39" s="3">
        <v>14.6161260308024</v>
      </c>
      <c r="I39" s="3">
        <v>20.493453739955601</v>
      </c>
      <c r="J39" s="3">
        <v>17.546198074876401</v>
      </c>
      <c r="K39" s="3">
        <v>14.875918611767601</v>
      </c>
      <c r="L39" s="3">
        <v>15.945953192606</v>
      </c>
      <c r="M39" s="3">
        <v>16.810288895338299</v>
      </c>
      <c r="N39" s="3">
        <v>13.5589938239109</v>
      </c>
    </row>
    <row r="40" spans="1:14" x14ac:dyDescent="0.35">
      <c r="A40" s="2">
        <v>42958</v>
      </c>
      <c r="B40" s="3">
        <v>19.807790712729702</v>
      </c>
      <c r="C40" s="3">
        <v>15.5353954973803</v>
      </c>
      <c r="D40" s="3">
        <v>15.434874862793899</v>
      </c>
      <c r="E40" s="3">
        <v>12.9152603873323</v>
      </c>
      <c r="F40" s="3">
        <v>13.959277085652801</v>
      </c>
      <c r="G40" s="3">
        <v>17.4298361216625</v>
      </c>
      <c r="H40" s="3">
        <v>14.4243020492942</v>
      </c>
      <c r="I40" s="3">
        <v>20.349037668167</v>
      </c>
      <c r="J40" s="3">
        <v>17.371682975951099</v>
      </c>
      <c r="K40" s="3">
        <v>14.375045067435501</v>
      </c>
      <c r="L40" s="3">
        <v>15.700577475079999</v>
      </c>
      <c r="M40" s="3">
        <v>15.7500476247099</v>
      </c>
      <c r="N40" s="3">
        <v>13.1548267937409</v>
      </c>
    </row>
    <row r="41" spans="1:14" x14ac:dyDescent="0.35">
      <c r="A41" s="2">
        <v>42991</v>
      </c>
      <c r="B41" s="3">
        <v>19.8160843430855</v>
      </c>
      <c r="C41" s="3">
        <v>15.6740402017407</v>
      </c>
      <c r="D41" s="3">
        <v>15.261764300705901</v>
      </c>
      <c r="E41" s="3">
        <v>13.40231529663</v>
      </c>
      <c r="F41" s="3">
        <v>13.7224394205167</v>
      </c>
      <c r="G41" s="3">
        <v>17.664719140581902</v>
      </c>
      <c r="H41" s="3">
        <v>14.599717865476</v>
      </c>
      <c r="I41" s="3">
        <v>20.651910860812599</v>
      </c>
      <c r="J41" s="3">
        <v>17.639801247524701</v>
      </c>
      <c r="K41" s="3">
        <v>14.851003559272501</v>
      </c>
      <c r="L41" s="3">
        <v>15.8804752643569</v>
      </c>
      <c r="M41" s="3">
        <v>16.189422965587699</v>
      </c>
      <c r="N41" s="3">
        <v>13.4082962225567</v>
      </c>
    </row>
    <row r="42" spans="1:14" x14ac:dyDescent="0.35">
      <c r="A42" s="2">
        <v>43021</v>
      </c>
      <c r="B42" s="3">
        <v>20.051564504365999</v>
      </c>
      <c r="C42" s="3">
        <v>15.668422050120901</v>
      </c>
      <c r="D42" s="3">
        <v>15.755410501515099</v>
      </c>
      <c r="E42" s="3">
        <v>13.820926765048601</v>
      </c>
      <c r="F42" s="3">
        <v>14.1903557112306</v>
      </c>
      <c r="G42" s="3">
        <v>18.038506179863099</v>
      </c>
      <c r="H42" s="3">
        <v>14.6816732470311</v>
      </c>
      <c r="I42" s="3">
        <v>20.645902767987899</v>
      </c>
      <c r="J42" s="3">
        <v>17.906277625245501</v>
      </c>
      <c r="K42" s="3">
        <v>15.1514289187621</v>
      </c>
      <c r="L42" s="3">
        <v>16.2009077344754</v>
      </c>
      <c r="M42" s="3">
        <v>16.824947327152501</v>
      </c>
      <c r="N42" s="3">
        <v>13.5552089361186</v>
      </c>
    </row>
    <row r="43" spans="1:14" x14ac:dyDescent="0.35">
      <c r="A43" s="2">
        <v>43052</v>
      </c>
      <c r="B43" s="3">
        <v>20.016320632000301</v>
      </c>
      <c r="C43" s="3">
        <v>16.075561258008101</v>
      </c>
      <c r="D43" s="3">
        <v>15.9110606789953</v>
      </c>
      <c r="E43" s="3">
        <v>13.899506258219899</v>
      </c>
      <c r="F43" s="3">
        <v>14.6937971696064</v>
      </c>
      <c r="G43" s="3">
        <v>17.6115902112006</v>
      </c>
      <c r="H43" s="3">
        <v>14.2799082340475</v>
      </c>
      <c r="I43" s="3">
        <v>20.8573350816465</v>
      </c>
      <c r="J43" s="3">
        <v>17.920926271216</v>
      </c>
      <c r="K43" s="3">
        <v>14.867254056445301</v>
      </c>
      <c r="L43" s="3">
        <v>16.059619266637799</v>
      </c>
      <c r="M43" s="3">
        <v>16.8240117824833</v>
      </c>
      <c r="N43" s="3">
        <v>13.3453851127927</v>
      </c>
    </row>
    <row r="44" spans="1:14" x14ac:dyDescent="0.35">
      <c r="A44" s="2">
        <v>43082</v>
      </c>
      <c r="B44" s="3">
        <v>20.6432152502727</v>
      </c>
      <c r="C44" s="3">
        <v>15.914446338742801</v>
      </c>
      <c r="D44" s="3">
        <v>15.993367243254299</v>
      </c>
      <c r="E44" s="3">
        <v>14.0068203487844</v>
      </c>
      <c r="F44" s="3">
        <v>14.700447565294199</v>
      </c>
      <c r="G44" s="3">
        <v>17.683083751125299</v>
      </c>
      <c r="H44" s="3">
        <v>14.451566301091701</v>
      </c>
      <c r="I44" s="3">
        <v>20.855325456274901</v>
      </c>
      <c r="J44" s="3">
        <v>18.258306237448199</v>
      </c>
      <c r="K44" s="3">
        <v>15.081480268124301</v>
      </c>
      <c r="L44" s="3">
        <v>16.132407713982701</v>
      </c>
      <c r="M44" s="3">
        <v>16.516907572337701</v>
      </c>
      <c r="N44" s="3">
        <v>13.403678141514</v>
      </c>
    </row>
    <row r="45" spans="1:14" x14ac:dyDescent="0.35">
      <c r="A45" s="2">
        <v>43112</v>
      </c>
      <c r="B45" s="3">
        <v>20.408788925883499</v>
      </c>
      <c r="C45" s="3">
        <v>15.986736024856601</v>
      </c>
      <c r="D45" s="3">
        <v>15.8605221565807</v>
      </c>
      <c r="E45" s="3">
        <v>14.0563175615472</v>
      </c>
      <c r="F45" s="3">
        <v>15.229473369846399</v>
      </c>
      <c r="G45" s="3">
        <v>17.899311178304099</v>
      </c>
      <c r="H45" s="3">
        <v>14.8397820257274</v>
      </c>
      <c r="I45" s="3">
        <v>21.771960725705501</v>
      </c>
      <c r="J45" s="3">
        <v>18.4026634406931</v>
      </c>
      <c r="K45" s="3">
        <v>15.261020562490399</v>
      </c>
      <c r="L45" s="3">
        <v>16.2257148449815</v>
      </c>
      <c r="M45" s="3">
        <v>16.634871061704601</v>
      </c>
      <c r="N45" s="3">
        <v>13.644318413260899</v>
      </c>
    </row>
    <row r="46" spans="1:14" x14ac:dyDescent="0.35">
      <c r="A46" s="2">
        <v>43144</v>
      </c>
      <c r="B46" s="3">
        <v>19.3296895246372</v>
      </c>
      <c r="C46" s="3">
        <v>15.198972695752801</v>
      </c>
      <c r="D46" s="3">
        <v>14.416216509086199</v>
      </c>
      <c r="E46" s="3">
        <v>12.906676863047601</v>
      </c>
      <c r="F46" s="3">
        <v>13.590126721294601</v>
      </c>
      <c r="G46" s="3">
        <v>16.4109382394089</v>
      </c>
      <c r="H46" s="3">
        <v>13.476627101045001</v>
      </c>
      <c r="I46" s="3">
        <v>20.059859110331399</v>
      </c>
      <c r="J46" s="3">
        <v>16.684371336591099</v>
      </c>
      <c r="K46" s="3">
        <v>14.1301914997781</v>
      </c>
      <c r="L46" s="3">
        <v>15.153116172939701</v>
      </c>
      <c r="M46" s="3">
        <v>15.7119099683095</v>
      </c>
      <c r="N46" s="3">
        <v>12.313842583482</v>
      </c>
    </row>
    <row r="47" spans="1:14" x14ac:dyDescent="0.35">
      <c r="A47" s="2">
        <v>43172</v>
      </c>
      <c r="B47" s="3">
        <v>20.515267857616902</v>
      </c>
      <c r="C47" s="3">
        <v>15.4540586907237</v>
      </c>
      <c r="D47" s="3">
        <v>14.4990401977598</v>
      </c>
      <c r="E47" s="3">
        <v>12.937708343151099</v>
      </c>
      <c r="F47" s="3">
        <v>13.0993027473332</v>
      </c>
      <c r="G47" s="3">
        <v>16.401478618772</v>
      </c>
      <c r="H47" s="3">
        <v>13.426200677008699</v>
      </c>
      <c r="I47" s="3">
        <v>21.2827991924805</v>
      </c>
      <c r="J47" s="3">
        <v>17.146570539824999</v>
      </c>
      <c r="K47" s="3">
        <v>14.4772354277013</v>
      </c>
      <c r="L47" s="3">
        <v>15.619942782525699</v>
      </c>
      <c r="M47" s="3">
        <v>16.252812653643101</v>
      </c>
      <c r="N47" s="3">
        <v>12.660092589847901</v>
      </c>
    </row>
    <row r="48" spans="1:14" x14ac:dyDescent="0.35">
      <c r="A48" s="2">
        <v>43203</v>
      </c>
      <c r="B48" s="3">
        <v>20.130228245311699</v>
      </c>
      <c r="C48" s="3">
        <v>14.927285916368</v>
      </c>
      <c r="D48" s="3">
        <v>13.951902358779501</v>
      </c>
      <c r="E48" s="3">
        <v>13.0612487600414</v>
      </c>
      <c r="F48" s="3">
        <v>12.8753621804691</v>
      </c>
      <c r="G48" s="3">
        <v>16.081632112418099</v>
      </c>
      <c r="H48" s="3">
        <v>13.5914747108807</v>
      </c>
      <c r="I48" s="3">
        <v>19.832218086232</v>
      </c>
      <c r="J48" s="3">
        <v>16.337057151277602</v>
      </c>
      <c r="K48" s="3">
        <v>14.498496886502799</v>
      </c>
      <c r="L48" s="3">
        <v>15.659494151343701</v>
      </c>
      <c r="M48" s="3">
        <v>15.581146193555099</v>
      </c>
      <c r="N48" s="3">
        <v>12.795542656183599</v>
      </c>
    </row>
    <row r="49" spans="1:14" x14ac:dyDescent="0.35">
      <c r="A49" s="2">
        <v>43231</v>
      </c>
      <c r="B49" s="3">
        <v>20.552967536494599</v>
      </c>
      <c r="C49" s="3">
        <v>15.507339788188499</v>
      </c>
      <c r="D49" s="3">
        <v>14.3439645129227</v>
      </c>
      <c r="E49" s="3">
        <v>13.4341788607517</v>
      </c>
      <c r="F49" s="3">
        <v>13.3479615239113</v>
      </c>
      <c r="G49" s="3">
        <v>16.331958952854102</v>
      </c>
      <c r="H49" s="3">
        <v>13.989143912593599</v>
      </c>
      <c r="I49" s="3">
        <v>20.196240228417999</v>
      </c>
      <c r="J49" s="3">
        <v>16.450508145846399</v>
      </c>
      <c r="K49" s="3">
        <v>14.843720225171101</v>
      </c>
      <c r="L49" s="3">
        <v>15.7079210668555</v>
      </c>
      <c r="M49" s="3">
        <v>16.012922068086599</v>
      </c>
      <c r="N49" s="3">
        <v>12.9419183625077</v>
      </c>
    </row>
    <row r="50" spans="1:14" x14ac:dyDescent="0.35">
      <c r="A50" s="2">
        <v>43264</v>
      </c>
      <c r="B50" s="3">
        <v>21.274091164883998</v>
      </c>
      <c r="C50" s="3">
        <v>15.049311135768001</v>
      </c>
      <c r="D50" s="3">
        <v>14.377870781637199</v>
      </c>
      <c r="E50" s="3">
        <v>13.335393217036099</v>
      </c>
      <c r="F50" s="3">
        <v>13.2925290402908</v>
      </c>
      <c r="G50" s="3">
        <v>15.753147503727901</v>
      </c>
      <c r="H50" s="3">
        <v>13.541137247471299</v>
      </c>
      <c r="I50" s="3">
        <v>20.642173723791601</v>
      </c>
      <c r="J50" s="3">
        <v>16.5511528205218</v>
      </c>
      <c r="K50" s="3">
        <v>14.396002973367599</v>
      </c>
      <c r="L50" s="3">
        <v>15.9874821448579</v>
      </c>
      <c r="M50" s="3">
        <v>15.4042611481118</v>
      </c>
      <c r="N50" s="3">
        <v>11.7195001232315</v>
      </c>
    </row>
    <row r="51" spans="1:14" x14ac:dyDescent="0.35">
      <c r="A51" s="2">
        <v>43294</v>
      </c>
      <c r="B51" s="3">
        <v>21.2359422087086</v>
      </c>
      <c r="C51" s="3">
        <v>15.589717335739801</v>
      </c>
      <c r="D51" s="3">
        <v>14.3758713952182</v>
      </c>
      <c r="E51" s="3">
        <v>12.9864254568374</v>
      </c>
      <c r="F51" s="3">
        <v>12.8050528997419</v>
      </c>
      <c r="G51" s="3">
        <v>15.964079556418101</v>
      </c>
      <c r="H51" s="3">
        <v>13.235342999822199</v>
      </c>
      <c r="I51" s="3">
        <v>20.974145305014801</v>
      </c>
      <c r="J51" s="3">
        <v>16.5410134438428</v>
      </c>
      <c r="K51" s="3">
        <v>14.144683461028499</v>
      </c>
      <c r="L51" s="3">
        <v>15.7128073876759</v>
      </c>
      <c r="M51" s="3">
        <v>15.375436644277199</v>
      </c>
      <c r="N51" s="3">
        <v>11.430672613502299</v>
      </c>
    </row>
    <row r="52" spans="1:14" x14ac:dyDescent="0.35">
      <c r="A52" s="2">
        <v>43325</v>
      </c>
      <c r="B52" s="3">
        <v>21.132007590218599</v>
      </c>
      <c r="C52" s="3">
        <v>15.5023821479073</v>
      </c>
      <c r="D52" s="3">
        <v>13.958007696825099</v>
      </c>
      <c r="E52" s="3">
        <v>12.7967765427821</v>
      </c>
      <c r="F52" s="3">
        <v>12.386184645870101</v>
      </c>
      <c r="G52" s="3">
        <v>15.9830352451556</v>
      </c>
      <c r="H52" s="3">
        <v>12.983742879990301</v>
      </c>
      <c r="I52" s="3">
        <v>20.547275976154701</v>
      </c>
      <c r="J52" s="3">
        <v>16.4265040851223</v>
      </c>
      <c r="K52" s="3">
        <v>13.836859413389901</v>
      </c>
      <c r="L52" s="3">
        <v>15.569939918285501</v>
      </c>
      <c r="M52" s="3">
        <v>15.499438988976101</v>
      </c>
      <c r="N52" s="3">
        <v>11.0087014712868</v>
      </c>
    </row>
    <row r="53" spans="1:14" x14ac:dyDescent="0.35">
      <c r="A53" s="2">
        <v>43356</v>
      </c>
      <c r="B53" s="3">
        <v>21.626836637013501</v>
      </c>
      <c r="C53" s="3">
        <v>15.1093827956191</v>
      </c>
      <c r="D53" s="3">
        <v>13.520485531761899</v>
      </c>
      <c r="E53" s="3">
        <v>12.5085878480786</v>
      </c>
      <c r="F53" s="3">
        <v>12.5099531550318</v>
      </c>
      <c r="G53" s="3">
        <v>15.968158653893701</v>
      </c>
      <c r="H53" s="3">
        <v>12.414725673139699</v>
      </c>
      <c r="I53" s="3">
        <v>20.7562948546556</v>
      </c>
      <c r="J53" s="3">
        <v>16.755726813372998</v>
      </c>
      <c r="K53" s="3">
        <v>13.5410445130212</v>
      </c>
      <c r="L53" s="3">
        <v>14.9336395882478</v>
      </c>
      <c r="M53" s="3">
        <v>15.519030557528099</v>
      </c>
      <c r="N53" s="3">
        <v>10.720532510188599</v>
      </c>
    </row>
    <row r="54" spans="1:14" x14ac:dyDescent="0.35">
      <c r="A54" s="2">
        <v>43385</v>
      </c>
      <c r="B54" s="3">
        <v>20.3722606214412</v>
      </c>
      <c r="C54" s="3">
        <v>14.414879646285501</v>
      </c>
      <c r="D54" s="3">
        <v>12.8759536274433</v>
      </c>
      <c r="E54" s="3">
        <v>11.8801994813437</v>
      </c>
      <c r="F54" s="3">
        <v>12.421521541262001</v>
      </c>
      <c r="G54" s="3">
        <v>15.131997722184501</v>
      </c>
      <c r="H54" s="3">
        <v>11.836603631962401</v>
      </c>
      <c r="I54" s="3">
        <v>19.534810913679099</v>
      </c>
      <c r="J54" s="3">
        <v>15.873322767038299</v>
      </c>
      <c r="K54" s="3">
        <v>12.769606352826299</v>
      </c>
      <c r="L54" s="3">
        <v>14.018787325754399</v>
      </c>
      <c r="M54" s="3">
        <v>14.5692607356763</v>
      </c>
      <c r="N54" s="3">
        <v>9.8707187418646907</v>
      </c>
    </row>
    <row r="55" spans="1:14" x14ac:dyDescent="0.35">
      <c r="A55" s="2">
        <v>43417</v>
      </c>
      <c r="B55" s="3">
        <v>20.366572707602199</v>
      </c>
      <c r="C55" s="3">
        <v>14.408033603674999</v>
      </c>
      <c r="D55" s="3">
        <v>12.5834913282579</v>
      </c>
      <c r="E55" s="3">
        <v>11.755395435799301</v>
      </c>
      <c r="F55" s="3">
        <v>11.956688462540001</v>
      </c>
      <c r="G55" s="3">
        <v>15.637360818596999</v>
      </c>
      <c r="H55" s="3">
        <v>11.8892279099673</v>
      </c>
      <c r="I55" s="3">
        <v>18.4733344647458</v>
      </c>
      <c r="J55" s="3">
        <v>15.5495534024904</v>
      </c>
      <c r="K55" s="3">
        <v>12.7933953241201</v>
      </c>
      <c r="L55" s="3">
        <v>14.365900283083</v>
      </c>
      <c r="M55" s="3">
        <v>14.296818874540101</v>
      </c>
      <c r="N55" s="3">
        <v>9.7785661785388207</v>
      </c>
    </row>
    <row r="56" spans="1:14" x14ac:dyDescent="0.35">
      <c r="A56" s="2">
        <v>43447</v>
      </c>
      <c r="B56" s="3">
        <v>20.0472778227183</v>
      </c>
      <c r="C56" s="3">
        <v>14.0535698704675</v>
      </c>
      <c r="D56" s="3">
        <v>12.484713163674501</v>
      </c>
      <c r="E56" s="3">
        <v>11.3411407792207</v>
      </c>
      <c r="F56" s="3">
        <v>11.9392656229836</v>
      </c>
      <c r="G56" s="3">
        <v>15.2355908794092</v>
      </c>
      <c r="H56" s="3">
        <v>11.5782725452687</v>
      </c>
      <c r="I56" s="3">
        <v>18.297147201454401</v>
      </c>
      <c r="J56" s="3">
        <v>15.1323597510045</v>
      </c>
      <c r="K56" s="3">
        <v>12.335901664547199</v>
      </c>
      <c r="L56" s="3">
        <v>13.7186615962607</v>
      </c>
      <c r="M56" s="3">
        <v>13.8712122284503</v>
      </c>
      <c r="N56" s="3">
        <v>9.5622499234409499</v>
      </c>
    </row>
    <row r="57" spans="1:14" x14ac:dyDescent="0.35">
      <c r="A57" s="2">
        <v>43476</v>
      </c>
      <c r="B57" s="3">
        <v>20.3463813494912</v>
      </c>
      <c r="C57" s="3">
        <v>14.4239379752127</v>
      </c>
      <c r="D57" s="3">
        <v>12.912822728411101</v>
      </c>
      <c r="E57" s="3">
        <v>11.320512875057799</v>
      </c>
      <c r="F57" s="3">
        <v>11.464576670402099</v>
      </c>
      <c r="G57" s="3">
        <v>15.2151961802266</v>
      </c>
      <c r="H57" s="3">
        <v>11.8642334111706</v>
      </c>
      <c r="I57" s="3">
        <v>18.137204718204799</v>
      </c>
      <c r="J57" s="3">
        <v>15.0726387797725</v>
      </c>
      <c r="K57" s="3">
        <v>12.224642076677799</v>
      </c>
      <c r="L57" s="3">
        <v>13.4132960063511</v>
      </c>
      <c r="M57" s="3">
        <v>13.963117162935299</v>
      </c>
      <c r="N57" s="3">
        <v>9.6942155158619698</v>
      </c>
    </row>
    <row r="58" spans="1:14" x14ac:dyDescent="0.35">
      <c r="A58" s="2">
        <v>43509</v>
      </c>
      <c r="B58" s="3">
        <v>21.321862049904301</v>
      </c>
      <c r="C58" s="3">
        <v>15.0318079118358</v>
      </c>
      <c r="D58" s="3">
        <v>13.796591823443199</v>
      </c>
      <c r="E58" s="3">
        <v>11.7595908426657</v>
      </c>
      <c r="F58" s="3">
        <v>12.193976651117699</v>
      </c>
      <c r="G58" s="3">
        <v>15.7685473956124</v>
      </c>
      <c r="H58" s="3">
        <v>12.4161727251229</v>
      </c>
      <c r="I58" s="3">
        <v>19.407650344722899</v>
      </c>
      <c r="J58" s="3">
        <v>16.026401143922801</v>
      </c>
      <c r="K58" s="3">
        <v>13.0014843015607</v>
      </c>
      <c r="L58" s="3">
        <v>14.6783927874871</v>
      </c>
      <c r="M58" s="3">
        <v>14.788643382206001</v>
      </c>
      <c r="N58" s="3">
        <v>10.253997524967501</v>
      </c>
    </row>
    <row r="59" spans="1:14" x14ac:dyDescent="0.35">
      <c r="A59" s="2">
        <v>43537</v>
      </c>
      <c r="B59" s="3">
        <v>21.5138716298856</v>
      </c>
      <c r="C59" s="3">
        <v>15.1960186139755</v>
      </c>
      <c r="D59" s="3">
        <v>14.2176707600971</v>
      </c>
      <c r="E59" s="3">
        <v>12.2030184818375</v>
      </c>
      <c r="F59" s="3">
        <v>12.447409019377099</v>
      </c>
      <c r="G59" s="3">
        <v>16.357375407221301</v>
      </c>
      <c r="H59" s="3">
        <v>12.4490443844869</v>
      </c>
      <c r="I59" s="3">
        <v>20.049411567155801</v>
      </c>
      <c r="J59" s="3">
        <v>16.319878133821501</v>
      </c>
      <c r="K59" s="3">
        <v>13.567812682947499</v>
      </c>
      <c r="L59" s="3">
        <v>14.9352636237222</v>
      </c>
      <c r="M59" s="3">
        <v>14.7983147666873</v>
      </c>
      <c r="N59" s="3">
        <v>10.5154161825235</v>
      </c>
    </row>
    <row r="60" spans="1:14" x14ac:dyDescent="0.35">
      <c r="A60" s="2">
        <v>43567</v>
      </c>
      <c r="B60" s="3">
        <v>22.137219462676299</v>
      </c>
      <c r="C60" s="3">
        <v>15.3265918464317</v>
      </c>
      <c r="D60" s="3">
        <v>14.0674127514822</v>
      </c>
      <c r="E60" s="3">
        <v>12.6627812798449</v>
      </c>
      <c r="F60" s="3">
        <v>12.6040049477169</v>
      </c>
      <c r="G60" s="3">
        <v>16.7920948899664</v>
      </c>
      <c r="H60" s="3">
        <v>12.788576107157599</v>
      </c>
      <c r="I60" s="3">
        <v>20.950458030927699</v>
      </c>
      <c r="J60" s="3">
        <v>16.841229554085999</v>
      </c>
      <c r="K60" s="3">
        <v>13.981951993068099</v>
      </c>
      <c r="L60" s="3">
        <v>15.542130708954501</v>
      </c>
      <c r="M60" s="3">
        <v>15.268900399776999</v>
      </c>
      <c r="N60" s="3">
        <v>10.929320099998399</v>
      </c>
    </row>
    <row r="61" spans="1:14" x14ac:dyDescent="0.35">
      <c r="A61" s="2">
        <v>43598</v>
      </c>
      <c r="B61" s="3">
        <v>22.950024361457199</v>
      </c>
      <c r="C61" s="3">
        <v>15.3468268614808</v>
      </c>
      <c r="D61" s="3">
        <v>13.472789399419399</v>
      </c>
      <c r="E61" s="3">
        <v>12.366926237581</v>
      </c>
      <c r="F61" s="3">
        <v>12.1790802730184</v>
      </c>
      <c r="G61" s="3">
        <v>16.263858664528001</v>
      </c>
      <c r="H61" s="3">
        <v>12.172007887738699</v>
      </c>
      <c r="I61" s="3">
        <v>19.9797631366338</v>
      </c>
      <c r="J61" s="3">
        <v>16.100952402533</v>
      </c>
      <c r="K61" s="3">
        <v>13.3086308167253</v>
      </c>
      <c r="L61" s="3">
        <v>14.965751592973</v>
      </c>
      <c r="M61" s="3">
        <v>14.7083167292755</v>
      </c>
      <c r="N61" s="3">
        <v>10.2456673081369</v>
      </c>
    </row>
    <row r="62" spans="1:14" x14ac:dyDescent="0.35">
      <c r="A62" s="2">
        <v>43629</v>
      </c>
      <c r="B62" s="3">
        <v>23.0376650358806</v>
      </c>
      <c r="C62" s="3">
        <v>15.907565968582899</v>
      </c>
      <c r="D62" s="3">
        <v>13.5019688592823</v>
      </c>
      <c r="E62" s="3">
        <v>12.4356890649291</v>
      </c>
      <c r="F62" s="3">
        <v>12.541769223942399</v>
      </c>
      <c r="G62" s="3">
        <v>17.027881620293201</v>
      </c>
      <c r="H62" s="3">
        <v>12.463619174484201</v>
      </c>
      <c r="I62" s="3">
        <v>20.312487104383401</v>
      </c>
      <c r="J62" s="3">
        <v>16.442179928467201</v>
      </c>
      <c r="K62" s="3">
        <v>13.537737578248301</v>
      </c>
      <c r="L62" s="3">
        <v>15.3527159765368</v>
      </c>
      <c r="M62" s="3">
        <v>14.834619486428901</v>
      </c>
      <c r="N62" s="3">
        <v>10.186071991471501</v>
      </c>
    </row>
    <row r="63" spans="1:14" x14ac:dyDescent="0.35">
      <c r="A63" s="2">
        <v>43658</v>
      </c>
      <c r="B63" s="3">
        <v>24.3683662054496</v>
      </c>
      <c r="C63" s="3">
        <v>16.129652036631999</v>
      </c>
      <c r="D63" s="3">
        <v>13.6863297284055</v>
      </c>
      <c r="E63" s="3">
        <v>12.8080491134829</v>
      </c>
      <c r="F63" s="3">
        <v>12.9252039909403</v>
      </c>
      <c r="G63" s="3">
        <v>16.9318110130903</v>
      </c>
      <c r="H63" s="3">
        <v>12.6404035341792</v>
      </c>
      <c r="I63" s="3">
        <v>21.4580699956696</v>
      </c>
      <c r="J63" s="3">
        <v>17.143858749979</v>
      </c>
      <c r="K63" s="3">
        <v>14.0005031473928</v>
      </c>
      <c r="L63" s="3">
        <v>15.532036097309501</v>
      </c>
      <c r="M63" s="3">
        <v>15.1203259459954</v>
      </c>
      <c r="N63" s="3">
        <v>10.9466900290377</v>
      </c>
    </row>
    <row r="64" spans="1:14" x14ac:dyDescent="0.35">
      <c r="A64" s="2">
        <v>43690</v>
      </c>
      <c r="B64" s="3">
        <v>24.588675389167999</v>
      </c>
      <c r="C64" s="3">
        <v>15.9380162641592</v>
      </c>
      <c r="D64" s="3">
        <v>13.6040822110636</v>
      </c>
      <c r="E64" s="3">
        <v>12.379290078978601</v>
      </c>
      <c r="F64" s="3">
        <v>12.268034930029</v>
      </c>
      <c r="G64" s="3">
        <v>16.886667988789299</v>
      </c>
      <c r="H64" s="3">
        <v>11.991721386448701</v>
      </c>
      <c r="I64" s="3">
        <v>20.655540626813099</v>
      </c>
      <c r="J64" s="3">
        <v>16.6244410993786</v>
      </c>
      <c r="K64" s="3">
        <v>13.5583367634257</v>
      </c>
      <c r="L64" s="3">
        <v>15.087618724609699</v>
      </c>
      <c r="M64" s="3">
        <v>13.735153483163501</v>
      </c>
      <c r="N64" s="3">
        <v>10.101511772786701</v>
      </c>
    </row>
    <row r="65" spans="1:14" x14ac:dyDescent="0.35">
      <c r="A65" s="2">
        <v>43721</v>
      </c>
      <c r="B65" s="3">
        <v>25.926819030685699</v>
      </c>
      <c r="C65" s="3">
        <v>16.553884982319602</v>
      </c>
      <c r="D65" s="3">
        <v>13.9564269021485</v>
      </c>
      <c r="E65" s="3">
        <v>13.1471170088523</v>
      </c>
      <c r="F65" s="3">
        <v>13.4384650221798</v>
      </c>
      <c r="G65" s="3">
        <v>17.190042058637999</v>
      </c>
      <c r="H65" s="3">
        <v>12.431698644849099</v>
      </c>
      <c r="I65" s="3">
        <v>20.897130232002102</v>
      </c>
      <c r="J65" s="3">
        <v>16.972664534514799</v>
      </c>
      <c r="K65" s="3">
        <v>14.2115092834687</v>
      </c>
      <c r="L65" s="3">
        <v>16.118121331025201</v>
      </c>
      <c r="M65" s="3">
        <v>14.8120227613254</v>
      </c>
      <c r="N65" s="3">
        <v>10.8849673323702</v>
      </c>
    </row>
    <row r="66" spans="1:14" x14ac:dyDescent="0.35">
      <c r="A66" s="2">
        <v>43749</v>
      </c>
      <c r="B66" s="3">
        <v>25.265198976926001</v>
      </c>
      <c r="C66" s="3">
        <v>16.510480801007599</v>
      </c>
      <c r="D66" s="3">
        <v>13.769537392674</v>
      </c>
      <c r="E66" s="3">
        <v>13.1175008100439</v>
      </c>
      <c r="F66" s="3">
        <v>13.2674939400206</v>
      </c>
      <c r="G66" s="3">
        <v>17.0625929798254</v>
      </c>
      <c r="H66" s="3">
        <v>12.439901704476201</v>
      </c>
      <c r="I66" s="3">
        <v>20.6079454175599</v>
      </c>
      <c r="J66" s="3">
        <v>16.789181090005901</v>
      </c>
      <c r="K66" s="3">
        <v>14.2294376206063</v>
      </c>
      <c r="L66" s="3">
        <v>16.202814806379902</v>
      </c>
      <c r="M66" s="3">
        <v>15.093347026263</v>
      </c>
      <c r="N66" s="3">
        <v>10.857192979290399</v>
      </c>
    </row>
    <row r="67" spans="1:14" x14ac:dyDescent="0.35">
      <c r="A67" s="2">
        <v>43782</v>
      </c>
      <c r="B67" s="3">
        <v>24.503252778211401</v>
      </c>
      <c r="C67" s="3">
        <v>17.047334398661501</v>
      </c>
      <c r="D67" s="3">
        <v>14.34493646084</v>
      </c>
      <c r="E67" s="3">
        <v>13.887051085375401</v>
      </c>
      <c r="F67" s="3">
        <v>14.150272280992899</v>
      </c>
      <c r="G67" s="3">
        <v>17.3890781413719</v>
      </c>
      <c r="H67" s="3">
        <v>12.870889868635</v>
      </c>
      <c r="I67" s="3">
        <v>21.5284363289257</v>
      </c>
      <c r="J67" s="3">
        <v>17.460834836743501</v>
      </c>
      <c r="K67" s="3">
        <v>14.7591186905188</v>
      </c>
      <c r="L67" s="3">
        <v>16.678938739403101</v>
      </c>
      <c r="M67" s="3">
        <v>15.888806123989401</v>
      </c>
      <c r="N67" s="3">
        <v>11.3923288979785</v>
      </c>
    </row>
    <row r="68" spans="1:14" x14ac:dyDescent="0.35">
      <c r="A68" s="2">
        <v>43812</v>
      </c>
      <c r="B68" s="3">
        <v>25.5440818691918</v>
      </c>
      <c r="C68" s="3">
        <v>17.200338565573102</v>
      </c>
      <c r="D68" s="3">
        <v>14.3742179183141</v>
      </c>
      <c r="E68" s="3">
        <v>14.171335737556699</v>
      </c>
      <c r="F68" s="3">
        <v>14.714560608142101</v>
      </c>
      <c r="G68" s="3">
        <v>17.5061231896488</v>
      </c>
      <c r="H68" s="3">
        <v>13.1988559192803</v>
      </c>
      <c r="I68" s="3">
        <v>22.119904528842401</v>
      </c>
      <c r="J68" s="3">
        <v>17.8300929122335</v>
      </c>
      <c r="K68" s="3">
        <v>14.780567188717701</v>
      </c>
      <c r="L68" s="3">
        <v>16.983968249542698</v>
      </c>
      <c r="M68" s="3">
        <v>16.0281058450019</v>
      </c>
      <c r="N68" s="3">
        <v>11.334018475065401</v>
      </c>
    </row>
    <row r="69" spans="1:14" x14ac:dyDescent="0.35">
      <c r="A69" s="2">
        <v>43843</v>
      </c>
      <c r="B69" s="3">
        <v>25.724154302647801</v>
      </c>
      <c r="C69" s="3">
        <v>17.603011775495499</v>
      </c>
      <c r="D69" s="3">
        <v>14.509810150888301</v>
      </c>
      <c r="E69" s="3">
        <v>14.311006365647099</v>
      </c>
      <c r="F69" s="3">
        <v>14.643243529682501</v>
      </c>
      <c r="G69" s="3">
        <v>17.801602583376901</v>
      </c>
      <c r="H69" s="3">
        <v>13.4720283809776</v>
      </c>
      <c r="I69" s="3">
        <v>23.496598720161401</v>
      </c>
      <c r="J69" s="3">
        <v>18.415105295268599</v>
      </c>
      <c r="K69" s="3">
        <v>14.995438120447099</v>
      </c>
      <c r="L69" s="3">
        <v>17.1363924078988</v>
      </c>
      <c r="M69" s="3">
        <v>16.374088241456899</v>
      </c>
      <c r="N69" s="3">
        <v>11.560128124245001</v>
      </c>
    </row>
    <row r="70" spans="1:14" x14ac:dyDescent="0.35">
      <c r="A70" s="2">
        <v>43874</v>
      </c>
      <c r="B70" s="3">
        <v>27.087519700616401</v>
      </c>
      <c r="C70" s="3">
        <v>18.219380707180399</v>
      </c>
      <c r="D70" s="3">
        <v>14.9897557272527</v>
      </c>
      <c r="E70" s="3">
        <v>14.548490512091</v>
      </c>
      <c r="F70" s="3">
        <v>14.4467073329917</v>
      </c>
      <c r="G70" s="3">
        <v>18.397924533102501</v>
      </c>
      <c r="H70" s="3">
        <v>13.400306150404701</v>
      </c>
      <c r="I70" s="3">
        <v>24.2848169870799</v>
      </c>
      <c r="J70" s="3">
        <v>18.9196439777945</v>
      </c>
      <c r="K70" s="3">
        <v>15.191422536857999</v>
      </c>
      <c r="L70" s="3">
        <v>18.240398848667802</v>
      </c>
      <c r="M70" s="3">
        <v>16.986908143116999</v>
      </c>
      <c r="N70" s="3">
        <v>11.8698174621875</v>
      </c>
    </row>
    <row r="71" spans="1:14" x14ac:dyDescent="0.35">
      <c r="A71" s="2">
        <v>43903</v>
      </c>
      <c r="B71" s="3">
        <v>22.455839832550001</v>
      </c>
      <c r="C71" s="3">
        <v>14.313927787306501</v>
      </c>
      <c r="D71" s="3">
        <v>12.1382675883925</v>
      </c>
      <c r="E71" s="3">
        <v>9.9786503878062103</v>
      </c>
      <c r="F71" s="3">
        <v>10.971730826182201</v>
      </c>
      <c r="G71" s="3">
        <v>14.1564919315447</v>
      </c>
      <c r="H71" s="3">
        <v>10.141658832721101</v>
      </c>
      <c r="I71" s="3">
        <v>20.339233377878202</v>
      </c>
      <c r="J71" s="3">
        <v>15.451851311138901</v>
      </c>
      <c r="K71" s="3">
        <v>10.998381576549299</v>
      </c>
      <c r="L71" s="3">
        <v>12.728171592799301</v>
      </c>
      <c r="M71" s="3">
        <v>12.2641123030728</v>
      </c>
      <c r="N71" s="3">
        <v>7.9326352342542004</v>
      </c>
    </row>
    <row r="72" spans="1:14" x14ac:dyDescent="0.35">
      <c r="A72" s="2">
        <v>43934</v>
      </c>
      <c r="B72" s="3">
        <v>26.370379200883299</v>
      </c>
      <c r="C72" s="3">
        <v>15.951841619492299</v>
      </c>
      <c r="D72" s="3">
        <v>14.656236363956699</v>
      </c>
      <c r="E72" s="3">
        <v>13.4760929638703</v>
      </c>
      <c r="F72" s="3">
        <v>12.819831892946</v>
      </c>
      <c r="G72" s="3">
        <v>17.1880797765855</v>
      </c>
      <c r="H72" s="3">
        <v>13.3054459145319</v>
      </c>
      <c r="I72" s="3">
        <v>22.5598723615289</v>
      </c>
      <c r="J72" s="3">
        <v>17.875960504087899</v>
      </c>
      <c r="K72" s="3">
        <v>14.5164649865079</v>
      </c>
      <c r="L72" s="3">
        <v>15.834058739507601</v>
      </c>
      <c r="M72" s="3">
        <v>15.663999228584499</v>
      </c>
      <c r="N72" s="3">
        <v>10.730329675563</v>
      </c>
    </row>
    <row r="73" spans="1:14" x14ac:dyDescent="0.35">
      <c r="A73" s="2">
        <v>43964</v>
      </c>
      <c r="B73" s="3">
        <v>30.7178647637311</v>
      </c>
      <c r="C73" s="3">
        <v>17.317828976904899</v>
      </c>
      <c r="D73" s="3">
        <v>17.410535874166602</v>
      </c>
      <c r="E73" s="3">
        <v>15.023589703962299</v>
      </c>
      <c r="F73" s="3">
        <v>14.3794760695947</v>
      </c>
      <c r="G73" s="3">
        <v>18.506264071017299</v>
      </c>
      <c r="H73" s="3">
        <v>15.044441860910901</v>
      </c>
      <c r="I73" s="3">
        <v>25.7828912023658</v>
      </c>
      <c r="J73" s="3">
        <v>20.110603179468999</v>
      </c>
      <c r="K73" s="3">
        <v>16.113038560303099</v>
      </c>
      <c r="L73" s="3">
        <v>17.329396459181599</v>
      </c>
      <c r="M73" s="3">
        <v>17.6971064294877</v>
      </c>
      <c r="N73" s="3">
        <v>14.696588631886501</v>
      </c>
    </row>
    <row r="74" spans="1:14" x14ac:dyDescent="0.35">
      <c r="A74" s="2">
        <v>43994</v>
      </c>
      <c r="B74" s="3">
        <v>29.977485489925201</v>
      </c>
      <c r="C74" s="3">
        <v>18.895941818929</v>
      </c>
      <c r="D74" s="3">
        <v>17.698490819762</v>
      </c>
      <c r="E74" s="3">
        <v>17.328867000686198</v>
      </c>
      <c r="F74" s="3">
        <v>17.257985259782199</v>
      </c>
      <c r="G74" s="3">
        <v>18.776659687559299</v>
      </c>
      <c r="H74" s="3">
        <v>15.9019814225927</v>
      </c>
      <c r="I74" s="3">
        <v>27.4277932948509</v>
      </c>
      <c r="J74" s="3">
        <v>21.440258773512902</v>
      </c>
      <c r="K74" s="3">
        <v>18.298959687498499</v>
      </c>
      <c r="L74" s="3">
        <v>18.9755303928697</v>
      </c>
      <c r="M74" s="3">
        <v>18.449431332250398</v>
      </c>
      <c r="N74" s="3">
        <v>17.003373998970101</v>
      </c>
    </row>
    <row r="75" spans="1:14" x14ac:dyDescent="0.35">
      <c r="A75" s="2">
        <v>44025</v>
      </c>
      <c r="B75" s="3">
        <v>31.6658526456423</v>
      </c>
      <c r="C75" s="3">
        <v>19.0110700958965</v>
      </c>
      <c r="D75" s="3">
        <v>17.427909421854899</v>
      </c>
      <c r="E75" s="3">
        <v>18.511803921633799</v>
      </c>
      <c r="F75" s="3">
        <v>17.878358332303701</v>
      </c>
      <c r="G75" s="3">
        <v>19.7291301648517</v>
      </c>
      <c r="H75" s="3">
        <v>15.781270822961201</v>
      </c>
      <c r="I75" s="3">
        <v>29.351728081075802</v>
      </c>
      <c r="J75" s="3">
        <v>21.935097223453401</v>
      </c>
      <c r="K75" s="3">
        <v>19.577517137240498</v>
      </c>
      <c r="L75" s="3">
        <v>20.4303220343925</v>
      </c>
      <c r="M75" s="3">
        <v>19.9584190986617</v>
      </c>
      <c r="N75" s="3">
        <v>17.413438942121601</v>
      </c>
    </row>
    <row r="76" spans="1:14" x14ac:dyDescent="0.35">
      <c r="A76" s="2">
        <v>44056</v>
      </c>
      <c r="B76" s="3">
        <v>31.829309323651799</v>
      </c>
      <c r="C76" s="3">
        <v>19.5476260968282</v>
      </c>
      <c r="D76" s="3">
        <v>17.4998385306417</v>
      </c>
      <c r="E76" s="3">
        <v>18.152783831408399</v>
      </c>
      <c r="F76" s="3">
        <v>17.993033812787701</v>
      </c>
      <c r="G76" s="3">
        <v>19.669292842965898</v>
      </c>
      <c r="H76" s="3">
        <v>15.853821081285799</v>
      </c>
      <c r="I76" s="3">
        <v>29.328104250633402</v>
      </c>
      <c r="J76" s="3">
        <v>22.372203631837799</v>
      </c>
      <c r="K76" s="3">
        <v>20.1144339982554</v>
      </c>
      <c r="L76" s="3">
        <v>20.152988781656401</v>
      </c>
      <c r="M76" s="3">
        <v>18.960170706591999</v>
      </c>
      <c r="N76" s="3">
        <v>16.756825161247701</v>
      </c>
    </row>
    <row r="77" spans="1:14" x14ac:dyDescent="0.35">
      <c r="A77" s="2">
        <v>44085</v>
      </c>
      <c r="B77" s="3">
        <v>32.100482047173301</v>
      </c>
      <c r="C77" s="3">
        <v>18.473219825056599</v>
      </c>
      <c r="D77" s="3">
        <v>16.747630176198999</v>
      </c>
      <c r="E77" s="3">
        <v>17.749671334157199</v>
      </c>
      <c r="F77" s="3">
        <v>18.3689634808634</v>
      </c>
      <c r="G77" s="3">
        <v>19.554147192866399</v>
      </c>
      <c r="H77" s="3">
        <v>15.0329871236299</v>
      </c>
      <c r="I77" s="3">
        <v>28.645969421719101</v>
      </c>
      <c r="J77" s="3">
        <v>21.652038459493799</v>
      </c>
      <c r="K77" s="3">
        <v>19.272055695393099</v>
      </c>
      <c r="L77" s="3">
        <v>19.558688038693798</v>
      </c>
      <c r="M77" s="3">
        <v>18.292531351462902</v>
      </c>
      <c r="N77" s="3">
        <v>15.7376439361044</v>
      </c>
    </row>
    <row r="78" spans="1:14" x14ac:dyDescent="0.35">
      <c r="A78" s="2">
        <v>44117</v>
      </c>
      <c r="B78" s="3">
        <v>33.464469540704101</v>
      </c>
      <c r="C78" s="3">
        <v>18.975150248563398</v>
      </c>
      <c r="D78" s="3">
        <v>16.385475400478601</v>
      </c>
      <c r="E78" s="3">
        <v>16.889722868766501</v>
      </c>
      <c r="F78" s="3">
        <v>18.190292884956701</v>
      </c>
      <c r="G78" s="3">
        <v>19.182449784593199</v>
      </c>
      <c r="H78" s="3">
        <v>14.3710218849985</v>
      </c>
      <c r="I78" s="3">
        <v>30.671157394224402</v>
      </c>
      <c r="J78" s="3">
        <v>22.2112249164989</v>
      </c>
      <c r="K78" s="3">
        <v>18.336352922186801</v>
      </c>
      <c r="L78" s="3">
        <v>20.143583985044401</v>
      </c>
      <c r="M78" s="3">
        <v>18.1876392945187</v>
      </c>
      <c r="N78" s="3">
        <v>14.7830287561672</v>
      </c>
    </row>
    <row r="79" spans="1:14" x14ac:dyDescent="0.35">
      <c r="A79" s="2">
        <v>44148</v>
      </c>
      <c r="B79" s="3">
        <v>33.1558479683695</v>
      </c>
      <c r="C79" s="3">
        <v>19.027696439201801</v>
      </c>
      <c r="D79" s="3">
        <v>15.981643607663599</v>
      </c>
      <c r="E79" s="3">
        <v>16.10004981814</v>
      </c>
      <c r="F79" s="3">
        <v>18.2440394916343</v>
      </c>
      <c r="G79" s="3">
        <v>18.977057114398999</v>
      </c>
      <c r="H79" s="3">
        <v>14.6973204693436</v>
      </c>
      <c r="I79" s="3">
        <v>29.189078065536801</v>
      </c>
      <c r="J79" s="3">
        <v>21.879532871215499</v>
      </c>
      <c r="K79" s="3">
        <v>18.9086632261095</v>
      </c>
      <c r="L79" s="3">
        <v>20.620615625323101</v>
      </c>
      <c r="M79" s="3">
        <v>17.135587881527801</v>
      </c>
      <c r="N79" s="3">
        <v>14.7260320543259</v>
      </c>
    </row>
    <row r="80" spans="1:14" x14ac:dyDescent="0.35">
      <c r="A80" s="2">
        <v>44176</v>
      </c>
      <c r="B80" s="3">
        <v>33.229776290467001</v>
      </c>
      <c r="C80" s="3">
        <v>19.254131767378301</v>
      </c>
      <c r="D80" s="3">
        <v>16.1704747839626</v>
      </c>
      <c r="E80" s="3">
        <v>15.7093616352893</v>
      </c>
      <c r="F80" s="3">
        <v>18.482922208374799</v>
      </c>
      <c r="G80" s="3">
        <v>18.409198600848899</v>
      </c>
      <c r="H80" s="3">
        <v>14.799699770166599</v>
      </c>
      <c r="I80" s="3">
        <v>29.6192077554355</v>
      </c>
      <c r="J80" s="3">
        <v>21.8321034056647</v>
      </c>
      <c r="K80" s="3">
        <v>18.482260879384999</v>
      </c>
      <c r="L80" s="3">
        <v>20.2011656746262</v>
      </c>
      <c r="M80" s="3">
        <v>17.231303623365498</v>
      </c>
      <c r="N80" s="3">
        <v>14.7921811915182</v>
      </c>
    </row>
    <row r="81" spans="1:14" x14ac:dyDescent="0.35">
      <c r="A81" s="2">
        <v>44209</v>
      </c>
      <c r="B81" s="3">
        <v>33.936060570415499</v>
      </c>
      <c r="C81" s="3">
        <v>19.215963694932199</v>
      </c>
      <c r="D81" s="3">
        <v>16.122334614710599</v>
      </c>
      <c r="E81" s="3">
        <v>16.145799233223499</v>
      </c>
      <c r="F81" s="3">
        <v>18.782371646164801</v>
      </c>
      <c r="G81" s="3">
        <v>19.029307382394698</v>
      </c>
      <c r="H81" s="3">
        <v>14.565016219156201</v>
      </c>
      <c r="I81" s="3">
        <v>30.0544414031218</v>
      </c>
      <c r="J81" s="3">
        <v>22.504821301181298</v>
      </c>
      <c r="K81" s="3">
        <v>18.017126144507198</v>
      </c>
      <c r="L81" s="3">
        <v>21.014399077200501</v>
      </c>
      <c r="M81" s="3">
        <v>18.8437287918503</v>
      </c>
      <c r="N81" s="3">
        <v>14.939419658379601</v>
      </c>
    </row>
    <row r="82" spans="1:14" x14ac:dyDescent="0.35">
      <c r="A82" s="2">
        <v>44239</v>
      </c>
      <c r="B82" s="3">
        <v>31.978803887686201</v>
      </c>
      <c r="C82" s="3">
        <v>19.051631457552499</v>
      </c>
      <c r="D82" s="3">
        <v>16.287975662363301</v>
      </c>
      <c r="E82" s="3">
        <v>15.862385220360901</v>
      </c>
      <c r="F82" s="3">
        <v>18.915367549667401</v>
      </c>
      <c r="G82" s="3">
        <v>19.000922289717</v>
      </c>
      <c r="H82" s="3">
        <v>14.0836389003849</v>
      </c>
      <c r="I82" s="3">
        <v>30.331384170679598</v>
      </c>
      <c r="J82" s="3">
        <v>22.2725246233836</v>
      </c>
      <c r="K82" s="3">
        <v>17.884141341665899</v>
      </c>
      <c r="L82" s="3">
        <v>22.649830864511699</v>
      </c>
      <c r="M82" s="3">
        <v>18.885289226926801</v>
      </c>
      <c r="N82" s="3">
        <v>14.364211016786101</v>
      </c>
    </row>
    <row r="83" spans="1:14" x14ac:dyDescent="0.35">
      <c r="A83" s="2">
        <v>44267</v>
      </c>
      <c r="B83" s="3">
        <v>32.202541837906097</v>
      </c>
      <c r="C83" s="3">
        <v>18.058742089098999</v>
      </c>
      <c r="D83" s="3">
        <v>15.4849233659695</v>
      </c>
      <c r="E83" s="3">
        <v>15.8912871550136</v>
      </c>
      <c r="F83" s="3">
        <v>17.962679365194798</v>
      </c>
      <c r="G83" s="3">
        <v>18.536474957220001</v>
      </c>
      <c r="H83" s="3">
        <v>14.075155724809299</v>
      </c>
      <c r="I83" s="3">
        <v>27.7459490459471</v>
      </c>
      <c r="J83" s="3">
        <v>21.902108680248499</v>
      </c>
      <c r="K83" s="3">
        <v>18.469401206638899</v>
      </c>
      <c r="L83" s="3">
        <v>21.722689921676601</v>
      </c>
      <c r="M83" s="3">
        <v>20.1890320000781</v>
      </c>
      <c r="N83" s="3">
        <v>13.981023755639599</v>
      </c>
    </row>
    <row r="84" spans="1:14" x14ac:dyDescent="0.35">
      <c r="A84" s="2">
        <v>44299</v>
      </c>
      <c r="B84" s="3">
        <v>32.349695390980301</v>
      </c>
      <c r="C84" s="3">
        <v>17.924879272126699</v>
      </c>
      <c r="D84" s="3">
        <v>15.5450343466162</v>
      </c>
      <c r="E84" s="3">
        <v>16.142617840506599</v>
      </c>
      <c r="F84" s="3">
        <v>17.405758125079299</v>
      </c>
      <c r="G84" s="3">
        <v>19.2480721829162</v>
      </c>
      <c r="H84" s="3">
        <v>13.343523320388</v>
      </c>
      <c r="I84" s="3">
        <v>29.685206911550701</v>
      </c>
      <c r="J84" s="3">
        <v>22.5232981937537</v>
      </c>
      <c r="K84" s="3">
        <v>18.2283463505734</v>
      </c>
      <c r="L84" s="3">
        <v>22.594066330797599</v>
      </c>
      <c r="M84" s="3">
        <v>20.589966640435598</v>
      </c>
      <c r="N84" s="3">
        <v>13.9108320033379</v>
      </c>
    </row>
    <row r="85" spans="1:14" x14ac:dyDescent="0.35">
      <c r="A85" s="2">
        <v>44329</v>
      </c>
      <c r="B85" s="3">
        <v>32.432463174808802</v>
      </c>
      <c r="C85" s="3">
        <v>17.644313887685801</v>
      </c>
      <c r="D85" s="3">
        <v>15.271938880119</v>
      </c>
      <c r="E85" s="3">
        <v>14.6905643466465</v>
      </c>
      <c r="F85" s="3">
        <v>15.9440400381486</v>
      </c>
      <c r="G85" s="3">
        <v>18.750155020525099</v>
      </c>
      <c r="H85" s="3">
        <v>13.1588867746246</v>
      </c>
      <c r="I85" s="3">
        <v>26.042425941239401</v>
      </c>
      <c r="J85" s="3">
        <v>21.018291382580902</v>
      </c>
      <c r="K85" s="3">
        <v>17.560655180366599</v>
      </c>
      <c r="L85" s="3">
        <v>20.851550624196999</v>
      </c>
      <c r="M85" s="3">
        <v>17.895558409174999</v>
      </c>
      <c r="N85" s="3">
        <v>13.185389178942801</v>
      </c>
    </row>
    <row r="86" spans="1:14" x14ac:dyDescent="0.35">
      <c r="A86" s="2">
        <v>44358</v>
      </c>
      <c r="B86" s="3">
        <v>33.149293119320198</v>
      </c>
      <c r="C86" s="3">
        <v>18.127207576317499</v>
      </c>
      <c r="D86" s="3">
        <v>15.582146778551101</v>
      </c>
      <c r="E86" s="3">
        <v>15.018537786155299</v>
      </c>
      <c r="F86" s="3">
        <v>16.480393356298102</v>
      </c>
      <c r="G86" s="3">
        <v>19.893438135895401</v>
      </c>
      <c r="H86" s="3">
        <v>13.218660242375201</v>
      </c>
      <c r="I86" s="3">
        <v>27.400508478961999</v>
      </c>
      <c r="J86" s="3">
        <v>21.321503014435201</v>
      </c>
      <c r="K86" s="3">
        <v>17.995774652948398</v>
      </c>
      <c r="L86" s="3">
        <v>21.637078690848501</v>
      </c>
      <c r="M86" s="3">
        <v>18.758162526353299</v>
      </c>
      <c r="N86" s="3">
        <v>13.7436947531938</v>
      </c>
    </row>
    <row r="87" spans="1:14" x14ac:dyDescent="0.35">
      <c r="A87" s="2">
        <v>44390</v>
      </c>
      <c r="B87" s="3">
        <v>34.538064986916098</v>
      </c>
      <c r="C87" s="3">
        <v>17.0442949532051</v>
      </c>
      <c r="D87" s="3">
        <v>15.420217762669299</v>
      </c>
      <c r="E87" s="3">
        <v>14.7927119863594</v>
      </c>
      <c r="F87" s="3">
        <v>16.2911492076733</v>
      </c>
      <c r="G87" s="3">
        <v>19.934930943593901</v>
      </c>
      <c r="H87" s="3">
        <v>12.6464703655401</v>
      </c>
      <c r="I87" s="3">
        <v>28.785669829040302</v>
      </c>
      <c r="J87" s="3">
        <v>21.545174302126899</v>
      </c>
      <c r="K87" s="3">
        <v>17.2678232832737</v>
      </c>
      <c r="L87" s="3">
        <v>21.3520986355989</v>
      </c>
      <c r="M87" s="3">
        <v>18.883536645097902</v>
      </c>
      <c r="N87" s="3">
        <v>13.177650499816499</v>
      </c>
    </row>
    <row r="88" spans="1:14" x14ac:dyDescent="0.35">
      <c r="A88" s="2">
        <v>44421</v>
      </c>
      <c r="B88" s="3">
        <v>33.878479231554799</v>
      </c>
      <c r="C88" s="3">
        <v>17.301448318318698</v>
      </c>
      <c r="D88" s="3">
        <v>15.070826504876001</v>
      </c>
      <c r="E88" s="3">
        <v>14.427958448064199</v>
      </c>
      <c r="F88" s="3">
        <v>15.6944561171095</v>
      </c>
      <c r="G88" s="3">
        <v>20.052572143291599</v>
      </c>
      <c r="H88" s="3">
        <v>12.429097649770499</v>
      </c>
      <c r="I88" s="3">
        <v>28.000262644806298</v>
      </c>
      <c r="J88" s="3">
        <v>21.124787780790498</v>
      </c>
      <c r="K88" s="3">
        <v>16.9206085505731</v>
      </c>
      <c r="L88" s="3">
        <v>21.693653321341898</v>
      </c>
      <c r="M88" s="3">
        <v>18.832097529798101</v>
      </c>
      <c r="N88" s="3">
        <v>12.4683343205807</v>
      </c>
    </row>
    <row r="89" spans="1:14" x14ac:dyDescent="0.35">
      <c r="A89" s="2">
        <v>44452</v>
      </c>
      <c r="B89" s="3">
        <v>35.024307787477703</v>
      </c>
      <c r="C89" s="3">
        <v>17.0466319970377</v>
      </c>
      <c r="D89" s="3">
        <v>14.8703695172058</v>
      </c>
      <c r="E89" s="3">
        <v>14.053656635439999</v>
      </c>
      <c r="F89" s="3">
        <v>16.138894794912101</v>
      </c>
      <c r="G89" s="3">
        <v>19.227943741539899</v>
      </c>
      <c r="H89" s="3">
        <v>12.0329452730269</v>
      </c>
      <c r="I89" s="3">
        <v>28.2136796929443</v>
      </c>
      <c r="J89" s="3">
        <v>20.8862131271427</v>
      </c>
      <c r="K89" s="3">
        <v>16.190051941019298</v>
      </c>
      <c r="L89" s="3">
        <v>21.727242664612099</v>
      </c>
      <c r="M89" s="3">
        <v>18.5262988420792</v>
      </c>
      <c r="N89" s="3">
        <v>11.7415614669485</v>
      </c>
    </row>
    <row r="90" spans="1:14" x14ac:dyDescent="0.35">
      <c r="A90" s="2">
        <v>44482</v>
      </c>
      <c r="B90" s="3">
        <v>33.675524059269499</v>
      </c>
      <c r="C90" s="3">
        <v>17.161469641004</v>
      </c>
      <c r="D90" s="3">
        <v>14.6892171025618</v>
      </c>
      <c r="E90" s="3">
        <v>13.5007758282953</v>
      </c>
      <c r="F90" s="3">
        <v>15.0131216127297</v>
      </c>
      <c r="G90" s="3">
        <v>18.521026674607</v>
      </c>
      <c r="H90" s="3">
        <v>12.114848583440301</v>
      </c>
      <c r="I90" s="3">
        <v>26.9293135263548</v>
      </c>
      <c r="J90" s="3">
        <v>20.250522101077902</v>
      </c>
      <c r="K90" s="3">
        <v>15.4030270604815</v>
      </c>
      <c r="L90" s="3">
        <v>20.226808648773201</v>
      </c>
      <c r="M90" s="3">
        <v>18.112492665541801</v>
      </c>
      <c r="N90" s="3">
        <v>11.558964431707</v>
      </c>
    </row>
    <row r="91" spans="1:14" x14ac:dyDescent="0.35">
      <c r="A91" s="2">
        <v>44512</v>
      </c>
      <c r="B91" s="3">
        <v>33.029382751822197</v>
      </c>
      <c r="C91" s="3">
        <v>17.530593516099199</v>
      </c>
      <c r="D91" s="3">
        <v>15.0832653452175</v>
      </c>
      <c r="E91" s="3">
        <v>13.8013981351481</v>
      </c>
      <c r="F91" s="3">
        <v>15.404434206326901</v>
      </c>
      <c r="G91" s="3">
        <v>19.446203568192601</v>
      </c>
      <c r="H91" s="3">
        <v>12.1230139523591</v>
      </c>
      <c r="I91" s="3">
        <v>29.397466571455901</v>
      </c>
      <c r="J91" s="3">
        <v>21.3661311387133</v>
      </c>
      <c r="K91" s="3">
        <v>15.9250982239416</v>
      </c>
      <c r="L91" s="3">
        <v>21.6160294510135</v>
      </c>
      <c r="M91" s="3">
        <v>19.038807199918502</v>
      </c>
      <c r="N91" s="3">
        <v>11.7934113909717</v>
      </c>
    </row>
    <row r="92" spans="1:14" x14ac:dyDescent="0.35">
      <c r="A92" s="2">
        <v>44540</v>
      </c>
      <c r="B92" s="3">
        <v>32.437050414224998</v>
      </c>
      <c r="C92" s="3">
        <v>17.254453742089598</v>
      </c>
      <c r="D92" s="3">
        <v>14.2121602392571</v>
      </c>
      <c r="E92" s="3">
        <v>13.2990535981244</v>
      </c>
      <c r="F92" s="3">
        <v>14.5322843047632</v>
      </c>
      <c r="G92" s="3">
        <v>19.339885542312199</v>
      </c>
      <c r="H92" s="3">
        <v>11.9373582331542</v>
      </c>
      <c r="I92" s="3">
        <v>28.720388593510801</v>
      </c>
      <c r="J92" s="3">
        <v>20.972425404695802</v>
      </c>
      <c r="K92" s="3">
        <v>15.556072645487401</v>
      </c>
      <c r="L92" s="3">
        <v>20.211059989213101</v>
      </c>
      <c r="M92" s="3">
        <v>19.054631469826401</v>
      </c>
      <c r="N92" s="3">
        <v>10.8563034542595</v>
      </c>
    </row>
    <row r="93" spans="1:14" x14ac:dyDescent="0.35">
      <c r="A93" s="2">
        <v>44574</v>
      </c>
      <c r="B93" s="3">
        <v>31.633250582995998</v>
      </c>
      <c r="C93" s="3">
        <v>17.735683545378201</v>
      </c>
      <c r="D93" s="3">
        <v>14.3989790802271</v>
      </c>
      <c r="E93" s="3">
        <v>13.440266273432799</v>
      </c>
      <c r="F93" s="3">
        <v>14.534563957947499</v>
      </c>
      <c r="G93" s="3">
        <v>19.1355206903275</v>
      </c>
      <c r="H93" s="3">
        <v>12.4917404496407</v>
      </c>
      <c r="I93" s="3">
        <v>27.553648021676299</v>
      </c>
      <c r="J93" s="3">
        <v>20.729601981073401</v>
      </c>
      <c r="K93" s="3">
        <v>15.695011971955401</v>
      </c>
      <c r="L93" s="3">
        <v>20.000345036465902</v>
      </c>
      <c r="M93" s="3">
        <v>17.938026813136599</v>
      </c>
      <c r="N93" s="3">
        <v>11.2447752790885</v>
      </c>
    </row>
    <row r="94" spans="1:14" x14ac:dyDescent="0.35">
      <c r="A94" s="2">
        <v>44603</v>
      </c>
      <c r="B94" s="3">
        <v>30.002821874121</v>
      </c>
      <c r="C94" s="3">
        <v>15.9710431809822</v>
      </c>
      <c r="D94" s="3">
        <v>14.3682561642342</v>
      </c>
      <c r="E94" s="3">
        <v>12.8248312926141</v>
      </c>
      <c r="F94" s="3">
        <v>13.9109997001789</v>
      </c>
      <c r="G94" s="3">
        <v>18.345573487205002</v>
      </c>
      <c r="H94" s="3">
        <v>12.4026246604778</v>
      </c>
      <c r="I94" s="3">
        <v>25.076205103321001</v>
      </c>
      <c r="J94" s="3">
        <v>19.414628606308199</v>
      </c>
      <c r="K94" s="3">
        <v>14.6435495162003</v>
      </c>
      <c r="L94" s="3">
        <v>18.404909822267602</v>
      </c>
      <c r="M94" s="3">
        <v>16.494607751706098</v>
      </c>
      <c r="N94" s="3">
        <v>10.6758535162701</v>
      </c>
    </row>
    <row r="95" spans="1:14" x14ac:dyDescent="0.35">
      <c r="A95" s="2">
        <v>44631</v>
      </c>
      <c r="B95" s="3">
        <v>28.666404040804601</v>
      </c>
      <c r="C95" s="3">
        <v>15.4753693266256</v>
      </c>
      <c r="D95" s="3">
        <v>13.5264539735141</v>
      </c>
      <c r="E95" s="3">
        <v>11.077053404893601</v>
      </c>
      <c r="F95" s="3">
        <v>12.3255869581283</v>
      </c>
      <c r="G95" s="3">
        <v>17.2783782289093</v>
      </c>
      <c r="H95" s="3">
        <v>11.3002413464471</v>
      </c>
      <c r="I95" s="3">
        <v>23.047884399698098</v>
      </c>
      <c r="J95" s="3">
        <v>18.186842897835401</v>
      </c>
      <c r="K95" s="3">
        <v>13.00273296428</v>
      </c>
      <c r="L95" s="3">
        <v>16.6233333739332</v>
      </c>
      <c r="M95" s="3">
        <v>14.7863246406007</v>
      </c>
      <c r="N95" s="3">
        <v>9.1821889784922401</v>
      </c>
    </row>
    <row r="96" spans="1:14" x14ac:dyDescent="0.35">
      <c r="A96" s="2">
        <v>44664</v>
      </c>
      <c r="B96" s="3">
        <v>28.213981399550601</v>
      </c>
      <c r="C96" s="3">
        <v>15.584959414703301</v>
      </c>
      <c r="D96" s="3">
        <v>13.3818264738679</v>
      </c>
      <c r="E96" s="3">
        <v>11.2735587067365</v>
      </c>
      <c r="F96" s="3">
        <v>12.8840961492871</v>
      </c>
      <c r="G96" s="3">
        <v>18.468591104929299</v>
      </c>
      <c r="H96" s="3">
        <v>11.177045117759199</v>
      </c>
      <c r="I96" s="3">
        <v>24.4561222769761</v>
      </c>
      <c r="J96" s="3">
        <v>18.9679113539203</v>
      </c>
      <c r="K96" s="3">
        <v>13.155953109052399</v>
      </c>
      <c r="L96" s="3">
        <v>17.651633867694802</v>
      </c>
      <c r="M96" s="3">
        <v>15.095260280254401</v>
      </c>
      <c r="N96" s="3">
        <v>9.6553026649649993</v>
      </c>
    </row>
    <row r="97" spans="1:14" x14ac:dyDescent="0.35">
      <c r="A97" s="2">
        <v>44694</v>
      </c>
      <c r="B97" s="3">
        <v>27.436236924377599</v>
      </c>
      <c r="C97" s="3">
        <v>14.1023480797516</v>
      </c>
      <c r="D97" s="3">
        <v>12.117086516932501</v>
      </c>
      <c r="E97" s="3">
        <v>10.7558756782235</v>
      </c>
      <c r="F97" s="3">
        <v>12.5939107116688</v>
      </c>
      <c r="G97" s="3">
        <v>16.883512923002801</v>
      </c>
      <c r="H97" s="3">
        <v>10.2130343109544</v>
      </c>
      <c r="I97" s="3">
        <v>21.493546771064899</v>
      </c>
      <c r="J97" s="3">
        <v>16.9880237787917</v>
      </c>
      <c r="K97" s="3">
        <v>12.2353151259507</v>
      </c>
      <c r="L97" s="3">
        <v>16.345122371602098</v>
      </c>
      <c r="M97" s="3">
        <v>15.985024388554701</v>
      </c>
      <c r="N97" s="3">
        <v>9.1537600247610396</v>
      </c>
    </row>
    <row r="98" spans="1:14" x14ac:dyDescent="0.35">
      <c r="A98" s="2">
        <v>44725</v>
      </c>
      <c r="B98" s="3">
        <v>25.4411484369171</v>
      </c>
      <c r="C98" s="3">
        <v>13.4377724824258</v>
      </c>
      <c r="D98" s="3">
        <v>11.7522931777312</v>
      </c>
      <c r="E98" s="3">
        <v>10.2335164453711</v>
      </c>
      <c r="F98" s="3">
        <v>12.632110216476599</v>
      </c>
      <c r="G98" s="3">
        <v>15.6124661572855</v>
      </c>
      <c r="H98" s="3">
        <v>9.7477676400154998</v>
      </c>
      <c r="I98" s="3">
        <v>19.419059271366301</v>
      </c>
      <c r="J98" s="3">
        <v>15.651174717077501</v>
      </c>
      <c r="K98" s="3">
        <v>11.3999064408282</v>
      </c>
      <c r="L98" s="3">
        <v>15.8846200813349</v>
      </c>
      <c r="M98" s="3">
        <v>14.8872853485689</v>
      </c>
      <c r="N98" s="3">
        <v>7.9766565895154597</v>
      </c>
    </row>
    <row r="99" spans="1:14" x14ac:dyDescent="0.35">
      <c r="A99" s="2">
        <v>44755</v>
      </c>
      <c r="B99" s="3">
        <v>26.039782142353801</v>
      </c>
      <c r="C99" s="3">
        <v>12.854429379910499</v>
      </c>
      <c r="D99" s="3">
        <v>10.8618406810513</v>
      </c>
      <c r="E99" s="3">
        <v>9.7201269619787407</v>
      </c>
      <c r="F99" s="3">
        <v>12.424576210143901</v>
      </c>
      <c r="G99" s="3">
        <v>15.984628931674999</v>
      </c>
      <c r="H99" s="3">
        <v>9.4973471167421106</v>
      </c>
      <c r="I99" s="3">
        <v>20.340866366234799</v>
      </c>
      <c r="J99" s="3">
        <v>15.872328775565</v>
      </c>
      <c r="K99" s="3">
        <v>11.147591623066401</v>
      </c>
      <c r="L99" s="3">
        <v>15.972126466442401</v>
      </c>
      <c r="M99" s="3">
        <v>14.5817606487447</v>
      </c>
      <c r="N99" s="3">
        <v>7.6598289535572803</v>
      </c>
    </row>
    <row r="100" spans="1:14" x14ac:dyDescent="0.35">
      <c r="A100" s="2">
        <v>44785</v>
      </c>
      <c r="B100" s="3">
        <v>26.4242316214815</v>
      </c>
      <c r="C100" s="3">
        <v>14.116580475957401</v>
      </c>
      <c r="D100" s="3">
        <v>11.8424093117307</v>
      </c>
      <c r="E100" s="3">
        <v>10.3435591734168</v>
      </c>
      <c r="F100" s="3">
        <v>12.963529437688001</v>
      </c>
      <c r="G100" s="3">
        <v>16.911996316021799</v>
      </c>
      <c r="H100" s="3">
        <v>9.8182662559798803</v>
      </c>
      <c r="I100" s="3">
        <v>24.195076911884701</v>
      </c>
      <c r="J100" s="3">
        <v>18.069930543027699</v>
      </c>
      <c r="K100" s="3">
        <v>11.8433831406594</v>
      </c>
      <c r="L100" s="3">
        <v>17.8869214966046</v>
      </c>
      <c r="M100" s="3">
        <v>15.1625536375391</v>
      </c>
      <c r="N100" s="3">
        <v>7.7368714259239599</v>
      </c>
    </row>
    <row r="101" spans="1:14" x14ac:dyDescent="0.35">
      <c r="A101" s="2">
        <v>44817</v>
      </c>
      <c r="B101" s="3">
        <v>26.862932033186102</v>
      </c>
      <c r="C101" s="3">
        <v>13.8150445963238</v>
      </c>
      <c r="D101" s="3">
        <v>11.5012593506848</v>
      </c>
      <c r="E101" s="3">
        <v>9.8574092511059099</v>
      </c>
      <c r="F101" s="3">
        <v>12.9413172609699</v>
      </c>
      <c r="G101" s="3">
        <v>16.1586569719802</v>
      </c>
      <c r="H101" s="3">
        <v>9.3413358619780595</v>
      </c>
      <c r="I101" s="3">
        <v>21.3073044434312</v>
      </c>
      <c r="J101" s="3">
        <v>16.517333214502798</v>
      </c>
      <c r="K101" s="3">
        <v>11.2440149649078</v>
      </c>
      <c r="L101" s="3">
        <v>16.0089835034738</v>
      </c>
      <c r="M101" s="3">
        <v>14.147708287575799</v>
      </c>
      <c r="N101" s="3">
        <v>7.7627895244330896</v>
      </c>
    </row>
    <row r="102" spans="1:14" x14ac:dyDescent="0.35">
      <c r="A102" s="2">
        <v>44847</v>
      </c>
      <c r="B102" s="3">
        <v>23.3108248595315</v>
      </c>
      <c r="C102" s="3">
        <v>12.6910896939485</v>
      </c>
      <c r="D102" s="3">
        <v>10.898854407395101</v>
      </c>
      <c r="E102" s="3">
        <v>9.1547210739024205</v>
      </c>
      <c r="F102" s="3">
        <v>12.0086994859578</v>
      </c>
      <c r="G102" s="3">
        <v>14.8203729415534</v>
      </c>
      <c r="H102" s="3">
        <v>8.5697190224878597</v>
      </c>
      <c r="I102" s="3">
        <v>19.720094316648801</v>
      </c>
      <c r="J102" s="3">
        <v>15.5540464972203</v>
      </c>
      <c r="K102" s="3">
        <v>10.419481767204401</v>
      </c>
      <c r="L102" s="3">
        <v>14.0140559868967</v>
      </c>
      <c r="M102" s="3">
        <v>13.0824901344398</v>
      </c>
      <c r="N102" s="3">
        <v>7.23390911000965</v>
      </c>
    </row>
    <row r="103" spans="1:14" x14ac:dyDescent="0.35">
      <c r="A103" s="2">
        <v>44876</v>
      </c>
      <c r="B103" s="3">
        <v>23.516688413296201</v>
      </c>
      <c r="C103" s="3">
        <v>14.26953039134</v>
      </c>
      <c r="D103" s="3">
        <v>11.9564720952585</v>
      </c>
      <c r="E103" s="3">
        <v>10.704598021815301</v>
      </c>
      <c r="F103" s="3">
        <v>12.881688610306</v>
      </c>
      <c r="G103" s="3">
        <v>16.979621944777499</v>
      </c>
      <c r="H103" s="3">
        <v>9.3916587337376107</v>
      </c>
      <c r="I103" s="3">
        <v>22.0148633063543</v>
      </c>
      <c r="J103" s="3">
        <v>17.303495040895701</v>
      </c>
      <c r="K103" s="3">
        <v>11.8858695831373</v>
      </c>
      <c r="L103" s="3">
        <v>16.293865261173799</v>
      </c>
      <c r="M103" s="3">
        <v>13.268862667952099</v>
      </c>
      <c r="N103" s="3">
        <v>8.2903370569823291</v>
      </c>
    </row>
    <row r="104" spans="1:14" x14ac:dyDescent="0.35">
      <c r="A104" s="2">
        <v>44908</v>
      </c>
      <c r="B104" s="3">
        <v>23.240710541185901</v>
      </c>
      <c r="C104" s="3">
        <v>14.3839290910489</v>
      </c>
      <c r="D104" s="3">
        <v>12.2045881574325</v>
      </c>
      <c r="E104" s="3">
        <v>10.8005587012726</v>
      </c>
      <c r="F104" s="3">
        <v>12.7688885567288</v>
      </c>
      <c r="G104" s="3">
        <v>16.922403418822199</v>
      </c>
      <c r="H104" s="3">
        <v>9.9872690569143501</v>
      </c>
      <c r="I104" s="3">
        <v>21.970343685638699</v>
      </c>
      <c r="J104" s="3">
        <v>17.397086657371499</v>
      </c>
      <c r="K104" s="3">
        <v>12.2703572119808</v>
      </c>
      <c r="L104" s="3">
        <v>16.5888504351928</v>
      </c>
      <c r="M104" s="3">
        <v>13.437318797666</v>
      </c>
      <c r="N104" s="3">
        <v>7.8935230505947702</v>
      </c>
    </row>
    <row r="105" spans="1:14" x14ac:dyDescent="0.35">
      <c r="A105" s="2">
        <v>44939</v>
      </c>
      <c r="B105" s="3">
        <v>23.599551255676101</v>
      </c>
      <c r="C105" s="3">
        <v>14.5858706406704</v>
      </c>
      <c r="D105" s="3">
        <v>12.6686151277673</v>
      </c>
      <c r="E105" s="3">
        <v>11.4050094727</v>
      </c>
      <c r="F105" s="3">
        <v>12.3663690576801</v>
      </c>
      <c r="G105" s="3">
        <v>17.233849868483301</v>
      </c>
      <c r="H105" s="3">
        <v>10.436949407657201</v>
      </c>
      <c r="I105" s="3">
        <v>22.0460347150199</v>
      </c>
      <c r="J105" s="3">
        <v>17.430550472055199</v>
      </c>
      <c r="K105" s="3">
        <v>12.9479256564523</v>
      </c>
      <c r="L105" s="3">
        <v>16.977388974544599</v>
      </c>
      <c r="M105" s="3">
        <v>13.6854568782108</v>
      </c>
      <c r="N105" s="3">
        <v>8.2154269201636101</v>
      </c>
    </row>
    <row r="106" spans="1:14" x14ac:dyDescent="0.35">
      <c r="A106" s="2">
        <v>44970</v>
      </c>
      <c r="B106" s="3">
        <v>24.146387069212299</v>
      </c>
      <c r="C106" s="3">
        <v>14.8644567438658</v>
      </c>
      <c r="D106" s="3">
        <v>12.9538085312067</v>
      </c>
      <c r="E106" s="3">
        <v>11.671802805601899</v>
      </c>
      <c r="F106" s="3">
        <v>12.999659123326801</v>
      </c>
      <c r="G106" s="3">
        <v>17.212179261984001</v>
      </c>
      <c r="H106" s="3">
        <v>10.6381050685843</v>
      </c>
      <c r="I106" s="3">
        <v>24.1668351051234</v>
      </c>
      <c r="J106" s="3">
        <v>18.249953268208898</v>
      </c>
      <c r="K106" s="3">
        <v>13.2452383801231</v>
      </c>
      <c r="L106" s="3">
        <v>17.0365253502119</v>
      </c>
      <c r="M106" s="3">
        <v>14.1935533825206</v>
      </c>
      <c r="N106" s="3">
        <v>8.4517057483878801</v>
      </c>
    </row>
    <row r="107" spans="1:14" x14ac:dyDescent="0.35">
      <c r="A107" s="2">
        <v>44998</v>
      </c>
      <c r="B107" s="3">
        <v>22.902851971246001</v>
      </c>
      <c r="C107" s="3">
        <v>14.1398961350204</v>
      </c>
      <c r="D107" s="3">
        <v>12.345202345514</v>
      </c>
      <c r="E107" s="3">
        <v>11.125829530703699</v>
      </c>
      <c r="F107" s="3">
        <v>13.1362788176558</v>
      </c>
      <c r="G107" s="3">
        <v>16.514803303283099</v>
      </c>
      <c r="H107" s="3">
        <v>10.079429074235099</v>
      </c>
      <c r="I107" s="3">
        <v>22.767811361542499</v>
      </c>
      <c r="J107" s="3">
        <v>16.923560071809099</v>
      </c>
      <c r="K107" s="3">
        <v>12.771308515931301</v>
      </c>
      <c r="L107" s="3">
        <v>15.8322847032466</v>
      </c>
      <c r="M107" s="3">
        <v>13.4680893289768</v>
      </c>
      <c r="N107" s="3">
        <v>8.2204395635539793</v>
      </c>
    </row>
    <row r="108" spans="1:14" x14ac:dyDescent="0.35">
      <c r="A108" s="2">
        <v>45029</v>
      </c>
      <c r="B108" s="3">
        <v>23.431130272501299</v>
      </c>
      <c r="C108" s="3">
        <v>14.7094575657798</v>
      </c>
      <c r="D108" s="3">
        <v>12.982413307099799</v>
      </c>
      <c r="E108" s="3">
        <v>11.3968110065384</v>
      </c>
      <c r="F108" s="3">
        <v>13.2239626640068</v>
      </c>
      <c r="G108" s="3">
        <v>17.3965604345799</v>
      </c>
      <c r="H108" s="3">
        <v>10.800680768796401</v>
      </c>
      <c r="I108" s="3">
        <v>24.814506407796699</v>
      </c>
      <c r="J108" s="3">
        <v>18.245844744475601</v>
      </c>
      <c r="K108" s="3">
        <v>13.6134053139395</v>
      </c>
      <c r="L108" s="3">
        <v>16.331261729855001</v>
      </c>
      <c r="M108" s="3">
        <v>13.7743753455341</v>
      </c>
      <c r="N108" s="3">
        <v>8.7060404896841295</v>
      </c>
    </row>
    <row r="109" spans="1:14" x14ac:dyDescent="0.35">
      <c r="A109" s="2">
        <v>45058</v>
      </c>
      <c r="B109" s="3">
        <v>23.5461593745766</v>
      </c>
      <c r="C109" s="3">
        <v>14.5721761784515</v>
      </c>
      <c r="D109" s="3">
        <v>13.0549092090132</v>
      </c>
      <c r="E109" s="3">
        <v>11.046931019708101</v>
      </c>
      <c r="F109" s="3">
        <v>13.748171226671699</v>
      </c>
      <c r="G109" s="3">
        <v>17.527207427430799</v>
      </c>
      <c r="H109" s="3">
        <v>10.5060933341202</v>
      </c>
      <c r="I109" s="3">
        <v>24.595042629687502</v>
      </c>
      <c r="J109" s="3">
        <v>17.9387731436317</v>
      </c>
      <c r="K109" s="3">
        <v>13.369880271517101</v>
      </c>
      <c r="L109" s="3">
        <v>15.572439933957799</v>
      </c>
      <c r="M109" s="3">
        <v>13.505255061514299</v>
      </c>
      <c r="N109" s="3">
        <v>8.3926924831218894</v>
      </c>
    </row>
    <row r="110" spans="1:14" x14ac:dyDescent="0.35">
      <c r="A110" s="2">
        <v>45090</v>
      </c>
      <c r="B110" s="3">
        <v>20.582592747669398</v>
      </c>
      <c r="C110" s="3">
        <v>14.7014962758147</v>
      </c>
      <c r="D110" s="3">
        <v>12.9157168339873</v>
      </c>
      <c r="E110" s="3">
        <v>10.943190400013799</v>
      </c>
      <c r="F110" s="3">
        <v>14.8005291618753</v>
      </c>
      <c r="G110" s="3">
        <v>16.568951116666</v>
      </c>
      <c r="H110" s="3">
        <v>10.327968800743299</v>
      </c>
      <c r="I110" s="3">
        <v>26.700592966978999</v>
      </c>
      <c r="J110" s="3">
        <v>18.786179914902601</v>
      </c>
      <c r="K110" s="3">
        <v>13.1690422207463</v>
      </c>
      <c r="L110" s="3">
        <v>15.900430940962901</v>
      </c>
      <c r="M110" s="3">
        <v>13.8814702375468</v>
      </c>
      <c r="N110" s="3">
        <v>8.7084397017199304</v>
      </c>
    </row>
    <row r="111" spans="1:14" x14ac:dyDescent="0.35">
      <c r="A111" s="2">
        <v>45120</v>
      </c>
      <c r="B111" s="3">
        <v>21.1101073852181</v>
      </c>
      <c r="C111" s="3">
        <v>15.2772499469978</v>
      </c>
      <c r="D111" s="3">
        <v>13.208341873310999</v>
      </c>
      <c r="E111" s="3">
        <v>10.795314019292199</v>
      </c>
      <c r="F111" s="3">
        <v>14.5028010974994</v>
      </c>
      <c r="G111" s="3">
        <v>16.534987287519598</v>
      </c>
      <c r="H111" s="3">
        <v>10.449934823604501</v>
      </c>
      <c r="I111" s="3">
        <v>27.282237037740298</v>
      </c>
      <c r="J111" s="3">
        <v>19.367000807426098</v>
      </c>
      <c r="K111" s="3">
        <v>13.2609939690986</v>
      </c>
      <c r="L111" s="3">
        <v>16.1638014844584</v>
      </c>
      <c r="M111" s="3">
        <v>13.483500722094099</v>
      </c>
      <c r="N111" s="3">
        <v>8.8496752976990596</v>
      </c>
    </row>
    <row r="112" spans="1:14" x14ac:dyDescent="0.35">
      <c r="A112" s="2">
        <v>45149</v>
      </c>
      <c r="B112" s="3">
        <v>20.508116515971501</v>
      </c>
      <c r="C112" s="3">
        <v>15.4037629449184</v>
      </c>
      <c r="D112" s="3">
        <v>13.261257567465799</v>
      </c>
      <c r="E112" s="3">
        <v>10.6329017311486</v>
      </c>
      <c r="F112" s="3">
        <v>14.531254680631299</v>
      </c>
      <c r="G112" s="3">
        <v>16.593396458618599</v>
      </c>
      <c r="H112" s="3">
        <v>10.503761804625</v>
      </c>
      <c r="I112" s="3">
        <v>24.446268753171701</v>
      </c>
      <c r="J112" s="3">
        <v>18.9019037865603</v>
      </c>
      <c r="K112" s="3">
        <v>13.0827653065931</v>
      </c>
      <c r="L112" s="3">
        <v>15.2821923786263</v>
      </c>
      <c r="M112" s="3">
        <v>13.0924612303311</v>
      </c>
      <c r="N112" s="3">
        <v>8.2821661749431392</v>
      </c>
    </row>
    <row r="113" spans="1:25" x14ac:dyDescent="0.35">
      <c r="A113" s="2">
        <v>45182</v>
      </c>
      <c r="B113" s="3">
        <v>20.245147020397901</v>
      </c>
      <c r="C113" s="3">
        <v>15.208543825817999</v>
      </c>
      <c r="D113" s="3">
        <v>13.117085770173199</v>
      </c>
      <c r="E113" s="3">
        <v>10.5148807651167</v>
      </c>
      <c r="F113" s="3">
        <v>14.7880406698967</v>
      </c>
      <c r="G113" s="3">
        <v>16.384025687662302</v>
      </c>
      <c r="H113" s="3">
        <v>10.404217328340501</v>
      </c>
      <c r="I113" s="3">
        <v>24.2850226553076</v>
      </c>
      <c r="J113" s="3">
        <v>18.6141089003067</v>
      </c>
      <c r="K113" s="3">
        <v>12.7273855796824</v>
      </c>
      <c r="L113" s="3">
        <v>14.1088091661035</v>
      </c>
      <c r="M113" s="3">
        <v>12.8526058319129</v>
      </c>
      <c r="N113" s="3">
        <v>8.4180297624207601</v>
      </c>
    </row>
    <row r="114" spans="1:25" x14ac:dyDescent="0.35">
      <c r="A114" s="2">
        <v>45212</v>
      </c>
      <c r="B114" s="3">
        <v>19.8057004111295</v>
      </c>
      <c r="C114" s="3">
        <v>14.698931050412</v>
      </c>
      <c r="D114" s="3">
        <v>12.512937019448801</v>
      </c>
      <c r="E114" s="3">
        <v>10.159033222488601</v>
      </c>
      <c r="F114" s="3">
        <v>14.266524834033399</v>
      </c>
      <c r="G114" s="3">
        <v>16.1190760988368</v>
      </c>
      <c r="H114" s="3">
        <v>10.3452531340027</v>
      </c>
      <c r="I114" s="3">
        <v>23.5012096787415</v>
      </c>
      <c r="J114" s="3">
        <v>17.937450626695899</v>
      </c>
      <c r="K114" s="3">
        <v>12.2258720459005</v>
      </c>
      <c r="L114" s="3">
        <v>13.463666823291501</v>
      </c>
      <c r="M114" s="3">
        <v>13.089808359743101</v>
      </c>
      <c r="N114" s="3">
        <v>8.1760961371550103</v>
      </c>
    </row>
    <row r="115" spans="1:25" x14ac:dyDescent="0.35">
      <c r="A115" s="2">
        <v>45243</v>
      </c>
      <c r="B115" s="3">
        <v>20.081536934729801</v>
      </c>
      <c r="C115" s="3">
        <v>14.7048064677222</v>
      </c>
      <c r="D115" s="3">
        <v>12.5337954167832</v>
      </c>
      <c r="E115" s="3">
        <v>10.3377721577047</v>
      </c>
      <c r="F115" s="3">
        <v>14.187267699705799</v>
      </c>
      <c r="G115" s="3">
        <v>15.751578854919201</v>
      </c>
      <c r="H115" s="3">
        <v>10.1892051290263</v>
      </c>
      <c r="I115" s="3">
        <v>23.8822589190878</v>
      </c>
      <c r="J115" s="3">
        <v>18.227731195534599</v>
      </c>
      <c r="K115" s="3">
        <v>12.502334245034501</v>
      </c>
      <c r="L115" s="3">
        <v>14.2393302503546</v>
      </c>
      <c r="M115" s="3">
        <v>12.824402864124099</v>
      </c>
      <c r="N115" s="3">
        <v>8.2013739425457395</v>
      </c>
    </row>
    <row r="116" spans="1:25" x14ac:dyDescent="0.35">
      <c r="A116" s="2">
        <v>45273</v>
      </c>
      <c r="B116" s="3">
        <v>22.5552647790465</v>
      </c>
      <c r="C116" s="3">
        <v>15.504281402460901</v>
      </c>
      <c r="D116" s="3">
        <v>13.3429695834736</v>
      </c>
      <c r="E116" s="3">
        <v>11.212492697636501</v>
      </c>
      <c r="F116" s="3">
        <v>14.0871273955101</v>
      </c>
      <c r="G116" s="3">
        <v>16.715327257411499</v>
      </c>
      <c r="H116" s="3">
        <v>10.6055057930486</v>
      </c>
      <c r="I116" s="3">
        <v>24.996970090285</v>
      </c>
      <c r="J116" s="3">
        <v>19.289544728569201</v>
      </c>
      <c r="K116" s="3">
        <v>13.3127509923539</v>
      </c>
      <c r="L116" s="3">
        <v>15.0134529920789</v>
      </c>
      <c r="M116" s="3">
        <v>15.1086584667979</v>
      </c>
      <c r="N116" s="3">
        <v>8.81276874629493</v>
      </c>
    </row>
    <row r="117" spans="1:25" x14ac:dyDescent="0.35">
      <c r="A117" s="2">
        <v>45303</v>
      </c>
      <c r="B117" s="3">
        <v>22.952035526695099</v>
      </c>
      <c r="C117" s="3">
        <v>16.1770275885291</v>
      </c>
      <c r="D117" s="3">
        <v>13.959076925046601</v>
      </c>
      <c r="E117" s="3">
        <v>11.114015591958699</v>
      </c>
      <c r="F117" s="3">
        <v>14.8100779759283</v>
      </c>
      <c r="G117" s="3">
        <v>17.025322094981799</v>
      </c>
      <c r="H117" s="3">
        <v>10.995223771759999</v>
      </c>
      <c r="I117" s="3">
        <v>25.8542191320774</v>
      </c>
      <c r="J117" s="3">
        <v>19.999383193892399</v>
      </c>
      <c r="K117" s="3">
        <v>13.3585988219751</v>
      </c>
      <c r="L117" s="3">
        <v>14.805259390460799</v>
      </c>
      <c r="M117" s="3">
        <v>15.4400868561774</v>
      </c>
      <c r="N117" s="3">
        <v>8.9828916528547804</v>
      </c>
    </row>
    <row r="118" spans="1:25" x14ac:dyDescent="0.35">
      <c r="A118" s="2">
        <v>45335</v>
      </c>
      <c r="B118" s="3">
        <v>21.7963772052784</v>
      </c>
      <c r="C118" s="3">
        <v>16.279972075432401</v>
      </c>
      <c r="D118" s="3">
        <v>13.925528589196601</v>
      </c>
      <c r="E118" s="3">
        <v>11.4700375278302</v>
      </c>
      <c r="F118" s="3">
        <v>15.2742674868701</v>
      </c>
      <c r="G118" s="3">
        <v>17.088368223658101</v>
      </c>
      <c r="H118" s="3">
        <v>10.9123177541986</v>
      </c>
      <c r="I118" s="3">
        <v>26.762578777741101</v>
      </c>
      <c r="J118" s="3">
        <v>20.523306285436</v>
      </c>
      <c r="K118" s="3">
        <v>13.7715395342977</v>
      </c>
      <c r="L118" s="3">
        <v>16.0262604260841</v>
      </c>
      <c r="M118" s="3">
        <v>15.6896255404746</v>
      </c>
      <c r="N118" s="3">
        <v>8.9753595285552397</v>
      </c>
    </row>
    <row r="119" spans="1:25" x14ac:dyDescent="0.35">
      <c r="A119" s="2">
        <v>45364</v>
      </c>
      <c r="B119" s="3">
        <v>24.671273812021699</v>
      </c>
      <c r="C119" s="3">
        <v>16.614031061369499</v>
      </c>
      <c r="D119" s="3">
        <v>14.9655931842351</v>
      </c>
      <c r="E119" s="3">
        <v>12.1868956855802</v>
      </c>
      <c r="F119" s="3">
        <v>15.222404538663</v>
      </c>
      <c r="G119" s="3">
        <v>17.926188904879599</v>
      </c>
      <c r="H119" s="3">
        <v>11.3924683472154</v>
      </c>
      <c r="I119" s="3">
        <v>27.158843384224099</v>
      </c>
      <c r="J119" s="3">
        <v>21.196407393852599</v>
      </c>
      <c r="K119" s="3">
        <v>14.6941657614045</v>
      </c>
      <c r="L119" s="3">
        <v>16.151201124972999</v>
      </c>
      <c r="M119" s="3">
        <v>16.705147351922498</v>
      </c>
      <c r="N119" s="3">
        <v>9.5932823097869502</v>
      </c>
    </row>
    <row r="120" spans="1:25" x14ac:dyDescent="0.35">
      <c r="A120" s="2">
        <v>45394</v>
      </c>
      <c r="B120" s="3">
        <v>24.941161082986898</v>
      </c>
      <c r="C120" s="3">
        <v>16.553236676076999</v>
      </c>
      <c r="D120" s="3">
        <v>14.693502486998099</v>
      </c>
      <c r="E120" s="3">
        <v>11.966982121485501</v>
      </c>
      <c r="F120" s="3">
        <v>15.7071419333269</v>
      </c>
      <c r="G120" s="3">
        <v>17.021068542226999</v>
      </c>
      <c r="H120" s="3">
        <v>11.5034990791076</v>
      </c>
      <c r="I120" s="3">
        <v>26.7573180334082</v>
      </c>
      <c r="J120" s="3">
        <v>20.942012561692501</v>
      </c>
      <c r="K120" s="3">
        <v>14.3724725025721</v>
      </c>
      <c r="L120" s="3">
        <v>15.9973256066722</v>
      </c>
      <c r="M120" s="3">
        <v>16.146093512745601</v>
      </c>
      <c r="N120" s="3">
        <v>9.5138819409268809</v>
      </c>
    </row>
    <row r="121" spans="1:25" x14ac:dyDescent="0.35">
      <c r="A121" s="2">
        <v>45425</v>
      </c>
      <c r="B121" s="3">
        <v>25.321078406096301</v>
      </c>
      <c r="C121" s="3">
        <v>16.657690866870499</v>
      </c>
      <c r="D121" s="3">
        <v>14.7723067334025</v>
      </c>
      <c r="E121" s="3">
        <v>12.214145473556201</v>
      </c>
      <c r="F121" s="3">
        <v>15.2766834052553</v>
      </c>
      <c r="G121" s="3">
        <v>17.169708607245699</v>
      </c>
      <c r="H121" s="3">
        <v>11.901199069344299</v>
      </c>
      <c r="I121" s="3">
        <v>26.765555919290001</v>
      </c>
      <c r="J121" s="3">
        <v>21.007817495366599</v>
      </c>
      <c r="K121" s="3">
        <v>14.761079629209201</v>
      </c>
      <c r="L121" s="3">
        <v>16.157304895044099</v>
      </c>
      <c r="M121" s="3">
        <v>16.406896749402001</v>
      </c>
      <c r="N121" s="3">
        <v>9.7823740884042998</v>
      </c>
    </row>
    <row r="122" spans="1:25" x14ac:dyDescent="0.35">
      <c r="A122" s="2">
        <v>45453</v>
      </c>
      <c r="B122" s="3">
        <v>24.057998259612098</v>
      </c>
      <c r="C122" s="3">
        <v>16.7429612216722</v>
      </c>
      <c r="D122" s="3">
        <v>13.998817445970101</v>
      </c>
      <c r="E122" s="3">
        <v>11.9196932818141</v>
      </c>
      <c r="F122" s="3">
        <v>15.6247245899874</v>
      </c>
      <c r="G122" s="3">
        <v>17.374715033298301</v>
      </c>
      <c r="H122" s="3">
        <v>11.5536772783788</v>
      </c>
      <c r="I122" s="3">
        <v>26.8396717940978</v>
      </c>
      <c r="J122" s="3">
        <v>20.755918347050699</v>
      </c>
      <c r="K122" s="3">
        <v>14.105926545147399</v>
      </c>
      <c r="L122" s="3">
        <v>16.6164272183828</v>
      </c>
      <c r="M122" s="3">
        <v>16.126894150194602</v>
      </c>
      <c r="N122" s="3">
        <v>9.6964358582953292</v>
      </c>
    </row>
    <row r="124" spans="1:25" x14ac:dyDescent="0.35">
      <c r="A124" s="2" t="s">
        <v>91</v>
      </c>
      <c r="B124" s="3" cm="1">
        <f t="array" ref="B124">MIN(_xlfn._xlws.FILTER(B1:B122, ISNUMBER(B1:B122)))</f>
        <v>16.738014946543199</v>
      </c>
      <c r="C124" s="3" cm="1">
        <f t="array" ref="C124">MIN(_xlfn._xlws.FILTER(C1:C122, ISNUMBER(C1:C122)))</f>
        <v>12.6910896939485</v>
      </c>
      <c r="D124" s="3" cm="1">
        <f t="array" ref="D124">MIN(_xlfn._xlws.FILTER(D1:D122, ISNUMBER(D1:D122)))</f>
        <v>10.8618406810513</v>
      </c>
      <c r="E124" s="3" cm="1">
        <f t="array" ref="E124">MIN(_xlfn._xlws.FILTER(E1:E122, ISNUMBER(E1:E122)))</f>
        <v>9.1547210739024205</v>
      </c>
      <c r="F124" s="3" cm="1">
        <f t="array" ref="F124">MIN(_xlfn._xlws.FILTER(F1:F122, ISNUMBER(F1:F122)))</f>
        <v>10.971730826182201</v>
      </c>
      <c r="G124" s="3" cm="1">
        <f t="array" ref="G124">MIN(_xlfn._xlws.FILTER(G1:G122, ISNUMBER(G1:G122)))</f>
        <v>14.1564919315447</v>
      </c>
      <c r="H124" s="3" cm="1">
        <f t="array" ref="H124">MIN(_xlfn._xlws.FILTER(H1:H122, ISNUMBER(H1:H122)))</f>
        <v>8.5697190224878597</v>
      </c>
      <c r="I124" s="3" cm="1">
        <f t="array" ref="I124">MIN(_xlfn._xlws.FILTER(I1:I122, ISNUMBER(I1:I122)))</f>
        <v>16.233587473453799</v>
      </c>
      <c r="J124" s="3" cm="1">
        <f t="array" ref="J124">MIN(_xlfn._xlws.FILTER(J1:J122, ISNUMBER(J1:J122)))</f>
        <v>14.2780380143617</v>
      </c>
      <c r="K124" s="3" cm="1">
        <f t="array" ref="K124">MIN(_xlfn._xlws.FILTER(K1:K122, ISNUMBER(K1:K122)))</f>
        <v>10.419481767204401</v>
      </c>
      <c r="L124" s="3" cm="1">
        <f t="array" ref="L124">MIN(_xlfn._xlws.FILTER(L1:L122, ISNUMBER(L1:L122)))</f>
        <v>12.728171592799301</v>
      </c>
      <c r="M124" s="3" cm="1">
        <f t="array" ref="M124">MIN(_xlfn._xlws.FILTER(M1:M122, ISNUMBER(M1:M122)))</f>
        <v>12.2641123030728</v>
      </c>
      <c r="N124" s="3" cm="1">
        <f t="array" ref="N124">MIN(_xlfn._xlws.FILTER(N1:N122, ISNUMBER(N1:N122)))</f>
        <v>7.23390911000965</v>
      </c>
    </row>
    <row r="125" spans="1:25" x14ac:dyDescent="0.35">
      <c r="A125" s="2" t="s">
        <v>92</v>
      </c>
      <c r="B125" s="3" cm="1">
        <f t="array" ref="B125">MAX(_xlfn._xlws.FILTER(B1:B122, ISNUMBER(B1:B122)))</f>
        <v>35.024307787477703</v>
      </c>
      <c r="C125" s="3" cm="1">
        <f t="array" ref="C125">MAX(_xlfn._xlws.FILTER(C1:C122, ISNUMBER(C1:C122)))</f>
        <v>19.5476260968282</v>
      </c>
      <c r="D125" s="3" cm="1">
        <f t="array" ref="D125">MAX(_xlfn._xlws.FILTER(D1:D122, ISNUMBER(D1:D122)))</f>
        <v>17.698490819762</v>
      </c>
      <c r="E125" s="3" cm="1">
        <f t="array" ref="E125">MAX(_xlfn._xlws.FILTER(E1:E122, ISNUMBER(E1:E122)))</f>
        <v>18.511803921633799</v>
      </c>
      <c r="F125" s="3" cm="1">
        <f t="array" ref="F125">MAX(_xlfn._xlws.FILTER(F1:F122, ISNUMBER(F1:F122)))</f>
        <v>18.915367549667401</v>
      </c>
      <c r="G125" s="3" cm="1">
        <f t="array" ref="G125">MAX(_xlfn._xlws.FILTER(G1:G122, ISNUMBER(G1:G122)))</f>
        <v>20.052572143291599</v>
      </c>
      <c r="H125" s="3" cm="1">
        <f t="array" ref="H125">MAX(_xlfn._xlws.FILTER(H1:H122, ISNUMBER(H1:H122)))</f>
        <v>16.52423654255</v>
      </c>
      <c r="I125" s="3" cm="1">
        <f t="array" ref="I125">MAX(_xlfn._xlws.FILTER(I1:I122, ISNUMBER(I1:I122)))</f>
        <v>30.671157394224402</v>
      </c>
      <c r="J125" s="3" cm="1">
        <f t="array" ref="J125">MAX(_xlfn._xlws.FILTER(J1:J122, ISNUMBER(J1:J122)))</f>
        <v>22.5232981937537</v>
      </c>
      <c r="K125" s="3" cm="1">
        <f t="array" ref="K125">MAX(_xlfn._xlws.FILTER(K1:K122, ISNUMBER(K1:K122)))</f>
        <v>20.1144339982554</v>
      </c>
      <c r="L125" s="3" cm="1">
        <f t="array" ref="L125">MAX(_xlfn._xlws.FILTER(L1:L122, ISNUMBER(L1:L122)))</f>
        <v>22.649830864511699</v>
      </c>
      <c r="M125" s="3" cm="1">
        <f t="array" ref="M125">MAX(_xlfn._xlws.FILTER(M1:M122, ISNUMBER(M1:M122)))</f>
        <v>20.589966640435598</v>
      </c>
      <c r="N125" s="3" cm="1">
        <f t="array" ref="N125">MAX(_xlfn._xlws.FILTER(N1:N122, ISNUMBER(N1:N122)))</f>
        <v>17.413438942121601</v>
      </c>
    </row>
    <row r="127" spans="1:25" x14ac:dyDescent="0.35">
      <c r="A127" s="2" t="s">
        <v>93</v>
      </c>
      <c r="B127" s="9" cm="1">
        <f t="array" ref="B127">_xlfn.PERCENTRANK.EXC(_xlfn._xlws.FILTER(B1:B122, ISNUMBER(B1:B122)),B122)</f>
        <v>0.64700000000000002</v>
      </c>
      <c r="C127" s="9" cm="1">
        <f t="array" ref="C127">_xlfn.PERCENTRANK.EXC(_xlfn._xlws.FILTER(C1:C122, ISNUMBER(C1:C122)),C122)</f>
        <v>0.77800000000000002</v>
      </c>
      <c r="D127" s="9" cm="1">
        <f t="array" ref="D127">_xlfn.PERCENTRANK.EXC(_xlfn._xlws.FILTER(D1:D122, ISNUMBER(D1:D122)),D122)</f>
        <v>0.35199999999999998</v>
      </c>
      <c r="E127" s="9" cm="1">
        <f t="array" ref="E127">_xlfn.PERCENTRANK.EXC(_xlfn._xlws.FILTER(E1:E122, ISNUMBER(E1:E122)),E122)</f>
        <v>0.27</v>
      </c>
      <c r="F127" s="9" cm="1">
        <f t="array" ref="F127">_xlfn.PERCENTRANK.EXC(_xlfn._xlws.FILTER(F1:F122, ISNUMBER(F1:F122)),F122)</f>
        <v>0.83599999999999997</v>
      </c>
      <c r="G127" s="9" cm="1">
        <f t="array" ref="G127">_xlfn.PERCENTRANK.EXC(_xlfn._xlws.FILTER(G1:G122, ISNUMBER(G1:G122)),G122)</f>
        <v>0.61399999999999999</v>
      </c>
      <c r="H127" s="9" cm="1">
        <f t="array" ref="H127">_xlfn.PERCENTRANK.EXC(_xlfn._xlws.FILTER(H1:H122, ISNUMBER(H1:H122)),H122)</f>
        <v>0.22900000000000001</v>
      </c>
      <c r="I127" s="9" cm="1">
        <f t="array" ref="I127">_xlfn.PERCENTRANK.EXC(_xlfn._xlws.FILTER(I1:I122, ISNUMBER(I1:I122)),I122)</f>
        <v>0.81899999999999995</v>
      </c>
      <c r="J127" s="9" cm="1">
        <f t="array" ref="J127">_xlfn.PERCENTRANK.EXC(_xlfn._xlws.FILTER(J1:J122, ISNUMBER(J1:J122)),J122)</f>
        <v>0.81899999999999995</v>
      </c>
      <c r="K127" s="9" cm="1">
        <f t="array" ref="K127">_xlfn.PERCENTRANK.EXC(_xlfn._xlws.FILTER(K1:K122, ISNUMBER(K1:K122)),K122)</f>
        <v>0.434</v>
      </c>
      <c r="L127" s="9" cm="1">
        <f t="array" ref="L127">_xlfn.PERCENTRANK.EXC(_xlfn._xlws.FILTER(L1:L122, ISNUMBER(L1:L122)),L122)</f>
        <v>0.70399999999999996</v>
      </c>
      <c r="M127" s="9" cm="1">
        <f t="array" ref="M127">_xlfn.PERCENTRANK.EXC(_xlfn._xlws.FILTER(M1:M122, ISNUMBER(M1:M122)),M122)</f>
        <v>0.63100000000000001</v>
      </c>
      <c r="N127" s="9" cm="1">
        <f t="array" ref="N127">_xlfn.PERCENTRANK.EXC(_xlfn._xlws.FILTER(N1:N122, ISNUMBER(N1:N122)),N122)</f>
        <v>0.245</v>
      </c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128"/>
  <sheetViews>
    <sheetView topLeftCell="A113" workbookViewId="0">
      <selection activeCell="N122" sqref="N122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14" x14ac:dyDescent="0.35">
      <c r="B1" s="3" t="s">
        <v>431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122">_xll.FDS(B1,"JULIAN(FMA_DIV_YLD(NTMA,-10AY,0,AM,""PORTAGG"",""MEANR"").dates)")</f>
        <v>41803</v>
      </c>
      <c r="B2" s="3" cm="1">
        <f t="array" ref="B2:B122">_xll.FDS(B1,"FMA_DIV_YLD(NTMA,-10AY,0,AM,""PORTAGG"",""MEANR"")")</f>
        <v>4.1988969722148397</v>
      </c>
      <c r="C2" s="3" cm="1">
        <f t="array" ref="C2:C122">_xll.FDS(C1,"FMA_DIV_YLD(NTMA,-10AY,0,AM,""PORTAGG"",""MEANR"")")</f>
        <v>4.8403852918491301</v>
      </c>
      <c r="D2" s="3" cm="1">
        <f t="array" ref="D2:D122">_xll.FDS(D1,"FMA_DIV_YLD(NTMA,-10AY,0,AM,""PORTAGG"",""MEANR"")")</f>
        <v>2.82850573881603</v>
      </c>
      <c r="E2" s="3" cm="1">
        <f t="array" ref="E2:E122">_xll.FDS(E1,"FMA_DIV_YLD(NTMA,-10AY,0,AM,""PORTAGG"",""MEANR"")")</f>
        <v>2.9803736568239301</v>
      </c>
      <c r="F2" s="3" cm="1">
        <f t="array" ref="F2:F122">_xll.FDS(F1,"FMA_DIV_YLD(NTMA,-10AY,0,AM,""PORTAGG"",""MEANR"")")</f>
        <v>2.0927519834322901</v>
      </c>
      <c r="G2" s="3" cm="1">
        <f t="array" ref="G2:G122">_xll.FDS(G1,"FMA_DIV_YLD(NTMA,-10AY,0,AM,""PORTAGG"",""MEANR"")")</f>
        <v>3.2338235495564698</v>
      </c>
      <c r="H2" s="3" cm="1">
        <f t="array" ref="H2:H122">_xll.FDS(H1,"FMA_DIV_YLD(NTMA,-10AY,0,AM,""PORTAGG"",""MEANR"")")</f>
        <v>3.85984902929679</v>
      </c>
      <c r="I2" s="3" cm="1">
        <f t="array" ref="I2:I122">_xll.FDS(I1,"FMA_DIV_YLD(NTMA,-10AY,0,AM,""PORTAGG"",""MEANR"")")</f>
        <v>1.3024450327616599</v>
      </c>
      <c r="J2" s="3" cm="1">
        <f t="array" ref="J2:J122">_xll.FDS(J1,"FMA_DIV_YLD(NTMA,-10AY,0,AM,""PORTAGG"",""MEANR"")")</f>
        <v>2.1156816090425998</v>
      </c>
      <c r="K2" s="3" cm="1">
        <f t="array" ref="K2:K122">_xll.FDS(K1,"FMA_DIV_YLD(NTMA,-10AY,0,AM,""PORTAGG"",""MEANR"")")</f>
        <v>3.3817006016443898</v>
      </c>
      <c r="L2" s="3" cm="1">
        <f t="array" ref="L2:L122">_xll.FDS(L1,"FMA_DIV_YLD(NTMA,-10AY,0,AM,""PORTAGG"",""MEANR"")")</f>
        <v>2.7983317028032202</v>
      </c>
      <c r="M2" s="3" cm="1">
        <f t="array" ref="M2:M122">_xll.FDS(M1,"FMA_DIV_YLD(NTMA,-10AY,0,AM,""PORTAGG"",""MEANR"")")</f>
        <v>4.0998538999681502</v>
      </c>
      <c r="N2" s="3" cm="1">
        <f t="array" ref="N2:N122">_xll.FDS(N1,"FMA_DIV_YLD(NTMA,-10AY,0,AM,""PORTAGG"",""MEANR"")")</f>
        <v>3.3913630444484402</v>
      </c>
    </row>
    <row r="3" spans="1:14" x14ac:dyDescent="0.35">
      <c r="A3" s="2">
        <v>41831</v>
      </c>
      <c r="B3" s="3">
        <v>4.4706559522873697</v>
      </c>
      <c r="C3" s="3">
        <v>4.74636694716592</v>
      </c>
      <c r="D3" s="3">
        <v>2.8071727138462501</v>
      </c>
      <c r="E3" s="3">
        <v>3.1047782099557901</v>
      </c>
      <c r="F3" s="3">
        <v>2.09376186010652</v>
      </c>
      <c r="G3" s="3">
        <v>3.3614189513838602</v>
      </c>
      <c r="H3" s="3">
        <v>3.9071045523781001</v>
      </c>
      <c r="I3" s="3">
        <v>1.25295638039516</v>
      </c>
      <c r="J3" s="3">
        <v>2.09999318935238</v>
      </c>
      <c r="K3" s="3">
        <v>3.5309499366028598</v>
      </c>
      <c r="L3" s="3">
        <v>2.8934778200279099</v>
      </c>
      <c r="M3" s="3">
        <v>4.2206382373416096</v>
      </c>
      <c r="N3" s="3">
        <v>3.5025622944953199</v>
      </c>
    </row>
    <row r="4" spans="1:14" x14ac:dyDescent="0.35">
      <c r="A4" s="2">
        <v>41864</v>
      </c>
      <c r="B4" s="3">
        <v>4.5643914052319197</v>
      </c>
      <c r="C4" s="3">
        <v>4.7653766392212704</v>
      </c>
      <c r="D4" s="3">
        <v>2.8074752113330601</v>
      </c>
      <c r="E4" s="3">
        <v>3.2572813154341098</v>
      </c>
      <c r="F4" s="3">
        <v>2.0966296278292198</v>
      </c>
      <c r="G4" s="3">
        <v>3.4089388074115901</v>
      </c>
      <c r="H4" s="3">
        <v>3.9803083868028799</v>
      </c>
      <c r="I4" s="3">
        <v>1.2510904761905799</v>
      </c>
      <c r="J4" s="3">
        <v>2.1391261232372898</v>
      </c>
      <c r="K4" s="3">
        <v>3.6638380977773002</v>
      </c>
      <c r="L4" s="3">
        <v>3.0845112351302002</v>
      </c>
      <c r="M4" s="3">
        <v>4.2821439459539903</v>
      </c>
      <c r="N4" s="3">
        <v>3.7414352266735298</v>
      </c>
    </row>
    <row r="5" spans="1:14" x14ac:dyDescent="0.35">
      <c r="A5" s="2">
        <v>41894</v>
      </c>
      <c r="B5" s="3">
        <v>4.5676055635010702</v>
      </c>
      <c r="C5" s="3">
        <v>4.8052723800259001</v>
      </c>
      <c r="D5" s="3">
        <v>2.7596606447101601</v>
      </c>
      <c r="E5" s="3">
        <v>3.1205693910368701</v>
      </c>
      <c r="F5" s="3">
        <v>2.0308791185977499</v>
      </c>
      <c r="G5" s="3">
        <v>3.2935726973873201</v>
      </c>
      <c r="H5" s="3">
        <v>3.9298068696583699</v>
      </c>
      <c r="I5" s="3">
        <v>1.2189939630636299</v>
      </c>
      <c r="J5" s="3">
        <v>2.11026912673755</v>
      </c>
      <c r="K5" s="3">
        <v>3.5081793260688099</v>
      </c>
      <c r="L5" s="3">
        <v>3.0031278540719799</v>
      </c>
      <c r="M5" s="3">
        <v>4.2204737792437799</v>
      </c>
      <c r="N5" s="3">
        <v>3.51543329623409</v>
      </c>
    </row>
    <row r="6" spans="1:14" x14ac:dyDescent="0.35">
      <c r="A6" s="2">
        <v>41925</v>
      </c>
      <c r="B6" s="3">
        <v>4.6648513676388399</v>
      </c>
      <c r="C6" s="3">
        <v>5.1941542157635698</v>
      </c>
      <c r="D6" s="3">
        <v>3.04258145413309</v>
      </c>
      <c r="E6" s="3">
        <v>3.4370046196268702</v>
      </c>
      <c r="F6" s="3">
        <v>2.1639994340859001</v>
      </c>
      <c r="G6" s="3">
        <v>3.5210878006301898</v>
      </c>
      <c r="H6" s="3">
        <v>4.2254262535736897</v>
      </c>
      <c r="I6" s="3">
        <v>1.32100979673513</v>
      </c>
      <c r="J6" s="3">
        <v>2.2490855767571301</v>
      </c>
      <c r="K6" s="3">
        <v>3.8443332106091201</v>
      </c>
      <c r="L6" s="3">
        <v>3.20828816233682</v>
      </c>
      <c r="M6" s="3">
        <v>4.5626008049180697</v>
      </c>
      <c r="N6" s="3">
        <v>3.9870360862763898</v>
      </c>
    </row>
    <row r="7" spans="1:14" x14ac:dyDescent="0.35">
      <c r="A7" s="2">
        <v>41956</v>
      </c>
      <c r="B7" s="3">
        <v>4.4632945624099198</v>
      </c>
      <c r="C7" s="3">
        <v>4.9211088109180601</v>
      </c>
      <c r="D7" s="3">
        <v>2.9377230180604199</v>
      </c>
      <c r="E7" s="3">
        <v>3.3511975476749898</v>
      </c>
      <c r="F7" s="3">
        <v>1.94567613347326</v>
      </c>
      <c r="G7" s="3">
        <v>3.26112223676955</v>
      </c>
      <c r="H7" s="3">
        <v>4.0635144590762602</v>
      </c>
      <c r="I7" s="3">
        <v>1.2145675251637</v>
      </c>
      <c r="J7" s="3">
        <v>2.0903770435606099</v>
      </c>
      <c r="K7" s="3">
        <v>3.7310518427735002</v>
      </c>
      <c r="L7" s="3">
        <v>3.10822072014976</v>
      </c>
      <c r="M7" s="3">
        <v>4.1622835713520097</v>
      </c>
      <c r="N7" s="3">
        <v>4.0589332147127601</v>
      </c>
    </row>
    <row r="8" spans="1:14" x14ac:dyDescent="0.35">
      <c r="A8" s="2">
        <v>41985</v>
      </c>
      <c r="B8" s="3">
        <v>4.4753136967227203</v>
      </c>
      <c r="C8" s="3">
        <v>5.1456233007019803</v>
      </c>
      <c r="D8" s="3">
        <v>3.12805441277927</v>
      </c>
      <c r="E8" s="3">
        <v>3.2547166401805199</v>
      </c>
      <c r="F8" s="3">
        <v>1.98230305646273</v>
      </c>
      <c r="G8" s="3">
        <v>3.3225763224154501</v>
      </c>
      <c r="H8" s="3">
        <v>4.2916347328779798</v>
      </c>
      <c r="I8" s="3">
        <v>1.2343405232944999</v>
      </c>
      <c r="J8" s="3">
        <v>2.14980447837433</v>
      </c>
      <c r="K8" s="3">
        <v>3.7712441059499899</v>
      </c>
      <c r="L8" s="3">
        <v>3.1347547337368602</v>
      </c>
      <c r="M8" s="3">
        <v>4.1874569909075596</v>
      </c>
      <c r="N8" s="3">
        <v>4.1307611629082404</v>
      </c>
    </row>
    <row r="9" spans="1:14" x14ac:dyDescent="0.35">
      <c r="A9" s="2">
        <v>42017</v>
      </c>
      <c r="B9" s="3">
        <v>4.3764014776266302</v>
      </c>
      <c r="C9" s="3">
        <v>4.9928542298805798</v>
      </c>
      <c r="D9" s="3">
        <v>3.0463876599346098</v>
      </c>
      <c r="E9" s="3">
        <v>3.1525523913666702</v>
      </c>
      <c r="F9" s="3">
        <v>2.0363278149488302</v>
      </c>
      <c r="G9" s="3">
        <v>3.2449440855085299</v>
      </c>
      <c r="H9" s="3">
        <v>4.1938937460906898</v>
      </c>
      <c r="I9" s="3">
        <v>1.2273044322021101</v>
      </c>
      <c r="J9" s="3">
        <v>2.1450692706952701</v>
      </c>
      <c r="K9" s="3">
        <v>3.6242915209525699</v>
      </c>
      <c r="L9" s="3">
        <v>3.08024763038109</v>
      </c>
      <c r="M9" s="3">
        <v>4.0974221502122496</v>
      </c>
      <c r="N9" s="3">
        <v>4.16021189851282</v>
      </c>
    </row>
    <row r="10" spans="1:14" x14ac:dyDescent="0.35">
      <c r="A10" s="2">
        <v>42048</v>
      </c>
      <c r="B10" s="3">
        <v>4.2731662926377503</v>
      </c>
      <c r="C10" s="3">
        <v>4.618311590846</v>
      </c>
      <c r="D10" s="3">
        <v>2.8391956931415301</v>
      </c>
      <c r="E10" s="3">
        <v>2.8751486200418199</v>
      </c>
      <c r="F10" s="3">
        <v>1.9646430271835</v>
      </c>
      <c r="G10" s="3">
        <v>3.2718520708071401</v>
      </c>
      <c r="H10" s="3">
        <v>3.9692103981939102</v>
      </c>
      <c r="I10" s="3">
        <v>1.2239397486927199</v>
      </c>
      <c r="J10" s="3">
        <v>2.10604062913922</v>
      </c>
      <c r="K10" s="3">
        <v>3.2350853269501401</v>
      </c>
      <c r="L10" s="3">
        <v>2.8318097955811501</v>
      </c>
      <c r="M10" s="3">
        <v>3.6914398080282198</v>
      </c>
      <c r="N10" s="3">
        <v>3.6323437124620899</v>
      </c>
    </row>
    <row r="11" spans="1:14" x14ac:dyDescent="0.35">
      <c r="A11" s="2">
        <v>42076</v>
      </c>
      <c r="B11" s="3">
        <v>4.2823892248316202</v>
      </c>
      <c r="C11" s="3">
        <v>4.6818715874594403</v>
      </c>
      <c r="D11" s="3">
        <v>2.94728738109468</v>
      </c>
      <c r="E11" s="3">
        <v>2.6770236484233401</v>
      </c>
      <c r="F11" s="3">
        <v>1.8498009923156</v>
      </c>
      <c r="G11" s="3">
        <v>3.15842228343829</v>
      </c>
      <c r="H11" s="3">
        <v>4.0691744998633501</v>
      </c>
      <c r="I11" s="3">
        <v>1.2770310211224001</v>
      </c>
      <c r="J11" s="3">
        <v>2.1923735946659302</v>
      </c>
      <c r="K11" s="3">
        <v>3.2056997346562799</v>
      </c>
      <c r="L11" s="3">
        <v>2.6280685807077799</v>
      </c>
      <c r="M11" s="3">
        <v>3.6696163247992599</v>
      </c>
      <c r="N11" s="3">
        <v>3.24224568698529</v>
      </c>
    </row>
    <row r="12" spans="1:14" x14ac:dyDescent="0.35">
      <c r="A12" s="2">
        <v>42107</v>
      </c>
      <c r="B12" s="3">
        <v>4.4264978548159597</v>
      </c>
      <c r="C12" s="3">
        <v>4.5668932333915997</v>
      </c>
      <c r="D12" s="3">
        <v>2.82492149008133</v>
      </c>
      <c r="E12" s="3">
        <v>2.6152136714849501</v>
      </c>
      <c r="F12" s="3">
        <v>1.8466512915484501</v>
      </c>
      <c r="G12" s="3">
        <v>3.0328857814806098</v>
      </c>
      <c r="H12" s="3">
        <v>3.9107076324788301</v>
      </c>
      <c r="I12" s="3">
        <v>1.2572274054031001</v>
      </c>
      <c r="J12" s="3">
        <v>2.1581944760648302</v>
      </c>
      <c r="K12" s="3">
        <v>3.08087605254262</v>
      </c>
      <c r="L12" s="3">
        <v>2.57837090140805</v>
      </c>
      <c r="M12" s="3">
        <v>3.6059460058175801</v>
      </c>
      <c r="N12" s="3">
        <v>3.0706094483976099</v>
      </c>
    </row>
    <row r="13" spans="1:14" x14ac:dyDescent="0.35">
      <c r="A13" s="2">
        <v>42137</v>
      </c>
      <c r="B13" s="3">
        <v>4.4712286790839304</v>
      </c>
      <c r="C13" s="3">
        <v>4.6830874525773103</v>
      </c>
      <c r="D13" s="3">
        <v>2.8997205903642902</v>
      </c>
      <c r="E13" s="3">
        <v>2.9211235478521398</v>
      </c>
      <c r="F13" s="3">
        <v>1.87829439688547</v>
      </c>
      <c r="G13" s="3">
        <v>3.12696497916667</v>
      </c>
      <c r="H13" s="3">
        <v>3.8839746621895901</v>
      </c>
      <c r="I13" s="3">
        <v>1.2567930101701901</v>
      </c>
      <c r="J13" s="3">
        <v>2.1653065726601</v>
      </c>
      <c r="K13" s="3">
        <v>3.2995190347833998</v>
      </c>
      <c r="L13" s="3">
        <v>2.7750274813951199</v>
      </c>
      <c r="M13" s="3">
        <v>3.84205934751671</v>
      </c>
      <c r="N13" s="3">
        <v>3.1917489105109098</v>
      </c>
    </row>
    <row r="14" spans="1:14" x14ac:dyDescent="0.35">
      <c r="A14" s="2">
        <v>42167</v>
      </c>
      <c r="B14" s="3">
        <v>4.4610760635103199</v>
      </c>
      <c r="C14" s="3">
        <v>4.9094973594937397</v>
      </c>
      <c r="D14" s="3">
        <v>2.9567975774014599</v>
      </c>
      <c r="E14" s="3">
        <v>3.0107943646808799</v>
      </c>
      <c r="F14" s="3">
        <v>1.88186802131432</v>
      </c>
      <c r="G14" s="3">
        <v>3.1774357939092899</v>
      </c>
      <c r="H14" s="3">
        <v>4.0176739246803903</v>
      </c>
      <c r="I14" s="3">
        <v>1.25645393428369</v>
      </c>
      <c r="J14" s="3">
        <v>2.17634430099422</v>
      </c>
      <c r="K14" s="3">
        <v>3.3637895868183598</v>
      </c>
      <c r="L14" s="3">
        <v>2.9217944385362302</v>
      </c>
      <c r="M14" s="3">
        <v>3.9202496924816801</v>
      </c>
      <c r="N14" s="3">
        <v>3.30007642644915</v>
      </c>
    </row>
    <row r="15" spans="1:14" x14ac:dyDescent="0.35">
      <c r="A15" s="2">
        <v>42198</v>
      </c>
      <c r="B15" s="3">
        <v>4.73156838933365</v>
      </c>
      <c r="C15" s="3">
        <v>4.9929149271325999</v>
      </c>
      <c r="D15" s="3">
        <v>3.0246960353243901</v>
      </c>
      <c r="E15" s="3">
        <v>2.9570655279723699</v>
      </c>
      <c r="F15" s="3">
        <v>1.94642836369547</v>
      </c>
      <c r="G15" s="3">
        <v>3.1605712245322399</v>
      </c>
      <c r="H15" s="3">
        <v>4.0921344539001696</v>
      </c>
      <c r="I15" s="3">
        <v>1.2477764338952699</v>
      </c>
      <c r="J15" s="3">
        <v>2.1722661343248801</v>
      </c>
      <c r="K15" s="3">
        <v>3.3231633762249499</v>
      </c>
      <c r="L15" s="3">
        <v>2.86995674841658</v>
      </c>
      <c r="M15" s="3">
        <v>3.90823399309765</v>
      </c>
      <c r="N15" s="3">
        <v>3.25592775464568</v>
      </c>
    </row>
    <row r="16" spans="1:14" x14ac:dyDescent="0.35">
      <c r="A16" s="2">
        <v>42229</v>
      </c>
      <c r="B16" s="3">
        <v>4.7129104103584201</v>
      </c>
      <c r="C16" s="3">
        <v>5.0826646711929104</v>
      </c>
      <c r="D16" s="3">
        <v>3.0795313062903702</v>
      </c>
      <c r="E16" s="3">
        <v>3.10065522127063</v>
      </c>
      <c r="F16" s="3">
        <v>1.8991656805780199</v>
      </c>
      <c r="G16" s="3">
        <v>3.1551945247983499</v>
      </c>
      <c r="H16" s="3">
        <v>4.1521597701027497</v>
      </c>
      <c r="I16" s="3">
        <v>1.2827092989200799</v>
      </c>
      <c r="J16" s="3">
        <v>2.2191210655744702</v>
      </c>
      <c r="K16" s="3">
        <v>3.3662125496247</v>
      </c>
      <c r="L16" s="3">
        <v>3.1824572247175702</v>
      </c>
      <c r="M16" s="3">
        <v>4.0232554756635803</v>
      </c>
      <c r="N16" s="3">
        <v>3.1418582823939101</v>
      </c>
    </row>
    <row r="17" spans="1:14" x14ac:dyDescent="0.35">
      <c r="A17" s="2">
        <v>42258</v>
      </c>
      <c r="B17" s="3">
        <v>5.1486023360600504</v>
      </c>
      <c r="C17" s="3">
        <v>5.4458340373105303</v>
      </c>
      <c r="D17" s="3">
        <v>3.2570279026889501</v>
      </c>
      <c r="E17" s="3">
        <v>3.3728284632024499</v>
      </c>
      <c r="F17" s="3">
        <v>2.1527634328178298</v>
      </c>
      <c r="G17" s="3">
        <v>3.3507392668331399</v>
      </c>
      <c r="H17" s="3">
        <v>4.4886625599263104</v>
      </c>
      <c r="I17" s="3">
        <v>1.3494695638882701</v>
      </c>
      <c r="J17" s="3">
        <v>2.3678583434000999</v>
      </c>
      <c r="K17" s="3">
        <v>3.6971294280582501</v>
      </c>
      <c r="L17" s="3">
        <v>3.5050289078308299</v>
      </c>
      <c r="M17" s="3">
        <v>4.3310705810123702</v>
      </c>
      <c r="N17" s="3">
        <v>3.4114612262337598</v>
      </c>
    </row>
    <row r="18" spans="1:14" x14ac:dyDescent="0.35">
      <c r="A18" s="2">
        <v>42290</v>
      </c>
      <c r="B18" s="3">
        <v>5.18833966563807</v>
      </c>
      <c r="C18" s="3">
        <v>5.2380760999189899</v>
      </c>
      <c r="D18" s="3">
        <v>3.1831013917831301</v>
      </c>
      <c r="E18" s="3">
        <v>3.3320484234723202</v>
      </c>
      <c r="F18" s="3">
        <v>2.12467432530249</v>
      </c>
      <c r="G18" s="3">
        <v>3.3582370645544102</v>
      </c>
      <c r="H18" s="3">
        <v>4.2801235291076596</v>
      </c>
      <c r="I18" s="3">
        <v>1.3438738434801001</v>
      </c>
      <c r="J18" s="3">
        <v>2.3240421659805599</v>
      </c>
      <c r="K18" s="3">
        <v>3.6040526548810399</v>
      </c>
      <c r="L18" s="3">
        <v>3.4759691844985601</v>
      </c>
      <c r="M18" s="3">
        <v>4.37108572528465</v>
      </c>
      <c r="N18" s="3">
        <v>3.5955959416566001</v>
      </c>
    </row>
    <row r="19" spans="1:14" x14ac:dyDescent="0.35">
      <c r="A19" s="2">
        <v>42321</v>
      </c>
      <c r="B19" s="3">
        <v>4.9132537701142702</v>
      </c>
      <c r="C19" s="3">
        <v>5.41668061144677</v>
      </c>
      <c r="D19" s="3">
        <v>3.38484276603167</v>
      </c>
      <c r="E19" s="3">
        <v>3.02524501940281</v>
      </c>
      <c r="F19" s="3">
        <v>2.0225739995946399</v>
      </c>
      <c r="G19" s="3">
        <v>3.3094698701807799</v>
      </c>
      <c r="H19" s="3">
        <v>4.3971141811779502</v>
      </c>
      <c r="I19" s="3">
        <v>1.3167436507427901</v>
      </c>
      <c r="J19" s="3">
        <v>2.3344833045258602</v>
      </c>
      <c r="K19" s="3">
        <v>3.5031476057184201</v>
      </c>
      <c r="L19" s="3">
        <v>3.24652605435845</v>
      </c>
      <c r="M19" s="3">
        <v>4.2717188129716899</v>
      </c>
      <c r="N19" s="3">
        <v>3.6858353651983</v>
      </c>
    </row>
    <row r="20" spans="1:14" x14ac:dyDescent="0.35">
      <c r="A20" s="2">
        <v>42349</v>
      </c>
      <c r="B20" s="3">
        <v>4.8069018589791899</v>
      </c>
      <c r="C20" s="3">
        <v>5.4070191142767099</v>
      </c>
      <c r="D20" s="3">
        <v>3.4645427904955</v>
      </c>
      <c r="E20" s="3">
        <v>3.14603142088753</v>
      </c>
      <c r="F20" s="3">
        <v>2.0773737355173498</v>
      </c>
      <c r="G20" s="3">
        <v>3.38242276260618</v>
      </c>
      <c r="H20" s="3">
        <v>4.4715631538906804</v>
      </c>
      <c r="I20" s="3">
        <v>1.31058183502697</v>
      </c>
      <c r="J20" s="3">
        <v>2.3410329467533502</v>
      </c>
      <c r="K20" s="3">
        <v>3.66685130327929</v>
      </c>
      <c r="L20" s="3">
        <v>3.3703178124924</v>
      </c>
      <c r="M20" s="3">
        <v>4.4659113915458004</v>
      </c>
      <c r="N20" s="3">
        <v>3.8695717516854402</v>
      </c>
    </row>
    <row r="21" spans="1:14" x14ac:dyDescent="0.35">
      <c r="A21" s="2">
        <v>42382</v>
      </c>
      <c r="B21" s="3">
        <v>4.8794742776150999</v>
      </c>
      <c r="C21" s="3">
        <v>5.4523977576531903</v>
      </c>
      <c r="D21" s="3">
        <v>3.6129923534631199</v>
      </c>
      <c r="E21" s="3">
        <v>3.2789942974636901</v>
      </c>
      <c r="F21" s="3">
        <v>2.2606193970848798</v>
      </c>
      <c r="G21" s="3">
        <v>3.4428672349750999</v>
      </c>
      <c r="H21" s="3">
        <v>4.5032485691586297</v>
      </c>
      <c r="I21" s="3">
        <v>1.3853254682232501</v>
      </c>
      <c r="J21" s="3">
        <v>2.5108863212785302</v>
      </c>
      <c r="K21" s="3">
        <v>3.81818292539712</v>
      </c>
      <c r="L21" s="3">
        <v>3.2660182797628998</v>
      </c>
      <c r="M21" s="3">
        <v>4.5456795318402596</v>
      </c>
      <c r="N21" s="3">
        <v>4.0916706665762197</v>
      </c>
    </row>
    <row r="22" spans="1:14" x14ac:dyDescent="0.35">
      <c r="A22" s="2">
        <v>42412</v>
      </c>
      <c r="B22" s="3">
        <v>5.0512043242151101</v>
      </c>
      <c r="C22" s="3">
        <v>5.3109486475608003</v>
      </c>
      <c r="D22" s="3">
        <v>3.4597387151897201</v>
      </c>
      <c r="E22" s="3">
        <v>3.6638117568484101</v>
      </c>
      <c r="F22" s="3">
        <v>2.72611818648658</v>
      </c>
      <c r="G22" s="3">
        <v>3.6480781466079</v>
      </c>
      <c r="H22" s="3">
        <v>4.6594002385105302</v>
      </c>
      <c r="I22" s="3">
        <v>1.4698693982285</v>
      </c>
      <c r="J22" s="3">
        <v>2.4518202590146898</v>
      </c>
      <c r="K22" s="3">
        <v>4.1248390572961497</v>
      </c>
      <c r="L22" s="3">
        <v>3.6652251326370102</v>
      </c>
      <c r="M22" s="3">
        <v>4.6641846002276797</v>
      </c>
      <c r="N22" s="3">
        <v>4.8165483613289597</v>
      </c>
    </row>
    <row r="23" spans="1:14" x14ac:dyDescent="0.35">
      <c r="A23" s="2">
        <v>42440</v>
      </c>
      <c r="B23" s="3">
        <v>4.6904502486222102</v>
      </c>
      <c r="C23" s="3">
        <v>4.7275102218109</v>
      </c>
      <c r="D23" s="3">
        <v>3.1324792774025201</v>
      </c>
      <c r="E23" s="3">
        <v>3.3352913116052298</v>
      </c>
      <c r="F23" s="3">
        <v>2.3669027526949198</v>
      </c>
      <c r="G23" s="3">
        <v>3.4683861172342501</v>
      </c>
      <c r="H23" s="3">
        <v>4.3718682996087699</v>
      </c>
      <c r="I23" s="3">
        <v>1.36792810606793</v>
      </c>
      <c r="J23" s="3">
        <v>2.4751977345461702</v>
      </c>
      <c r="K23" s="3">
        <v>3.6914779752048501</v>
      </c>
      <c r="L23" s="3">
        <v>3.3070368016114999</v>
      </c>
      <c r="M23" s="3">
        <v>4.2408242350116101</v>
      </c>
      <c r="N23" s="3">
        <v>4.1769494941506302</v>
      </c>
    </row>
    <row r="24" spans="1:14" x14ac:dyDescent="0.35">
      <c r="A24" s="2">
        <v>42473</v>
      </c>
      <c r="B24" s="3">
        <v>4.5819211602784602</v>
      </c>
      <c r="C24" s="3">
        <v>4.8493147068294897</v>
      </c>
      <c r="D24" s="3">
        <v>3.11000744100921</v>
      </c>
      <c r="E24" s="3">
        <v>3.2831841284185499</v>
      </c>
      <c r="F24" s="3">
        <v>2.4127844271235799</v>
      </c>
      <c r="G24" s="3">
        <v>3.5023021134580299</v>
      </c>
      <c r="H24" s="3">
        <v>4.23453783235757</v>
      </c>
      <c r="I24" s="3">
        <v>1.3159213368223499</v>
      </c>
      <c r="J24" s="3">
        <v>2.2917987413403398</v>
      </c>
      <c r="K24" s="3">
        <v>3.6887864150481802</v>
      </c>
      <c r="L24" s="3">
        <v>3.26365323805729</v>
      </c>
      <c r="M24" s="3">
        <v>4.3009713025962704</v>
      </c>
      <c r="N24" s="3">
        <v>4.4231045534020401</v>
      </c>
    </row>
    <row r="25" spans="1:14" x14ac:dyDescent="0.35">
      <c r="A25" s="2">
        <v>42503</v>
      </c>
      <c r="B25" s="3">
        <v>4.4815571203882598</v>
      </c>
      <c r="C25" s="3">
        <v>4.59766981783266</v>
      </c>
      <c r="D25" s="3">
        <v>3.0941608138626799</v>
      </c>
      <c r="E25" s="3">
        <v>3.3553482244679902</v>
      </c>
      <c r="F25" s="3">
        <v>2.4305459916797201</v>
      </c>
      <c r="G25" s="3">
        <v>3.5553380897978202</v>
      </c>
      <c r="H25" s="3">
        <v>4.3828274113791403</v>
      </c>
      <c r="I25" s="3">
        <v>1.39899173975275</v>
      </c>
      <c r="J25" s="3">
        <v>2.2927014117324598</v>
      </c>
      <c r="K25" s="3">
        <v>3.8142278192704202</v>
      </c>
      <c r="L25" s="3">
        <v>3.4155774193080601</v>
      </c>
      <c r="M25" s="3">
        <v>4.5034203679739901</v>
      </c>
      <c r="N25" s="3">
        <v>4.5273340211172597</v>
      </c>
    </row>
    <row r="26" spans="1:14" x14ac:dyDescent="0.35">
      <c r="A26" s="2">
        <v>42534</v>
      </c>
      <c r="B26" s="3">
        <v>4.4026810589704102</v>
      </c>
      <c r="C26" s="3">
        <v>4.61069825426459</v>
      </c>
      <c r="D26" s="3">
        <v>3.0737281647733998</v>
      </c>
      <c r="E26" s="3">
        <v>3.4832527356530298</v>
      </c>
      <c r="F26" s="3">
        <v>2.4632094368684299</v>
      </c>
      <c r="G26" s="3">
        <v>3.6176278225165301</v>
      </c>
      <c r="H26" s="3">
        <v>4.4473790704238398</v>
      </c>
      <c r="I26" s="3">
        <v>1.37463674186681</v>
      </c>
      <c r="J26" s="3">
        <v>2.2966898258961499</v>
      </c>
      <c r="K26" s="3">
        <v>3.9240427240289502</v>
      </c>
      <c r="L26" s="3">
        <v>3.3318290755356701</v>
      </c>
      <c r="M26" s="3">
        <v>4.6256902914612503</v>
      </c>
      <c r="N26" s="3">
        <v>4.9264180767007097</v>
      </c>
    </row>
    <row r="27" spans="1:14" x14ac:dyDescent="0.35">
      <c r="A27" s="2">
        <v>42564</v>
      </c>
      <c r="B27" s="3">
        <v>4.29204636356455</v>
      </c>
      <c r="C27" s="3">
        <v>4.5576124271510796</v>
      </c>
      <c r="D27" s="3">
        <v>2.9970373891639102</v>
      </c>
      <c r="E27" s="3">
        <v>3.3965261318359601</v>
      </c>
      <c r="F27" s="3">
        <v>2.4206886129541201</v>
      </c>
      <c r="G27" s="3">
        <v>3.5053585188568701</v>
      </c>
      <c r="H27" s="3">
        <v>4.1680299562904999</v>
      </c>
      <c r="I27" s="3">
        <v>1.3249625779283301</v>
      </c>
      <c r="J27" s="3">
        <v>2.2274322814771401</v>
      </c>
      <c r="K27" s="3">
        <v>3.8212723178146302</v>
      </c>
      <c r="L27" s="3">
        <v>3.2662315030942399</v>
      </c>
      <c r="M27" s="3">
        <v>4.4025433922156596</v>
      </c>
      <c r="N27" s="3">
        <v>4.8230832420936203</v>
      </c>
    </row>
    <row r="28" spans="1:14" x14ac:dyDescent="0.35">
      <c r="A28" s="2">
        <v>42594</v>
      </c>
      <c r="B28" s="3">
        <v>4.1361523454272398</v>
      </c>
      <c r="C28" s="3">
        <v>4.4504673193508504</v>
      </c>
      <c r="D28" s="3">
        <v>2.94639855111516</v>
      </c>
      <c r="E28" s="3">
        <v>3.1443917950087399</v>
      </c>
      <c r="F28" s="3">
        <v>2.3806143355878402</v>
      </c>
      <c r="G28" s="3">
        <v>3.4129779845178798</v>
      </c>
      <c r="H28" s="3">
        <v>4.0608585763910101</v>
      </c>
      <c r="I28" s="3">
        <v>1.2755320378691899</v>
      </c>
      <c r="J28" s="3">
        <v>2.2034166415504299</v>
      </c>
      <c r="K28" s="3">
        <v>3.6836035694895202</v>
      </c>
      <c r="L28" s="3">
        <v>3.1389651035289901</v>
      </c>
      <c r="M28" s="3">
        <v>4.2217443683621596</v>
      </c>
      <c r="N28" s="3">
        <v>4.6854083741835204</v>
      </c>
    </row>
    <row r="29" spans="1:14" x14ac:dyDescent="0.35">
      <c r="A29" s="2">
        <v>42626</v>
      </c>
      <c r="B29" s="3">
        <v>4.2974290594312903</v>
      </c>
      <c r="C29" s="3">
        <v>4.7504224302929003</v>
      </c>
      <c r="D29" s="3">
        <v>3.0272893878000899</v>
      </c>
      <c r="E29" s="3">
        <v>3.2361054138098102</v>
      </c>
      <c r="F29" s="3">
        <v>2.3854127418524498</v>
      </c>
      <c r="G29" s="3">
        <v>3.4822817335700198</v>
      </c>
      <c r="H29" s="3">
        <v>4.2442149654191104</v>
      </c>
      <c r="I29" s="3">
        <v>1.30562636329844</v>
      </c>
      <c r="J29" s="3">
        <v>2.2653427901943601</v>
      </c>
      <c r="K29" s="3">
        <v>3.7654909600830102</v>
      </c>
      <c r="L29" s="3">
        <v>3.20777615163782</v>
      </c>
      <c r="M29" s="3">
        <v>4.2685605179140502</v>
      </c>
      <c r="N29" s="3">
        <v>4.9024377815611997</v>
      </c>
    </row>
    <row r="30" spans="1:14" x14ac:dyDescent="0.35">
      <c r="A30" s="2">
        <v>42656</v>
      </c>
      <c r="B30" s="3">
        <v>4.47137155912095</v>
      </c>
      <c r="C30" s="3">
        <v>4.55166798700927</v>
      </c>
      <c r="D30" s="3">
        <v>2.9516280247977802</v>
      </c>
      <c r="E30" s="3">
        <v>3.1861597334468099</v>
      </c>
      <c r="F30" s="3">
        <v>2.3780282161741102</v>
      </c>
      <c r="G30" s="3">
        <v>3.5789451405616601</v>
      </c>
      <c r="H30" s="3">
        <v>4.2886735102278104</v>
      </c>
      <c r="I30" s="3">
        <v>1.28164417277931</v>
      </c>
      <c r="J30" s="3">
        <v>2.25959891932686</v>
      </c>
      <c r="K30" s="3">
        <v>3.7879216905056898</v>
      </c>
      <c r="L30" s="3">
        <v>3.1650874905794</v>
      </c>
      <c r="M30" s="3">
        <v>4.1640844481699304</v>
      </c>
      <c r="N30" s="3">
        <v>5.0328043253699501</v>
      </c>
    </row>
    <row r="31" spans="1:14" x14ac:dyDescent="0.35">
      <c r="A31" s="2">
        <v>42685</v>
      </c>
      <c r="B31" s="3">
        <v>4.7555114686851798</v>
      </c>
      <c r="C31" s="3">
        <v>4.5986708853671896</v>
      </c>
      <c r="D31" s="3">
        <v>2.9679249249367698</v>
      </c>
      <c r="E31" s="3">
        <v>3.1771732656000302</v>
      </c>
      <c r="F31" s="3">
        <v>2.3274291750015599</v>
      </c>
      <c r="G31" s="3">
        <v>3.6313695520579898</v>
      </c>
      <c r="H31" s="3">
        <v>4.44036754672159</v>
      </c>
      <c r="I31" s="3">
        <v>1.3095585627694699</v>
      </c>
      <c r="J31" s="3">
        <v>2.2389148105699599</v>
      </c>
      <c r="K31" s="3">
        <v>3.7385914600099999</v>
      </c>
      <c r="L31" s="3">
        <v>3.1886850683928398</v>
      </c>
      <c r="M31" s="3">
        <v>4.1067813234676098</v>
      </c>
      <c r="N31" s="3">
        <v>4.7824175439346499</v>
      </c>
    </row>
    <row r="32" spans="1:14" x14ac:dyDescent="0.35">
      <c r="A32" s="2">
        <v>42717</v>
      </c>
      <c r="B32" s="3">
        <v>4.6411863892441403</v>
      </c>
      <c r="C32" s="3">
        <v>4.5440036811043196</v>
      </c>
      <c r="D32" s="3">
        <v>2.8195797845905601</v>
      </c>
      <c r="E32" s="3">
        <v>3.0149304496880198</v>
      </c>
      <c r="F32" s="3">
        <v>2.0861321861956799</v>
      </c>
      <c r="G32" s="3">
        <v>3.5695934651069101</v>
      </c>
      <c r="H32" s="3">
        <v>4.3175978444758796</v>
      </c>
      <c r="I32" s="3">
        <v>1.2772990662197401</v>
      </c>
      <c r="J32" s="3">
        <v>2.15218139741852</v>
      </c>
      <c r="K32" s="3">
        <v>3.5050506047378298</v>
      </c>
      <c r="L32" s="3">
        <v>3.0223372901569499</v>
      </c>
      <c r="M32" s="3">
        <v>3.84623353603887</v>
      </c>
      <c r="N32" s="3">
        <v>4.3912172214664098</v>
      </c>
    </row>
    <row r="33" spans="1:14" x14ac:dyDescent="0.35">
      <c r="A33" s="2">
        <v>42748</v>
      </c>
      <c r="B33" s="3">
        <v>4.5377171313071099</v>
      </c>
      <c r="C33" s="3">
        <v>4.4768661546895299</v>
      </c>
      <c r="D33" s="3">
        <v>2.8111214219529601</v>
      </c>
      <c r="E33" s="3">
        <v>2.94285311543887</v>
      </c>
      <c r="F33" s="3">
        <v>2.0992942701874999</v>
      </c>
      <c r="G33" s="3">
        <v>3.45879132170879</v>
      </c>
      <c r="H33" s="3">
        <v>4.2231864893938296</v>
      </c>
      <c r="I33" s="3">
        <v>1.2539465508897301</v>
      </c>
      <c r="J33" s="3">
        <v>2.1612069884051999</v>
      </c>
      <c r="K33" s="3">
        <v>3.4232192551169498</v>
      </c>
      <c r="L33" s="3">
        <v>2.9443873993424599</v>
      </c>
      <c r="M33" s="3">
        <v>3.8857211794676298</v>
      </c>
      <c r="N33" s="3">
        <v>4.2890267212605302</v>
      </c>
    </row>
    <row r="34" spans="1:14" x14ac:dyDescent="0.35">
      <c r="A34" s="2">
        <v>42779</v>
      </c>
      <c r="B34" s="3">
        <v>4.48254749987984</v>
      </c>
      <c r="C34" s="3">
        <v>4.5082115035754402</v>
      </c>
      <c r="D34" s="3">
        <v>2.7931481051913698</v>
      </c>
      <c r="E34" s="3">
        <v>2.9483518719244501</v>
      </c>
      <c r="F34" s="3">
        <v>2.1160616997606501</v>
      </c>
      <c r="G34" s="3">
        <v>3.4186216147502502</v>
      </c>
      <c r="H34" s="3">
        <v>4.2457026012353403</v>
      </c>
      <c r="I34" s="3">
        <v>1.2337632107255201</v>
      </c>
      <c r="J34" s="3">
        <v>2.1311933965349299</v>
      </c>
      <c r="K34" s="3">
        <v>3.4684475171135798</v>
      </c>
      <c r="L34" s="3">
        <v>2.8955892897528699</v>
      </c>
      <c r="M34" s="3">
        <v>3.6490308310447799</v>
      </c>
      <c r="N34" s="3">
        <v>4.4067471353904404</v>
      </c>
    </row>
    <row r="35" spans="1:14" x14ac:dyDescent="0.35">
      <c r="A35" s="2">
        <v>42807</v>
      </c>
      <c r="B35" s="3">
        <v>4.5530218274549803</v>
      </c>
      <c r="C35" s="3">
        <v>4.5535133174089797</v>
      </c>
      <c r="D35" s="3">
        <v>2.8984323116401498</v>
      </c>
      <c r="E35" s="3">
        <v>2.9500203686582802</v>
      </c>
      <c r="F35" s="3">
        <v>2.1167355364926399</v>
      </c>
      <c r="G35" s="3">
        <v>3.3427485197377602</v>
      </c>
      <c r="H35" s="3">
        <v>4.3098090343595601</v>
      </c>
      <c r="I35" s="3">
        <v>1.2139450017183999</v>
      </c>
      <c r="J35" s="3">
        <v>2.1008639743869302</v>
      </c>
      <c r="K35" s="3">
        <v>3.4235763449025902</v>
      </c>
      <c r="L35" s="3">
        <v>2.7757896523661998</v>
      </c>
      <c r="M35" s="3">
        <v>3.6179586745361298</v>
      </c>
      <c r="N35" s="3">
        <v>4.0515122123309002</v>
      </c>
    </row>
    <row r="36" spans="1:14" x14ac:dyDescent="0.35">
      <c r="A36" s="2">
        <v>42838</v>
      </c>
      <c r="B36" s="3">
        <v>4.5653946379929504</v>
      </c>
      <c r="C36" s="3">
        <v>4.4924185790884401</v>
      </c>
      <c r="D36" s="3">
        <v>2.9366304903018201</v>
      </c>
      <c r="E36" s="3">
        <v>2.9422607726441701</v>
      </c>
      <c r="F36" s="3">
        <v>2.2940428734522702</v>
      </c>
      <c r="G36" s="3">
        <v>3.42841148640405</v>
      </c>
      <c r="H36" s="3">
        <v>4.3426350916115402</v>
      </c>
      <c r="I36" s="3">
        <v>1.2311742904604099</v>
      </c>
      <c r="J36" s="3">
        <v>2.1509395038952501</v>
      </c>
      <c r="K36" s="3">
        <v>3.3903011355108199</v>
      </c>
      <c r="L36" s="3">
        <v>2.7708233946249501</v>
      </c>
      <c r="M36" s="3">
        <v>3.6684849386335001</v>
      </c>
      <c r="N36" s="3">
        <v>4.0534580421906403</v>
      </c>
    </row>
    <row r="37" spans="1:14" x14ac:dyDescent="0.35">
      <c r="A37" s="2">
        <v>42867</v>
      </c>
      <c r="B37" s="3">
        <v>4.4497473643980401</v>
      </c>
      <c r="C37" s="3">
        <v>4.5611845843382604</v>
      </c>
      <c r="D37" s="3">
        <v>2.9531985318957101</v>
      </c>
      <c r="E37" s="3">
        <v>2.8700975950607299</v>
      </c>
      <c r="F37" s="3">
        <v>2.1557088412762999</v>
      </c>
      <c r="G37" s="3">
        <v>3.28749648857413</v>
      </c>
      <c r="H37" s="3">
        <v>4.2579926410826801</v>
      </c>
      <c r="I37" s="3">
        <v>1.1733264450546499</v>
      </c>
      <c r="J37" s="3">
        <v>2.1095299339430098</v>
      </c>
      <c r="K37" s="3">
        <v>3.1964611312576601</v>
      </c>
      <c r="L37" s="3">
        <v>2.6947020024736501</v>
      </c>
      <c r="M37" s="3">
        <v>3.5182825588212499</v>
      </c>
      <c r="N37" s="3">
        <v>3.7632082811986698</v>
      </c>
    </row>
    <row r="38" spans="1:14" x14ac:dyDescent="0.35">
      <c r="A38" s="2">
        <v>42899</v>
      </c>
      <c r="B38" s="3">
        <v>4.47325562845419</v>
      </c>
      <c r="C38" s="3">
        <v>4.6103957092708701</v>
      </c>
      <c r="D38" s="3">
        <v>3.0002810506152202</v>
      </c>
      <c r="E38" s="3">
        <v>2.9191834114144202</v>
      </c>
      <c r="F38" s="3">
        <v>2.1792716402171899</v>
      </c>
      <c r="G38" s="3">
        <v>3.3484461406631998</v>
      </c>
      <c r="H38" s="3">
        <v>4.2756413044803097</v>
      </c>
      <c r="I38" s="3">
        <v>1.17032530897151</v>
      </c>
      <c r="J38" s="3">
        <v>2.07969317701584</v>
      </c>
      <c r="K38" s="3">
        <v>3.2886011280473699</v>
      </c>
      <c r="L38" s="3">
        <v>2.7312128988610498</v>
      </c>
      <c r="M38" s="3">
        <v>3.5566290061758199</v>
      </c>
      <c r="N38" s="3">
        <v>3.7637838573842002</v>
      </c>
    </row>
    <row r="39" spans="1:14" x14ac:dyDescent="0.35">
      <c r="A39" s="2">
        <v>42929</v>
      </c>
      <c r="B39" s="3">
        <v>4.43185354300656</v>
      </c>
      <c r="C39" s="3">
        <v>4.6015274738301901</v>
      </c>
      <c r="D39" s="3">
        <v>3.0477650721770799</v>
      </c>
      <c r="E39" s="3">
        <v>2.9662045787715901</v>
      </c>
      <c r="F39" s="3">
        <v>2.1646065656164502</v>
      </c>
      <c r="G39" s="3">
        <v>3.2727488054920402</v>
      </c>
      <c r="H39" s="3">
        <v>4.2937734767697897</v>
      </c>
      <c r="I39" s="3">
        <v>1.1871912017148301</v>
      </c>
      <c r="J39" s="3">
        <v>2.0982155792426598</v>
      </c>
      <c r="K39" s="3">
        <v>3.32610698236387</v>
      </c>
      <c r="L39" s="3">
        <v>2.7800004455039602</v>
      </c>
      <c r="M39" s="3">
        <v>3.5308948372507101</v>
      </c>
      <c r="N39" s="3">
        <v>3.7385433699939301</v>
      </c>
    </row>
    <row r="40" spans="1:14" x14ac:dyDescent="0.35">
      <c r="A40" s="2">
        <v>42958</v>
      </c>
      <c r="B40" s="3">
        <v>4.3746201818481802</v>
      </c>
      <c r="C40" s="3">
        <v>4.6380719123600302</v>
      </c>
      <c r="D40" s="3">
        <v>3.0704819754264201</v>
      </c>
      <c r="E40" s="3">
        <v>3.1308945220073898</v>
      </c>
      <c r="F40" s="3">
        <v>2.1869646802361902</v>
      </c>
      <c r="G40" s="3">
        <v>3.3382492609488699</v>
      </c>
      <c r="H40" s="3">
        <v>4.3657053390213303</v>
      </c>
      <c r="I40" s="3">
        <v>1.18881283492331</v>
      </c>
      <c r="J40" s="3">
        <v>2.1152182596982101</v>
      </c>
      <c r="K40" s="3">
        <v>3.4446711197802</v>
      </c>
      <c r="L40" s="3">
        <v>2.8187921463375298</v>
      </c>
      <c r="M40" s="3">
        <v>3.77350324160059</v>
      </c>
      <c r="N40" s="3">
        <v>3.83046937246452</v>
      </c>
    </row>
    <row r="41" spans="1:14" x14ac:dyDescent="0.35">
      <c r="A41" s="2">
        <v>42991</v>
      </c>
      <c r="B41" s="3">
        <v>4.40251772454556</v>
      </c>
      <c r="C41" s="3">
        <v>4.55845475010572</v>
      </c>
      <c r="D41" s="3">
        <v>3.0872721636309199</v>
      </c>
      <c r="E41" s="3">
        <v>3.041094047399</v>
      </c>
      <c r="F41" s="3">
        <v>2.1944627023580101</v>
      </c>
      <c r="G41" s="3">
        <v>3.28081698924648</v>
      </c>
      <c r="H41" s="3">
        <v>4.3221015035892298</v>
      </c>
      <c r="I41" s="3">
        <v>1.1586724787018701</v>
      </c>
      <c r="J41" s="3">
        <v>2.0764383467200198</v>
      </c>
      <c r="K41" s="3">
        <v>3.3463150828978399</v>
      </c>
      <c r="L41" s="3">
        <v>2.82399692913698</v>
      </c>
      <c r="M41" s="3">
        <v>3.7010961448107702</v>
      </c>
      <c r="N41" s="3">
        <v>3.7279126239854299</v>
      </c>
    </row>
    <row r="42" spans="1:14" x14ac:dyDescent="0.35">
      <c r="A42" s="2">
        <v>43021</v>
      </c>
      <c r="B42" s="3">
        <v>4.3615555252000799</v>
      </c>
      <c r="C42" s="3">
        <v>4.5368551554378698</v>
      </c>
      <c r="D42" s="3">
        <v>2.9507302059102001</v>
      </c>
      <c r="E42" s="3">
        <v>2.9520927513523301</v>
      </c>
      <c r="F42" s="3">
        <v>2.12405738967706</v>
      </c>
      <c r="G42" s="3">
        <v>3.2196129360831298</v>
      </c>
      <c r="H42" s="3">
        <v>4.2509955131102002</v>
      </c>
      <c r="I42" s="3">
        <v>1.14403636962419</v>
      </c>
      <c r="J42" s="3">
        <v>2.03870731281238</v>
      </c>
      <c r="K42" s="3">
        <v>3.2917578612014502</v>
      </c>
      <c r="L42" s="3">
        <v>2.7549358622198001</v>
      </c>
      <c r="M42" s="3">
        <v>3.5588828987518402</v>
      </c>
      <c r="N42" s="3">
        <v>3.8032404663216299</v>
      </c>
    </row>
    <row r="43" spans="1:14" x14ac:dyDescent="0.35">
      <c r="A43" s="2">
        <v>43052</v>
      </c>
      <c r="B43" s="3">
        <v>4.4624910124709798</v>
      </c>
      <c r="C43" s="3">
        <v>4.4278973835516897</v>
      </c>
      <c r="D43" s="3">
        <v>2.9164024253339398</v>
      </c>
      <c r="E43" s="3">
        <v>2.9402374375490998</v>
      </c>
      <c r="F43" s="3">
        <v>2.06229171440626</v>
      </c>
      <c r="G43" s="3">
        <v>3.2846225846997301</v>
      </c>
      <c r="H43" s="3">
        <v>4.3730296513339004</v>
      </c>
      <c r="I43" s="3">
        <v>1.11272545264067</v>
      </c>
      <c r="J43" s="3">
        <v>2.0176719569595201</v>
      </c>
      <c r="K43" s="3">
        <v>3.3333960602653301</v>
      </c>
      <c r="L43" s="3">
        <v>2.8136594959434702</v>
      </c>
      <c r="M43" s="3">
        <v>3.6149852014483201</v>
      </c>
      <c r="N43" s="3">
        <v>3.8501965671294598</v>
      </c>
    </row>
    <row r="44" spans="1:14" x14ac:dyDescent="0.35">
      <c r="A44" s="2">
        <v>43082</v>
      </c>
      <c r="B44" s="3">
        <v>4.2744533437791796</v>
      </c>
      <c r="C44" s="3">
        <v>4.4843333417675302</v>
      </c>
      <c r="D44" s="3">
        <v>2.90754107044466</v>
      </c>
      <c r="E44" s="3">
        <v>2.9024415764359901</v>
      </c>
      <c r="F44" s="3">
        <v>2.0563181480202402</v>
      </c>
      <c r="G44" s="3">
        <v>3.2162346476920498</v>
      </c>
      <c r="H44" s="3">
        <v>4.3112046582041703</v>
      </c>
      <c r="I44" s="3">
        <v>1.1076195195379499</v>
      </c>
      <c r="J44" s="3">
        <v>1.9655419758535599</v>
      </c>
      <c r="K44" s="3">
        <v>3.2689865402502698</v>
      </c>
      <c r="L44" s="3">
        <v>2.8071514857527</v>
      </c>
      <c r="M44" s="3">
        <v>3.6718085193319401</v>
      </c>
      <c r="N44" s="3">
        <v>3.87210827632045</v>
      </c>
    </row>
    <row r="45" spans="1:14" x14ac:dyDescent="0.35">
      <c r="A45" s="2">
        <v>43112</v>
      </c>
      <c r="B45" s="3">
        <v>4.3055583912259596</v>
      </c>
      <c r="C45" s="3">
        <v>4.4572809553015702</v>
      </c>
      <c r="D45" s="3">
        <v>2.8961856155567798</v>
      </c>
      <c r="E45" s="3">
        <v>2.8856312831675002</v>
      </c>
      <c r="F45" s="3">
        <v>1.99754769207599</v>
      </c>
      <c r="G45" s="3">
        <v>3.1654020784094099</v>
      </c>
      <c r="H45" s="3">
        <v>4.1375970516829996</v>
      </c>
      <c r="I45" s="3">
        <v>1.0454487627711899</v>
      </c>
      <c r="J45" s="3">
        <v>1.8900077420686301</v>
      </c>
      <c r="K45" s="3">
        <v>3.2126599284555502</v>
      </c>
      <c r="L45" s="3">
        <v>2.7895539118059101</v>
      </c>
      <c r="M45" s="3">
        <v>3.6464422555198501</v>
      </c>
      <c r="N45" s="3">
        <v>3.7559004832034302</v>
      </c>
    </row>
    <row r="46" spans="1:14" x14ac:dyDescent="0.35">
      <c r="A46" s="2">
        <v>43144</v>
      </c>
      <c r="B46" s="3">
        <v>4.5566801977651403</v>
      </c>
      <c r="C46" s="3">
        <v>4.6901139872756499</v>
      </c>
      <c r="D46" s="3">
        <v>3.1575924479131201</v>
      </c>
      <c r="E46" s="3">
        <v>3.1805381456608202</v>
      </c>
      <c r="F46" s="3">
        <v>2.220782870301</v>
      </c>
      <c r="G46" s="3">
        <v>3.43651184649439</v>
      </c>
      <c r="H46" s="3">
        <v>4.4778584504347201</v>
      </c>
      <c r="I46" s="3">
        <v>1.10291331116669</v>
      </c>
      <c r="J46" s="3">
        <v>2.0105414362151302</v>
      </c>
      <c r="K46" s="3">
        <v>3.4809276484083398</v>
      </c>
      <c r="L46" s="3">
        <v>3.0133819789786598</v>
      </c>
      <c r="M46" s="3">
        <v>3.9964781397268299</v>
      </c>
      <c r="N46" s="3">
        <v>4.0560793660601302</v>
      </c>
    </row>
    <row r="47" spans="1:14" x14ac:dyDescent="0.35">
      <c r="A47" s="2">
        <v>43172</v>
      </c>
      <c r="B47" s="3">
        <v>4.1916376150640398</v>
      </c>
      <c r="C47" s="3">
        <v>4.6333834928582398</v>
      </c>
      <c r="D47" s="3">
        <v>3.1213131535012799</v>
      </c>
      <c r="E47" s="3">
        <v>3.1926866748060898</v>
      </c>
      <c r="F47" s="3">
        <v>2.2133344431123598</v>
      </c>
      <c r="G47" s="3">
        <v>3.4304004861899</v>
      </c>
      <c r="H47" s="3">
        <v>4.5106652446303501</v>
      </c>
      <c r="I47" s="3">
        <v>1.04129402483161</v>
      </c>
      <c r="J47" s="3">
        <v>1.9584301756176199</v>
      </c>
      <c r="K47" s="3">
        <v>3.4015465139844898</v>
      </c>
      <c r="L47" s="3">
        <v>2.9347737699210699</v>
      </c>
      <c r="M47" s="3">
        <v>3.8684725356247101</v>
      </c>
      <c r="N47" s="3">
        <v>4.0232291113573497</v>
      </c>
    </row>
    <row r="48" spans="1:14" x14ac:dyDescent="0.35">
      <c r="A48" s="2">
        <v>43203</v>
      </c>
      <c r="B48" s="3">
        <v>4.2761684629569601</v>
      </c>
      <c r="C48" s="3">
        <v>4.7832394945170202</v>
      </c>
      <c r="D48" s="3">
        <v>3.21874850736278</v>
      </c>
      <c r="E48" s="3">
        <v>3.18301752127529</v>
      </c>
      <c r="F48" s="3">
        <v>2.2580032793379599</v>
      </c>
      <c r="G48" s="3">
        <v>3.4875735385116999</v>
      </c>
      <c r="H48" s="3">
        <v>4.4222129553762199</v>
      </c>
      <c r="I48" s="3">
        <v>1.1186566154359801</v>
      </c>
      <c r="J48" s="3">
        <v>2.0557594302711499</v>
      </c>
      <c r="K48" s="3">
        <v>3.3868747286420202</v>
      </c>
      <c r="L48" s="3">
        <v>2.93074126161989</v>
      </c>
      <c r="M48" s="3">
        <v>4.1154074508326604</v>
      </c>
      <c r="N48" s="3">
        <v>3.97183940807466</v>
      </c>
    </row>
    <row r="49" spans="1:14" x14ac:dyDescent="0.35">
      <c r="A49" s="2">
        <v>43231</v>
      </c>
      <c r="B49" s="3">
        <v>4.1689139682675904</v>
      </c>
      <c r="C49" s="3">
        <v>4.6041341656190999</v>
      </c>
      <c r="D49" s="3">
        <v>3.08208078040371</v>
      </c>
      <c r="E49" s="3">
        <v>3.09773286075758</v>
      </c>
      <c r="F49" s="3">
        <v>2.1931818030902201</v>
      </c>
      <c r="G49" s="3">
        <v>3.4215136055201101</v>
      </c>
      <c r="H49" s="3">
        <v>4.2620540999122003</v>
      </c>
      <c r="I49" s="3">
        <v>1.08179633413312</v>
      </c>
      <c r="J49" s="3">
        <v>2.0202760267077098</v>
      </c>
      <c r="K49" s="3">
        <v>3.2806644984856601</v>
      </c>
      <c r="L49" s="3">
        <v>2.9079412644047098</v>
      </c>
      <c r="M49" s="3">
        <v>3.9768049945508701</v>
      </c>
      <c r="N49" s="3">
        <v>3.8953853268645702</v>
      </c>
    </row>
    <row r="50" spans="1:14" x14ac:dyDescent="0.35">
      <c r="A50" s="2">
        <v>43264</v>
      </c>
      <c r="B50" s="3">
        <v>4.0131517045219303</v>
      </c>
      <c r="C50" s="3">
        <v>4.7577894516503196</v>
      </c>
      <c r="D50" s="3">
        <v>3.0596821648196602</v>
      </c>
      <c r="E50" s="3">
        <v>3.1180412160769402</v>
      </c>
      <c r="F50" s="3">
        <v>2.2111879041737699</v>
      </c>
      <c r="G50" s="3">
        <v>3.53465319082625</v>
      </c>
      <c r="H50" s="3">
        <v>4.3386000987867703</v>
      </c>
      <c r="I50" s="3">
        <v>1.05174669070435</v>
      </c>
      <c r="J50" s="3">
        <v>1.9972606181535499</v>
      </c>
      <c r="K50" s="3">
        <v>3.3709379784367601</v>
      </c>
      <c r="L50" s="3">
        <v>2.8581131832851798</v>
      </c>
      <c r="M50" s="3">
        <v>4.1307259848406499</v>
      </c>
      <c r="N50" s="3">
        <v>4.3586562225413301</v>
      </c>
    </row>
    <row r="51" spans="1:14" x14ac:dyDescent="0.35">
      <c r="A51" s="2">
        <v>43294</v>
      </c>
      <c r="B51" s="3">
        <v>4.0358404436901996</v>
      </c>
      <c r="C51" s="3">
        <v>4.56211945827358</v>
      </c>
      <c r="D51" s="3">
        <v>3.0292127257213401</v>
      </c>
      <c r="E51" s="3">
        <v>3.21353332551167</v>
      </c>
      <c r="F51" s="3">
        <v>2.2995519237278699</v>
      </c>
      <c r="G51" s="3">
        <v>3.47283507290576</v>
      </c>
      <c r="H51" s="3">
        <v>4.3981123503425401</v>
      </c>
      <c r="I51" s="3">
        <v>1.03205641056176</v>
      </c>
      <c r="J51" s="3">
        <v>2.0032393284576901</v>
      </c>
      <c r="K51" s="3">
        <v>3.394472954806</v>
      </c>
      <c r="L51" s="3">
        <v>2.9291447846056502</v>
      </c>
      <c r="M51" s="3">
        <v>4.1708117541684198</v>
      </c>
      <c r="N51" s="3">
        <v>4.4625730171759601</v>
      </c>
    </row>
    <row r="52" spans="1:14" x14ac:dyDescent="0.35">
      <c r="A52" s="2">
        <v>43325</v>
      </c>
      <c r="B52" s="3">
        <v>4.0973350011955798</v>
      </c>
      <c r="C52" s="3">
        <v>4.6160327971748796</v>
      </c>
      <c r="D52" s="3">
        <v>3.0977441483883701</v>
      </c>
      <c r="E52" s="3">
        <v>3.2681957197613301</v>
      </c>
      <c r="F52" s="3">
        <v>2.3787783496127899</v>
      </c>
      <c r="G52" s="3">
        <v>3.4338725511280299</v>
      </c>
      <c r="H52" s="3">
        <v>4.4707911584303996</v>
      </c>
      <c r="I52" s="3">
        <v>1.0795121516745501</v>
      </c>
      <c r="J52" s="3">
        <v>2.0068997143623899</v>
      </c>
      <c r="K52" s="3">
        <v>3.4494537548799702</v>
      </c>
      <c r="L52" s="3">
        <v>2.9158304267749302</v>
      </c>
      <c r="M52" s="3">
        <v>4.1152909390734802</v>
      </c>
      <c r="N52" s="3">
        <v>4.6080991286747999</v>
      </c>
    </row>
    <row r="53" spans="1:14" x14ac:dyDescent="0.35">
      <c r="A53" s="2">
        <v>43356</v>
      </c>
      <c r="B53" s="3">
        <v>3.96540139549611</v>
      </c>
      <c r="C53" s="3">
        <v>4.79748950061754</v>
      </c>
      <c r="D53" s="3">
        <v>3.1803820766680699</v>
      </c>
      <c r="E53" s="3">
        <v>3.3497932618646802</v>
      </c>
      <c r="F53" s="3">
        <v>2.3494836670049901</v>
      </c>
      <c r="G53" s="3">
        <v>3.4220267166737699</v>
      </c>
      <c r="H53" s="3">
        <v>4.6480670652561997</v>
      </c>
      <c r="I53" s="3">
        <v>1.06761375382907</v>
      </c>
      <c r="J53" s="3">
        <v>1.9587188001568501</v>
      </c>
      <c r="K53" s="3">
        <v>3.5078391176159598</v>
      </c>
      <c r="L53" s="3">
        <v>3.0398724499537302</v>
      </c>
      <c r="M53" s="3">
        <v>4.1084349096724004</v>
      </c>
      <c r="N53" s="3">
        <v>4.6547274999311297</v>
      </c>
    </row>
    <row r="54" spans="1:14" x14ac:dyDescent="0.35">
      <c r="A54" s="2">
        <v>43385</v>
      </c>
      <c r="B54" s="3">
        <v>4.2311292873705399</v>
      </c>
      <c r="C54" s="3">
        <v>5.0242620473303496</v>
      </c>
      <c r="D54" s="3">
        <v>3.3345056375582698</v>
      </c>
      <c r="E54" s="3">
        <v>3.54638743823307</v>
      </c>
      <c r="F54" s="3">
        <v>2.3726804706326998</v>
      </c>
      <c r="G54" s="3">
        <v>3.6320522222950702</v>
      </c>
      <c r="H54" s="3">
        <v>4.8552155095369098</v>
      </c>
      <c r="I54" s="3">
        <v>1.1354286671092999</v>
      </c>
      <c r="J54" s="3">
        <v>2.0668428899043101</v>
      </c>
      <c r="K54" s="3">
        <v>3.7063942331456698</v>
      </c>
      <c r="L54" s="3">
        <v>3.2226147030557</v>
      </c>
      <c r="M54" s="3">
        <v>4.31993114086404</v>
      </c>
      <c r="N54" s="3">
        <v>5.0451618564659402</v>
      </c>
    </row>
    <row r="55" spans="1:14" x14ac:dyDescent="0.35">
      <c r="A55" s="2">
        <v>43417</v>
      </c>
      <c r="B55" s="3">
        <v>4.1972286118118003</v>
      </c>
      <c r="C55" s="3">
        <v>5.1367729153705</v>
      </c>
      <c r="D55" s="3">
        <v>3.40181152660332</v>
      </c>
      <c r="E55" s="3">
        <v>3.60163060845669</v>
      </c>
      <c r="F55" s="3">
        <v>2.4832112390935501</v>
      </c>
      <c r="G55" s="3">
        <v>3.5268063223322899</v>
      </c>
      <c r="H55" s="3">
        <v>4.8647527803162403</v>
      </c>
      <c r="I55" s="3">
        <v>1.20750331371688</v>
      </c>
      <c r="J55" s="3">
        <v>2.1070854512377801</v>
      </c>
      <c r="K55" s="3">
        <v>3.71240430054304</v>
      </c>
      <c r="L55" s="3">
        <v>3.1634966188788902</v>
      </c>
      <c r="M55" s="3">
        <v>4.4173366049817204</v>
      </c>
      <c r="N55" s="3">
        <v>5.0771274024955204</v>
      </c>
    </row>
    <row r="56" spans="1:14" x14ac:dyDescent="0.35">
      <c r="A56" s="2">
        <v>43447</v>
      </c>
      <c r="B56" s="3">
        <v>4.15360920321673</v>
      </c>
      <c r="C56" s="3">
        <v>5.3403523489554097</v>
      </c>
      <c r="D56" s="3">
        <v>3.4876298455349302</v>
      </c>
      <c r="E56" s="3">
        <v>3.8056267484731299</v>
      </c>
      <c r="F56" s="3">
        <v>2.5283195489432702</v>
      </c>
      <c r="G56" s="3">
        <v>3.58678662293759</v>
      </c>
      <c r="H56" s="3">
        <v>5.0956790723035699</v>
      </c>
      <c r="I56" s="3">
        <v>1.23572174071203</v>
      </c>
      <c r="J56" s="3">
        <v>2.1820749819879701</v>
      </c>
      <c r="K56" s="3">
        <v>3.8708107643206202</v>
      </c>
      <c r="L56" s="3">
        <v>3.3230057583598298</v>
      </c>
      <c r="M56" s="3">
        <v>4.5431116331624803</v>
      </c>
      <c r="N56" s="3">
        <v>5.2016043257062803</v>
      </c>
    </row>
    <row r="57" spans="1:14" x14ac:dyDescent="0.35">
      <c r="A57" s="2">
        <v>43476</v>
      </c>
      <c r="B57" s="3">
        <v>4.1042452683789596</v>
      </c>
      <c r="C57" s="3">
        <v>5.1998373835704301</v>
      </c>
      <c r="D57" s="3">
        <v>3.4558842174348001</v>
      </c>
      <c r="E57" s="3">
        <v>3.82866141842785</v>
      </c>
      <c r="F57" s="3">
        <v>2.6915453504690499</v>
      </c>
      <c r="G57" s="3">
        <v>3.53945959907157</v>
      </c>
      <c r="H57" s="3">
        <v>5.17625245358321</v>
      </c>
      <c r="I57" s="3">
        <v>1.2689362360521601</v>
      </c>
      <c r="J57" s="3">
        <v>2.24375147571903</v>
      </c>
      <c r="K57" s="3">
        <v>3.9506837853383598</v>
      </c>
      <c r="L57" s="3">
        <v>3.3843752777250198</v>
      </c>
      <c r="M57" s="3">
        <v>4.5130918265105899</v>
      </c>
      <c r="N57" s="3">
        <v>5.17574795645191</v>
      </c>
    </row>
    <row r="58" spans="1:14" x14ac:dyDescent="0.35">
      <c r="A58" s="2">
        <v>43509</v>
      </c>
      <c r="B58" s="3">
        <v>3.96896691831919</v>
      </c>
      <c r="C58" s="3">
        <v>4.9685541033771896</v>
      </c>
      <c r="D58" s="3">
        <v>3.3303238792483798</v>
      </c>
      <c r="E58" s="3">
        <v>3.7205833205547401</v>
      </c>
      <c r="F58" s="3">
        <v>2.59793084364098</v>
      </c>
      <c r="G58" s="3">
        <v>3.4224272088207099</v>
      </c>
      <c r="H58" s="3">
        <v>4.9678381619387402</v>
      </c>
      <c r="I58" s="3">
        <v>1.2067779737289801</v>
      </c>
      <c r="J58" s="3">
        <v>2.1315573656101701</v>
      </c>
      <c r="K58" s="3">
        <v>3.76663275108575</v>
      </c>
      <c r="L58" s="3">
        <v>3.1593910084808501</v>
      </c>
      <c r="M58" s="3">
        <v>4.17178207536677</v>
      </c>
      <c r="N58" s="3">
        <v>4.9695099620965397</v>
      </c>
    </row>
    <row r="59" spans="1:14" x14ac:dyDescent="0.35">
      <c r="A59" s="2">
        <v>43537</v>
      </c>
      <c r="B59" s="3">
        <v>3.9070612010165702</v>
      </c>
      <c r="C59" s="3">
        <v>4.9715048974703899</v>
      </c>
      <c r="D59" s="3">
        <v>3.2623915782681601</v>
      </c>
      <c r="E59" s="3">
        <v>3.6022507003558801</v>
      </c>
      <c r="F59" s="3">
        <v>2.5875708777152502</v>
      </c>
      <c r="G59" s="3">
        <v>3.3542683846519301</v>
      </c>
      <c r="H59" s="3">
        <v>4.9569345263458899</v>
      </c>
      <c r="I59" s="3">
        <v>1.15495909533607</v>
      </c>
      <c r="J59" s="3">
        <v>2.0936618428258398</v>
      </c>
      <c r="K59" s="3">
        <v>3.6138225941221598</v>
      </c>
      <c r="L59" s="3">
        <v>3.11106828175684</v>
      </c>
      <c r="M59" s="3">
        <v>4.1663523168624996</v>
      </c>
      <c r="N59" s="3">
        <v>4.7848148703274598</v>
      </c>
    </row>
    <row r="60" spans="1:14" x14ac:dyDescent="0.35">
      <c r="A60" s="2">
        <v>43567</v>
      </c>
      <c r="B60" s="3">
        <v>3.7909799842309302</v>
      </c>
      <c r="C60" s="3">
        <v>4.8911271202886502</v>
      </c>
      <c r="D60" s="3">
        <v>3.19934838128118</v>
      </c>
      <c r="E60" s="3">
        <v>3.4773489009357501</v>
      </c>
      <c r="F60" s="3">
        <v>2.58356196883387</v>
      </c>
      <c r="G60" s="3">
        <v>3.2744659340115398</v>
      </c>
      <c r="H60" s="3">
        <v>4.8161906510495696</v>
      </c>
      <c r="I60" s="3">
        <v>1.10470758827079</v>
      </c>
      <c r="J60" s="3">
        <v>2.0414246710802102</v>
      </c>
      <c r="K60" s="3">
        <v>3.5067991867858499</v>
      </c>
      <c r="L60" s="3">
        <v>3.0013453018153902</v>
      </c>
      <c r="M60" s="3">
        <v>4.0303148529281101</v>
      </c>
      <c r="N60" s="3">
        <v>4.6057326704985204</v>
      </c>
    </row>
    <row r="61" spans="1:14" x14ac:dyDescent="0.35">
      <c r="A61" s="2">
        <v>43598</v>
      </c>
      <c r="B61" s="3">
        <v>3.67411108214977</v>
      </c>
      <c r="C61" s="3">
        <v>4.8791663018132301</v>
      </c>
      <c r="D61" s="3">
        <v>3.3050048359709501</v>
      </c>
      <c r="E61" s="3">
        <v>3.5719508044846502</v>
      </c>
      <c r="F61" s="3">
        <v>2.6880951314282502</v>
      </c>
      <c r="G61" s="3">
        <v>3.3827735739943501</v>
      </c>
      <c r="H61" s="3">
        <v>5.0263712863392298</v>
      </c>
      <c r="I61" s="3">
        <v>1.16131797812843</v>
      </c>
      <c r="J61" s="3">
        <v>2.1240531763447001</v>
      </c>
      <c r="K61" s="3">
        <v>3.68126376717465</v>
      </c>
      <c r="L61" s="3">
        <v>3.1189036184619101</v>
      </c>
      <c r="M61" s="3">
        <v>4.2853916999688</v>
      </c>
      <c r="N61" s="3">
        <v>4.9307968094901904</v>
      </c>
    </row>
    <row r="62" spans="1:14" x14ac:dyDescent="0.35">
      <c r="A62" s="2">
        <v>43629</v>
      </c>
      <c r="B62" s="3">
        <v>3.6672706641953399</v>
      </c>
      <c r="C62" s="3">
        <v>4.6934770059313298</v>
      </c>
      <c r="D62" s="3">
        <v>3.34564787486286</v>
      </c>
      <c r="E62" s="3">
        <v>3.55526287779126</v>
      </c>
      <c r="F62" s="3">
        <v>2.7041530157678202</v>
      </c>
      <c r="G62" s="3">
        <v>3.2411802567926502</v>
      </c>
      <c r="H62" s="3">
        <v>4.81267372985113</v>
      </c>
      <c r="I62" s="3">
        <v>1.1421513865217601</v>
      </c>
      <c r="J62" s="3">
        <v>2.0804433052816398</v>
      </c>
      <c r="K62" s="3">
        <v>3.6193756173442999</v>
      </c>
      <c r="L62" s="3">
        <v>3.0545352068845002</v>
      </c>
      <c r="M62" s="3">
        <v>4.2088996977270901</v>
      </c>
      <c r="N62" s="3">
        <v>4.9683500920832397</v>
      </c>
    </row>
    <row r="63" spans="1:14" x14ac:dyDescent="0.35">
      <c r="A63" s="2">
        <v>43658</v>
      </c>
      <c r="B63" s="3">
        <v>3.44144533023379</v>
      </c>
      <c r="C63" s="3">
        <v>4.6185706388543597</v>
      </c>
      <c r="D63" s="3">
        <v>3.3069269581572698</v>
      </c>
      <c r="E63" s="3">
        <v>3.4841178428112798</v>
      </c>
      <c r="F63" s="3">
        <v>2.64662366261939</v>
      </c>
      <c r="G63" s="3">
        <v>3.2644182703941298</v>
      </c>
      <c r="H63" s="3">
        <v>4.7830123775429696</v>
      </c>
      <c r="I63" s="3">
        <v>1.0787266771885999</v>
      </c>
      <c r="J63" s="3">
        <v>2.0064232188798501</v>
      </c>
      <c r="K63" s="3">
        <v>3.5184357746828998</v>
      </c>
      <c r="L63" s="3">
        <v>2.97536640737763</v>
      </c>
      <c r="M63" s="3">
        <v>4.1344019074678604</v>
      </c>
      <c r="N63" s="3">
        <v>4.6336357374854797</v>
      </c>
    </row>
    <row r="64" spans="1:14" x14ac:dyDescent="0.35">
      <c r="A64" s="2">
        <v>43690</v>
      </c>
      <c r="B64" s="3">
        <v>3.40221028207077</v>
      </c>
      <c r="C64" s="3">
        <v>4.6779840013354796</v>
      </c>
      <c r="D64" s="3">
        <v>3.3882543294846301</v>
      </c>
      <c r="E64" s="3">
        <v>3.59723866016183</v>
      </c>
      <c r="F64" s="3">
        <v>2.8051968213370899</v>
      </c>
      <c r="G64" s="3">
        <v>3.25937844986806</v>
      </c>
      <c r="H64" s="3">
        <v>5.0833460636097003</v>
      </c>
      <c r="I64" s="3">
        <v>1.1148416963377299</v>
      </c>
      <c r="J64" s="3">
        <v>2.07467502390283</v>
      </c>
      <c r="K64" s="3">
        <v>3.6681794836894301</v>
      </c>
      <c r="L64" s="3">
        <v>3.02191760981392</v>
      </c>
      <c r="M64" s="3">
        <v>4.2541215781378101</v>
      </c>
      <c r="N64" s="3">
        <v>5.04894267945203</v>
      </c>
    </row>
    <row r="65" spans="1:14" x14ac:dyDescent="0.35">
      <c r="A65" s="2">
        <v>43721</v>
      </c>
      <c r="B65" s="3">
        <v>3.3516535460079502</v>
      </c>
      <c r="C65" s="3">
        <v>4.4793705432402202</v>
      </c>
      <c r="D65" s="3">
        <v>3.32146467356768</v>
      </c>
      <c r="E65" s="3">
        <v>3.37548867014192</v>
      </c>
      <c r="F65" s="3">
        <v>2.5781834494775202</v>
      </c>
      <c r="G65" s="3">
        <v>3.1894728475814902</v>
      </c>
      <c r="H65" s="3">
        <v>4.90812995118534</v>
      </c>
      <c r="I65" s="3">
        <v>1.09216343096593</v>
      </c>
      <c r="J65" s="3">
        <v>2.0295047284653802</v>
      </c>
      <c r="K65" s="3">
        <v>3.4888330433856898</v>
      </c>
      <c r="L65" s="3">
        <v>2.8379726029368699</v>
      </c>
      <c r="M65" s="3">
        <v>3.8535697480667301</v>
      </c>
      <c r="N65" s="3">
        <v>4.7082163591976096</v>
      </c>
    </row>
    <row r="66" spans="1:14" x14ac:dyDescent="0.35">
      <c r="A66" s="2">
        <v>43749</v>
      </c>
      <c r="B66" s="3">
        <v>3.3390824189328598</v>
      </c>
      <c r="C66" s="3">
        <v>4.4830717731599803</v>
      </c>
      <c r="D66" s="3">
        <v>3.3674423388742301</v>
      </c>
      <c r="E66" s="3">
        <v>3.3776514959783301</v>
      </c>
      <c r="F66" s="3">
        <v>2.6150575743418698</v>
      </c>
      <c r="G66" s="3">
        <v>3.21834761065463</v>
      </c>
      <c r="H66" s="3">
        <v>4.9166669037997304</v>
      </c>
      <c r="I66" s="3">
        <v>1.10539224339597</v>
      </c>
      <c r="J66" s="3">
        <v>2.0647835651109601</v>
      </c>
      <c r="K66" s="3">
        <v>3.5018753997679601</v>
      </c>
      <c r="L66" s="3">
        <v>2.7474171708908899</v>
      </c>
      <c r="M66" s="3">
        <v>3.87484673789006</v>
      </c>
      <c r="N66" s="3">
        <v>4.7333996357680999</v>
      </c>
    </row>
    <row r="67" spans="1:14" x14ac:dyDescent="0.35">
      <c r="A67" s="2">
        <v>43782</v>
      </c>
      <c r="B67" s="3">
        <v>3.3600910781002198</v>
      </c>
      <c r="C67" s="3">
        <v>4.3676509198698898</v>
      </c>
      <c r="D67" s="3">
        <v>3.25359652258398</v>
      </c>
      <c r="E67" s="3">
        <v>3.1405386116590499</v>
      </c>
      <c r="F67" s="3">
        <v>2.46632642291133</v>
      </c>
      <c r="G67" s="3">
        <v>3.1355832086839799</v>
      </c>
      <c r="H67" s="3">
        <v>4.7951562117046498</v>
      </c>
      <c r="I67" s="3">
        <v>1.06476325793819</v>
      </c>
      <c r="J67" s="3">
        <v>1.99671772289655</v>
      </c>
      <c r="K67" s="3">
        <v>3.37693399513679</v>
      </c>
      <c r="L67" s="3">
        <v>2.6589170258202399</v>
      </c>
      <c r="M67" s="3">
        <v>3.6710928590504701</v>
      </c>
      <c r="N67" s="3">
        <v>4.5183559840583403</v>
      </c>
    </row>
    <row r="68" spans="1:14" x14ac:dyDescent="0.35">
      <c r="A68" s="2">
        <v>43812</v>
      </c>
      <c r="B68" s="3">
        <v>3.25209090957933</v>
      </c>
      <c r="C68" s="3">
        <v>4.3029217614978998</v>
      </c>
      <c r="D68" s="3">
        <v>3.25862360279777</v>
      </c>
      <c r="E68" s="3">
        <v>3.0852074531354998</v>
      </c>
      <c r="F68" s="3">
        <v>2.4124153976551099</v>
      </c>
      <c r="G68" s="3">
        <v>3.1046202189071499</v>
      </c>
      <c r="H68" s="3">
        <v>4.6701539034689903</v>
      </c>
      <c r="I68" s="3">
        <v>1.0692234450045801</v>
      </c>
      <c r="J68" s="3">
        <v>1.96231167176912</v>
      </c>
      <c r="K68" s="3">
        <v>3.3788319656750998</v>
      </c>
      <c r="L68" s="3">
        <v>2.6164659849251501</v>
      </c>
      <c r="M68" s="3">
        <v>3.6188167981132202</v>
      </c>
      <c r="N68" s="3">
        <v>4.5296015414988098</v>
      </c>
    </row>
    <row r="69" spans="1:14" x14ac:dyDescent="0.35">
      <c r="A69" s="2">
        <v>43843</v>
      </c>
      <c r="B69" s="3">
        <v>3.16752264053174</v>
      </c>
      <c r="C69" s="3">
        <v>4.2067880355228997</v>
      </c>
      <c r="D69" s="3">
        <v>3.22780574075392</v>
      </c>
      <c r="E69" s="3">
        <v>3.05792025456712</v>
      </c>
      <c r="F69" s="3">
        <v>2.4307080084280899</v>
      </c>
      <c r="G69" s="3">
        <v>3.0445970487860401</v>
      </c>
      <c r="H69" s="3">
        <v>4.5717720379308302</v>
      </c>
      <c r="I69" s="3">
        <v>1.0110394720309901</v>
      </c>
      <c r="J69" s="3">
        <v>1.9057394966374801</v>
      </c>
      <c r="K69" s="3">
        <v>3.3257744734318901</v>
      </c>
      <c r="L69" s="3">
        <v>2.5836887045618502</v>
      </c>
      <c r="M69" s="3">
        <v>3.5625689208580402</v>
      </c>
      <c r="N69" s="3">
        <v>4.4594560508959704</v>
      </c>
    </row>
    <row r="70" spans="1:14" x14ac:dyDescent="0.35">
      <c r="A70" s="2">
        <v>43874</v>
      </c>
      <c r="B70" s="3">
        <v>3.0511946750491798</v>
      </c>
      <c r="C70" s="3">
        <v>4.0916393557389803</v>
      </c>
      <c r="D70" s="3">
        <v>3.2041904834021899</v>
      </c>
      <c r="E70" s="3">
        <v>3.0004099207967001</v>
      </c>
      <c r="F70" s="3">
        <v>2.45492760404959</v>
      </c>
      <c r="G70" s="3">
        <v>2.9416904943464299</v>
      </c>
      <c r="H70" s="3">
        <v>4.6688827004670896</v>
      </c>
      <c r="I70" s="3">
        <v>0.96122411729664203</v>
      </c>
      <c r="J70" s="3">
        <v>1.8721706069156401</v>
      </c>
      <c r="K70" s="3">
        <v>3.28829120646146</v>
      </c>
      <c r="L70" s="3">
        <v>2.4598961217660502</v>
      </c>
      <c r="M70" s="3">
        <v>3.4127733106588001</v>
      </c>
      <c r="N70" s="3">
        <v>4.4307764711401996</v>
      </c>
    </row>
    <row r="71" spans="1:14" x14ac:dyDescent="0.35">
      <c r="A71" s="2">
        <v>43903</v>
      </c>
      <c r="B71" s="3">
        <v>3.65272794114443</v>
      </c>
      <c r="C71" s="3">
        <v>5.2001274340136403</v>
      </c>
      <c r="D71" s="3">
        <v>4.2041531545858897</v>
      </c>
      <c r="E71" s="3">
        <v>4.4465420924241599</v>
      </c>
      <c r="F71" s="3">
        <v>3.2912925359606602</v>
      </c>
      <c r="G71" s="3">
        <v>3.8644203878979</v>
      </c>
      <c r="H71" s="3">
        <v>6.6482030664957303</v>
      </c>
      <c r="I71" s="3">
        <v>1.1608659862464801</v>
      </c>
      <c r="J71" s="3">
        <v>2.3341620913967498</v>
      </c>
      <c r="K71" s="3">
        <v>4.7649003079616499</v>
      </c>
      <c r="L71" s="3">
        <v>3.5694121734208801</v>
      </c>
      <c r="M71" s="3">
        <v>4.6396311365504204</v>
      </c>
      <c r="N71" s="3">
        <v>6.8262728768737198</v>
      </c>
    </row>
    <row r="72" spans="1:14" x14ac:dyDescent="0.35">
      <c r="A72" s="2">
        <v>43934</v>
      </c>
      <c r="B72" s="3">
        <v>2.99796309390987</v>
      </c>
      <c r="C72" s="3">
        <v>4.5153970448007996</v>
      </c>
      <c r="D72" s="3">
        <v>4.0924734144130896</v>
      </c>
      <c r="E72" s="3">
        <v>3.5907118166349798</v>
      </c>
      <c r="F72" s="3">
        <v>2.9439722473123902</v>
      </c>
      <c r="G72" s="3">
        <v>3.4062457268851301</v>
      </c>
      <c r="H72" s="3">
        <v>5.7326579607113901</v>
      </c>
      <c r="I72" s="3">
        <v>1.11448754792927</v>
      </c>
      <c r="J72" s="3">
        <v>2.2435050007290802</v>
      </c>
      <c r="K72" s="3">
        <v>3.9507204386248298</v>
      </c>
      <c r="L72" s="3">
        <v>2.8876329757071502</v>
      </c>
      <c r="M72" s="3">
        <v>3.6238824399309602</v>
      </c>
      <c r="N72" s="3">
        <v>5.8056788010496696</v>
      </c>
    </row>
    <row r="73" spans="1:14" x14ac:dyDescent="0.35">
      <c r="A73" s="2">
        <v>43964</v>
      </c>
      <c r="B73" s="3">
        <v>2.58788093369132</v>
      </c>
      <c r="C73" s="3">
        <v>3.8165543364736698</v>
      </c>
      <c r="D73" s="3">
        <v>3.8370848503819901</v>
      </c>
      <c r="E73" s="3">
        <v>3.4163263548973002</v>
      </c>
      <c r="F73" s="3">
        <v>2.7770233975295899</v>
      </c>
      <c r="G73" s="3">
        <v>3.2762595878241898</v>
      </c>
      <c r="H73" s="3">
        <v>4.4972949862512603</v>
      </c>
      <c r="I73" s="3">
        <v>1.015049932328</v>
      </c>
      <c r="J73" s="3">
        <v>2.1515678326548899</v>
      </c>
      <c r="K73" s="3">
        <v>3.6421771860840302</v>
      </c>
      <c r="L73" s="3">
        <v>2.6604342424316698</v>
      </c>
      <c r="M73" s="3">
        <v>3.4025650410671102</v>
      </c>
      <c r="N73" s="3">
        <v>5.0632600030522896</v>
      </c>
    </row>
    <row r="74" spans="1:14" x14ac:dyDescent="0.35">
      <c r="A74" s="2">
        <v>43994</v>
      </c>
      <c r="B74" s="3">
        <v>2.6142356262672002</v>
      </c>
      <c r="C74" s="3">
        <v>3.4665843381530599</v>
      </c>
      <c r="D74" s="3">
        <v>3.6056996308832301</v>
      </c>
      <c r="E74" s="3">
        <v>2.98053909761156</v>
      </c>
      <c r="F74" s="3">
        <v>2.5086080546618001</v>
      </c>
      <c r="G74" s="3">
        <v>3.1760184203072099</v>
      </c>
      <c r="H74" s="3">
        <v>4.1514367602815501</v>
      </c>
      <c r="I74" s="3">
        <v>0.93996094016768095</v>
      </c>
      <c r="J74" s="3">
        <v>1.98159846011006</v>
      </c>
      <c r="K74" s="3">
        <v>3.22340179309283</v>
      </c>
      <c r="L74" s="3">
        <v>2.4650218087783902</v>
      </c>
      <c r="M74" s="3">
        <v>3.1295810307951299</v>
      </c>
      <c r="N74" s="3">
        <v>4.3719146224741996</v>
      </c>
    </row>
    <row r="75" spans="1:14" x14ac:dyDescent="0.35">
      <c r="A75" s="2">
        <v>44025</v>
      </c>
      <c r="B75" s="3">
        <v>2.4822515550112101</v>
      </c>
      <c r="C75" s="3">
        <v>3.4420676602980298</v>
      </c>
      <c r="D75" s="3">
        <v>3.5250688086267901</v>
      </c>
      <c r="E75" s="3">
        <v>2.8182049167144498</v>
      </c>
      <c r="F75" s="3">
        <v>2.48450945958523</v>
      </c>
      <c r="G75" s="3">
        <v>3.0367233942594498</v>
      </c>
      <c r="H75" s="3">
        <v>4.1058963091517304</v>
      </c>
      <c r="I75" s="3">
        <v>0.85932287546557795</v>
      </c>
      <c r="J75" s="3">
        <v>1.8900270512997599</v>
      </c>
      <c r="K75" s="3">
        <v>3.0741138617369899</v>
      </c>
      <c r="L75" s="3">
        <v>2.2925011663079999</v>
      </c>
      <c r="M75" s="3">
        <v>2.9621846083960399</v>
      </c>
      <c r="N75" s="3">
        <v>4.2733621462429801</v>
      </c>
    </row>
    <row r="76" spans="1:14" x14ac:dyDescent="0.35">
      <c r="A76" s="2">
        <v>44056</v>
      </c>
      <c r="B76" s="3">
        <v>2.43923741565566</v>
      </c>
      <c r="C76" s="3">
        <v>3.3553959769031798</v>
      </c>
      <c r="D76" s="3">
        <v>3.3512264772524101</v>
      </c>
      <c r="E76" s="3">
        <v>2.80209445497468</v>
      </c>
      <c r="F76" s="3">
        <v>2.38790134960434</v>
      </c>
      <c r="G76" s="3">
        <v>2.9295969790676102</v>
      </c>
      <c r="H76" s="3">
        <v>3.9155725421711902</v>
      </c>
      <c r="I76" s="3">
        <v>0.81733879953741795</v>
      </c>
      <c r="J76" s="3">
        <v>1.7656406163289</v>
      </c>
      <c r="K76" s="3">
        <v>3.0763881929657102</v>
      </c>
      <c r="L76" s="3">
        <v>2.3262301019580498</v>
      </c>
      <c r="M76" s="3">
        <v>2.9591217188914598</v>
      </c>
      <c r="N76" s="3">
        <v>3.88620213078819</v>
      </c>
    </row>
    <row r="77" spans="1:14" x14ac:dyDescent="0.35">
      <c r="A77" s="2">
        <v>44085</v>
      </c>
      <c r="B77" s="3">
        <v>2.4228526464546301</v>
      </c>
      <c r="C77" s="3">
        <v>3.6144418922133101</v>
      </c>
      <c r="D77" s="3">
        <v>3.40981523896615</v>
      </c>
      <c r="E77" s="3">
        <v>2.79508690718946</v>
      </c>
      <c r="F77" s="3">
        <v>2.3623667193667002</v>
      </c>
      <c r="G77" s="3">
        <v>2.8991881825005801</v>
      </c>
      <c r="H77" s="3">
        <v>4.11042161433814</v>
      </c>
      <c r="I77" s="3">
        <v>0.82512987296927598</v>
      </c>
      <c r="J77" s="3">
        <v>1.7868549846769299</v>
      </c>
      <c r="K77" s="3">
        <v>3.1164058995459398</v>
      </c>
      <c r="L77" s="3">
        <v>2.3212251805638702</v>
      </c>
      <c r="M77" s="3">
        <v>2.9724236149477599</v>
      </c>
      <c r="N77" s="3">
        <v>4.02482703489546</v>
      </c>
    </row>
    <row r="78" spans="1:14" x14ac:dyDescent="0.35">
      <c r="A78" s="2">
        <v>44117</v>
      </c>
      <c r="B78" s="3">
        <v>2.33081996462843</v>
      </c>
      <c r="C78" s="3">
        <v>3.5269676576057001</v>
      </c>
      <c r="D78" s="3">
        <v>3.37557425564437</v>
      </c>
      <c r="E78" s="3">
        <v>2.8099318677606702</v>
      </c>
      <c r="F78" s="3">
        <v>2.35543846329375</v>
      </c>
      <c r="G78" s="3">
        <v>2.9220868907863999</v>
      </c>
      <c r="H78" s="3">
        <v>4.2351185519852699</v>
      </c>
      <c r="I78" s="3">
        <v>0.75980625826024095</v>
      </c>
      <c r="J78" s="3">
        <v>1.7023657423679801</v>
      </c>
      <c r="K78" s="3">
        <v>3.1938122487305201</v>
      </c>
      <c r="L78" s="3">
        <v>2.24697470996654</v>
      </c>
      <c r="M78" s="3">
        <v>3.0135791079483099</v>
      </c>
      <c r="N78" s="3">
        <v>4.1004567666758698</v>
      </c>
    </row>
    <row r="79" spans="1:14" x14ac:dyDescent="0.35">
      <c r="A79" s="2">
        <v>44148</v>
      </c>
      <c r="B79" s="3">
        <v>2.35636821420605</v>
      </c>
      <c r="C79" s="3">
        <v>3.5325354993800602</v>
      </c>
      <c r="D79" s="3">
        <v>3.3324373223977202</v>
      </c>
      <c r="E79" s="3">
        <v>2.8455879035599101</v>
      </c>
      <c r="F79" s="3">
        <v>2.28235482513153</v>
      </c>
      <c r="G79" s="3">
        <v>2.89148987521942</v>
      </c>
      <c r="H79" s="3">
        <v>4.0399656921202203</v>
      </c>
      <c r="I79" s="3">
        <v>0.77545136821612404</v>
      </c>
      <c r="J79" s="3">
        <v>1.6699138189926599</v>
      </c>
      <c r="K79" s="3">
        <v>2.9664041830051402</v>
      </c>
      <c r="L79" s="3">
        <v>2.1863203539466101</v>
      </c>
      <c r="M79" s="3">
        <v>3.05028741200152</v>
      </c>
      <c r="N79" s="3">
        <v>4.0238876102294698</v>
      </c>
    </row>
    <row r="80" spans="1:14" x14ac:dyDescent="0.35">
      <c r="A80" s="2">
        <v>44176</v>
      </c>
      <c r="B80" s="3">
        <v>2.3732908751519699</v>
      </c>
      <c r="C80" s="3">
        <v>3.5331016942892401</v>
      </c>
      <c r="D80" s="3">
        <v>3.1141176124538199</v>
      </c>
      <c r="E80" s="3">
        <v>2.8247533574273298</v>
      </c>
      <c r="F80" s="3">
        <v>2.1615740485099901</v>
      </c>
      <c r="G80" s="3">
        <v>2.91314693195398</v>
      </c>
      <c r="H80" s="3">
        <v>3.9134542109246699</v>
      </c>
      <c r="I80" s="3">
        <v>0.75304414572086098</v>
      </c>
      <c r="J80" s="3">
        <v>1.6406949928833401</v>
      </c>
      <c r="K80" s="3">
        <v>2.9420164607457702</v>
      </c>
      <c r="L80" s="3">
        <v>2.0782691238884201</v>
      </c>
      <c r="M80" s="3">
        <v>3.0649145956910502</v>
      </c>
      <c r="N80" s="3">
        <v>3.9945362949049001</v>
      </c>
    </row>
    <row r="81" spans="1:14" x14ac:dyDescent="0.35">
      <c r="A81" s="2">
        <v>44209</v>
      </c>
      <c r="B81" s="3">
        <v>2.4318574044606498</v>
      </c>
      <c r="C81" s="3">
        <v>3.5507222452510199</v>
      </c>
      <c r="D81" s="3">
        <v>3.0324762836472701</v>
      </c>
      <c r="E81" s="3">
        <v>2.7090784364234501</v>
      </c>
      <c r="F81" s="3">
        <v>2.07802388790746</v>
      </c>
      <c r="G81" s="3">
        <v>2.8131068495514699</v>
      </c>
      <c r="H81" s="3">
        <v>3.8498517046985401</v>
      </c>
      <c r="I81" s="3">
        <v>0.75996759226992805</v>
      </c>
      <c r="J81" s="3">
        <v>1.5596930635642701</v>
      </c>
      <c r="K81" s="3">
        <v>2.9053642744059598</v>
      </c>
      <c r="L81" s="3">
        <v>1.9633845949083999</v>
      </c>
      <c r="M81" s="3">
        <v>2.9947111972925899</v>
      </c>
      <c r="N81" s="3">
        <v>3.9021055347782698</v>
      </c>
    </row>
    <row r="82" spans="1:14" x14ac:dyDescent="0.35">
      <c r="A82" s="2">
        <v>44239</v>
      </c>
      <c r="B82" s="3">
        <v>2.5682354990121801</v>
      </c>
      <c r="C82" s="3">
        <v>3.6107640548233699</v>
      </c>
      <c r="D82" s="3">
        <v>2.9300447856732501</v>
      </c>
      <c r="E82" s="3">
        <v>2.72719660767588</v>
      </c>
      <c r="F82" s="3">
        <v>2.0297124142076699</v>
      </c>
      <c r="G82" s="3">
        <v>2.8059191035997899</v>
      </c>
      <c r="H82" s="3">
        <v>3.98490795425713</v>
      </c>
      <c r="I82" s="3">
        <v>0.72102780911854203</v>
      </c>
      <c r="J82" s="3">
        <v>1.5250535169216499</v>
      </c>
      <c r="K82" s="3">
        <v>2.8844599957975001</v>
      </c>
      <c r="L82" s="3">
        <v>1.8827899561908801</v>
      </c>
      <c r="M82" s="3">
        <v>2.9851212937117699</v>
      </c>
      <c r="N82" s="3">
        <v>3.9119072288986798</v>
      </c>
    </row>
    <row r="83" spans="1:14" x14ac:dyDescent="0.35">
      <c r="A83" s="2">
        <v>44267</v>
      </c>
      <c r="B83" s="3">
        <v>2.5781791541361399</v>
      </c>
      <c r="C83" s="3">
        <v>3.8938234026468002</v>
      </c>
      <c r="D83" s="3">
        <v>2.84287861092634</v>
      </c>
      <c r="E83" s="3">
        <v>2.7562245001971801</v>
      </c>
      <c r="F83" s="3">
        <v>2.0545321834033001</v>
      </c>
      <c r="G83" s="3">
        <v>2.85211612839531</v>
      </c>
      <c r="H83" s="3">
        <v>3.9618428770984702</v>
      </c>
      <c r="I83" s="3">
        <v>0.77519910634785805</v>
      </c>
      <c r="J83" s="3">
        <v>1.53153744291914</v>
      </c>
      <c r="K83" s="3">
        <v>2.7377327704454002</v>
      </c>
      <c r="L83" s="3">
        <v>2.0237735684009901</v>
      </c>
      <c r="M83" s="3">
        <v>2.7738425008434202</v>
      </c>
      <c r="N83" s="3">
        <v>4.0463991019640702</v>
      </c>
    </row>
    <row r="84" spans="1:14" x14ac:dyDescent="0.35">
      <c r="A84" s="2">
        <v>44299</v>
      </c>
      <c r="B84" s="3">
        <v>2.5691082490266202</v>
      </c>
      <c r="C84" s="3">
        <v>3.9106280629143302</v>
      </c>
      <c r="D84" s="3">
        <v>2.7640613421512099</v>
      </c>
      <c r="E84" s="3">
        <v>2.69661595543326</v>
      </c>
      <c r="F84" s="3">
        <v>2.0736260749494</v>
      </c>
      <c r="G84" s="3">
        <v>2.7673242729802001</v>
      </c>
      <c r="H84" s="3">
        <v>4.0107476268550704</v>
      </c>
      <c r="I84" s="3">
        <v>0.71973317196684905</v>
      </c>
      <c r="J84" s="3">
        <v>1.4666031504911201</v>
      </c>
      <c r="K84" s="3">
        <v>2.7108571896196101</v>
      </c>
      <c r="L84" s="3">
        <v>1.92026132716326</v>
      </c>
      <c r="M84" s="3">
        <v>2.7159118431831502</v>
      </c>
      <c r="N84" s="3">
        <v>4.06756659132507</v>
      </c>
    </row>
    <row r="85" spans="1:14" x14ac:dyDescent="0.35">
      <c r="A85" s="2">
        <v>44329</v>
      </c>
      <c r="B85" s="3">
        <v>2.6593239705922702</v>
      </c>
      <c r="C85" s="3">
        <v>3.9661623339295802</v>
      </c>
      <c r="D85" s="3">
        <v>2.7645162178384801</v>
      </c>
      <c r="E85" s="3">
        <v>2.8468635160401199</v>
      </c>
      <c r="F85" s="3">
        <v>2.2393060469737298</v>
      </c>
      <c r="G85" s="3">
        <v>2.7975223826806301</v>
      </c>
      <c r="H85" s="3">
        <v>3.95245966901668</v>
      </c>
      <c r="I85" s="3">
        <v>0.77164814841246099</v>
      </c>
      <c r="J85" s="3">
        <v>1.48645613899748</v>
      </c>
      <c r="K85" s="3">
        <v>2.7391275202486698</v>
      </c>
      <c r="L85" s="3">
        <v>2.0254466431467901</v>
      </c>
      <c r="M85" s="3">
        <v>2.8679737348273999</v>
      </c>
      <c r="N85" s="3">
        <v>4.2125918357504997</v>
      </c>
    </row>
    <row r="86" spans="1:14" x14ac:dyDescent="0.35">
      <c r="A86" s="2">
        <v>44358</v>
      </c>
      <c r="B86" s="3">
        <v>2.6812794898652199</v>
      </c>
      <c r="C86" s="3">
        <v>3.8819695915485299</v>
      </c>
      <c r="D86" s="3">
        <v>2.5753467104645198</v>
      </c>
      <c r="E86" s="3">
        <v>2.7746417547647799</v>
      </c>
      <c r="F86" s="3">
        <v>2.1649057207078202</v>
      </c>
      <c r="G86" s="3">
        <v>2.6223880357757001</v>
      </c>
      <c r="H86" s="3">
        <v>3.88337557890241</v>
      </c>
      <c r="I86" s="3">
        <v>0.729243330776988</v>
      </c>
      <c r="J86" s="3">
        <v>1.4510659079588</v>
      </c>
      <c r="K86" s="3">
        <v>2.6421301926136498</v>
      </c>
      <c r="L86" s="3">
        <v>1.9758972903435099</v>
      </c>
      <c r="M86" s="3">
        <v>2.67979345871395</v>
      </c>
      <c r="N86" s="3">
        <v>4.0376420161648001</v>
      </c>
    </row>
    <row r="87" spans="1:14" x14ac:dyDescent="0.35">
      <c r="A87" s="2">
        <v>44390</v>
      </c>
      <c r="B87" s="3">
        <v>2.59313267595663</v>
      </c>
      <c r="C87" s="3">
        <v>4.0776182745879401</v>
      </c>
      <c r="D87" s="3">
        <v>2.7024480739691601</v>
      </c>
      <c r="E87" s="3">
        <v>2.7796084403240302</v>
      </c>
      <c r="F87" s="3">
        <v>2.1813210668676501</v>
      </c>
      <c r="G87" s="3">
        <v>2.60342645308139</v>
      </c>
      <c r="H87" s="3">
        <v>4.0054958429045602</v>
      </c>
      <c r="I87" s="3">
        <v>0.69036981535868303</v>
      </c>
      <c r="J87" s="3">
        <v>1.4281264879437601</v>
      </c>
      <c r="K87" s="3">
        <v>2.6964148739836298</v>
      </c>
      <c r="L87" s="3">
        <v>1.9955708968013299</v>
      </c>
      <c r="M87" s="3">
        <v>2.6400513460017998</v>
      </c>
      <c r="N87" s="3">
        <v>4.1781517279464904</v>
      </c>
    </row>
    <row r="88" spans="1:14" x14ac:dyDescent="0.35">
      <c r="A88" s="2">
        <v>44421</v>
      </c>
      <c r="B88" s="3">
        <v>2.6658135152186002</v>
      </c>
      <c r="C88" s="3">
        <v>4.0007663099148099</v>
      </c>
      <c r="D88" s="3">
        <v>2.6916543083607198</v>
      </c>
      <c r="E88" s="3">
        <v>2.8137064676452699</v>
      </c>
      <c r="F88" s="3">
        <v>2.2196055029713602</v>
      </c>
      <c r="G88" s="3">
        <v>2.5474579422930801</v>
      </c>
      <c r="H88" s="3">
        <v>4.1221973207341698</v>
      </c>
      <c r="I88" s="3">
        <v>0.69851234897183401</v>
      </c>
      <c r="J88" s="3">
        <v>1.4103924755671799</v>
      </c>
      <c r="K88" s="3">
        <v>2.66960781853893</v>
      </c>
      <c r="L88" s="3">
        <v>1.94658494356893</v>
      </c>
      <c r="M88" s="3">
        <v>2.68963777876816</v>
      </c>
      <c r="N88" s="3">
        <v>4.22900145640868</v>
      </c>
    </row>
    <row r="89" spans="1:14" x14ac:dyDescent="0.35">
      <c r="A89" s="2">
        <v>44452</v>
      </c>
      <c r="B89" s="3">
        <v>2.5810753259827299</v>
      </c>
      <c r="C89" s="3">
        <v>4.0774361980834204</v>
      </c>
      <c r="D89" s="3">
        <v>2.74416496310694</v>
      </c>
      <c r="E89" s="3">
        <v>2.8689695141637901</v>
      </c>
      <c r="F89" s="3">
        <v>2.1269882104519802</v>
      </c>
      <c r="G89" s="3">
        <v>2.6342022088693802</v>
      </c>
      <c r="H89" s="3">
        <v>4.2114043322793302</v>
      </c>
      <c r="I89" s="3">
        <v>0.68829523878528298</v>
      </c>
      <c r="J89" s="3">
        <v>1.4202122438822</v>
      </c>
      <c r="K89" s="3">
        <v>2.77455544501451</v>
      </c>
      <c r="L89" s="3">
        <v>1.8534918054990499</v>
      </c>
      <c r="M89" s="3">
        <v>2.76632300251786</v>
      </c>
      <c r="N89" s="3">
        <v>4.4796039755807504</v>
      </c>
    </row>
    <row r="90" spans="1:14" x14ac:dyDescent="0.35">
      <c r="A90" s="2">
        <v>44482</v>
      </c>
      <c r="B90" s="3">
        <v>2.6692812459311099</v>
      </c>
      <c r="C90" s="3">
        <v>4.0726392103082603</v>
      </c>
      <c r="D90" s="3">
        <v>2.7591974575234599</v>
      </c>
      <c r="E90" s="3">
        <v>2.9841376196355198</v>
      </c>
      <c r="F90" s="3">
        <v>2.2693175562213401</v>
      </c>
      <c r="G90" s="3">
        <v>2.7257810316031499</v>
      </c>
      <c r="H90" s="3">
        <v>4.1276171722733297</v>
      </c>
      <c r="I90" s="3">
        <v>0.72554028672247595</v>
      </c>
      <c r="J90" s="3">
        <v>1.4626121526007301</v>
      </c>
      <c r="K90" s="3">
        <v>2.8661753349536201</v>
      </c>
      <c r="L90" s="3">
        <v>1.98563022362514</v>
      </c>
      <c r="M90" s="3">
        <v>2.8718789436495999</v>
      </c>
      <c r="N90" s="3">
        <v>4.4847628579512104</v>
      </c>
    </row>
    <row r="91" spans="1:14" x14ac:dyDescent="0.35">
      <c r="A91" s="2">
        <v>44512</v>
      </c>
      <c r="B91" s="3">
        <v>2.71152542435697</v>
      </c>
      <c r="C91" s="3">
        <v>3.95580794033634</v>
      </c>
      <c r="D91" s="3">
        <v>2.6632196070697902</v>
      </c>
      <c r="E91" s="3">
        <v>2.9390715819458202</v>
      </c>
      <c r="F91" s="3">
        <v>2.21599921579603</v>
      </c>
      <c r="G91" s="3">
        <v>2.5694766046895898</v>
      </c>
      <c r="H91" s="3">
        <v>4.0189191769980397</v>
      </c>
      <c r="I91" s="3">
        <v>0.66544005352601998</v>
      </c>
      <c r="J91" s="3">
        <v>1.3699318736009201</v>
      </c>
      <c r="K91" s="3">
        <v>2.72800505611113</v>
      </c>
      <c r="L91" s="3">
        <v>1.8414794238991901</v>
      </c>
      <c r="M91" s="3">
        <v>2.9334458286915601</v>
      </c>
      <c r="N91" s="3">
        <v>4.3040885435483203</v>
      </c>
    </row>
    <row r="92" spans="1:14" x14ac:dyDescent="0.35">
      <c r="A92" s="2">
        <v>44540</v>
      </c>
      <c r="B92" s="3">
        <v>2.7818211720600199</v>
      </c>
      <c r="C92" s="3">
        <v>3.9297507991116198</v>
      </c>
      <c r="D92" s="3">
        <v>2.8391460976013301</v>
      </c>
      <c r="E92" s="3">
        <v>3.0588148115026401</v>
      </c>
      <c r="F92" s="3">
        <v>2.3194621784048302</v>
      </c>
      <c r="G92" s="3">
        <v>2.5803777112861801</v>
      </c>
      <c r="H92" s="3">
        <v>4.0212291939046603</v>
      </c>
      <c r="I92" s="3">
        <v>0.67648504298588497</v>
      </c>
      <c r="J92" s="3">
        <v>1.3835191902111601</v>
      </c>
      <c r="K92" s="3">
        <v>2.7895650722281902</v>
      </c>
      <c r="L92" s="3">
        <v>1.9770197803366001</v>
      </c>
      <c r="M92" s="3">
        <v>2.92328641520437</v>
      </c>
      <c r="N92" s="3">
        <v>4.6461787413315996</v>
      </c>
    </row>
    <row r="93" spans="1:14" x14ac:dyDescent="0.35">
      <c r="A93" s="2">
        <v>44574</v>
      </c>
      <c r="B93" s="3">
        <v>2.8196572546545302</v>
      </c>
      <c r="C93" s="3">
        <v>3.8252044196532</v>
      </c>
      <c r="D93" s="3">
        <v>2.7758527556816199</v>
      </c>
      <c r="E93" s="3">
        <v>3.04270903720283</v>
      </c>
      <c r="F93" s="3">
        <v>2.31579628432933</v>
      </c>
      <c r="G93" s="3">
        <v>2.5991468871759502</v>
      </c>
      <c r="H93" s="3">
        <v>3.80059773458136</v>
      </c>
      <c r="I93" s="3">
        <v>0.705508115300016</v>
      </c>
      <c r="J93" s="3">
        <v>1.38893541542865</v>
      </c>
      <c r="K93" s="3">
        <v>2.7439971831856602</v>
      </c>
      <c r="L93" s="3">
        <v>1.98522992405944</v>
      </c>
      <c r="M93" s="3">
        <v>2.8990023802282301</v>
      </c>
      <c r="N93" s="3">
        <v>4.5492444727248804</v>
      </c>
    </row>
    <row r="94" spans="1:14" x14ac:dyDescent="0.35">
      <c r="A94" s="2">
        <v>44603</v>
      </c>
      <c r="B94" s="3">
        <v>2.9760735603810402</v>
      </c>
      <c r="C94" s="3">
        <v>4.2637750588302499</v>
      </c>
      <c r="D94" s="3">
        <v>2.76645078205049</v>
      </c>
      <c r="E94" s="3">
        <v>3.2026553438587801</v>
      </c>
      <c r="F94" s="3">
        <v>2.4180945753700298</v>
      </c>
      <c r="G94" s="3">
        <v>2.7467565309695101</v>
      </c>
      <c r="H94" s="3">
        <v>3.76214169445237</v>
      </c>
      <c r="I94" s="3">
        <v>0.77888956421671296</v>
      </c>
      <c r="J94" s="3">
        <v>1.4877868686567799</v>
      </c>
      <c r="K94" s="3">
        <v>2.89460584986674</v>
      </c>
      <c r="L94" s="3">
        <v>2.2158444590612598</v>
      </c>
      <c r="M94" s="3">
        <v>2.9111191317277201</v>
      </c>
      <c r="N94" s="3">
        <v>4.7991335215583701</v>
      </c>
    </row>
    <row r="95" spans="1:14" x14ac:dyDescent="0.35">
      <c r="A95" s="2">
        <v>44631</v>
      </c>
      <c r="B95" s="3">
        <v>3.0845578396223301</v>
      </c>
      <c r="C95" s="3">
        <v>4.3753461069050203</v>
      </c>
      <c r="D95" s="3">
        <v>2.8501377441748401</v>
      </c>
      <c r="E95" s="3">
        <v>3.6899909641811202</v>
      </c>
      <c r="F95" s="3">
        <v>2.7057352046710199</v>
      </c>
      <c r="G95" s="3">
        <v>2.9374052576004002</v>
      </c>
      <c r="H95" s="3">
        <v>4.1660830701714104</v>
      </c>
      <c r="I95" s="3">
        <v>0.84546616315040801</v>
      </c>
      <c r="J95" s="3">
        <v>1.57135822541424</v>
      </c>
      <c r="K95" s="3">
        <v>3.2929379348738399</v>
      </c>
      <c r="L95" s="3">
        <v>2.4505024729031399</v>
      </c>
      <c r="M95" s="3">
        <v>3.2155711221188099</v>
      </c>
      <c r="N95" s="3">
        <v>5.4632311439903596</v>
      </c>
    </row>
    <row r="96" spans="1:14" x14ac:dyDescent="0.35">
      <c r="A96" s="2">
        <v>44664</v>
      </c>
      <c r="B96" s="3">
        <v>3.1469975313568801</v>
      </c>
      <c r="C96" s="3">
        <v>4.3579731977421901</v>
      </c>
      <c r="D96" s="3">
        <v>2.84944344496494</v>
      </c>
      <c r="E96" s="3">
        <v>3.6403558712934698</v>
      </c>
      <c r="F96" s="3">
        <v>2.5902266276553698</v>
      </c>
      <c r="G96" s="3">
        <v>2.7607812109007899</v>
      </c>
      <c r="H96" s="3">
        <v>3.9563222259955402</v>
      </c>
      <c r="I96" s="3">
        <v>0.79364191347530799</v>
      </c>
      <c r="J96" s="3">
        <v>1.481713632295</v>
      </c>
      <c r="K96" s="3">
        <v>3.14669771537806</v>
      </c>
      <c r="L96" s="3">
        <v>2.3100917164352999</v>
      </c>
      <c r="M96" s="3">
        <v>3.1477015242634301</v>
      </c>
      <c r="N96" s="3">
        <v>5.0694829818105003</v>
      </c>
    </row>
    <row r="97" spans="1:14" x14ac:dyDescent="0.35">
      <c r="A97" s="2">
        <v>44694</v>
      </c>
      <c r="B97" s="3">
        <v>3.2276249567122099</v>
      </c>
      <c r="C97" s="3">
        <v>4.7571815948933303</v>
      </c>
      <c r="D97" s="3">
        <v>3.1958902139129899</v>
      </c>
      <c r="E97" s="3">
        <v>3.8315494913550801</v>
      </c>
      <c r="F97" s="3">
        <v>2.6563663355359801</v>
      </c>
      <c r="G97" s="3">
        <v>2.9774686591534198</v>
      </c>
      <c r="H97" s="3">
        <v>4.1783232988696799</v>
      </c>
      <c r="I97" s="3">
        <v>0.915841215757212</v>
      </c>
      <c r="J97" s="3">
        <v>1.6473785357780599</v>
      </c>
      <c r="K97" s="3">
        <v>3.2692145772760899</v>
      </c>
      <c r="L97" s="3">
        <v>2.5524512112347399</v>
      </c>
      <c r="M97" s="3">
        <v>3.4005463102977198</v>
      </c>
      <c r="N97" s="3">
        <v>5.1828956207796004</v>
      </c>
    </row>
    <row r="98" spans="1:14" x14ac:dyDescent="0.35">
      <c r="A98" s="2">
        <v>44725</v>
      </c>
      <c r="B98" s="3">
        <v>3.3452664128109602</v>
      </c>
      <c r="C98" s="3">
        <v>4.9379168511848102</v>
      </c>
      <c r="D98" s="3">
        <v>3.27271180638586</v>
      </c>
      <c r="E98" s="3">
        <v>4.0160407505155504</v>
      </c>
      <c r="F98" s="3">
        <v>2.6507323457762002</v>
      </c>
      <c r="G98" s="3">
        <v>3.1980212904070702</v>
      </c>
      <c r="H98" s="3">
        <v>4.3155323930553404</v>
      </c>
      <c r="I98" s="3">
        <v>1.0121736396201599</v>
      </c>
      <c r="J98" s="3">
        <v>1.7817015003652199</v>
      </c>
      <c r="K98" s="3">
        <v>3.4751474010714798</v>
      </c>
      <c r="L98" s="3">
        <v>2.7504717738440201</v>
      </c>
      <c r="M98" s="3">
        <v>3.4676180653845501</v>
      </c>
      <c r="N98" s="3">
        <v>5.7891410856418197</v>
      </c>
    </row>
    <row r="99" spans="1:14" x14ac:dyDescent="0.35">
      <c r="A99" s="2">
        <v>44755</v>
      </c>
      <c r="B99" s="3">
        <v>3.3150420434824399</v>
      </c>
      <c r="C99" s="3">
        <v>5.1940716891785703</v>
      </c>
      <c r="D99" s="3">
        <v>3.4868862357051702</v>
      </c>
      <c r="E99" s="3">
        <v>4.2396203622485</v>
      </c>
      <c r="F99" s="3">
        <v>2.6823625024905899</v>
      </c>
      <c r="G99" s="3">
        <v>3.1686352376068698</v>
      </c>
      <c r="H99" s="3">
        <v>4.3701307263117597</v>
      </c>
      <c r="I99" s="3">
        <v>0.98282466000096402</v>
      </c>
      <c r="J99" s="3">
        <v>1.77021717084618</v>
      </c>
      <c r="K99" s="3">
        <v>3.5071454976789198</v>
      </c>
      <c r="L99" s="3">
        <v>3.42296936644953</v>
      </c>
      <c r="M99" s="3">
        <v>3.6987476589322399</v>
      </c>
      <c r="N99" s="3">
        <v>5.9682728137797501</v>
      </c>
    </row>
    <row r="100" spans="1:14" x14ac:dyDescent="0.35">
      <c r="A100" s="2">
        <v>44785</v>
      </c>
      <c r="B100" s="3">
        <v>3.2048321336856</v>
      </c>
      <c r="C100" s="3">
        <v>4.7295192689785202</v>
      </c>
      <c r="D100" s="3">
        <v>3.2578597422834799</v>
      </c>
      <c r="E100" s="3">
        <v>3.9182672996164398</v>
      </c>
      <c r="F100" s="3">
        <v>2.5720348000851998</v>
      </c>
      <c r="G100" s="3">
        <v>3.0642991125795902</v>
      </c>
      <c r="H100" s="3">
        <v>4.1828571137728598</v>
      </c>
      <c r="I100" s="3">
        <v>0.85320076554120206</v>
      </c>
      <c r="J100" s="3">
        <v>1.5862395891852401</v>
      </c>
      <c r="K100" s="3">
        <v>3.2522523045064</v>
      </c>
      <c r="L100" s="3">
        <v>3.05380147167044</v>
      </c>
      <c r="M100" s="3">
        <v>3.4754481242644899</v>
      </c>
      <c r="N100" s="3">
        <v>5.5577689778392498</v>
      </c>
    </row>
    <row r="101" spans="1:14" x14ac:dyDescent="0.35">
      <c r="A101" s="2">
        <v>44817</v>
      </c>
      <c r="B101" s="3">
        <v>3.1945475564774499</v>
      </c>
      <c r="C101" s="3">
        <v>4.7852303385527701</v>
      </c>
      <c r="D101" s="3">
        <v>3.40692063709256</v>
      </c>
      <c r="E101" s="3">
        <v>4.09228801878157</v>
      </c>
      <c r="F101" s="3">
        <v>2.5846384867216901</v>
      </c>
      <c r="G101" s="3">
        <v>3.1893744623214602</v>
      </c>
      <c r="H101" s="3">
        <v>4.3885257197109402</v>
      </c>
      <c r="I101" s="3">
        <v>0.96971330115667298</v>
      </c>
      <c r="J101" s="3">
        <v>1.7409096924274801</v>
      </c>
      <c r="K101" s="3">
        <v>3.4594068959515898</v>
      </c>
      <c r="L101" s="3">
        <v>3.6792487025297702</v>
      </c>
      <c r="M101" s="3">
        <v>3.6549208450216502</v>
      </c>
      <c r="N101" s="3">
        <v>5.5799933069590404</v>
      </c>
    </row>
    <row r="102" spans="1:14" x14ac:dyDescent="0.35">
      <c r="A102" s="2">
        <v>44847</v>
      </c>
      <c r="B102" s="3">
        <v>3.49832297749494</v>
      </c>
      <c r="C102" s="3">
        <v>5.2049604576375401</v>
      </c>
      <c r="D102" s="3">
        <v>3.60183175426064</v>
      </c>
      <c r="E102" s="3">
        <v>4.3991189620497604</v>
      </c>
      <c r="F102" s="3">
        <v>2.7810094244152301</v>
      </c>
      <c r="G102" s="3">
        <v>3.4627984792387601</v>
      </c>
      <c r="H102" s="3">
        <v>4.6988148373690803</v>
      </c>
      <c r="I102" s="3">
        <v>1.0664828128924999</v>
      </c>
      <c r="J102" s="3">
        <v>1.87235407572399</v>
      </c>
      <c r="K102" s="3">
        <v>3.7170093697308499</v>
      </c>
      <c r="L102" s="3">
        <v>3.1385150492257501</v>
      </c>
      <c r="M102" s="3">
        <v>3.80272442074748</v>
      </c>
      <c r="N102" s="3">
        <v>6.1952225192408603</v>
      </c>
    </row>
    <row r="103" spans="1:14" x14ac:dyDescent="0.35">
      <c r="A103" s="2">
        <v>44876</v>
      </c>
      <c r="B103" s="3">
        <v>3.3868940581059501</v>
      </c>
      <c r="C103" s="3">
        <v>4.6266386133901296</v>
      </c>
      <c r="D103" s="3">
        <v>3.3239846603069001</v>
      </c>
      <c r="E103" s="3">
        <v>3.8062627329432401</v>
      </c>
      <c r="F103" s="3">
        <v>2.5985658188583201</v>
      </c>
      <c r="G103" s="3">
        <v>3.0908463792983301</v>
      </c>
      <c r="H103" s="3">
        <v>4.38093656749228</v>
      </c>
      <c r="I103" s="3">
        <v>1.00380449202661</v>
      </c>
      <c r="J103" s="3">
        <v>1.7318426317367099</v>
      </c>
      <c r="K103" s="3">
        <v>3.3218000062102102</v>
      </c>
      <c r="L103" s="3">
        <v>2.7086926283033499</v>
      </c>
      <c r="M103" s="3">
        <v>3.5273106889933801</v>
      </c>
      <c r="N103" s="3">
        <v>5.4066945617336399</v>
      </c>
    </row>
    <row r="104" spans="1:14" x14ac:dyDescent="0.35">
      <c r="A104" s="2">
        <v>44908</v>
      </c>
      <c r="B104" s="3">
        <v>3.4172132498716099</v>
      </c>
      <c r="C104" s="3">
        <v>4.4840232772309596</v>
      </c>
      <c r="D104" s="3">
        <v>3.3760294164540698</v>
      </c>
      <c r="E104" s="3">
        <v>3.7116632746648599</v>
      </c>
      <c r="F104" s="3">
        <v>2.6354183536273701</v>
      </c>
      <c r="G104" s="3">
        <v>3.1002213797511802</v>
      </c>
      <c r="H104" s="3">
        <v>4.1985975162038596</v>
      </c>
      <c r="I104" s="3">
        <v>0.99903844798470498</v>
      </c>
      <c r="J104" s="3">
        <v>1.72402247752236</v>
      </c>
      <c r="K104" s="3">
        <v>3.24730765671345</v>
      </c>
      <c r="L104" s="3">
        <v>2.6031924387785699</v>
      </c>
      <c r="M104" s="3">
        <v>3.5526636304382602</v>
      </c>
      <c r="N104" s="3">
        <v>5.7054574860014702</v>
      </c>
    </row>
    <row r="105" spans="1:14" x14ac:dyDescent="0.35">
      <c r="A105" s="2">
        <v>44939</v>
      </c>
      <c r="B105" s="3">
        <v>3.3925091253044801</v>
      </c>
      <c r="C105" s="3">
        <v>4.3972463231239303</v>
      </c>
      <c r="D105" s="3">
        <v>3.3562682708428202</v>
      </c>
      <c r="E105" s="3">
        <v>3.53760930042526</v>
      </c>
      <c r="F105" s="3">
        <v>2.7270155325859098</v>
      </c>
      <c r="G105" s="3">
        <v>3.0650610875589801</v>
      </c>
      <c r="H105" s="3">
        <v>4.0501705691115601</v>
      </c>
      <c r="I105" s="3">
        <v>0.98744669947878905</v>
      </c>
      <c r="J105" s="3">
        <v>1.73957494130317</v>
      </c>
      <c r="K105" s="3">
        <v>3.1181604006020698</v>
      </c>
      <c r="L105" s="3">
        <v>2.5713686318426001</v>
      </c>
      <c r="M105" s="3">
        <v>3.4887966316116801</v>
      </c>
      <c r="N105" s="3">
        <v>5.4310801736159204</v>
      </c>
    </row>
    <row r="106" spans="1:14" x14ac:dyDescent="0.35">
      <c r="A106" s="2">
        <v>44970</v>
      </c>
      <c r="B106" s="3">
        <v>3.3084132730067499</v>
      </c>
      <c r="C106" s="3">
        <v>4.3247497334179501</v>
      </c>
      <c r="D106" s="3">
        <v>3.2486196327703998</v>
      </c>
      <c r="E106" s="3">
        <v>3.4698323619005298</v>
      </c>
      <c r="F106" s="3">
        <v>2.6174747074140199</v>
      </c>
      <c r="G106" s="3">
        <v>3.0672871032690501</v>
      </c>
      <c r="H106" s="3">
        <v>4.0562962724224603</v>
      </c>
      <c r="I106" s="3">
        <v>0.92311700088736204</v>
      </c>
      <c r="J106" s="3">
        <v>1.6928288431782399</v>
      </c>
      <c r="K106" s="3">
        <v>3.1334934529545801</v>
      </c>
      <c r="L106" s="3">
        <v>2.55585561497803</v>
      </c>
      <c r="M106" s="3">
        <v>3.5136355911255701</v>
      </c>
      <c r="N106" s="3">
        <v>5.40584032640907</v>
      </c>
    </row>
    <row r="107" spans="1:14" x14ac:dyDescent="0.35">
      <c r="A107" s="2">
        <v>44998</v>
      </c>
      <c r="B107" s="3">
        <v>3.5155868263199199</v>
      </c>
      <c r="C107" s="3">
        <v>4.5866579103836296</v>
      </c>
      <c r="D107" s="3">
        <v>3.4541420931234499</v>
      </c>
      <c r="E107" s="3">
        <v>3.65224740504335</v>
      </c>
      <c r="F107" s="3">
        <v>2.61338084648549</v>
      </c>
      <c r="G107" s="3">
        <v>3.2730760688412599</v>
      </c>
      <c r="H107" s="3">
        <v>4.3160419524374696</v>
      </c>
      <c r="I107" s="3">
        <v>0.97329402984561497</v>
      </c>
      <c r="J107" s="3">
        <v>1.8248859078342201</v>
      </c>
      <c r="K107" s="3">
        <v>3.29502021527713</v>
      </c>
      <c r="L107" s="3">
        <v>2.7803734109418001</v>
      </c>
      <c r="M107" s="3">
        <v>3.7148383130788001</v>
      </c>
      <c r="N107" s="3">
        <v>5.5767111510471299</v>
      </c>
    </row>
    <row r="108" spans="1:14" x14ac:dyDescent="0.35">
      <c r="A108" s="2">
        <v>45029</v>
      </c>
      <c r="B108" s="3">
        <v>3.3972141555400799</v>
      </c>
      <c r="C108" s="3">
        <v>4.4045756256589899</v>
      </c>
      <c r="D108" s="3">
        <v>3.2592038477152498</v>
      </c>
      <c r="E108" s="3">
        <v>3.52016197437958</v>
      </c>
      <c r="F108" s="3">
        <v>2.61096865623034</v>
      </c>
      <c r="G108" s="3">
        <v>3.1107923145582301</v>
      </c>
      <c r="H108" s="3">
        <v>4.0941963685370402</v>
      </c>
      <c r="I108" s="3">
        <v>0.88962950606569602</v>
      </c>
      <c r="J108" s="3">
        <v>1.70379832843668</v>
      </c>
      <c r="K108" s="3">
        <v>3.1111162873439002</v>
      </c>
      <c r="L108" s="3">
        <v>2.67863453652182</v>
      </c>
      <c r="M108" s="3">
        <v>3.6522144471387499</v>
      </c>
      <c r="N108" s="3">
        <v>5.3319519783375</v>
      </c>
    </row>
    <row r="109" spans="1:14" x14ac:dyDescent="0.35">
      <c r="A109" s="2">
        <v>45058</v>
      </c>
      <c r="B109" s="3">
        <v>3.4864290462892198</v>
      </c>
      <c r="C109" s="3">
        <v>4.4408045288340903</v>
      </c>
      <c r="D109" s="3">
        <v>3.2609623690370499</v>
      </c>
      <c r="E109" s="3">
        <v>3.5832218020480102</v>
      </c>
      <c r="F109" s="3">
        <v>2.5316284104001698</v>
      </c>
      <c r="G109" s="3">
        <v>3.0676214709333101</v>
      </c>
      <c r="H109" s="3">
        <v>4.2731009809116003</v>
      </c>
      <c r="I109" s="3">
        <v>0.85984234245521196</v>
      </c>
      <c r="J109" s="3">
        <v>1.71057302112043</v>
      </c>
      <c r="K109" s="3">
        <v>3.18818136267546</v>
      </c>
      <c r="L109" s="3">
        <v>2.7230529718737202</v>
      </c>
      <c r="M109" s="3">
        <v>3.73459545083292</v>
      </c>
      <c r="N109" s="3">
        <v>5.5097410894209498</v>
      </c>
    </row>
    <row r="110" spans="1:14" x14ac:dyDescent="0.35">
      <c r="A110" s="2">
        <v>45090</v>
      </c>
      <c r="B110" s="3">
        <v>3.5035987596188001</v>
      </c>
      <c r="C110" s="3">
        <v>4.3974952470418396</v>
      </c>
      <c r="D110" s="3">
        <v>3.30210117895707</v>
      </c>
      <c r="E110" s="3">
        <v>3.5850674463671699</v>
      </c>
      <c r="F110" s="3">
        <v>2.3402728597937901</v>
      </c>
      <c r="G110" s="3">
        <v>3.1579115860394</v>
      </c>
      <c r="H110" s="3">
        <v>4.3493494955404</v>
      </c>
      <c r="I110" s="3">
        <v>0.77643591201887796</v>
      </c>
      <c r="J110" s="3">
        <v>1.62653958684018</v>
      </c>
      <c r="K110" s="3">
        <v>3.25327183288318</v>
      </c>
      <c r="L110" s="3">
        <v>2.63969023089845</v>
      </c>
      <c r="M110" s="3">
        <v>3.66437604507197</v>
      </c>
      <c r="N110" s="3">
        <v>5.3696184168316003</v>
      </c>
    </row>
    <row r="111" spans="1:14" x14ac:dyDescent="0.35">
      <c r="A111" s="2">
        <v>45120</v>
      </c>
      <c r="B111" s="3">
        <v>3.4026919485859</v>
      </c>
      <c r="C111" s="3">
        <v>4.2095803542313996</v>
      </c>
      <c r="D111" s="3">
        <v>3.2157597953671901</v>
      </c>
      <c r="E111" s="3">
        <v>3.64245945699518</v>
      </c>
      <c r="F111" s="3">
        <v>2.38877835548944</v>
      </c>
      <c r="G111" s="3">
        <v>3.18363888684982</v>
      </c>
      <c r="H111" s="3">
        <v>4.3718190384848103</v>
      </c>
      <c r="I111" s="3">
        <v>0.74659449964866997</v>
      </c>
      <c r="J111" s="3">
        <v>1.5780998024611701</v>
      </c>
      <c r="K111" s="3">
        <v>3.24928523373059</v>
      </c>
      <c r="L111" s="3">
        <v>2.65759761077405</v>
      </c>
      <c r="M111" s="3">
        <v>3.7485785301690302</v>
      </c>
      <c r="N111" s="3">
        <v>5.2335980147157102</v>
      </c>
    </row>
    <row r="112" spans="1:14" x14ac:dyDescent="0.35">
      <c r="A112" s="2">
        <v>45149</v>
      </c>
      <c r="B112" s="3">
        <v>3.4421867212539299</v>
      </c>
      <c r="C112" s="3">
        <v>4.1780366759215601</v>
      </c>
      <c r="D112" s="3">
        <v>3.4213148098155202</v>
      </c>
      <c r="E112" s="3">
        <v>3.7206893675422199</v>
      </c>
      <c r="F112" s="3">
        <v>2.3654000845728902</v>
      </c>
      <c r="G112" s="3">
        <v>3.2143880909920299</v>
      </c>
      <c r="H112" s="3">
        <v>4.42687625577262</v>
      </c>
      <c r="I112" s="3">
        <v>0.89841303877829404</v>
      </c>
      <c r="J112" s="3">
        <v>1.60613834910376</v>
      </c>
      <c r="K112" s="3">
        <v>3.30006984019525</v>
      </c>
      <c r="L112" s="3">
        <v>2.7762102341487198</v>
      </c>
      <c r="M112" s="3">
        <v>3.8884261730070202</v>
      </c>
      <c r="N112" s="3">
        <v>5.53065548535624</v>
      </c>
    </row>
    <row r="113" spans="1:25" x14ac:dyDescent="0.35">
      <c r="A113" s="2">
        <v>45182</v>
      </c>
      <c r="B113" s="3">
        <v>3.4004829834826702</v>
      </c>
      <c r="C113" s="3">
        <v>4.22477751508477</v>
      </c>
      <c r="D113" s="3">
        <v>3.4914725548029701</v>
      </c>
      <c r="E113" s="3">
        <v>3.7767124585785399</v>
      </c>
      <c r="F113" s="3">
        <v>2.31309254251935</v>
      </c>
      <c r="G113" s="3">
        <v>3.3015722015013802</v>
      </c>
      <c r="H113" s="3">
        <v>4.4639494921919596</v>
      </c>
      <c r="I113" s="3">
        <v>0.88335277571714399</v>
      </c>
      <c r="J113" s="3">
        <v>1.61213523172045</v>
      </c>
      <c r="K113" s="3">
        <v>3.3762746886924502</v>
      </c>
      <c r="L113" s="3">
        <v>2.9913751633820702</v>
      </c>
      <c r="M113" s="3">
        <v>4.0114010644571403</v>
      </c>
      <c r="N113" s="3">
        <v>5.4601527912261698</v>
      </c>
    </row>
    <row r="114" spans="1:25" x14ac:dyDescent="0.35">
      <c r="A114" s="2">
        <v>45212</v>
      </c>
      <c r="B114" s="3">
        <v>3.4487987563606</v>
      </c>
      <c r="C114" s="3">
        <v>4.3705118968663799</v>
      </c>
      <c r="D114" s="3">
        <v>3.6575474999952902</v>
      </c>
      <c r="E114" s="3">
        <v>3.9124236364323801</v>
      </c>
      <c r="F114" s="3">
        <v>2.3958408501972999</v>
      </c>
      <c r="G114" s="3">
        <v>3.3674155123415201</v>
      </c>
      <c r="H114" s="3">
        <v>4.4733374446049803</v>
      </c>
      <c r="I114" s="3">
        <v>0.93151746525805101</v>
      </c>
      <c r="J114" s="3">
        <v>1.67867815097328</v>
      </c>
      <c r="K114" s="3">
        <v>3.4934573526153101</v>
      </c>
      <c r="L114" s="3">
        <v>3.0424413155699099</v>
      </c>
      <c r="M114" s="3">
        <v>3.75715799967548</v>
      </c>
      <c r="N114" s="3">
        <v>5.5787554686694403</v>
      </c>
    </row>
    <row r="115" spans="1:25" x14ac:dyDescent="0.35">
      <c r="A115" s="2">
        <v>45243</v>
      </c>
      <c r="B115" s="3">
        <v>3.4819476510213199</v>
      </c>
      <c r="C115" s="3">
        <v>4.4253024482393402</v>
      </c>
      <c r="D115" s="3">
        <v>3.5846646870715499</v>
      </c>
      <c r="E115" s="3">
        <v>3.85382776077671</v>
      </c>
      <c r="F115" s="3">
        <v>2.4077984477985401</v>
      </c>
      <c r="G115" s="3">
        <v>3.48167472697244</v>
      </c>
      <c r="H115" s="3">
        <v>4.5679800116976397</v>
      </c>
      <c r="I115" s="3">
        <v>0.913246000538389</v>
      </c>
      <c r="J115" s="3">
        <v>1.6519791811547</v>
      </c>
      <c r="K115" s="3">
        <v>3.4450954199580899</v>
      </c>
      <c r="L115" s="3">
        <v>2.8889221563745999</v>
      </c>
      <c r="M115" s="3">
        <v>3.8638529985546302</v>
      </c>
      <c r="N115" s="3">
        <v>5.5852643396894601</v>
      </c>
    </row>
    <row r="116" spans="1:25" x14ac:dyDescent="0.35">
      <c r="A116" s="2">
        <v>45273</v>
      </c>
      <c r="B116" s="3">
        <v>3.0222915161661499</v>
      </c>
      <c r="C116" s="3">
        <v>4.2087438210788104</v>
      </c>
      <c r="D116" s="3">
        <v>3.4191443398261501</v>
      </c>
      <c r="E116" s="3">
        <v>3.5558658025543202</v>
      </c>
      <c r="F116" s="3">
        <v>2.4258488914705998</v>
      </c>
      <c r="G116" s="3">
        <v>3.30158140387024</v>
      </c>
      <c r="H116" s="3">
        <v>4.4007275233269398</v>
      </c>
      <c r="I116" s="3">
        <v>0.86206380511955305</v>
      </c>
      <c r="J116" s="3">
        <v>1.55424825780147</v>
      </c>
      <c r="K116" s="3">
        <v>3.2497865798702699</v>
      </c>
      <c r="L116" s="3">
        <v>2.7013811462689699</v>
      </c>
      <c r="M116" s="3">
        <v>3.0402728899237998</v>
      </c>
      <c r="N116" s="3">
        <v>5.4798518988759399</v>
      </c>
    </row>
    <row r="117" spans="1:25" x14ac:dyDescent="0.35">
      <c r="A117" s="2">
        <v>45303</v>
      </c>
      <c r="B117" s="3">
        <v>2.9703014929786602</v>
      </c>
      <c r="C117" s="3">
        <v>4.0480863705386803</v>
      </c>
      <c r="D117" s="3">
        <v>3.2625197872018199</v>
      </c>
      <c r="E117" s="3">
        <v>3.59782287993812</v>
      </c>
      <c r="F117" s="3">
        <v>2.2975210853439898</v>
      </c>
      <c r="G117" s="3">
        <v>3.2764449408380201</v>
      </c>
      <c r="H117" s="3">
        <v>4.3236399324421599</v>
      </c>
      <c r="I117" s="3">
        <v>0.91372128202706404</v>
      </c>
      <c r="J117" s="3">
        <v>1.5401035185218199</v>
      </c>
      <c r="K117" s="3">
        <v>3.2539366494336202</v>
      </c>
      <c r="L117" s="3">
        <v>2.7190191677539199</v>
      </c>
      <c r="M117" s="3">
        <v>2.9934500314303301</v>
      </c>
      <c r="N117" s="3">
        <v>5.4126884883757702</v>
      </c>
    </row>
    <row r="118" spans="1:25" x14ac:dyDescent="0.35">
      <c r="A118" s="2">
        <v>45335</v>
      </c>
      <c r="B118" s="3">
        <v>3.0527168763035801</v>
      </c>
      <c r="C118" s="3">
        <v>4.0259665624476302</v>
      </c>
      <c r="D118" s="3">
        <v>3.2993536138167299</v>
      </c>
      <c r="E118" s="3">
        <v>3.5501726086224101</v>
      </c>
      <c r="F118" s="3">
        <v>2.2360355606343001</v>
      </c>
      <c r="G118" s="3">
        <v>3.3965298666270298</v>
      </c>
      <c r="H118" s="3">
        <v>4.3515017316025597</v>
      </c>
      <c r="I118" s="3">
        <v>0.89740705080440597</v>
      </c>
      <c r="J118" s="3">
        <v>1.5096150101510899</v>
      </c>
      <c r="K118" s="3">
        <v>3.2091336260991201</v>
      </c>
      <c r="L118" s="3">
        <v>2.5033650013396498</v>
      </c>
      <c r="M118" s="3">
        <v>3.4074094148087002</v>
      </c>
      <c r="N118" s="3">
        <v>5.5288320113965801</v>
      </c>
    </row>
    <row r="119" spans="1:25" x14ac:dyDescent="0.35">
      <c r="A119" s="2">
        <v>45364</v>
      </c>
      <c r="B119" s="3">
        <v>2.77015787461601</v>
      </c>
      <c r="C119" s="3">
        <v>3.96207304293051</v>
      </c>
      <c r="D119" s="3">
        <v>3.0410410490193498</v>
      </c>
      <c r="E119" s="3">
        <v>3.2994213501233398</v>
      </c>
      <c r="F119" s="3">
        <v>2.2349826111631601</v>
      </c>
      <c r="G119" s="3">
        <v>3.2086051515591398</v>
      </c>
      <c r="H119" s="3">
        <v>4.0967528059669496</v>
      </c>
      <c r="I119" s="3">
        <v>0.88234408181687296</v>
      </c>
      <c r="J119" s="3">
        <v>1.45397329606388</v>
      </c>
      <c r="K119" s="3">
        <v>3.0495598520143501</v>
      </c>
      <c r="L119" s="3">
        <v>2.5788518941640302</v>
      </c>
      <c r="M119" s="3">
        <v>3.1931612442369901</v>
      </c>
      <c r="N119" s="3">
        <v>5.1557436848867404</v>
      </c>
    </row>
    <row r="120" spans="1:25" x14ac:dyDescent="0.35">
      <c r="A120" s="2">
        <v>45394</v>
      </c>
      <c r="B120" s="3">
        <v>2.7831433573724902</v>
      </c>
      <c r="C120" s="3">
        <v>3.9637094311346601</v>
      </c>
      <c r="D120" s="3">
        <v>3.0353178105641998</v>
      </c>
      <c r="E120" s="3">
        <v>3.3554637231326301</v>
      </c>
      <c r="F120" s="3">
        <v>2.1762545358979999</v>
      </c>
      <c r="G120" s="3">
        <v>3.3569118581579001</v>
      </c>
      <c r="H120" s="3">
        <v>4.0172666859096298</v>
      </c>
      <c r="I120" s="3">
        <v>0.89825308388264102</v>
      </c>
      <c r="J120" s="3">
        <v>1.4702146887312499</v>
      </c>
      <c r="K120" s="3">
        <v>3.1318629211070101</v>
      </c>
      <c r="L120" s="3">
        <v>2.5545156053678202</v>
      </c>
      <c r="M120" s="3">
        <v>3.2987108988723199</v>
      </c>
      <c r="N120" s="3">
        <v>5.2697885205649699</v>
      </c>
    </row>
    <row r="121" spans="1:25" x14ac:dyDescent="0.35">
      <c r="A121" s="2">
        <v>45425</v>
      </c>
      <c r="B121" s="3">
        <v>2.7400253785201998</v>
      </c>
      <c r="C121" s="3">
        <v>3.9747362259338401</v>
      </c>
      <c r="D121" s="3">
        <v>2.9661948308280701</v>
      </c>
      <c r="E121" s="3">
        <v>3.28952631030785</v>
      </c>
      <c r="F121" s="3">
        <v>2.24033138566999</v>
      </c>
      <c r="G121" s="3">
        <v>3.2678132613647501</v>
      </c>
      <c r="H121" s="3">
        <v>3.8270510724053199</v>
      </c>
      <c r="I121" s="3">
        <v>0.90963935244762695</v>
      </c>
      <c r="J121" s="3">
        <v>1.46232228813219</v>
      </c>
      <c r="K121" s="3">
        <v>3.0527739055201399</v>
      </c>
      <c r="L121" s="3">
        <v>2.48276214652229</v>
      </c>
      <c r="M121" s="3">
        <v>3.1783165797459798</v>
      </c>
      <c r="N121" s="3">
        <v>5.1735422216373497</v>
      </c>
    </row>
    <row r="122" spans="1:25" x14ac:dyDescent="0.35">
      <c r="A122" s="2">
        <v>45453</v>
      </c>
      <c r="B122" s="3">
        <v>2.74651997484081</v>
      </c>
      <c r="C122" s="3">
        <v>3.9468041944361998</v>
      </c>
      <c r="D122" s="3">
        <v>3.3350168349819498</v>
      </c>
      <c r="E122" s="3">
        <v>3.3694854391433502</v>
      </c>
      <c r="F122" s="3">
        <v>2.22170148101999</v>
      </c>
      <c r="G122" s="3">
        <v>3.1906601005800099</v>
      </c>
      <c r="H122" s="3">
        <v>3.9234486765648202</v>
      </c>
      <c r="I122" s="3">
        <v>0.85522410570238305</v>
      </c>
      <c r="J122" s="3">
        <v>1.4294699003034099</v>
      </c>
      <c r="K122" s="3">
        <v>3.2139834631316999</v>
      </c>
      <c r="L122" s="3">
        <v>2.43311096537863</v>
      </c>
      <c r="M122" s="3">
        <v>3.1921882517028002</v>
      </c>
      <c r="N122" s="3">
        <v>5.2641916706993497</v>
      </c>
    </row>
    <row r="125" spans="1:25" x14ac:dyDescent="0.35">
      <c r="A125" s="2" t="s">
        <v>91</v>
      </c>
      <c r="B125" s="3" cm="1">
        <f t="array" ref="B125">MIN(_xlfn._xlws.FILTER(B1:B122, ISNUMBER(B1:B122)))</f>
        <v>2.33081996462843</v>
      </c>
      <c r="C125" s="3" cm="1">
        <f t="array" ref="C125">MIN(_xlfn._xlws.FILTER(C1:C122, ISNUMBER(C1:C122)))</f>
        <v>3.3553959769031798</v>
      </c>
      <c r="D125" s="3" cm="1">
        <f t="array" ref="D125">MIN(_xlfn._xlws.FILTER(D1:D122, ISNUMBER(D1:D122)))</f>
        <v>2.5753467104645198</v>
      </c>
      <c r="E125" s="3" cm="1">
        <f t="array" ref="E125">MIN(_xlfn._xlws.FILTER(E1:E122, ISNUMBER(E1:E122)))</f>
        <v>2.6152136714849501</v>
      </c>
      <c r="F125" s="3" cm="1">
        <f t="array" ref="F125">MIN(_xlfn._xlws.FILTER(F1:F122, ISNUMBER(F1:F122)))</f>
        <v>1.8466512915484501</v>
      </c>
      <c r="G125" s="3" cm="1">
        <f t="array" ref="G125">MIN(_xlfn._xlws.FILTER(G1:G122, ISNUMBER(G1:G122)))</f>
        <v>2.5474579422930801</v>
      </c>
      <c r="H125" s="3" cm="1">
        <f t="array" ref="H125">MIN(_xlfn._xlws.FILTER(H1:H122, ISNUMBER(H1:H122)))</f>
        <v>3.76214169445237</v>
      </c>
      <c r="I125" s="3" cm="1">
        <f t="array" ref="I125">MIN(_xlfn._xlws.FILTER(I1:I122, ISNUMBER(I1:I122)))</f>
        <v>0.66544005352601998</v>
      </c>
      <c r="J125" s="3" cm="1">
        <f t="array" ref="J125">MIN(_xlfn._xlws.FILTER(J1:J122, ISNUMBER(J1:J122)))</f>
        <v>1.3699318736009201</v>
      </c>
      <c r="K125" s="3" cm="1">
        <f t="array" ref="K125">MIN(_xlfn._xlws.FILTER(K1:K122, ISNUMBER(K1:K122)))</f>
        <v>2.6421301926136498</v>
      </c>
      <c r="L125" s="3" cm="1">
        <f t="array" ref="L125">MIN(_xlfn._xlws.FILTER(L1:L122, ISNUMBER(L1:L122)))</f>
        <v>1.8414794238991901</v>
      </c>
      <c r="M125" s="3" cm="1">
        <f t="array" ref="M125">MIN(_xlfn._xlws.FILTER(M1:M122, ISNUMBER(M1:M122)))</f>
        <v>2.6400513460017998</v>
      </c>
      <c r="N125" s="3" cm="1">
        <f t="array" ref="N125">MIN(_xlfn._xlws.FILTER(N1:N122, ISNUMBER(N1:N122)))</f>
        <v>3.0706094483976099</v>
      </c>
    </row>
    <row r="126" spans="1:25" x14ac:dyDescent="0.35">
      <c r="A126" s="2" t="s">
        <v>92</v>
      </c>
      <c r="B126" s="3" cm="1">
        <f t="array" ref="B126">MAX(_xlfn._xlws.FILTER(B1:B122, ISNUMBER(B1:B122)))</f>
        <v>5.18833966563807</v>
      </c>
      <c r="C126" s="3" cm="1">
        <f t="array" ref="C126">MAX(_xlfn._xlws.FILTER(C1:C122, ISNUMBER(C1:C122)))</f>
        <v>5.4523977576531903</v>
      </c>
      <c r="D126" s="3" cm="1">
        <f t="array" ref="D126">MAX(_xlfn._xlws.FILTER(D1:D122, ISNUMBER(D1:D122)))</f>
        <v>4.2041531545858897</v>
      </c>
      <c r="E126" s="3" cm="1">
        <f t="array" ref="E126">MAX(_xlfn._xlws.FILTER(E1:E122, ISNUMBER(E1:E122)))</f>
        <v>4.4465420924241599</v>
      </c>
      <c r="F126" s="3" cm="1">
        <f t="array" ref="F126">MAX(_xlfn._xlws.FILTER(F1:F122, ISNUMBER(F1:F122)))</f>
        <v>3.2912925359606602</v>
      </c>
      <c r="G126" s="3" cm="1">
        <f t="array" ref="G126">MAX(_xlfn._xlws.FILTER(G1:G122, ISNUMBER(G1:G122)))</f>
        <v>3.8644203878979</v>
      </c>
      <c r="H126" s="3" cm="1">
        <f t="array" ref="H126">MAX(_xlfn._xlws.FILTER(H1:H122, ISNUMBER(H1:H122)))</f>
        <v>6.6482030664957303</v>
      </c>
      <c r="I126" s="3" cm="1">
        <f t="array" ref="I126">MAX(_xlfn._xlws.FILTER(I1:I122, ISNUMBER(I1:I122)))</f>
        <v>1.4698693982285</v>
      </c>
      <c r="J126" s="3" cm="1">
        <f t="array" ref="J126">MAX(_xlfn._xlws.FILTER(J1:J122, ISNUMBER(J1:J122)))</f>
        <v>2.5108863212785302</v>
      </c>
      <c r="K126" s="3" cm="1">
        <f t="array" ref="K126">MAX(_xlfn._xlws.FILTER(K1:K122, ISNUMBER(K1:K122)))</f>
        <v>4.7649003079616499</v>
      </c>
      <c r="L126" s="3" cm="1">
        <f t="array" ref="L126">MAX(_xlfn._xlws.FILTER(L1:L122, ISNUMBER(L1:L122)))</f>
        <v>3.6792487025297702</v>
      </c>
      <c r="M126" s="3" cm="1">
        <f t="array" ref="M126">MAX(_xlfn._xlws.FILTER(M1:M122, ISNUMBER(M1:M122)))</f>
        <v>4.6641846002276797</v>
      </c>
      <c r="N126" s="3" cm="1">
        <f t="array" ref="N126">MAX(_xlfn._xlws.FILTER(N1:N122, ISNUMBER(N1:N122)))</f>
        <v>6.8262728768737198</v>
      </c>
    </row>
    <row r="128" spans="1:25" x14ac:dyDescent="0.35">
      <c r="A128" s="2" t="s">
        <v>93</v>
      </c>
      <c r="B128" s="9" cm="1">
        <f t="array" ref="B128">_xlfn.PERCENTRANK.EXC(_xlfn._xlws.FILTER(B1:B122, ISNUMBER(B1:B122)),B122)</f>
        <v>0.17199999999999999</v>
      </c>
      <c r="C128" s="9" cm="1">
        <f t="array" ref="C128">_xlfn.PERCENTRANK.EXC(_xlfn._xlws.FILTER(C1:C122, ISNUMBER(C1:C122)),C122)</f>
        <v>0.13100000000000001</v>
      </c>
      <c r="D128" s="9" cm="1">
        <f t="array" ref="D128">_xlfn.PERCENTRANK.EXC(_xlfn._xlws.FILTER(D1:D122, ISNUMBER(D1:D122)),D122)</f>
        <v>0.754</v>
      </c>
      <c r="E128" s="9" cm="1">
        <f t="array" ref="E128">_xlfn.PERCENTRANK.EXC(_xlfn._xlws.FILTER(E1:E122, ISNUMBER(E1:E122)),E122)</f>
        <v>0.622</v>
      </c>
      <c r="F128" s="9" cm="1">
        <f t="array" ref="F128">_xlfn.PERCENTRANK.EXC(_xlfn._xlws.FILTER(F1:F122, ISNUMBER(F1:F122)),F122)</f>
        <v>0.39300000000000002</v>
      </c>
      <c r="G128" s="9" cm="1">
        <f t="array" ref="G128">_xlfn.PERCENTRANK.EXC(_xlfn._xlws.FILTER(G1:G122, ISNUMBER(G1:G122)),G122)</f>
        <v>0.39300000000000002</v>
      </c>
      <c r="H128" s="9" cm="1">
        <f t="array" ref="H128">_xlfn.PERCENTRANK.EXC(_xlfn._xlws.FILTER(H1:H122, ISNUMBER(H1:H122)),H122)</f>
        <v>9.8000000000000004E-2</v>
      </c>
      <c r="I128" s="9" cm="1">
        <f t="array" ref="I128">_xlfn.PERCENTRANK.EXC(_xlfn._xlws.FILTER(I1:I122, ISNUMBER(I1:I122)),I122)</f>
        <v>0.20399999999999999</v>
      </c>
      <c r="J128" s="9" cm="1">
        <f t="array" ref="J128">_xlfn.PERCENTRANK.EXC(_xlfn._xlws.FILTER(J1:J122, ISNUMBER(J1:J122)),J122)</f>
        <v>5.7000000000000002E-2</v>
      </c>
      <c r="K128" s="9" cm="1">
        <f t="array" ref="K128">_xlfn.PERCENTRANK.EXC(_xlfn._xlws.FILTER(K1:K122, ISNUMBER(K1:K122)),K122)</f>
        <v>0.27800000000000002</v>
      </c>
      <c r="L128" s="9" cm="1">
        <f t="array" ref="L128">_xlfn.PERCENTRANK.EXC(_xlfn._xlws.FILTER(L1:L122, ISNUMBER(L1:L122)),L122)</f>
        <v>0.18</v>
      </c>
      <c r="M128" s="9" cm="1">
        <f t="array" ref="M128">_xlfn.PERCENTRANK.EXC(_xlfn._xlws.FILTER(M1:M122, ISNUMBER(M1:M122)),M122)</f>
        <v>0.21299999999999999</v>
      </c>
      <c r="N128" s="9" cm="1">
        <f t="array" ref="N128">_xlfn.PERCENTRANK.EXC(_xlfn._xlws.FILTER(N1:N122, ISNUMBER(N1:N122)),N122)</f>
        <v>0.79500000000000004</v>
      </c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39"/>
  <sheetViews>
    <sheetView topLeftCell="A106" workbookViewId="0">
      <selection activeCell="B132" sqref="B132"/>
    </sheetView>
  </sheetViews>
  <sheetFormatPr defaultRowHeight="14.5" x14ac:dyDescent="0.35"/>
  <cols>
    <col min="1" max="1" width="24.54296875" bestFit="1" customWidth="1"/>
  </cols>
  <sheetData>
    <row r="1" spans="1:26" x14ac:dyDescent="0.35">
      <c r="B1" s="3" t="s">
        <v>431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26" x14ac:dyDescent="0.35">
      <c r="A2" s="2" cm="1">
        <f t="array" ref="A2:A122">_xll.FDS(B1,"JULIAN(FG_TOTAL_RETURNC(-10AY,0,AM).dates)")</f>
        <v>41803</v>
      </c>
      <c r="B2" s="24" cm="1">
        <f t="array" ref="B2:B122">_xll.FDS(B1,"FG_TOTAL_RETURNC(-10AY,0,AM)")/100</f>
        <v>-1.1088014E-2</v>
      </c>
      <c r="C2" s="24" cm="1">
        <f t="array" ref="C2:C122">_xll.FDS(C1,"FG_TOTAL_RETURNC(-10AY,0,AM)")/100</f>
        <v>-6.7567825E-3</v>
      </c>
      <c r="D2" s="24" cm="1">
        <f t="array" ref="D2:D122">_xll.FDS(D1,"FG_TOTAL_RETURNC(-10AY,0,AM)")/100</f>
        <v>2.8049588E-2</v>
      </c>
      <c r="E2" s="24" cm="1">
        <f t="array" ref="E2:E122">_xll.FDS(E1,"FG_TOTAL_RETURNC(-10AY,0,AM)")/100</f>
        <v>2.5236606999999999E-3</v>
      </c>
      <c r="F2" s="24" cm="1">
        <f t="array" ref="F2:F122">_xll.FDS(F1,"FG_TOTAL_RETURNC(-10AY,0,AM)")/100</f>
        <v>4.6902657E-2</v>
      </c>
      <c r="G2" s="24" cm="1">
        <f t="array" ref="G2:G122">_xll.FDS(G1,"FG_TOTAL_RETURNC(-10AY,0,AM)")/100</f>
        <v>-2.0006895000000001E-3</v>
      </c>
      <c r="H2" s="24" cm="1">
        <f t="array" ref="H2:H122">_xll.FDS(H1,"FG_TOTAL_RETURNC(-10AY,0,AM)")/100</f>
        <v>-1.8331409000000001E-3</v>
      </c>
      <c r="I2" s="24" cm="1">
        <f t="array" ref="I2:I122">_xll.FDS(I1,"FG_TOTAL_RETURNC(-10AY,0,AM)")/100</f>
        <v>4.5644999999999998E-2</v>
      </c>
      <c r="J2" s="24" cm="1">
        <f t="array" ref="J2:J122">_xll.FDS(J1,"FG_TOTAL_RETURNC(-10AY,0,AM)")/100</f>
        <v>2.1952033000000003E-2</v>
      </c>
      <c r="K2" s="24" cm="1">
        <f t="array" ref="K2:K122">_xll.FDS(K1,"FG_TOTAL_RETURNC(-10AY,0,AM)")/100</f>
        <v>6.6518779999999997E-4</v>
      </c>
      <c r="L2" s="24" cm="1">
        <f t="array" ref="L2:L122">_xll.FDS(L1,"FG_TOTAL_RETURNC(-10AY,0,AM)")/100</f>
        <v>1.1262178000000001E-2</v>
      </c>
      <c r="M2" s="24" cm="1">
        <f t="array" ref="M2:M122">_xll.FDS(M1,"FG_TOTAL_RETURNC(-10AY,0,AM)")/100</f>
        <v>-7.0119500000000003E-3</v>
      </c>
      <c r="N2" s="24" cm="1">
        <f t="array" ref="N2:N122">_xll.FDS(N1,"FG_TOTAL_RETURNC(-10AY,0,AM)")/100</f>
        <v>3.9953590000000004E-2</v>
      </c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x14ac:dyDescent="0.35">
      <c r="A3" s="2">
        <v>41831</v>
      </c>
      <c r="B3" s="24">
        <v>3.739357E-3</v>
      </c>
      <c r="C3" s="24">
        <v>1.8511295000000001E-2</v>
      </c>
      <c r="D3" s="24">
        <v>2.4996757999999997E-2</v>
      </c>
      <c r="E3" s="24">
        <v>-1.9311367999999999E-2</v>
      </c>
      <c r="F3" s="24">
        <v>1.6206145000000002E-2</v>
      </c>
      <c r="G3" s="24">
        <v>-8.803546399999999E-3</v>
      </c>
      <c r="H3" s="24">
        <v>-2.3601055000000001E-3</v>
      </c>
      <c r="I3" s="24">
        <v>3.4724949999999997E-2</v>
      </c>
      <c r="J3" s="24">
        <v>1.7616390999999999E-2</v>
      </c>
      <c r="K3" s="24">
        <v>-3.9799094E-2</v>
      </c>
      <c r="L3" s="24">
        <v>-3.0897975000000001E-2</v>
      </c>
      <c r="M3" s="24">
        <v>-4.0092109999999993E-2</v>
      </c>
      <c r="N3" s="24">
        <v>-4.9226880000000001E-2</v>
      </c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x14ac:dyDescent="0.35">
      <c r="A4" s="2">
        <v>41864</v>
      </c>
      <c r="B4" s="24">
        <v>-5.0113079999999997E-2</v>
      </c>
      <c r="C4" s="24">
        <v>-4.8964024000000004E-3</v>
      </c>
      <c r="D4" s="24">
        <v>-4.6772360000000004E-3</v>
      </c>
      <c r="E4" s="24">
        <v>-6.3829780000000003E-2</v>
      </c>
      <c r="F4" s="24">
        <v>-8.3744525999999997E-4</v>
      </c>
      <c r="G4" s="24">
        <v>-2.7634025000000003E-2</v>
      </c>
      <c r="H4" s="24">
        <v>-2.8005778999999998E-2</v>
      </c>
      <c r="I4" s="24">
        <v>1.2175917999999999E-2</v>
      </c>
      <c r="J4" s="24">
        <v>-9.0026259999999997E-3</v>
      </c>
      <c r="K4" s="24">
        <v>-5.0883350000000001E-2</v>
      </c>
      <c r="L4" s="24">
        <v>-3.8740933000000005E-2</v>
      </c>
      <c r="M4" s="24">
        <v>-1.3678729999999998E-2</v>
      </c>
      <c r="N4" s="24">
        <v>-8.0760120000000005E-2</v>
      </c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x14ac:dyDescent="0.35">
      <c r="A5" s="2">
        <v>41894</v>
      </c>
      <c r="B5" s="24">
        <v>-4.0100216999999997E-3</v>
      </c>
      <c r="C5" s="24">
        <v>-1.9303560000000001E-2</v>
      </c>
      <c r="D5" s="24">
        <v>8.1453323000000005E-3</v>
      </c>
      <c r="E5" s="24">
        <v>1.2587309E-2</v>
      </c>
      <c r="F5" s="24">
        <v>-1.1735140999999999E-2</v>
      </c>
      <c r="G5" s="24">
        <v>1.2158036000000001E-2</v>
      </c>
      <c r="H5" s="24">
        <v>-4.9676299999999998E-3</v>
      </c>
      <c r="I5" s="24">
        <v>3.1629205000000001E-2</v>
      </c>
      <c r="J5" s="24">
        <v>2.2018075000000002E-2</v>
      </c>
      <c r="K5" s="24">
        <v>2.4199486000000003E-2</v>
      </c>
      <c r="L5" s="24">
        <v>3.4005046000000004E-2</v>
      </c>
      <c r="M5" s="24">
        <v>-1.7999411E-2</v>
      </c>
      <c r="N5" s="24">
        <v>4.3927670000000002E-2</v>
      </c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x14ac:dyDescent="0.35">
      <c r="A6" s="2">
        <v>41925</v>
      </c>
      <c r="B6" s="24">
        <v>-4.1016636000000002E-2</v>
      </c>
      <c r="C6" s="24">
        <v>-9.8803520000000006E-2</v>
      </c>
      <c r="D6" s="24">
        <v>-0.10379118</v>
      </c>
      <c r="E6" s="24">
        <v>-0.111533165</v>
      </c>
      <c r="F6" s="24">
        <v>-7.3791323000000006E-2</v>
      </c>
      <c r="G6" s="24">
        <v>-8.1081029999999998E-2</v>
      </c>
      <c r="H6" s="24">
        <v>-8.2875669999999999E-2</v>
      </c>
      <c r="I6" s="24">
        <v>-6.3318310000000003E-2</v>
      </c>
      <c r="J6" s="24">
        <v>-5.4452420000000001E-2</v>
      </c>
      <c r="K6" s="24">
        <v>-0.10687023</v>
      </c>
      <c r="L6" s="24">
        <v>-7.9171715000000004E-2</v>
      </c>
      <c r="M6" s="24">
        <v>-7.9927799999999993E-2</v>
      </c>
      <c r="N6" s="24">
        <v>-0.11324256999999999</v>
      </c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x14ac:dyDescent="0.35">
      <c r="A7" s="2">
        <v>41956</v>
      </c>
      <c r="B7" s="24">
        <v>7.0847510000000002E-2</v>
      </c>
      <c r="C7" s="24">
        <v>6.1241983999999999E-2</v>
      </c>
      <c r="D7" s="24">
        <v>4.0221929999999996E-2</v>
      </c>
      <c r="E7" s="24">
        <v>4.5083523E-2</v>
      </c>
      <c r="F7" s="24">
        <v>7.7838900000000003E-2</v>
      </c>
      <c r="G7" s="24">
        <v>6.6993474999999997E-2</v>
      </c>
      <c r="H7" s="24">
        <v>3.3206223999999999E-2</v>
      </c>
      <c r="I7" s="24">
        <v>0.10692776</v>
      </c>
      <c r="J7" s="24">
        <v>8.9536909999999997E-2</v>
      </c>
      <c r="K7" s="24">
        <v>2.5641083999999998E-2</v>
      </c>
      <c r="L7" s="24">
        <v>5.6878209999999998E-2</v>
      </c>
      <c r="M7" s="24">
        <v>7.1848391999999997E-2</v>
      </c>
      <c r="N7" s="24">
        <v>-1.605022E-2</v>
      </c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x14ac:dyDescent="0.35">
      <c r="A8" s="2">
        <v>41985</v>
      </c>
      <c r="B8" s="24">
        <v>-1.1761785E-2</v>
      </c>
      <c r="C8" s="24">
        <v>-0.10290563999999999</v>
      </c>
      <c r="D8" s="24">
        <v>-8.6666699999999999E-2</v>
      </c>
      <c r="E8" s="24">
        <v>2.7891397000000002E-2</v>
      </c>
      <c r="F8" s="24">
        <v>-3.4834385000000002E-2</v>
      </c>
      <c r="G8" s="24">
        <v>-1.8376768000000002E-2</v>
      </c>
      <c r="H8" s="24">
        <v>-6.2697530000000001E-2</v>
      </c>
      <c r="I8" s="24">
        <v>-2.2352337999999999E-3</v>
      </c>
      <c r="J8" s="24">
        <v>-1.6161441999999998E-2</v>
      </c>
      <c r="K8" s="24">
        <v>-2.2619128000000002E-2</v>
      </c>
      <c r="L8" s="24">
        <v>-3.7546754E-3</v>
      </c>
      <c r="M8" s="24">
        <v>-1.9805013999999999E-2</v>
      </c>
      <c r="N8" s="24">
        <v>-2.5531947999999999E-2</v>
      </c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x14ac:dyDescent="0.35">
      <c r="A9" s="2">
        <v>42017</v>
      </c>
      <c r="B9" s="24">
        <v>2.1679759999999999E-2</v>
      </c>
      <c r="C9" s="24">
        <v>3.2958864999999997E-2</v>
      </c>
      <c r="D9" s="24">
        <v>1.9690990000000002E-3</v>
      </c>
      <c r="E9" s="24">
        <v>-2.2069394999999999E-2</v>
      </c>
      <c r="F9" s="24">
        <v>-1.0053514999999999E-2</v>
      </c>
      <c r="G9" s="24">
        <v>-1.2480497E-2</v>
      </c>
      <c r="H9" s="24">
        <v>7.1269274000000001E-3</v>
      </c>
      <c r="I9" s="24">
        <v>-7.534504E-3</v>
      </c>
      <c r="J9" s="24">
        <v>1.1451602E-2</v>
      </c>
      <c r="K9" s="24">
        <v>-1.4055431E-2</v>
      </c>
      <c r="L9" s="24">
        <v>-2.2210956E-2</v>
      </c>
      <c r="M9" s="24">
        <v>-3.7747679999999999E-2</v>
      </c>
      <c r="N9" s="24">
        <v>-4.9480320000000001E-2</v>
      </c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x14ac:dyDescent="0.35">
      <c r="A10" s="2">
        <v>42048</v>
      </c>
      <c r="B10" s="24">
        <v>-5.7360529999999996E-3</v>
      </c>
      <c r="C10" s="24">
        <v>4.4514419999999999E-2</v>
      </c>
      <c r="D10" s="24">
        <v>3.6927580000000002E-2</v>
      </c>
      <c r="E10" s="24">
        <v>7.991123E-2</v>
      </c>
      <c r="F10" s="24">
        <v>6.7084073999999994E-2</v>
      </c>
      <c r="G10" s="24">
        <v>3.6966800000000001E-2</v>
      </c>
      <c r="H10" s="24">
        <v>7.6266410000000007E-2</v>
      </c>
      <c r="I10" s="24">
        <v>5.3093076000000003E-2</v>
      </c>
      <c r="J10" s="24">
        <v>3.8103699999999997E-2</v>
      </c>
      <c r="K10" s="24">
        <v>8.7661029999999987E-2</v>
      </c>
      <c r="L10" s="24">
        <v>7.0477010000000007E-2</v>
      </c>
      <c r="M10" s="24">
        <v>9.079074999999999E-2</v>
      </c>
      <c r="N10" s="24">
        <v>0.11333847000000001</v>
      </c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x14ac:dyDescent="0.35">
      <c r="A11" s="2">
        <v>42076</v>
      </c>
      <c r="B11" s="24">
        <v>-3.4153460000000001E-3</v>
      </c>
      <c r="C11" s="24">
        <v>-2.4537205999999999E-2</v>
      </c>
      <c r="D11" s="24">
        <v>-5.4131090000000007E-2</v>
      </c>
      <c r="E11" s="24">
        <v>0</v>
      </c>
      <c r="F11" s="24">
        <v>4.6102166E-2</v>
      </c>
      <c r="G11" s="24">
        <v>-1.0664165000000001E-2</v>
      </c>
      <c r="H11" s="24">
        <v>-5.3939760000000003E-2</v>
      </c>
      <c r="I11" s="24">
        <v>-1.4685333E-2</v>
      </c>
      <c r="J11" s="24">
        <v>-1.8842638000000002E-2</v>
      </c>
      <c r="K11" s="24">
        <v>-3.2085537999999997E-2</v>
      </c>
      <c r="L11" s="24">
        <v>5.6202410000000006E-3</v>
      </c>
      <c r="M11" s="24">
        <v>-1.8794775E-2</v>
      </c>
      <c r="N11" s="24">
        <v>-1.3850391E-2</v>
      </c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x14ac:dyDescent="0.35">
      <c r="A12" s="2">
        <v>42107</v>
      </c>
      <c r="B12" s="24">
        <v>1.0975957000000001E-2</v>
      </c>
      <c r="C12" s="24">
        <v>2.1623969999999999E-2</v>
      </c>
      <c r="D12" s="24">
        <v>6.2123537000000006E-2</v>
      </c>
      <c r="E12" s="24">
        <v>3.5628556999999998E-2</v>
      </c>
      <c r="F12" s="24">
        <v>2.9647469999999999E-2</v>
      </c>
      <c r="G12" s="24">
        <v>5.3587914E-2</v>
      </c>
      <c r="H12" s="24">
        <v>3.8010120000000001E-2</v>
      </c>
      <c r="I12" s="24">
        <v>2.2647379999999998E-2</v>
      </c>
      <c r="J12" s="24">
        <v>2.0346045E-2</v>
      </c>
      <c r="K12" s="24">
        <v>5.051303E-2</v>
      </c>
      <c r="L12" s="24">
        <v>3.5129785999999996E-2</v>
      </c>
      <c r="M12" s="24">
        <v>1.6722440999999998E-2</v>
      </c>
      <c r="N12" s="24">
        <v>5.2668569999999998E-2</v>
      </c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x14ac:dyDescent="0.35">
      <c r="A13" s="2">
        <v>42137</v>
      </c>
      <c r="B13" s="24">
        <v>-1.2450755000000001E-2</v>
      </c>
      <c r="C13" s="24">
        <v>1.6846657000000001E-2</v>
      </c>
      <c r="D13" s="24">
        <v>2.1269083000000001E-2</v>
      </c>
      <c r="E13" s="24">
        <v>-1.5216649E-2</v>
      </c>
      <c r="F13" s="24">
        <v>1.2451291E-2</v>
      </c>
      <c r="G13" s="24">
        <v>3.6831379999999997E-2</v>
      </c>
      <c r="H13" s="24">
        <v>6.1389327E-2</v>
      </c>
      <c r="I13" s="24">
        <v>4.8381090000000002E-3</v>
      </c>
      <c r="J13" s="24">
        <v>4.4479369999999999E-3</v>
      </c>
      <c r="K13" s="24">
        <v>2.4417757999999998E-2</v>
      </c>
      <c r="L13" s="24">
        <v>2.738142E-2</v>
      </c>
      <c r="M13" s="24">
        <v>1.7344594000000001E-2</v>
      </c>
      <c r="N13" s="24">
        <v>4.336226E-2</v>
      </c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x14ac:dyDescent="0.35">
      <c r="A14" s="2">
        <v>42167</v>
      </c>
      <c r="B14" s="24">
        <v>-4.9937009999999997E-2</v>
      </c>
      <c r="C14" s="24">
        <v>-6.9243910000000006E-2</v>
      </c>
      <c r="D14" s="24">
        <v>-4.3387710000000003E-2</v>
      </c>
      <c r="E14" s="24">
        <v>-1.9146799999999999E-2</v>
      </c>
      <c r="F14" s="24">
        <v>-3.8431883000000001E-3</v>
      </c>
      <c r="G14" s="24">
        <v>-1.6633749E-2</v>
      </c>
      <c r="H14" s="24">
        <v>-2.9426694000000003E-2</v>
      </c>
      <c r="I14" s="24">
        <v>6.9444179999999999E-3</v>
      </c>
      <c r="J14" s="24">
        <v>-4.7683715999999996E-5</v>
      </c>
      <c r="K14" s="24">
        <v>-1.1001169999999999E-2</v>
      </c>
      <c r="L14" s="24">
        <v>-1.0510445E-2</v>
      </c>
      <c r="M14" s="24">
        <v>1.5873075E-2</v>
      </c>
      <c r="N14" s="24">
        <v>-5.7544709999999997E-3</v>
      </c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x14ac:dyDescent="0.35">
      <c r="A15" s="2">
        <v>42198</v>
      </c>
      <c r="B15" s="24">
        <v>-6.9169759999999997E-2</v>
      </c>
      <c r="C15" s="24">
        <v>-3.1862914999999999E-2</v>
      </c>
      <c r="D15" s="24">
        <v>-4.349107E-2</v>
      </c>
      <c r="E15" s="24">
        <v>3.0697583999999998E-3</v>
      </c>
      <c r="F15" s="24">
        <v>-5.0362944999999999E-3</v>
      </c>
      <c r="G15" s="24">
        <v>-1.9480585999999999E-3</v>
      </c>
      <c r="H15" s="24">
        <v>-1.3710678E-2</v>
      </c>
      <c r="I15" s="24">
        <v>9.5940829999999998E-3</v>
      </c>
      <c r="J15" s="24">
        <v>3.7379265000000001E-3</v>
      </c>
      <c r="K15" s="24">
        <v>-5.7049394000000002E-3</v>
      </c>
      <c r="L15" s="24">
        <v>8.7087154000000007E-3</v>
      </c>
      <c r="M15" s="24">
        <v>-2.5920390000000001E-2</v>
      </c>
      <c r="N15" s="24">
        <v>-7.9045890000000001E-3</v>
      </c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x14ac:dyDescent="0.35">
      <c r="A16" s="2">
        <v>42229</v>
      </c>
      <c r="B16" s="24">
        <v>-1.7261565E-2</v>
      </c>
      <c r="C16" s="24">
        <v>-3.9594412000000002E-2</v>
      </c>
      <c r="D16" s="24">
        <v>-3.8608549999999998E-2</v>
      </c>
      <c r="E16" s="24">
        <v>-2.7092755E-2</v>
      </c>
      <c r="F16" s="24">
        <v>7.0148706000000005E-3</v>
      </c>
      <c r="G16" s="24">
        <v>-1.8529415E-2</v>
      </c>
      <c r="H16" s="24">
        <v>-1.2412369000000001E-2</v>
      </c>
      <c r="I16" s="24">
        <v>7.3032380000000001E-3</v>
      </c>
      <c r="J16" s="24">
        <v>-5.2915215000000002E-3</v>
      </c>
      <c r="K16" s="24">
        <v>1.0997295000000001E-2</v>
      </c>
      <c r="L16" s="24">
        <v>-1.4840245E-2</v>
      </c>
      <c r="M16" s="24">
        <v>-1.2300192999999999E-2</v>
      </c>
      <c r="N16" s="24">
        <v>3.1002640000000001E-2</v>
      </c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x14ac:dyDescent="0.35">
      <c r="A17" s="2">
        <v>42258</v>
      </c>
      <c r="B17" s="24">
        <v>-5.0610304000000002E-2</v>
      </c>
      <c r="C17" s="24">
        <v>-7.843137E-2</v>
      </c>
      <c r="D17" s="24">
        <v>-6.7992030000000009E-2</v>
      </c>
      <c r="E17" s="24">
        <v>-5.4623365E-2</v>
      </c>
      <c r="F17" s="24">
        <v>-9.133129999999999E-2</v>
      </c>
      <c r="G17" s="24">
        <v>-4.7947226000000003E-2</v>
      </c>
      <c r="H17" s="24">
        <v>-7.3770403999999998E-2</v>
      </c>
      <c r="I17" s="24">
        <v>-4.3230000000000005E-2</v>
      </c>
      <c r="J17" s="24">
        <v>-5.7126403000000006E-2</v>
      </c>
      <c r="K17" s="24">
        <v>-6.414098E-2</v>
      </c>
      <c r="L17" s="24">
        <v>-6.7207394000000004E-2</v>
      </c>
      <c r="M17" s="24">
        <v>-3.2689870000000003E-2</v>
      </c>
      <c r="N17" s="24">
        <v>-4.7984657000000007E-2</v>
      </c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x14ac:dyDescent="0.35">
      <c r="A18" s="2">
        <v>42290</v>
      </c>
      <c r="B18" s="24">
        <v>6.5537810000000002E-2</v>
      </c>
      <c r="C18" s="24">
        <v>4.473543E-2</v>
      </c>
      <c r="D18" s="24">
        <v>4.4795156000000003E-2</v>
      </c>
      <c r="E18" s="24">
        <v>-1.8126844999999999E-2</v>
      </c>
      <c r="F18" s="24">
        <v>2.1294713E-2</v>
      </c>
      <c r="G18" s="24">
        <v>-3.7771463E-3</v>
      </c>
      <c r="H18" s="24">
        <v>1.4749289E-2</v>
      </c>
      <c r="I18" s="24">
        <v>7.5008870000000004E-3</v>
      </c>
      <c r="J18" s="24">
        <v>2.3222565999999997E-2</v>
      </c>
      <c r="K18" s="24">
        <v>1.7635226E-2</v>
      </c>
      <c r="L18" s="24">
        <v>4.9690008000000006E-3</v>
      </c>
      <c r="M18" s="24">
        <v>-1.1586784999999999E-2</v>
      </c>
      <c r="N18" s="24">
        <v>1.0752678E-2</v>
      </c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x14ac:dyDescent="0.35">
      <c r="A19" s="2">
        <v>42321</v>
      </c>
      <c r="B19" s="24">
        <v>2.7957678E-2</v>
      </c>
      <c r="C19" s="24">
        <v>-5.4308056999999993E-2</v>
      </c>
      <c r="D19" s="24">
        <v>-7.799101E-2</v>
      </c>
      <c r="E19" s="24">
        <v>1.9230842999999999E-3</v>
      </c>
      <c r="F19" s="24">
        <v>3.0025125E-2</v>
      </c>
      <c r="G19" s="24">
        <v>-3.2859384999999998E-2</v>
      </c>
      <c r="H19" s="24">
        <v>-3.372091E-2</v>
      </c>
      <c r="I19" s="24">
        <v>3.5249709999999997E-2</v>
      </c>
      <c r="J19" s="24">
        <v>1.1435628E-2</v>
      </c>
      <c r="K19" s="24">
        <v>-2.3237526000000001E-2</v>
      </c>
      <c r="L19" s="24">
        <v>-1.6481876000000002E-3</v>
      </c>
      <c r="M19" s="24">
        <v>-5.0146522999999998E-2</v>
      </c>
      <c r="N19" s="24">
        <v>-6.7819119999999997E-2</v>
      </c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x14ac:dyDescent="0.35">
      <c r="A20" s="2">
        <v>42349</v>
      </c>
      <c r="B20" s="24">
        <v>3.4354448000000003E-2</v>
      </c>
      <c r="C20" s="24">
        <v>-1.1044144999999999E-3</v>
      </c>
      <c r="D20" s="24">
        <v>-4.4729890000000001E-2</v>
      </c>
      <c r="E20" s="24">
        <v>-1.0364652E-2</v>
      </c>
      <c r="F20" s="24">
        <v>-2.7530372000000001E-2</v>
      </c>
      <c r="G20" s="24">
        <v>-3.2669305999999997E-3</v>
      </c>
      <c r="H20" s="24">
        <v>-2.6474178000000001E-2</v>
      </c>
      <c r="I20" s="24">
        <v>8.6489915999999993E-3</v>
      </c>
      <c r="J20" s="24">
        <v>-3.2585859999999999E-3</v>
      </c>
      <c r="K20" s="24">
        <v>-2.9435456000000002E-2</v>
      </c>
      <c r="L20" s="24">
        <v>-2.6826262E-2</v>
      </c>
      <c r="M20" s="24">
        <v>-3.0167936999999999E-2</v>
      </c>
      <c r="N20" s="24">
        <v>-2.0684779E-2</v>
      </c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x14ac:dyDescent="0.35">
      <c r="A21" s="2">
        <v>42382</v>
      </c>
      <c r="B21" s="24">
        <v>-1.9243896E-2</v>
      </c>
      <c r="C21" s="24">
        <v>-4.4238986999999994E-2</v>
      </c>
      <c r="D21" s="24">
        <v>-8.9327389999999993E-2</v>
      </c>
      <c r="E21" s="24">
        <v>-5.9348344999999997E-2</v>
      </c>
      <c r="F21" s="24">
        <v>-4.7235610000000004E-2</v>
      </c>
      <c r="G21" s="24">
        <v>-4.2936744999999998E-2</v>
      </c>
      <c r="H21" s="24">
        <v>-6.5764903999999999E-2</v>
      </c>
      <c r="I21" s="24">
        <v>-7.7375116000000008E-2</v>
      </c>
      <c r="J21" s="24">
        <v>-5.8976769999999998E-2</v>
      </c>
      <c r="K21" s="24">
        <v>-5.6827306999999994E-2</v>
      </c>
      <c r="L21" s="24">
        <v>-4.1640043000000002E-2</v>
      </c>
      <c r="M21" s="24">
        <v>-4.3336925999999998E-2</v>
      </c>
      <c r="N21" s="24">
        <v>-6.3456773999999994E-2</v>
      </c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x14ac:dyDescent="0.35">
      <c r="A22" s="2">
        <v>42412</v>
      </c>
      <c r="B22" s="24">
        <v>-6.6120624999999999E-3</v>
      </c>
      <c r="C22" s="24">
        <v>7.1344375999999998E-3</v>
      </c>
      <c r="D22" s="24">
        <v>5.3147554E-2</v>
      </c>
      <c r="E22" s="24">
        <v>-4.6597899999999998E-2</v>
      </c>
      <c r="F22" s="24">
        <v>-8.362675E-2</v>
      </c>
      <c r="G22" s="24">
        <v>-3.5273970000000002E-2</v>
      </c>
      <c r="H22" s="24">
        <v>-1.2145698E-2</v>
      </c>
      <c r="I22" s="24">
        <v>-3.8076579999999999E-2</v>
      </c>
      <c r="J22" s="24">
        <v>-1.1650681000000001E-2</v>
      </c>
      <c r="K22" s="24">
        <v>-3.2714486000000001E-2</v>
      </c>
      <c r="L22" s="24">
        <v>-3.2947480000000001E-2</v>
      </c>
      <c r="M22" s="24">
        <v>-2.2559165999999999E-2</v>
      </c>
      <c r="N22" s="24">
        <v>-0.13650549000000001</v>
      </c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x14ac:dyDescent="0.35">
      <c r="A23" s="2">
        <v>42440</v>
      </c>
      <c r="B23" s="24">
        <v>0.12101912499999999</v>
      </c>
      <c r="C23" s="24">
        <v>0.16706026000000002</v>
      </c>
      <c r="D23" s="24">
        <v>0.14600682000000001</v>
      </c>
      <c r="E23" s="24">
        <v>8.6072679999999999E-2</v>
      </c>
      <c r="F23" s="24">
        <v>0.10758888000000001</v>
      </c>
      <c r="G23" s="24">
        <v>5.7152987000000002E-2</v>
      </c>
      <c r="H23" s="24">
        <v>7.1721314999999994E-2</v>
      </c>
      <c r="I23" s="24">
        <v>8.6411000000000002E-2</v>
      </c>
      <c r="J23" s="24">
        <v>8.6427690000000001E-2</v>
      </c>
      <c r="K23" s="24">
        <v>0.11106038</v>
      </c>
      <c r="L23" s="24">
        <v>0.11924493999999999</v>
      </c>
      <c r="M23" s="24">
        <v>0.11350739000000001</v>
      </c>
      <c r="N23" s="24">
        <v>0.14272809</v>
      </c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x14ac:dyDescent="0.35">
      <c r="A24" s="2">
        <v>42473</v>
      </c>
      <c r="B24" s="24">
        <v>7.1280956000000006E-2</v>
      </c>
      <c r="C24" s="24">
        <v>-1.4162898E-2</v>
      </c>
      <c r="D24" s="24">
        <v>4.2325735000000003E-2</v>
      </c>
      <c r="E24" s="24">
        <v>2.5089621999999999E-2</v>
      </c>
      <c r="F24" s="24">
        <v>2.6886462999999999E-2</v>
      </c>
      <c r="G24" s="24">
        <v>2.0819306000000003E-2</v>
      </c>
      <c r="H24" s="24">
        <v>2.3581861999999999E-2</v>
      </c>
      <c r="I24" s="24">
        <v>4.4588922999999996E-2</v>
      </c>
      <c r="J24" s="24">
        <v>3.1115531999999998E-2</v>
      </c>
      <c r="K24" s="24">
        <v>9.0497730000000005E-3</v>
      </c>
      <c r="L24" s="24">
        <v>1.8922329000000002E-2</v>
      </c>
      <c r="M24" s="24">
        <v>3.0580997000000002E-2</v>
      </c>
      <c r="N24" s="24">
        <v>-4.2687774000000005E-2</v>
      </c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x14ac:dyDescent="0.35">
      <c r="A25" s="2">
        <v>42503</v>
      </c>
      <c r="B25" s="24">
        <v>-6.2680243999999998E-3</v>
      </c>
      <c r="C25" s="24">
        <v>-4.6177506000000005E-3</v>
      </c>
      <c r="D25" s="24">
        <v>-9.8441242999999998E-3</v>
      </c>
      <c r="E25" s="24">
        <v>-1.1266469999999999E-2</v>
      </c>
      <c r="F25" s="24">
        <v>-2.6182473000000001E-2</v>
      </c>
      <c r="G25" s="24">
        <v>-1.4473677000000001E-2</v>
      </c>
      <c r="H25" s="24">
        <v>-2.6151895999999997E-2</v>
      </c>
      <c r="I25" s="24">
        <v>-4.8778295999999999E-2</v>
      </c>
      <c r="J25" s="24">
        <v>-1.5580714000000001E-2</v>
      </c>
      <c r="K25" s="24">
        <v>-2.4867535E-2</v>
      </c>
      <c r="L25" s="24">
        <v>-3.0278562999999998E-2</v>
      </c>
      <c r="M25" s="24">
        <v>-5.8028339999999998E-2</v>
      </c>
      <c r="N25" s="24">
        <v>-2.0644068999999998E-2</v>
      </c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x14ac:dyDescent="0.35">
      <c r="A26" s="2">
        <v>42534</v>
      </c>
      <c r="B26" s="24">
        <v>4.3182850000000002E-2</v>
      </c>
      <c r="C26" s="24">
        <v>-7.7319145000000001E-3</v>
      </c>
      <c r="D26" s="24">
        <v>3.1483053999999996E-2</v>
      </c>
      <c r="E26" s="24">
        <v>-2.7504919999999999E-2</v>
      </c>
      <c r="F26" s="24">
        <v>-7.8057646999999996E-3</v>
      </c>
      <c r="G26" s="24">
        <v>-8.0106854000000002E-3</v>
      </c>
      <c r="H26" s="24">
        <v>-1.3427138E-2</v>
      </c>
      <c r="I26" s="24">
        <v>2.3980975000000002E-2</v>
      </c>
      <c r="J26" s="24">
        <v>1.8017292000000001E-2</v>
      </c>
      <c r="K26" s="24">
        <v>-1.5468239999999999E-2</v>
      </c>
      <c r="L26" s="24">
        <v>-1.3738573E-2</v>
      </c>
      <c r="M26" s="24">
        <v>-1.4700711E-2</v>
      </c>
      <c r="N26" s="24">
        <v>-4.384482E-2</v>
      </c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x14ac:dyDescent="0.35">
      <c r="A27" s="2">
        <v>42564</v>
      </c>
      <c r="B27" s="24">
        <v>6.0328125999999996E-2</v>
      </c>
      <c r="C27" s="24">
        <v>6.6336155000000008E-2</v>
      </c>
      <c r="D27" s="24">
        <v>1.8060923E-2</v>
      </c>
      <c r="E27" s="24">
        <v>1.1883973999999999E-2</v>
      </c>
      <c r="F27" s="24">
        <v>4.8463940000000004E-2</v>
      </c>
      <c r="G27" s="24">
        <v>2.5585054999999999E-2</v>
      </c>
      <c r="H27" s="24">
        <v>2.53402E-2</v>
      </c>
      <c r="I27" s="24">
        <v>3.2300233999999997E-2</v>
      </c>
      <c r="J27" s="24">
        <v>3.6426662999999998E-2</v>
      </c>
      <c r="K27" s="24">
        <v>1.1844516000000001E-2</v>
      </c>
      <c r="L27" s="24">
        <v>2.0403862E-3</v>
      </c>
      <c r="M27" s="24">
        <v>1.9648314E-2</v>
      </c>
      <c r="N27" s="24">
        <v>-6.8797470000000003E-3</v>
      </c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x14ac:dyDescent="0.35">
      <c r="A28" s="2">
        <v>42594</v>
      </c>
      <c r="B28" s="24">
        <v>3.2652139999999996E-2</v>
      </c>
      <c r="C28" s="24">
        <v>3.0632495999999999E-2</v>
      </c>
      <c r="D28" s="24">
        <v>2.3061633000000002E-2</v>
      </c>
      <c r="E28" s="24">
        <v>8.3844550000000004E-2</v>
      </c>
      <c r="F28" s="24">
        <v>3.6134480999999996E-2</v>
      </c>
      <c r="G28" s="24">
        <v>3.5028576999999998E-2</v>
      </c>
      <c r="H28" s="24">
        <v>2.0077704999999998E-2</v>
      </c>
      <c r="I28" s="24">
        <v>5.3767322999999999E-2</v>
      </c>
      <c r="J28" s="24">
        <v>1.6471267000000001E-2</v>
      </c>
      <c r="K28" s="24">
        <v>4.2186855999999995E-2</v>
      </c>
      <c r="L28" s="24">
        <v>5.1709414000000002E-2</v>
      </c>
      <c r="M28" s="24">
        <v>4.5997740000000002E-2</v>
      </c>
      <c r="N28" s="24">
        <v>3.0136942999999999E-2</v>
      </c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x14ac:dyDescent="0.35">
      <c r="A29" s="2">
        <v>42626</v>
      </c>
      <c r="B29" s="24">
        <v>-1.8928825999999999E-2</v>
      </c>
      <c r="C29" s="24">
        <v>-7.574301700000001E-2</v>
      </c>
      <c r="D29" s="24">
        <v>-3.731048E-2</v>
      </c>
      <c r="E29" s="24">
        <v>-2.2641540000000002E-2</v>
      </c>
      <c r="F29" s="24">
        <v>-9.7323656000000008E-3</v>
      </c>
      <c r="G29" s="24">
        <v>-1.3016582E-2</v>
      </c>
      <c r="H29" s="24">
        <v>-1.2698411999999999E-2</v>
      </c>
      <c r="I29" s="24">
        <v>-1.6296923000000001E-2</v>
      </c>
      <c r="J29" s="24">
        <v>-2.3940383999999999E-2</v>
      </c>
      <c r="K29" s="24">
        <v>-1.4869809000000001E-2</v>
      </c>
      <c r="L29" s="24">
        <v>-1.053232E-2</v>
      </c>
      <c r="M29" s="24">
        <v>-1.0387778E-2</v>
      </c>
      <c r="N29" s="24">
        <v>-1.4184356E-2</v>
      </c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x14ac:dyDescent="0.35">
      <c r="A30" s="2">
        <v>42656</v>
      </c>
      <c r="B30" s="24">
        <v>-4.1219052999999999E-2</v>
      </c>
      <c r="C30" s="24">
        <v>7.2095393999999993E-2</v>
      </c>
      <c r="D30" s="24">
        <v>2.4626492999999999E-2</v>
      </c>
      <c r="E30" s="24">
        <v>-1.0038614E-2</v>
      </c>
      <c r="F30" s="24">
        <v>1.0647058000000001E-2</v>
      </c>
      <c r="G30" s="24">
        <v>-2.3079455000000002E-2</v>
      </c>
      <c r="H30" s="24">
        <v>-2.5723517000000001E-2</v>
      </c>
      <c r="I30" s="24">
        <v>1.7374872999999999E-2</v>
      </c>
      <c r="J30" s="24">
        <v>4.0344000000000005E-3</v>
      </c>
      <c r="K30" s="24">
        <v>-8.3857775000000002E-3</v>
      </c>
      <c r="L30" s="24">
        <v>-3.3181310000000002E-3</v>
      </c>
      <c r="M30" s="24">
        <v>-1.6445041000000001E-2</v>
      </c>
      <c r="N30" s="24">
        <v>-3.0575573000000002E-2</v>
      </c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x14ac:dyDescent="0.35">
      <c r="A31" s="2">
        <v>42685</v>
      </c>
      <c r="B31" s="24">
        <v>-6.1513780000000004E-2</v>
      </c>
      <c r="C31" s="24">
        <v>-1.1611043999999999E-2</v>
      </c>
      <c r="D31" s="24">
        <v>-2.0882546999999998E-2</v>
      </c>
      <c r="E31" s="24">
        <v>-5.8501959999999993E-3</v>
      </c>
      <c r="F31" s="24">
        <v>2.8363465999999998E-3</v>
      </c>
      <c r="G31" s="24">
        <v>-1.5187262999999999E-2</v>
      </c>
      <c r="H31" s="24">
        <v>-6.6006184000000001E-3</v>
      </c>
      <c r="I31" s="24">
        <v>-1.0256410000000001E-2</v>
      </c>
      <c r="J31" s="24">
        <v>1.6008615E-2</v>
      </c>
      <c r="K31" s="24">
        <v>-1.2684464E-3</v>
      </c>
      <c r="L31" s="24">
        <v>-2.0189524E-2</v>
      </c>
      <c r="M31" s="24">
        <v>-2.1344721000000001E-2</v>
      </c>
      <c r="N31" s="24">
        <v>2.4582624000000001E-2</v>
      </c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x14ac:dyDescent="0.35">
      <c r="A32" s="2">
        <v>42717</v>
      </c>
      <c r="B32" s="24">
        <v>4.0448310000000001E-2</v>
      </c>
      <c r="C32" s="24">
        <v>4.3563365999999999E-2</v>
      </c>
      <c r="D32" s="24">
        <v>9.336019000000001E-2</v>
      </c>
      <c r="E32" s="24">
        <v>3.3346414999999997E-2</v>
      </c>
      <c r="F32" s="24">
        <v>3.7373662000000002E-2</v>
      </c>
      <c r="G32" s="24">
        <v>8.5674523999999998E-3</v>
      </c>
      <c r="H32" s="24">
        <v>4.1195990000000002E-2</v>
      </c>
      <c r="I32" s="24">
        <v>4.0241720000000002E-2</v>
      </c>
      <c r="J32" s="24">
        <v>5.2398085999999996E-2</v>
      </c>
      <c r="K32" s="24">
        <v>4.4030430000000002E-2</v>
      </c>
      <c r="L32" s="24">
        <v>2.0184994000000001E-2</v>
      </c>
      <c r="M32" s="24">
        <v>5.5979609999999999E-2</v>
      </c>
      <c r="N32" s="24">
        <v>9.2802159999999995E-2</v>
      </c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x14ac:dyDescent="0.35">
      <c r="A33" s="2">
        <v>42748</v>
      </c>
      <c r="B33" s="24">
        <v>1.685977E-2</v>
      </c>
      <c r="C33" s="24">
        <v>3.2036424000000001E-2</v>
      </c>
      <c r="D33" s="24">
        <v>8.5048676000000004E-3</v>
      </c>
      <c r="E33" s="24">
        <v>2.9966593E-2</v>
      </c>
      <c r="F33" s="24">
        <v>2.6654004999999998E-3</v>
      </c>
      <c r="G33" s="24">
        <v>3.7683964E-2</v>
      </c>
      <c r="H33" s="24">
        <v>1.3524055E-2</v>
      </c>
      <c r="I33" s="24">
        <v>2.5448322000000002E-2</v>
      </c>
      <c r="J33" s="24">
        <v>2.7695894E-3</v>
      </c>
      <c r="K33" s="24">
        <v>2.7198433999999997E-2</v>
      </c>
      <c r="L33" s="24">
        <v>2.7498603E-2</v>
      </c>
      <c r="M33" s="24">
        <v>1.6352295999999999E-2</v>
      </c>
      <c r="N33" s="24">
        <v>2.6368140000000002E-2</v>
      </c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x14ac:dyDescent="0.35">
      <c r="A34" s="2">
        <v>42779</v>
      </c>
      <c r="B34" s="24">
        <v>2.7638793000000002E-2</v>
      </c>
      <c r="C34" s="24">
        <v>2.4731635999999998E-2</v>
      </c>
      <c r="D34" s="24">
        <v>2.0272849999999999E-2</v>
      </c>
      <c r="E34" s="24">
        <v>1.1430621E-2</v>
      </c>
      <c r="F34" s="24">
        <v>1.3558745000000001E-2</v>
      </c>
      <c r="G34" s="24">
        <v>8.5190535000000001E-3</v>
      </c>
      <c r="H34" s="24">
        <v>2.1385312E-2</v>
      </c>
      <c r="I34" s="24">
        <v>4.0110469999999995E-2</v>
      </c>
      <c r="J34" s="24">
        <v>2.5192738000000003E-2</v>
      </c>
      <c r="K34" s="24">
        <v>-7.1315764999999995E-3</v>
      </c>
      <c r="L34" s="24">
        <v>1.9910574E-2</v>
      </c>
      <c r="M34" s="24">
        <v>3.7262917E-2</v>
      </c>
      <c r="N34" s="24">
        <v>-2.9735208000000003E-2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x14ac:dyDescent="0.35">
      <c r="A35" s="2">
        <v>42807</v>
      </c>
      <c r="B35" s="24">
        <v>-3.4648715999999996E-2</v>
      </c>
      <c r="C35" s="24">
        <v>7.2860720000000002E-3</v>
      </c>
      <c r="D35" s="24">
        <v>-3.6849737E-2</v>
      </c>
      <c r="E35" s="24">
        <v>2.2967577000000003E-2</v>
      </c>
      <c r="F35" s="24">
        <v>3.8766860000000002E-4</v>
      </c>
      <c r="G35" s="24">
        <v>2.9239774E-2</v>
      </c>
      <c r="H35" s="24">
        <v>-3.1250715000000001E-4</v>
      </c>
      <c r="I35" s="24">
        <v>2.7400373999999998E-2</v>
      </c>
      <c r="J35" s="24">
        <v>2.1652222000000002E-2</v>
      </c>
      <c r="K35" s="24">
        <v>2.9529095000000002E-2</v>
      </c>
      <c r="L35" s="24">
        <v>5.9760929999999997E-2</v>
      </c>
      <c r="M35" s="24">
        <v>1.8288732000000002E-2</v>
      </c>
      <c r="N35" s="24">
        <v>4.0302277000000004E-2</v>
      </c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x14ac:dyDescent="0.35">
      <c r="A36" s="2">
        <v>42838</v>
      </c>
      <c r="B36" s="24">
        <v>1.6197680999999998E-2</v>
      </c>
      <c r="C36" s="24">
        <v>1.4014482E-2</v>
      </c>
      <c r="D36" s="24">
        <v>1.1253356999999999E-3</v>
      </c>
      <c r="E36" s="24">
        <v>3.2074449999999997E-3</v>
      </c>
      <c r="F36" s="24">
        <v>-1.9186019999999998E-2</v>
      </c>
      <c r="G36" s="24">
        <v>9.4696282999999996E-3</v>
      </c>
      <c r="H36" s="24">
        <v>1.3441682E-2</v>
      </c>
      <c r="I36" s="24">
        <v>-7.1312189999999994E-3</v>
      </c>
      <c r="J36" s="24">
        <v>-1.8025219999999998E-2</v>
      </c>
      <c r="K36" s="24">
        <v>1.2015580999999999E-2</v>
      </c>
      <c r="L36" s="24">
        <v>4.8872231999999996E-3</v>
      </c>
      <c r="M36" s="24">
        <v>-6.4146519999999999E-4</v>
      </c>
      <c r="N36" s="24">
        <v>-1.21068954E-3</v>
      </c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x14ac:dyDescent="0.35">
      <c r="A37" s="2">
        <v>42867</v>
      </c>
      <c r="B37" s="24">
        <v>1.8671632000000001E-2</v>
      </c>
      <c r="C37" s="24">
        <v>-3.0316532E-2</v>
      </c>
      <c r="D37" s="24">
        <v>-2.1730960000000001E-2</v>
      </c>
      <c r="E37" s="24">
        <v>8.4902400000000003E-2</v>
      </c>
      <c r="F37" s="24">
        <v>3.4775733999999996E-2</v>
      </c>
      <c r="G37" s="24">
        <v>6.9418430000000003E-2</v>
      </c>
      <c r="H37" s="24">
        <v>5.0894620000000002E-2</v>
      </c>
      <c r="I37" s="24">
        <v>6.2883495999999997E-2</v>
      </c>
      <c r="J37" s="24">
        <v>2.7826786000000003E-2</v>
      </c>
      <c r="K37" s="24">
        <v>0.10953652999999999</v>
      </c>
      <c r="L37" s="24">
        <v>8.3800910000000006E-2</v>
      </c>
      <c r="M37" s="24">
        <v>8.4723950000000006E-2</v>
      </c>
      <c r="N37" s="24">
        <v>0.12727272000000001</v>
      </c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x14ac:dyDescent="0.35">
      <c r="A38" s="2">
        <v>42899</v>
      </c>
      <c r="B38" s="24">
        <v>5.6148530000000002E-2</v>
      </c>
      <c r="C38" s="24">
        <v>1.2413859000000001E-2</v>
      </c>
      <c r="D38" s="24">
        <v>2.4511694999999997E-2</v>
      </c>
      <c r="E38" s="24">
        <v>2.58677E-2</v>
      </c>
      <c r="F38" s="24">
        <v>4.1817903999999996E-2</v>
      </c>
      <c r="G38" s="24">
        <v>9.9415779999999995E-3</v>
      </c>
      <c r="H38" s="24">
        <v>4.6962499999999999E-3</v>
      </c>
      <c r="I38" s="24">
        <v>1.2698411999999999E-2</v>
      </c>
      <c r="J38" s="24">
        <v>2.3307443000000001E-2</v>
      </c>
      <c r="K38" s="24">
        <v>1.4152527E-2</v>
      </c>
      <c r="L38" s="24">
        <v>1.6223669E-2</v>
      </c>
      <c r="M38" s="24">
        <v>1.6272187E-2</v>
      </c>
      <c r="N38" s="24">
        <v>1.5412211E-2</v>
      </c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x14ac:dyDescent="0.35">
      <c r="A39" s="2">
        <v>42929</v>
      </c>
      <c r="B39" s="24">
        <v>3.4116863999999997E-2</v>
      </c>
      <c r="C39" s="24">
        <v>1.6417741999999999E-2</v>
      </c>
      <c r="D39" s="24">
        <v>3.0108570000000001E-2</v>
      </c>
      <c r="E39" s="24">
        <v>5.1574710000000003E-3</v>
      </c>
      <c r="F39" s="24">
        <v>-1.3111293E-2</v>
      </c>
      <c r="G39" s="24">
        <v>1.7240881999999999E-2</v>
      </c>
      <c r="H39" s="24">
        <v>3.6125183E-3</v>
      </c>
      <c r="I39" s="24">
        <v>7.3827505000000002E-3</v>
      </c>
      <c r="J39" s="24">
        <v>4.3418406999999994E-3</v>
      </c>
      <c r="K39" s="24">
        <v>1.2095332E-2</v>
      </c>
      <c r="L39" s="24">
        <v>1.3635158999999999E-2</v>
      </c>
      <c r="M39" s="24">
        <v>4.2064310000000001E-2</v>
      </c>
      <c r="N39" s="24">
        <v>3.5092949999999998E-2</v>
      </c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x14ac:dyDescent="0.35">
      <c r="A40" s="2">
        <v>42958</v>
      </c>
      <c r="B40" s="24">
        <v>9.7382070000000005E-3</v>
      </c>
      <c r="C40" s="24">
        <v>1.5525103E-2</v>
      </c>
      <c r="D40" s="24">
        <v>-4.3908357999999995E-3</v>
      </c>
      <c r="E40" s="24">
        <v>-1.5862702999999999E-2</v>
      </c>
      <c r="F40" s="24">
        <v>1.0654211E-2</v>
      </c>
      <c r="G40" s="24">
        <v>-1.1627972E-2</v>
      </c>
      <c r="H40" s="24">
        <v>-4.1666627000000005E-3</v>
      </c>
      <c r="I40" s="24">
        <v>7.7300069999999997E-3</v>
      </c>
      <c r="J40" s="24">
        <v>-1.22737885E-3</v>
      </c>
      <c r="K40" s="24">
        <v>6.8426130000000002E-4</v>
      </c>
      <c r="L40" s="24">
        <v>3.0529141000000003E-2</v>
      </c>
      <c r="M40" s="24">
        <v>-3.4285724000000004E-2</v>
      </c>
      <c r="N40" s="24">
        <v>2.569449E-2</v>
      </c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x14ac:dyDescent="0.35">
      <c r="A41" s="2">
        <v>42991</v>
      </c>
      <c r="B41" s="24">
        <v>3.214836E-3</v>
      </c>
      <c r="C41" s="24">
        <v>3.2823682E-2</v>
      </c>
      <c r="D41" s="24">
        <v>4.7041535000000002E-2</v>
      </c>
      <c r="E41" s="24">
        <v>4.8684240000000004E-2</v>
      </c>
      <c r="F41" s="24">
        <v>1.9974113000000002E-2</v>
      </c>
      <c r="G41" s="24">
        <v>2.1176457000000003E-2</v>
      </c>
      <c r="H41" s="24">
        <v>2.6897787999999999E-2</v>
      </c>
      <c r="I41" s="24">
        <v>3.0401109999999999E-2</v>
      </c>
      <c r="J41" s="24">
        <v>2.4782896000000002E-2</v>
      </c>
      <c r="K41" s="24">
        <v>3.8632393000000001E-2</v>
      </c>
      <c r="L41" s="24">
        <v>2.5016427000000001E-2</v>
      </c>
      <c r="M41" s="24">
        <v>3.8165689000000003E-2</v>
      </c>
      <c r="N41" s="24">
        <v>4.5362115000000001E-2</v>
      </c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x14ac:dyDescent="0.35">
      <c r="A42" s="2">
        <v>43021</v>
      </c>
      <c r="B42" s="24">
        <v>1.8585800999999999E-2</v>
      </c>
      <c r="C42" s="24">
        <v>-4.3535233E-4</v>
      </c>
      <c r="D42" s="24">
        <v>2.7027009999999997E-2</v>
      </c>
      <c r="E42" s="24">
        <v>3.0112982E-2</v>
      </c>
      <c r="F42" s="24">
        <v>4.0435195000000007E-2</v>
      </c>
      <c r="G42" s="24">
        <v>1.9873261E-2</v>
      </c>
      <c r="H42" s="24">
        <v>2.8812528E-2</v>
      </c>
      <c r="I42" s="24">
        <v>1.5336037E-2</v>
      </c>
      <c r="J42" s="24">
        <v>2.4156094000000003E-2</v>
      </c>
      <c r="K42" s="24">
        <v>2.2712349999999999E-2</v>
      </c>
      <c r="L42" s="24">
        <v>2.3763657000000001E-2</v>
      </c>
      <c r="M42" s="24">
        <v>2.6218294999999999E-2</v>
      </c>
      <c r="N42" s="24">
        <v>3.2383204E-3</v>
      </c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x14ac:dyDescent="0.35">
      <c r="A43" s="2">
        <v>43052</v>
      </c>
      <c r="B43" s="24">
        <v>-5.6837200000000004E-2</v>
      </c>
      <c r="C43" s="24">
        <v>2.1777152999999999E-3</v>
      </c>
      <c r="D43" s="24">
        <v>-2.0505786000000002E-3</v>
      </c>
      <c r="E43" s="24">
        <v>-5.1766633999999999E-3</v>
      </c>
      <c r="F43" s="24">
        <v>2.5095820000000001E-2</v>
      </c>
      <c r="G43" s="24">
        <v>-3.5300790999999998E-2</v>
      </c>
      <c r="H43" s="24">
        <v>-2.7439833E-2</v>
      </c>
      <c r="I43" s="24">
        <v>3.7279248000000001E-2</v>
      </c>
      <c r="J43" s="24">
        <v>1.3257504E-2</v>
      </c>
      <c r="K43" s="24">
        <v>-1.6736388000000001E-2</v>
      </c>
      <c r="L43" s="24">
        <v>-2.1329940000000002E-2</v>
      </c>
      <c r="M43" s="24">
        <v>-3.5823285999999996E-2</v>
      </c>
      <c r="N43" s="24">
        <v>-1.2911558E-2</v>
      </c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x14ac:dyDescent="0.35">
      <c r="A44" s="2">
        <v>43082</v>
      </c>
      <c r="B44" s="24">
        <v>5.6259750000000004E-2</v>
      </c>
      <c r="C44" s="24">
        <v>6.9534779999999999E-3</v>
      </c>
      <c r="D44" s="24">
        <v>2.7396680000000002E-3</v>
      </c>
      <c r="E44" s="24">
        <v>1.2549877000000001E-2</v>
      </c>
      <c r="F44" s="24">
        <v>2.261138E-2</v>
      </c>
      <c r="G44" s="24">
        <v>2.6346683999999999E-2</v>
      </c>
      <c r="H44" s="24">
        <v>3.1704426000000001E-2</v>
      </c>
      <c r="I44" s="24">
        <v>1.3777971E-2</v>
      </c>
      <c r="J44" s="24">
        <v>3.2593966000000002E-2</v>
      </c>
      <c r="K44" s="24">
        <v>2.2913336999999999E-2</v>
      </c>
      <c r="L44" s="24">
        <v>1.6987084999999999E-2</v>
      </c>
      <c r="M44" s="24">
        <v>-1.6417027000000001E-2</v>
      </c>
      <c r="N44" s="24">
        <v>1.013732E-2</v>
      </c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x14ac:dyDescent="0.35">
      <c r="A45" s="2">
        <v>43112</v>
      </c>
      <c r="B45" s="24">
        <v>2.3071408000000002E-2</v>
      </c>
      <c r="C45" s="24">
        <v>4.6733975000000004E-2</v>
      </c>
      <c r="D45" s="24">
        <v>4.1517377000000001E-2</v>
      </c>
      <c r="E45" s="24">
        <v>4.5861599999999995E-2</v>
      </c>
      <c r="F45" s="24">
        <v>6.2098145E-2</v>
      </c>
      <c r="G45" s="24">
        <v>4.1928053E-2</v>
      </c>
      <c r="H45" s="24">
        <v>6.6005110000000006E-2</v>
      </c>
      <c r="I45" s="24">
        <v>5.6680319999999999E-2</v>
      </c>
      <c r="J45" s="24">
        <v>4.7157287999999999E-2</v>
      </c>
      <c r="K45" s="24">
        <v>5.246961E-2</v>
      </c>
      <c r="L45" s="24">
        <v>4.0840029999999999E-2</v>
      </c>
      <c r="M45" s="24">
        <v>6.2358620000000003E-2</v>
      </c>
      <c r="N45" s="24">
        <v>7.6804996E-2</v>
      </c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x14ac:dyDescent="0.35">
      <c r="A46" s="2">
        <v>43144</v>
      </c>
      <c r="B46" s="24">
        <v>-1.3527691E-2</v>
      </c>
      <c r="C46" s="24">
        <v>-4.5204880000000003E-2</v>
      </c>
      <c r="D46" s="24">
        <v>-7.5722399999999995E-2</v>
      </c>
      <c r="E46" s="24">
        <v>-5.8823529999999999E-2</v>
      </c>
      <c r="F46" s="24">
        <v>-6.2716665000000005E-2</v>
      </c>
      <c r="G46" s="24">
        <v>-4.3799580000000005E-2</v>
      </c>
      <c r="H46" s="24">
        <v>-6.4133700000000002E-2</v>
      </c>
      <c r="I46" s="24">
        <v>-2.9181123000000003E-2</v>
      </c>
      <c r="J46" s="24">
        <v>-4.2890069999999995E-2</v>
      </c>
      <c r="K46" s="24">
        <v>-5.0625267000000002E-2</v>
      </c>
      <c r="L46" s="24">
        <v>-4.2630910000000001E-2</v>
      </c>
      <c r="M46" s="24">
        <v>-5.874157E-2</v>
      </c>
      <c r="N46" s="24">
        <v>-4.0810227000000004E-2</v>
      </c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x14ac:dyDescent="0.35">
      <c r="A47" s="2">
        <v>43172</v>
      </c>
      <c r="B47" s="24">
        <v>5.9211254000000005E-2</v>
      </c>
      <c r="C47" s="24">
        <v>1.7699122000000001E-2</v>
      </c>
      <c r="D47" s="24">
        <v>-2.1559000000000001E-3</v>
      </c>
      <c r="E47" s="24">
        <v>-2.4629830999999998E-3</v>
      </c>
      <c r="F47" s="24">
        <v>1.8493651999999999E-2</v>
      </c>
      <c r="G47" s="24">
        <v>-1.4314055000000001E-3</v>
      </c>
      <c r="H47" s="24">
        <v>0</v>
      </c>
      <c r="I47" s="24">
        <v>7.5270890000000007E-2</v>
      </c>
      <c r="J47" s="24">
        <v>4.0300727000000001E-2</v>
      </c>
      <c r="K47" s="24">
        <v>2.1522640000000003E-2</v>
      </c>
      <c r="L47" s="24">
        <v>2.7353644E-2</v>
      </c>
      <c r="M47" s="24">
        <v>1.0056256999999999E-2</v>
      </c>
      <c r="N47" s="24">
        <v>2.2376299999999998E-2</v>
      </c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x14ac:dyDescent="0.35">
      <c r="A48" s="2">
        <v>43203</v>
      </c>
      <c r="B48" s="24">
        <v>5.8209896000000006E-3</v>
      </c>
      <c r="C48" s="24">
        <v>-2.6956557999999999E-2</v>
      </c>
      <c r="D48" s="24">
        <v>6.4817666999999997E-3</v>
      </c>
      <c r="E48" s="24">
        <v>1.5123367E-2</v>
      </c>
      <c r="F48" s="24">
        <v>-5.7775379999999996E-3</v>
      </c>
      <c r="G48" s="24">
        <v>-1.3188182999999999E-2</v>
      </c>
      <c r="H48" s="24">
        <v>4.4629929999999998E-2</v>
      </c>
      <c r="I48" s="24">
        <v>-5.8662533999999995E-2</v>
      </c>
      <c r="J48" s="24">
        <v>-3.797859E-2</v>
      </c>
      <c r="K48" s="24">
        <v>1.6352177000000002E-2</v>
      </c>
      <c r="L48" s="24">
        <v>1.2383938000000001E-2</v>
      </c>
      <c r="M48" s="24">
        <v>-3.6017655999999995E-2</v>
      </c>
      <c r="N48" s="24">
        <v>3.0826091999999999E-2</v>
      </c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x14ac:dyDescent="0.35">
      <c r="A49" s="2">
        <v>43231</v>
      </c>
      <c r="B49" s="24">
        <v>-2.7539432000000003E-2</v>
      </c>
      <c r="C49" s="24">
        <v>2.1000980999999998E-2</v>
      </c>
      <c r="D49" s="24">
        <v>3.8282633000000003E-2</v>
      </c>
      <c r="E49" s="24">
        <v>7.905245E-3</v>
      </c>
      <c r="F49" s="24">
        <v>1.7433166999999999E-2</v>
      </c>
      <c r="G49" s="24">
        <v>2.3243426999999999E-3</v>
      </c>
      <c r="H49" s="24">
        <v>1.3506054999999999E-2</v>
      </c>
      <c r="I49" s="24">
        <v>5.0133348000000001E-2</v>
      </c>
      <c r="J49" s="24">
        <v>2.9040217E-2</v>
      </c>
      <c r="K49" s="24">
        <v>1.6089081999999998E-2</v>
      </c>
      <c r="L49" s="24">
        <v>-1.8042803E-2</v>
      </c>
      <c r="M49" s="24">
        <v>3.9185881999999998E-2</v>
      </c>
      <c r="N49" s="24">
        <v>2.9904841999999999E-3</v>
      </c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x14ac:dyDescent="0.35">
      <c r="A50" s="2">
        <v>43264</v>
      </c>
      <c r="B50" s="24">
        <v>4.2478920000000003E-2</v>
      </c>
      <c r="C50" s="24">
        <v>-7.4398520000000003E-3</v>
      </c>
      <c r="D50" s="24">
        <v>1.0337829599999999E-3</v>
      </c>
      <c r="E50" s="24">
        <v>-2.1116138000000003E-2</v>
      </c>
      <c r="F50" s="24">
        <v>-9.4647410000000005E-3</v>
      </c>
      <c r="G50" s="24">
        <v>-1.7101466999999999E-2</v>
      </c>
      <c r="H50" s="24">
        <v>-1.1966228000000001E-2</v>
      </c>
      <c r="I50" s="24">
        <v>3.7531017999999999E-2</v>
      </c>
      <c r="J50" s="24">
        <v>1.8984795000000002E-2</v>
      </c>
      <c r="K50" s="24">
        <v>-1.6747832000000001E-2</v>
      </c>
      <c r="L50" s="24">
        <v>4.0485859999999999E-3</v>
      </c>
      <c r="M50" s="24">
        <v>-1.9877255E-2</v>
      </c>
      <c r="N50" s="24">
        <v>-8.5271360000000004E-2</v>
      </c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x14ac:dyDescent="0.35">
      <c r="A51" s="2">
        <v>43294</v>
      </c>
      <c r="B51" s="24">
        <v>-3.4208715000000001E-2</v>
      </c>
      <c r="C51" s="24">
        <v>2.6302338000000001E-2</v>
      </c>
      <c r="D51" s="24">
        <v>8.6336135999999994E-3</v>
      </c>
      <c r="E51" s="24">
        <v>-3.3296049000000001E-2</v>
      </c>
      <c r="F51" s="24">
        <v>-4.4303416999999998E-2</v>
      </c>
      <c r="G51" s="24">
        <v>6.3341855999999993E-3</v>
      </c>
      <c r="H51" s="24">
        <v>-1.2284814999999999E-2</v>
      </c>
      <c r="I51" s="24">
        <v>2.3746013999999999E-2</v>
      </c>
      <c r="J51" s="24">
        <v>1.0130643999999999E-2</v>
      </c>
      <c r="K51" s="24">
        <v>-8.1967710000000003E-3</v>
      </c>
      <c r="L51" s="24">
        <v>-1.9986928000000001E-2</v>
      </c>
      <c r="M51" s="24">
        <v>-3.8616299999999999E-2</v>
      </c>
      <c r="N51" s="24">
        <v>-1.8219112999999999E-2</v>
      </c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x14ac:dyDescent="0.35">
      <c r="A52" s="2">
        <v>43325</v>
      </c>
      <c r="B52" s="24">
        <v>-3.0466318000000003E-2</v>
      </c>
      <c r="C52" s="24">
        <v>-2.1024942000000001E-2</v>
      </c>
      <c r="D52" s="24">
        <v>-1.3415873E-2</v>
      </c>
      <c r="E52" s="24">
        <v>-3.4280121000000004E-2</v>
      </c>
      <c r="F52" s="24">
        <v>-6.9493055E-3</v>
      </c>
      <c r="G52" s="24">
        <v>2.2228837000000001E-2</v>
      </c>
      <c r="H52" s="24">
        <v>-3.3951460999999995E-2</v>
      </c>
      <c r="I52" s="24">
        <v>3.9530992999999995E-3</v>
      </c>
      <c r="J52" s="24">
        <v>8.9774130000000001E-3</v>
      </c>
      <c r="K52" s="24">
        <v>-3.0921280000000002E-2</v>
      </c>
      <c r="L52" s="24">
        <v>-1.6082346000000001E-2</v>
      </c>
      <c r="M52" s="24">
        <v>6.4935684E-3</v>
      </c>
      <c r="N52" s="24">
        <v>-5.836177E-2</v>
      </c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x14ac:dyDescent="0.35">
      <c r="A53" s="2">
        <v>43356</v>
      </c>
      <c r="B53" s="24">
        <v>2.9713511000000001E-2</v>
      </c>
      <c r="C53" s="24">
        <v>-2.0581722E-2</v>
      </c>
      <c r="D53" s="24">
        <v>-9.4142555999999992E-3</v>
      </c>
      <c r="E53" s="24">
        <v>5.7470799999999999E-3</v>
      </c>
      <c r="F53" s="24">
        <v>5.4234265999999996E-3</v>
      </c>
      <c r="G53" s="24">
        <v>2.3508787E-2</v>
      </c>
      <c r="H53" s="24">
        <v>-1.7129420999999999E-2</v>
      </c>
      <c r="I53" s="24">
        <v>2.3347378000000002E-2</v>
      </c>
      <c r="J53" s="24">
        <v>3.0946373999999999E-2</v>
      </c>
      <c r="K53" s="24">
        <v>1.6118406999999998E-2</v>
      </c>
      <c r="L53" s="24">
        <v>-8.9800360000000003E-3</v>
      </c>
      <c r="M53" s="24">
        <v>2.870965E-2</v>
      </c>
      <c r="N53" s="24">
        <v>1.7035127000000001E-2</v>
      </c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x14ac:dyDescent="0.35">
      <c r="A54" s="2">
        <v>43385</v>
      </c>
      <c r="B54" s="24">
        <v>-5.708945E-2</v>
      </c>
      <c r="C54" s="24">
        <v>-5.9387803000000003E-2</v>
      </c>
      <c r="D54" s="24">
        <v>-4.0126679999999998E-2</v>
      </c>
      <c r="E54" s="24">
        <v>-6.0504200000000001E-2</v>
      </c>
      <c r="F54" s="24">
        <v>-1.2876331999999999E-2</v>
      </c>
      <c r="G54" s="24">
        <v>-6.6896380000000005E-2</v>
      </c>
      <c r="H54" s="24">
        <v>-2.8846145E-2</v>
      </c>
      <c r="I54" s="24">
        <v>-5.3635780000000001E-2</v>
      </c>
      <c r="J54" s="24">
        <v>-4.6865883000000004E-2</v>
      </c>
      <c r="K54" s="24">
        <v>-5.5033979999999996E-2</v>
      </c>
      <c r="L54" s="24">
        <v>-6.5158486000000002E-2</v>
      </c>
      <c r="M54" s="24">
        <v>-4.9545289999999999E-2</v>
      </c>
      <c r="N54" s="24">
        <v>-7.9116163000000003E-2</v>
      </c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x14ac:dyDescent="0.35">
      <c r="A55" s="2">
        <v>43417</v>
      </c>
      <c r="B55" s="24">
        <v>4.5794845000000001E-2</v>
      </c>
      <c r="C55" s="24">
        <v>2.1369576000000001E-2</v>
      </c>
      <c r="D55" s="24">
        <v>-2.8969586000000002E-2</v>
      </c>
      <c r="E55" s="24">
        <v>-3.0411482E-2</v>
      </c>
      <c r="F55" s="24">
        <v>-4.5478525000000006E-2</v>
      </c>
      <c r="G55" s="24">
        <v>1.3230801E-2</v>
      </c>
      <c r="H55" s="24">
        <v>-1.0210395000000001E-2</v>
      </c>
      <c r="I55" s="24">
        <v>-4.5032144000000003E-2</v>
      </c>
      <c r="J55" s="24">
        <v>-1.4096797000000001E-2</v>
      </c>
      <c r="K55" s="24">
        <v>-3.0147374000000001E-2</v>
      </c>
      <c r="L55" s="24">
        <v>3.8814545000000001E-3</v>
      </c>
      <c r="M55" s="24">
        <v>-3.3322333999999995E-2</v>
      </c>
      <c r="N55" s="24">
        <v>-2.9798806000000001E-2</v>
      </c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x14ac:dyDescent="0.35">
      <c r="A56" s="2">
        <v>43447</v>
      </c>
      <c r="B56" s="24">
        <v>4.6316385000000002E-3</v>
      </c>
      <c r="C56" s="24">
        <v>-3.043276E-2</v>
      </c>
      <c r="D56" s="24">
        <v>-3.0589103999999999E-2</v>
      </c>
      <c r="E56" s="24">
        <v>-4.2435409999999993E-2</v>
      </c>
      <c r="F56" s="24">
        <v>-1.0711014000000001E-2</v>
      </c>
      <c r="G56" s="24">
        <v>-1.1843263999999999E-2</v>
      </c>
      <c r="H56" s="24">
        <v>-4.5326652999999995E-2</v>
      </c>
      <c r="I56" s="24">
        <v>-8.2296729999999998E-3</v>
      </c>
      <c r="J56" s="24">
        <v>-2.4590193999999999E-2</v>
      </c>
      <c r="K56" s="24">
        <v>-3.0377923999999997E-2</v>
      </c>
      <c r="L56" s="24">
        <v>-3.0579983999999998E-2</v>
      </c>
      <c r="M56" s="24">
        <v>-1.9453943000000001E-2</v>
      </c>
      <c r="N56" s="24">
        <v>9.1743470000000011E-3</v>
      </c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x14ac:dyDescent="0.35">
      <c r="A57" s="2">
        <v>43476</v>
      </c>
      <c r="B57" s="24">
        <v>1.8199563000000002E-2</v>
      </c>
      <c r="C57" s="24">
        <v>2.9425382999999999E-2</v>
      </c>
      <c r="D57" s="24">
        <v>1.8724084000000002E-2</v>
      </c>
      <c r="E57" s="24">
        <v>6.5510270000000001E-3</v>
      </c>
      <c r="F57" s="24">
        <v>-5.9769154000000003E-3</v>
      </c>
      <c r="G57" s="24">
        <v>8.9120865000000011E-3</v>
      </c>
      <c r="H57" s="24">
        <v>2.2864700000000002E-2</v>
      </c>
      <c r="I57" s="24">
        <v>-2.3858309000000001E-2</v>
      </c>
      <c r="J57" s="24">
        <v>-1.8259525000000002E-2</v>
      </c>
      <c r="K57" s="24">
        <v>-1.1138022000000001E-2</v>
      </c>
      <c r="L57" s="24">
        <v>-1.2307525E-2</v>
      </c>
      <c r="M57" s="24">
        <v>1.4528394E-2</v>
      </c>
      <c r="N57" s="24">
        <v>1.8382788000000001E-2</v>
      </c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x14ac:dyDescent="0.35">
      <c r="A58" s="2">
        <v>43509</v>
      </c>
      <c r="B58" s="24">
        <v>3.8131117999999999E-2</v>
      </c>
      <c r="C58" s="24">
        <v>2.6224732000000001E-2</v>
      </c>
      <c r="D58" s="24">
        <v>4.8211455E-2</v>
      </c>
      <c r="E58" s="24">
        <v>5.7426690000000006E-3</v>
      </c>
      <c r="F58" s="24">
        <v>1.8925071000000002E-2</v>
      </c>
      <c r="G58" s="24">
        <v>1.7666698000000002E-2</v>
      </c>
      <c r="H58" s="24">
        <v>4.0235519999999997E-2</v>
      </c>
      <c r="I58" s="24">
        <v>6.4222929999999998E-2</v>
      </c>
      <c r="J58" s="24">
        <v>6.1819315E-2</v>
      </c>
      <c r="K58" s="24">
        <v>3.8860082999999997E-2</v>
      </c>
      <c r="L58" s="24">
        <v>6.6027284000000006E-2</v>
      </c>
      <c r="M58" s="24">
        <v>2.7463077999999998E-2</v>
      </c>
      <c r="N58" s="24">
        <v>2.3977995000000002E-2</v>
      </c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x14ac:dyDescent="0.35">
      <c r="A59" s="2">
        <v>43537</v>
      </c>
      <c r="B59" s="24">
        <v>1.5136241999999999E-2</v>
      </c>
      <c r="C59" s="24">
        <v>3.2786846000000001E-2</v>
      </c>
      <c r="D59" s="24">
        <v>3.3011913000000004E-2</v>
      </c>
      <c r="E59" s="24">
        <v>3.9969563E-2</v>
      </c>
      <c r="F59" s="24">
        <v>7.9866649999999987E-3</v>
      </c>
      <c r="G59" s="24">
        <v>4.1005609999999998E-2</v>
      </c>
      <c r="H59" s="24">
        <v>3.6478043000000002E-2</v>
      </c>
      <c r="I59" s="24">
        <v>3.5085677999999995E-2</v>
      </c>
      <c r="J59" s="24">
        <v>2.3091792999999999E-2</v>
      </c>
      <c r="K59" s="24">
        <v>5.3081630000000005E-2</v>
      </c>
      <c r="L59" s="24">
        <v>2.3875475E-2</v>
      </c>
      <c r="M59" s="24">
        <v>4.6775339999999997E-3</v>
      </c>
      <c r="N59" s="24">
        <v>4.4913649999999999E-2</v>
      </c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x14ac:dyDescent="0.35">
      <c r="A60" s="2">
        <v>43567</v>
      </c>
      <c r="B60" s="24">
        <v>2.5248528000000003E-2</v>
      </c>
      <c r="C60" s="24">
        <v>2.0541548999999999E-2</v>
      </c>
      <c r="D60" s="24">
        <v>2.2980212999999999E-2</v>
      </c>
      <c r="E60" s="24">
        <v>3.2942890000000002E-2</v>
      </c>
      <c r="F60" s="24">
        <v>1.4556884999999999E-2</v>
      </c>
      <c r="G60" s="24">
        <v>2.3864388E-2</v>
      </c>
      <c r="H60" s="24">
        <v>2.9732943000000001E-2</v>
      </c>
      <c r="I60" s="24">
        <v>5.1735163000000001E-2</v>
      </c>
      <c r="J60" s="24">
        <v>3.5870909999999999E-2</v>
      </c>
      <c r="K60" s="24">
        <v>3.3829449999999997E-2</v>
      </c>
      <c r="L60" s="24">
        <v>4.8665165999999996E-2</v>
      </c>
      <c r="M60" s="24">
        <v>7.3495150000000009E-2</v>
      </c>
      <c r="N60" s="24">
        <v>4.4452667000000001E-2</v>
      </c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x14ac:dyDescent="0.35">
      <c r="A61" s="2">
        <v>43598</v>
      </c>
      <c r="B61" s="24">
        <v>-2.9087066999999999E-3</v>
      </c>
      <c r="C61" s="24">
        <v>-2.6989936999999999E-2</v>
      </c>
      <c r="D61" s="24">
        <v>-3.0186057000000002E-2</v>
      </c>
      <c r="E61" s="24">
        <v>-2.4805069999999999E-2</v>
      </c>
      <c r="F61" s="24">
        <v>-4.0138062999999995E-2</v>
      </c>
      <c r="G61" s="24">
        <v>-1.26369E-2</v>
      </c>
      <c r="H61" s="24">
        <v>-4.6552660000000003E-2</v>
      </c>
      <c r="I61" s="24">
        <v>-3.9014159999999999E-2</v>
      </c>
      <c r="J61" s="24">
        <v>-3.2051324999999999E-2</v>
      </c>
      <c r="K61" s="24">
        <v>-4.3193700000000002E-2</v>
      </c>
      <c r="L61" s="24">
        <v>-3.2871424999999996E-2</v>
      </c>
      <c r="M61" s="24">
        <v>-7.4659165999999999E-2</v>
      </c>
      <c r="N61" s="24">
        <v>-5.8037280000000004E-2</v>
      </c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x14ac:dyDescent="0.35">
      <c r="A62" s="2">
        <v>43629</v>
      </c>
      <c r="B62" s="24">
        <v>4.0841102999999998E-3</v>
      </c>
      <c r="C62" s="24">
        <v>5.1245930000000002E-2</v>
      </c>
      <c r="D62" s="24">
        <v>1.7010569999999999E-2</v>
      </c>
      <c r="E62" s="24">
        <v>1.7441869000000002E-2</v>
      </c>
      <c r="F62" s="24">
        <v>2.4408698000000003E-2</v>
      </c>
      <c r="G62" s="24">
        <v>6.4846396000000001E-2</v>
      </c>
      <c r="H62" s="24">
        <v>1.2360811000000001E-2</v>
      </c>
      <c r="I62" s="24">
        <v>2.7102710000000002E-2</v>
      </c>
      <c r="J62" s="24">
        <v>3.1047463000000001E-2</v>
      </c>
      <c r="K62" s="24">
        <v>3.522575E-2</v>
      </c>
      <c r="L62" s="24">
        <v>3.3655404999999999E-2</v>
      </c>
      <c r="M62" s="24">
        <v>3.0800103999999998E-2</v>
      </c>
      <c r="N62" s="24">
        <v>2.2404670000000002E-2</v>
      </c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x14ac:dyDescent="0.35">
      <c r="A63" s="2">
        <v>43658</v>
      </c>
      <c r="B63" s="24">
        <v>7.4299334999999994E-2</v>
      </c>
      <c r="C63" s="24">
        <v>3.1837344000000004E-2</v>
      </c>
      <c r="D63" s="24">
        <v>4.1046500000000007E-2</v>
      </c>
      <c r="E63" s="24">
        <v>1.3830662000000001E-2</v>
      </c>
      <c r="F63" s="24">
        <v>2.678585E-2</v>
      </c>
      <c r="G63" s="24">
        <v>7.4658393999999994E-3</v>
      </c>
      <c r="H63" s="24">
        <v>1.0008335E-2</v>
      </c>
      <c r="I63" s="24">
        <v>5.7449820000000006E-2</v>
      </c>
      <c r="J63" s="24">
        <v>4.3283462999999994E-2</v>
      </c>
      <c r="K63" s="24">
        <v>3.6645055000000003E-2</v>
      </c>
      <c r="L63" s="24">
        <v>2.2627711000000002E-2</v>
      </c>
      <c r="M63" s="24">
        <v>3.3691406E-2</v>
      </c>
      <c r="N63" s="24">
        <v>8.0529930000000013E-2</v>
      </c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x14ac:dyDescent="0.35">
      <c r="A64" s="2">
        <v>43690</v>
      </c>
      <c r="B64" s="24">
        <v>-2.2144914000000002E-2</v>
      </c>
      <c r="C64" s="24">
        <v>-4.4670525000000003E-2</v>
      </c>
      <c r="D64" s="24">
        <v>-2.8285623000000003E-2</v>
      </c>
      <c r="E64" s="24">
        <v>-4.9583729999999999E-2</v>
      </c>
      <c r="F64" s="24">
        <v>-2.5957525000000002E-2</v>
      </c>
      <c r="G64" s="24">
        <v>1.3257623000000001E-2</v>
      </c>
      <c r="H64" s="24">
        <v>-6.6955924E-2</v>
      </c>
      <c r="I64" s="24">
        <v>-2.6559173999999998E-2</v>
      </c>
      <c r="J64" s="24">
        <v>-2.6941657000000001E-2</v>
      </c>
      <c r="K64" s="24">
        <v>-4.0822983E-2</v>
      </c>
      <c r="L64" s="24">
        <v>-2.2609770000000001E-2</v>
      </c>
      <c r="M64" s="24">
        <v>-7.7821015999999993E-2</v>
      </c>
      <c r="N64" s="24">
        <v>-8.324593999999999E-2</v>
      </c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x14ac:dyDescent="0.35">
      <c r="A65" s="2">
        <v>43721</v>
      </c>
      <c r="B65" s="24">
        <v>-1.179117E-2</v>
      </c>
      <c r="C65" s="24">
        <v>4.4444440000000002E-2</v>
      </c>
      <c r="D65" s="24">
        <v>2.3784160000000002E-2</v>
      </c>
      <c r="E65" s="24">
        <v>4.7600864999999999E-2</v>
      </c>
      <c r="F65" s="24">
        <v>5.982113E-2</v>
      </c>
      <c r="G65" s="24">
        <v>1.0146855999999999E-2</v>
      </c>
      <c r="H65" s="24">
        <v>5.0830482999999996E-2</v>
      </c>
      <c r="I65" s="24">
        <v>2.2028685000000003E-2</v>
      </c>
      <c r="J65" s="24">
        <v>2.9191612999999998E-2</v>
      </c>
      <c r="K65" s="24">
        <v>3.8815139999999998E-2</v>
      </c>
      <c r="L65" s="24">
        <v>5.6840659999999994E-2</v>
      </c>
      <c r="M65" s="24">
        <v>7.0675135E-2</v>
      </c>
      <c r="N65" s="24">
        <v>6.867611400000001E-2</v>
      </c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x14ac:dyDescent="0.35">
      <c r="A66" s="2">
        <v>43749</v>
      </c>
      <c r="B66" s="24">
        <v>-1.5150905000000001E-3</v>
      </c>
      <c r="C66" s="24">
        <v>-1.8617033999999998E-2</v>
      </c>
      <c r="D66" s="24">
        <v>-1.0055481999999999E-2</v>
      </c>
      <c r="E66" s="24">
        <v>-7.9970956000000003E-3</v>
      </c>
      <c r="F66" s="24">
        <v>4.9235820000000001E-3</v>
      </c>
      <c r="G66" s="24">
        <v>-1.1102378E-2</v>
      </c>
      <c r="H66" s="24">
        <v>3.1614304000000001E-4</v>
      </c>
      <c r="I66" s="24">
        <v>-5.4254530000000002E-3</v>
      </c>
      <c r="J66" s="24">
        <v>-1.1410773000000001E-2</v>
      </c>
      <c r="K66" s="24">
        <v>-5.5719613999999995E-3</v>
      </c>
      <c r="L66" s="24">
        <v>-1.0944366000000001E-2</v>
      </c>
      <c r="M66" s="24">
        <v>-2.8571426999999996E-2</v>
      </c>
      <c r="N66" s="24">
        <v>-6.7833065999999996E-3</v>
      </c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x14ac:dyDescent="0.35">
      <c r="A67" s="2">
        <v>43782</v>
      </c>
      <c r="B67" s="24">
        <v>3.0349493E-3</v>
      </c>
      <c r="C67" s="24">
        <v>2.1680236000000002E-2</v>
      </c>
      <c r="D67" s="24">
        <v>3.5026312000000004E-2</v>
      </c>
      <c r="E67" s="24">
        <v>5.8263062999999997E-2</v>
      </c>
      <c r="F67" s="24">
        <v>4.4619439999999996E-2</v>
      </c>
      <c r="G67" s="24">
        <v>3.4750103999999997E-2</v>
      </c>
      <c r="H67" s="24">
        <v>3.0973434000000001E-2</v>
      </c>
      <c r="I67" s="24">
        <v>5.4837464999999995E-2</v>
      </c>
      <c r="J67" s="24">
        <v>4.3269873E-2</v>
      </c>
      <c r="K67" s="24">
        <v>4.3177247000000002E-2</v>
      </c>
      <c r="L67" s="24">
        <v>3.0667067000000003E-2</v>
      </c>
      <c r="M67" s="24">
        <v>7.7755213000000004E-2</v>
      </c>
      <c r="N67" s="24">
        <v>5.5715321999999998E-2</v>
      </c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x14ac:dyDescent="0.35">
      <c r="A68" s="2">
        <v>43812</v>
      </c>
      <c r="B68" s="24">
        <v>6.9780590000000003E-2</v>
      </c>
      <c r="C68" s="24">
        <v>1.1052131999999999E-2</v>
      </c>
      <c r="D68" s="24">
        <v>4.3994187999999998E-3</v>
      </c>
      <c r="E68" s="24">
        <v>1.8351793000000002E-2</v>
      </c>
      <c r="F68" s="24">
        <v>1.7252922E-2</v>
      </c>
      <c r="G68" s="24">
        <v>1.8858193999999998E-2</v>
      </c>
      <c r="H68" s="24">
        <v>4.5370936000000001E-2</v>
      </c>
      <c r="I68" s="24">
        <v>2.7779221999999999E-2</v>
      </c>
      <c r="J68" s="24">
        <v>2.6593327999999999E-2</v>
      </c>
      <c r="K68" s="24">
        <v>1.4849901E-2</v>
      </c>
      <c r="L68" s="24">
        <v>2.9447912999999999E-2</v>
      </c>
      <c r="M68" s="24">
        <v>4.2032720000000003E-2</v>
      </c>
      <c r="N68" s="24">
        <v>-4.0858387999999999E-3</v>
      </c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x14ac:dyDescent="0.35">
      <c r="A69" s="2">
        <v>43843</v>
      </c>
      <c r="B69" s="24">
        <v>3.1692146999999997E-2</v>
      </c>
      <c r="C69" s="24">
        <v>2.7128220000000001E-2</v>
      </c>
      <c r="D69" s="24">
        <v>3.0078292000000003E-2</v>
      </c>
      <c r="E69" s="24">
        <v>1.4620899999999999E-2</v>
      </c>
      <c r="F69" s="24">
        <v>-2.6200414000000002E-3</v>
      </c>
      <c r="G69" s="24">
        <v>3.0426025000000002E-2</v>
      </c>
      <c r="H69" s="24">
        <v>6.1693189999999995E-3</v>
      </c>
      <c r="I69" s="24">
        <v>6.8716526E-2</v>
      </c>
      <c r="J69" s="24">
        <v>3.8558363999999998E-2</v>
      </c>
      <c r="K69" s="24">
        <v>2.0225406000000001E-2</v>
      </c>
      <c r="L69" s="24">
        <v>1.458013E-2</v>
      </c>
      <c r="M69" s="24">
        <v>6.7440270000000005E-3</v>
      </c>
      <c r="N69" s="24">
        <v>2.1765590000000001E-2</v>
      </c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x14ac:dyDescent="0.35">
      <c r="A70" s="2">
        <v>43874</v>
      </c>
      <c r="B70" s="24">
        <v>4.8122406E-3</v>
      </c>
      <c r="C70" s="24">
        <v>-1.7368792999999999E-3</v>
      </c>
      <c r="D70" s="24">
        <v>1.0938048000000001E-2</v>
      </c>
      <c r="E70" s="24">
        <v>-1.2734591999999999E-2</v>
      </c>
      <c r="F70" s="24">
        <v>-1.6204476000000002E-2</v>
      </c>
      <c r="G70" s="24">
        <v>2.8051138E-2</v>
      </c>
      <c r="H70" s="24">
        <v>-1.9276439999999999E-2</v>
      </c>
      <c r="I70" s="24">
        <v>5.8927417000000003E-2</v>
      </c>
      <c r="J70" s="24">
        <v>2.7778624999999998E-2</v>
      </c>
      <c r="K70" s="24">
        <v>-1.0703443999999999E-2</v>
      </c>
      <c r="L70" s="24">
        <v>1.9610763E-2</v>
      </c>
      <c r="M70" s="24">
        <v>2.6339769999999998E-2</v>
      </c>
      <c r="N70" s="24">
        <v>8.7600946000000006E-3</v>
      </c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x14ac:dyDescent="0.35">
      <c r="A71" s="2">
        <v>43903</v>
      </c>
      <c r="B71" s="24">
        <v>-0.14385228999999999</v>
      </c>
      <c r="C71" s="24">
        <v>-0.24923880000000001</v>
      </c>
      <c r="D71" s="24">
        <v>-0.26229507000000002</v>
      </c>
      <c r="E71" s="24">
        <v>-0.27970128999999999</v>
      </c>
      <c r="F71" s="24">
        <v>-0.21429782999999999</v>
      </c>
      <c r="G71" s="24">
        <v>-0.17687886999999999</v>
      </c>
      <c r="H71" s="24">
        <v>-0.27366192</v>
      </c>
      <c r="I71" s="24">
        <v>-0.17792881000000002</v>
      </c>
      <c r="J71" s="24">
        <v>-0.20097310000000002</v>
      </c>
      <c r="K71" s="24">
        <v>-0.26955174999999998</v>
      </c>
      <c r="L71" s="24">
        <v>-0.25350688999999998</v>
      </c>
      <c r="M71" s="24">
        <v>-0.23539823999999998</v>
      </c>
      <c r="N71" s="24">
        <v>-0.30494325999999999</v>
      </c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x14ac:dyDescent="0.35">
      <c r="A72" s="2">
        <v>43934</v>
      </c>
      <c r="B72" s="24">
        <v>-5.2278279999999996E-2</v>
      </c>
      <c r="C72" s="24">
        <v>-3.9976835000000002E-2</v>
      </c>
      <c r="D72" s="24">
        <v>3.1111119999999999E-2</v>
      </c>
      <c r="E72" s="24">
        <v>6.8803070000000008E-2</v>
      </c>
      <c r="F72" s="24">
        <v>8.4287880000000009E-2</v>
      </c>
      <c r="G72" s="24">
        <v>4.5071244000000003E-2</v>
      </c>
      <c r="H72" s="24">
        <v>2.8725982000000001E-2</v>
      </c>
      <c r="I72" s="24">
        <v>5.7824609999999999E-2</v>
      </c>
      <c r="J72" s="24">
        <v>2.982843E-2</v>
      </c>
      <c r="K72" s="24">
        <v>1.6927719000000001E-2</v>
      </c>
      <c r="L72" s="24">
        <v>5.3467630000000002E-2</v>
      </c>
      <c r="M72" s="24">
        <v>1.1188268999999999E-2</v>
      </c>
      <c r="N72" s="24">
        <v>1.3935685E-2</v>
      </c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x14ac:dyDescent="0.35">
      <c r="A73" s="2">
        <v>43964</v>
      </c>
      <c r="B73" s="24">
        <v>5.2801013000000001E-2</v>
      </c>
      <c r="C73" s="24">
        <v>-4.8279761999999995E-3</v>
      </c>
      <c r="D73" s="24">
        <v>1.4224172E-2</v>
      </c>
      <c r="E73" s="24">
        <v>2.6454925999999999E-3</v>
      </c>
      <c r="F73" s="24">
        <v>4.4448970000000004E-2</v>
      </c>
      <c r="G73" s="24">
        <v>2.2815823999999998E-2</v>
      </c>
      <c r="H73" s="24">
        <v>-8.9032650000000005E-3</v>
      </c>
      <c r="I73" s="24">
        <v>8.0332989999999993E-2</v>
      </c>
      <c r="J73" s="24">
        <v>2.1548270000000001E-2</v>
      </c>
      <c r="K73" s="24">
        <v>-3.4124075999999996E-2</v>
      </c>
      <c r="L73" s="24">
        <v>3.3836007000000001E-2</v>
      </c>
      <c r="M73" s="24">
        <v>2.0221353000000001E-2</v>
      </c>
      <c r="N73" s="24">
        <v>-3.8862526000000001E-2</v>
      </c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x14ac:dyDescent="0.35">
      <c r="A74" s="2">
        <v>43994</v>
      </c>
      <c r="B74" s="24">
        <v>9.2199799999999998E-2</v>
      </c>
      <c r="C74" s="24">
        <v>0.16434204000000002</v>
      </c>
      <c r="D74" s="24">
        <v>9.1372729999999999E-2</v>
      </c>
      <c r="E74" s="24">
        <v>0.17941952</v>
      </c>
      <c r="F74" s="24">
        <v>7.1374060000000003E-2</v>
      </c>
      <c r="G74" s="24">
        <v>5.0326467E-2</v>
      </c>
      <c r="H74" s="24">
        <v>7.145774399999999E-2</v>
      </c>
      <c r="I74" s="24">
        <v>7.5408099999999992E-2</v>
      </c>
      <c r="J74" s="24">
        <v>8.029116E-2</v>
      </c>
      <c r="K74" s="24">
        <v>0.16372263000000001</v>
      </c>
      <c r="L74" s="24">
        <v>0.12877976999999999</v>
      </c>
      <c r="M74" s="24">
        <v>0.13014210000000001</v>
      </c>
      <c r="N74" s="24">
        <v>0.17209076000000001</v>
      </c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x14ac:dyDescent="0.35">
      <c r="A75" s="2">
        <v>44025</v>
      </c>
      <c r="B75" s="24">
        <v>5.8418869999999998E-2</v>
      </c>
      <c r="C75" s="24">
        <v>2.2753120000000002E-2</v>
      </c>
      <c r="D75" s="24">
        <v>2.3438811E-2</v>
      </c>
      <c r="E75" s="24">
        <v>4.8479914999999998E-2</v>
      </c>
      <c r="F75" s="24">
        <v>-3.4741759999999998E-3</v>
      </c>
      <c r="G75" s="24">
        <v>4.9688220000000005E-2</v>
      </c>
      <c r="H75" s="24">
        <v>-3.7986636000000001E-3</v>
      </c>
      <c r="I75" s="24">
        <v>9.7950570000000001E-2</v>
      </c>
      <c r="J75" s="24">
        <v>3.9524317000000003E-2</v>
      </c>
      <c r="K75" s="24">
        <v>3.8581730000000002E-2</v>
      </c>
      <c r="L75" s="24">
        <v>7.512307E-2</v>
      </c>
      <c r="M75" s="24">
        <v>8.2147600000000001E-2</v>
      </c>
      <c r="N75" s="24">
        <v>4.6170353999999997E-2</v>
      </c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x14ac:dyDescent="0.35">
      <c r="A76" s="2">
        <v>44056</v>
      </c>
      <c r="B76" s="24">
        <v>1.8465876999999999E-2</v>
      </c>
      <c r="C76" s="24">
        <v>6.2532305999999996E-2</v>
      </c>
      <c r="D76" s="24">
        <v>8.8393569999999991E-2</v>
      </c>
      <c r="E76" s="24">
        <v>7.1505547000000003E-2</v>
      </c>
      <c r="F76" s="24">
        <v>4.2522549999999999E-2</v>
      </c>
      <c r="G76" s="24">
        <v>4.7392130000000005E-2</v>
      </c>
      <c r="H76" s="24">
        <v>5.3592205000000004E-2</v>
      </c>
      <c r="I76" s="24">
        <v>5.3918122999999998E-2</v>
      </c>
      <c r="J76" s="24">
        <v>6.9844959999999998E-2</v>
      </c>
      <c r="K76" s="24">
        <v>6.0279845999999998E-2</v>
      </c>
      <c r="L76" s="24">
        <v>4.777348E-2</v>
      </c>
      <c r="M76" s="24">
        <v>9.8159550000000012E-2</v>
      </c>
      <c r="N76" s="24">
        <v>6.7858577000000003E-2</v>
      </c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x14ac:dyDescent="0.35">
      <c r="A77" s="2">
        <v>44085</v>
      </c>
      <c r="B77" s="24">
        <v>1.5516043E-2</v>
      </c>
      <c r="C77" s="24">
        <v>-1.9941627999999999E-2</v>
      </c>
      <c r="D77" s="24">
        <v>-1.5536726000000001E-2</v>
      </c>
      <c r="E77" s="24">
        <v>1.6431927999999998E-2</v>
      </c>
      <c r="F77" s="24">
        <v>1.192534E-2</v>
      </c>
      <c r="G77" s="24">
        <v>1.1491537000000001E-2</v>
      </c>
      <c r="H77" s="24">
        <v>-4.2019900000000006E-2</v>
      </c>
      <c r="I77" s="24">
        <v>-7.4501039999999999E-3</v>
      </c>
      <c r="J77" s="24">
        <v>-8.2237123999999995E-3</v>
      </c>
      <c r="K77" s="24">
        <v>-5.0761104000000001E-3</v>
      </c>
      <c r="L77" s="24">
        <v>-8.7249279999999999E-3</v>
      </c>
      <c r="M77" s="24">
        <v>-8.1005690000000002E-3</v>
      </c>
      <c r="N77" s="24">
        <v>-2.3592114000000001E-2</v>
      </c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x14ac:dyDescent="0.35">
      <c r="A78" s="2">
        <v>44117</v>
      </c>
      <c r="B78" s="24">
        <v>6.1459303E-2</v>
      </c>
      <c r="C78" s="24">
        <v>3.2258034000000005E-2</v>
      </c>
      <c r="D78" s="24">
        <v>1.9727467999999998E-2</v>
      </c>
      <c r="E78" s="24">
        <v>-1.3856828000000002E-2</v>
      </c>
      <c r="F78" s="24">
        <v>1.5029907E-2</v>
      </c>
      <c r="G78" s="24">
        <v>-4.9703717000000001E-3</v>
      </c>
      <c r="H78" s="24">
        <v>0</v>
      </c>
      <c r="I78" s="24">
        <v>9.0580225E-2</v>
      </c>
      <c r="J78" s="24">
        <v>5.2350282999999997E-2</v>
      </c>
      <c r="K78" s="24">
        <v>-1.9727886E-2</v>
      </c>
      <c r="L78" s="24">
        <v>4.5428633999999996E-2</v>
      </c>
      <c r="M78" s="24">
        <v>1.8586278000000001E-2</v>
      </c>
      <c r="N78" s="24">
        <v>-2.5331258999999998E-2</v>
      </c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x14ac:dyDescent="0.35">
      <c r="A79" s="2">
        <v>44148</v>
      </c>
      <c r="B79" s="24">
        <v>5.1431299999999999E-2</v>
      </c>
      <c r="C79" s="24">
        <v>6.6826940000000001E-2</v>
      </c>
      <c r="D79" s="24">
        <v>1.2662649E-2</v>
      </c>
      <c r="E79" s="24">
        <v>1.3382435E-3</v>
      </c>
      <c r="F79" s="24">
        <v>6.6464780000000001E-2</v>
      </c>
      <c r="G79" s="24">
        <v>1.8553733999999999E-2</v>
      </c>
      <c r="H79" s="24">
        <v>8.9265109999999995E-2</v>
      </c>
      <c r="I79" s="24">
        <v>-1.2189329E-2</v>
      </c>
      <c r="J79" s="24">
        <v>2.2763013999999998E-2</v>
      </c>
      <c r="K79" s="24">
        <v>0.10097158000000001</v>
      </c>
      <c r="L79" s="24">
        <v>4.3997764999999994E-2</v>
      </c>
      <c r="M79" s="24">
        <v>5.8888673999999995E-2</v>
      </c>
      <c r="N79" s="24">
        <v>9.1163519999999998E-2</v>
      </c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x14ac:dyDescent="0.35">
      <c r="A80" s="2">
        <v>44176</v>
      </c>
      <c r="B80" s="24">
        <v>4.2762637000000006E-2</v>
      </c>
      <c r="C80" s="24">
        <v>7.0301890000000006E-2</v>
      </c>
      <c r="D80" s="24">
        <v>9.169853E-2</v>
      </c>
      <c r="E80" s="24">
        <v>3.2408952999999997E-2</v>
      </c>
      <c r="F80" s="24">
        <v>4.0549039999999995E-2</v>
      </c>
      <c r="G80" s="24">
        <v>1.6581058999999999E-2</v>
      </c>
      <c r="H80" s="24">
        <v>3.7442684000000004E-2</v>
      </c>
      <c r="I80" s="24">
        <v>3.7534833000000004E-2</v>
      </c>
      <c r="J80" s="24">
        <v>2.2898554999999998E-2</v>
      </c>
      <c r="K80" s="24">
        <v>4.4122339999999996E-2</v>
      </c>
      <c r="L80" s="24">
        <v>4.2924046999999993E-2</v>
      </c>
      <c r="M80" s="24">
        <v>3.1853794999999997E-2</v>
      </c>
      <c r="N80" s="24">
        <v>6.3393115999999999E-2</v>
      </c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x14ac:dyDescent="0.35">
      <c r="A81" s="2">
        <v>44209</v>
      </c>
      <c r="B81" s="24">
        <v>1.7517208999999999E-2</v>
      </c>
      <c r="C81" s="24">
        <v>3.9483666000000001E-2</v>
      </c>
      <c r="D81" s="24">
        <v>2.9267072999999998E-2</v>
      </c>
      <c r="E81" s="24">
        <v>6.2737226000000007E-2</v>
      </c>
      <c r="F81" s="24">
        <v>5.3391457000000003E-2</v>
      </c>
      <c r="G81" s="24">
        <v>4.1665077000000002E-2</v>
      </c>
      <c r="H81" s="24">
        <v>5.7949423999999999E-2</v>
      </c>
      <c r="I81" s="24">
        <v>4.8912643999999998E-2</v>
      </c>
      <c r="J81" s="24">
        <v>4.1265250000000003E-2</v>
      </c>
      <c r="K81" s="24">
        <v>3.1340121999999998E-2</v>
      </c>
      <c r="L81" s="24">
        <v>6.6083074000000006E-2</v>
      </c>
      <c r="M81" s="24">
        <v>5.311656E-2</v>
      </c>
      <c r="N81" s="24">
        <v>4.1613339999999999E-2</v>
      </c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x14ac:dyDescent="0.35">
      <c r="A82" s="2">
        <v>44239</v>
      </c>
      <c r="B82" s="24">
        <v>-3.7688791999999999E-2</v>
      </c>
      <c r="C82" s="24">
        <v>2.6552319999999997E-2</v>
      </c>
      <c r="D82" s="24">
        <v>2.9108046999999998E-2</v>
      </c>
      <c r="E82" s="24">
        <v>1.6034603000000001E-2</v>
      </c>
      <c r="F82" s="24">
        <v>3.3959626999999999E-2</v>
      </c>
      <c r="G82" s="24">
        <v>8.8262560000000004E-4</v>
      </c>
      <c r="H82" s="24">
        <v>-5.8593154000000005E-3</v>
      </c>
      <c r="I82" s="24">
        <v>6.4580440000000003E-2</v>
      </c>
      <c r="J82" s="24">
        <v>3.3834456999999998E-2</v>
      </c>
      <c r="K82" s="24">
        <v>5.2940845000000007E-3</v>
      </c>
      <c r="L82" s="24">
        <v>7.9107999999999998E-2</v>
      </c>
      <c r="M82" s="24">
        <v>3.7279010000000001E-2</v>
      </c>
      <c r="N82" s="24">
        <v>3.1687856E-2</v>
      </c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x14ac:dyDescent="0.35">
      <c r="A83" s="2">
        <v>44267</v>
      </c>
      <c r="B83" s="24">
        <v>-2.7735471999999997E-2</v>
      </c>
      <c r="C83" s="24">
        <v>3.9792059999999995E-4</v>
      </c>
      <c r="D83" s="24">
        <v>4.8661709999999997E-2</v>
      </c>
      <c r="E83" s="24">
        <v>7.2836875999999998E-3</v>
      </c>
      <c r="F83" s="24">
        <v>-3.6477982999999999E-2</v>
      </c>
      <c r="G83" s="24">
        <v>-3.1084657000000002E-2</v>
      </c>
      <c r="H83" s="24">
        <v>4.3549420000000005E-2</v>
      </c>
      <c r="I83" s="24">
        <v>-6.2386749999999998E-2</v>
      </c>
      <c r="J83" s="24">
        <v>3.6164522000000001E-3</v>
      </c>
      <c r="K83" s="24">
        <v>4.0959716000000007E-2</v>
      </c>
      <c r="L83" s="24">
        <v>-2.4363756E-2</v>
      </c>
      <c r="M83" s="24">
        <v>5.3442239999999995E-2</v>
      </c>
      <c r="N83" s="24">
        <v>2.1985172999999997E-2</v>
      </c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x14ac:dyDescent="0.35">
      <c r="A84" s="2">
        <v>44299</v>
      </c>
      <c r="B84" s="24">
        <v>-6.1128139999999994E-3</v>
      </c>
      <c r="C84" s="24">
        <v>1.6308665E-2</v>
      </c>
      <c r="D84" s="24">
        <v>1.7401456999999999E-2</v>
      </c>
      <c r="E84" s="24">
        <v>4.6098350000000003E-2</v>
      </c>
      <c r="F84" s="24">
        <v>1.0733962E-2</v>
      </c>
      <c r="G84" s="24">
        <v>4.7554015999999998E-2</v>
      </c>
      <c r="H84" s="24">
        <v>4.7066212000000003E-3</v>
      </c>
      <c r="I84" s="24">
        <v>8.1030729999999995E-2</v>
      </c>
      <c r="J84" s="24">
        <v>5.1145673000000003E-2</v>
      </c>
      <c r="K84" s="24">
        <v>2.3046612999999997E-2</v>
      </c>
      <c r="L84" s="24">
        <v>6.5774800000000008E-2</v>
      </c>
      <c r="M84" s="24">
        <v>4.2755840000000003E-2</v>
      </c>
      <c r="N84" s="24">
        <v>1.4235972999999999E-2</v>
      </c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x14ac:dyDescent="0.35">
      <c r="A85" s="2">
        <v>44329</v>
      </c>
      <c r="B85" s="24">
        <v>-3.3117532999999998E-3</v>
      </c>
      <c r="C85" s="24">
        <v>2.7397274999999999E-2</v>
      </c>
      <c r="D85" s="24">
        <v>3.4492611999999999E-2</v>
      </c>
      <c r="E85" s="24">
        <v>5.7601929999999998E-4</v>
      </c>
      <c r="F85" s="24">
        <v>-5.3243400000000003E-2</v>
      </c>
      <c r="G85" s="24">
        <v>1.3683677E-2</v>
      </c>
      <c r="H85" s="24">
        <v>4.1536450000000003E-2</v>
      </c>
      <c r="I85" s="24">
        <v>-6.2419295000000007E-2</v>
      </c>
      <c r="J85" s="24">
        <v>-6.2490699999999998E-3</v>
      </c>
      <c r="K85" s="24">
        <v>3.1318665000000002E-2</v>
      </c>
      <c r="L85" s="24">
        <v>-1.2133837000000001E-2</v>
      </c>
      <c r="M85" s="24">
        <v>3.1868220000000002E-3</v>
      </c>
      <c r="N85" s="24">
        <v>9.0454817E-3</v>
      </c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x14ac:dyDescent="0.35">
      <c r="A86" s="2">
        <v>44358</v>
      </c>
      <c r="B86" s="24">
        <v>-9.1511609999999997E-3</v>
      </c>
      <c r="C86" s="24">
        <v>4.2521240000000002E-2</v>
      </c>
      <c r="D86" s="24">
        <v>4.8575043999999998E-2</v>
      </c>
      <c r="E86" s="24">
        <v>4.2752623999999996E-2</v>
      </c>
      <c r="F86" s="24">
        <v>5.177474E-2</v>
      </c>
      <c r="G86" s="24">
        <v>8.3256840000000013E-2</v>
      </c>
      <c r="H86" s="24">
        <v>2.8788686000000001E-2</v>
      </c>
      <c r="I86" s="24">
        <v>6.8578960000000008E-2</v>
      </c>
      <c r="J86" s="24">
        <v>3.4196138000000001E-2</v>
      </c>
      <c r="K86" s="24">
        <v>5.3728819999999997E-2</v>
      </c>
      <c r="L86" s="24">
        <v>6.0343146E-2</v>
      </c>
      <c r="M86" s="24">
        <v>4.4090866999999999E-2</v>
      </c>
      <c r="N86" s="24">
        <v>5.4745435999999995E-2</v>
      </c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x14ac:dyDescent="0.35">
      <c r="A87" s="2">
        <v>44390</v>
      </c>
      <c r="B87" s="24">
        <v>-8.7012649999999997E-3</v>
      </c>
      <c r="C87" s="24">
        <v>-3.9273797999999999E-2</v>
      </c>
      <c r="D87" s="24">
        <v>-1.8244267000000002E-2</v>
      </c>
      <c r="E87" s="24">
        <v>-2.1336257000000001E-2</v>
      </c>
      <c r="F87" s="24">
        <v>-6.823361E-3</v>
      </c>
      <c r="G87" s="24">
        <v>-4.0290355999999996E-3</v>
      </c>
      <c r="H87" s="24">
        <v>-1.9857764E-2</v>
      </c>
      <c r="I87" s="24">
        <v>6.3291550000000002E-2</v>
      </c>
      <c r="J87" s="24">
        <v>2.9988527000000001E-2</v>
      </c>
      <c r="K87" s="24">
        <v>-3.5531699999999999E-2</v>
      </c>
      <c r="L87" s="24">
        <v>-2.3723364E-2</v>
      </c>
      <c r="M87" s="24">
        <v>-1.3491093999999999E-2</v>
      </c>
      <c r="N87" s="24">
        <v>-4.9243569999999993E-2</v>
      </c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x14ac:dyDescent="0.35">
      <c r="A88" s="2">
        <v>44421</v>
      </c>
      <c r="B88" s="24">
        <v>1.6254187E-3</v>
      </c>
      <c r="C88" s="24">
        <v>2.6224493999999998E-2</v>
      </c>
      <c r="D88" s="24">
        <v>1.5620708000000001E-2</v>
      </c>
      <c r="E88" s="24">
        <v>1.3769388E-2</v>
      </c>
      <c r="F88" s="24">
        <v>3.3620596000000003E-3</v>
      </c>
      <c r="G88" s="24">
        <v>3.2362460000000003E-2</v>
      </c>
      <c r="H88" s="24">
        <v>1.9655347E-2</v>
      </c>
      <c r="I88" s="24">
        <v>1.7659068E-2</v>
      </c>
      <c r="J88" s="24">
        <v>2.371502E-2</v>
      </c>
      <c r="K88" s="24">
        <v>4.8502563999999998E-2</v>
      </c>
      <c r="L88" s="24">
        <v>5.5189490000000001E-2</v>
      </c>
      <c r="M88" s="24">
        <v>3.0296683000000001E-2</v>
      </c>
      <c r="N88" s="24">
        <v>5.8970330000000001E-2</v>
      </c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x14ac:dyDescent="0.35">
      <c r="A89" s="2">
        <v>44452</v>
      </c>
      <c r="B89" s="24">
        <v>3.7812471E-2</v>
      </c>
      <c r="C89" s="24">
        <v>-2.2547899999999999E-2</v>
      </c>
      <c r="D89" s="24">
        <v>-9.2813369999999989E-3</v>
      </c>
      <c r="E89" s="24">
        <v>-1.7260909000000001E-2</v>
      </c>
      <c r="F89" s="24">
        <v>7.5320479999999995E-2</v>
      </c>
      <c r="G89" s="24">
        <v>-3.1543910000000001E-2</v>
      </c>
      <c r="H89" s="24">
        <v>-2.0759224999999999E-2</v>
      </c>
      <c r="I89" s="24">
        <v>2.0362138999999998E-2</v>
      </c>
      <c r="J89" s="24">
        <v>1.4799833000000001E-3</v>
      </c>
      <c r="K89" s="24">
        <v>-1.8958569000000002E-2</v>
      </c>
      <c r="L89" s="24">
        <v>3.6494849999999995E-2</v>
      </c>
      <c r="M89" s="24">
        <v>-2.6138484000000003E-2</v>
      </c>
      <c r="N89" s="24">
        <v>-3.5061835999999999E-2</v>
      </c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x14ac:dyDescent="0.35">
      <c r="A90" s="2">
        <v>44482</v>
      </c>
      <c r="B90" s="24">
        <v>-2.8459728000000004E-2</v>
      </c>
      <c r="C90" s="24">
        <v>-9.9961760000000007E-3</v>
      </c>
      <c r="D90" s="24">
        <v>2.1413207E-2</v>
      </c>
      <c r="E90" s="24">
        <v>-5.1252484000000001E-2</v>
      </c>
      <c r="F90" s="24">
        <v>-8.3051020000000003E-2</v>
      </c>
      <c r="G90" s="24">
        <v>-2.8727531000000001E-2</v>
      </c>
      <c r="H90" s="24">
        <v>6.3596963999999999E-3</v>
      </c>
      <c r="I90" s="24">
        <v>-4.231E-2</v>
      </c>
      <c r="J90" s="24">
        <v>-2.237451E-2</v>
      </c>
      <c r="K90" s="24">
        <v>-2.2159277999999998E-2</v>
      </c>
      <c r="L90" s="24">
        <v>-6.1382054999999998E-2</v>
      </c>
      <c r="M90" s="24">
        <v>-3.187251E-2</v>
      </c>
      <c r="N90" s="24">
        <v>-1.1603057000000002E-2</v>
      </c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x14ac:dyDescent="0.35">
      <c r="A91" s="2">
        <v>44512</v>
      </c>
      <c r="B91" s="24">
        <v>-9.6572040000000008E-3</v>
      </c>
      <c r="C91" s="24">
        <v>1.2427211000000001E-2</v>
      </c>
      <c r="D91" s="24">
        <v>4.8218009999999999E-2</v>
      </c>
      <c r="E91" s="24">
        <v>3.5204886999999997E-2</v>
      </c>
      <c r="F91" s="24">
        <v>3.5461067999999998E-2</v>
      </c>
      <c r="G91" s="24">
        <v>6.3736795999999998E-2</v>
      </c>
      <c r="H91" s="24">
        <v>8.4260700000000008E-3</v>
      </c>
      <c r="I91" s="24">
        <v>9.6388929999999998E-2</v>
      </c>
      <c r="J91" s="24">
        <v>7.3739650000000004E-2</v>
      </c>
      <c r="K91" s="24">
        <v>5.5599450000000002E-2</v>
      </c>
      <c r="L91" s="24">
        <v>6.3390136E-2</v>
      </c>
      <c r="M91" s="24">
        <v>5.4147720000000003E-2</v>
      </c>
      <c r="N91" s="24">
        <v>4.7883870000000002E-2</v>
      </c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x14ac:dyDescent="0.35">
      <c r="A92" s="2">
        <v>44543</v>
      </c>
      <c r="B92" s="24">
        <v>-4.2932689999999996E-2</v>
      </c>
      <c r="C92" s="24">
        <v>-4.2327222999999997E-2</v>
      </c>
      <c r="D92" s="24">
        <v>-6.4799429999999991E-2</v>
      </c>
      <c r="E92" s="24">
        <v>-4.4978022999999999E-2</v>
      </c>
      <c r="F92" s="24">
        <v>-3.2846272000000003E-2</v>
      </c>
      <c r="G92" s="24">
        <v>-3.7203429999999997E-3</v>
      </c>
      <c r="H92" s="24">
        <v>-2.4598597999999999E-2</v>
      </c>
      <c r="I92" s="24">
        <v>-6.1818960000000001E-3</v>
      </c>
      <c r="J92" s="24">
        <v>-1.4980435000000001E-3</v>
      </c>
      <c r="K92" s="24">
        <v>-3.8264809999999996E-2</v>
      </c>
      <c r="L92" s="24">
        <v>-8.1104160000000008E-2</v>
      </c>
      <c r="M92" s="24">
        <v>-5.7035327000000004E-2</v>
      </c>
      <c r="N92" s="24">
        <v>-5.1243900000000002E-2</v>
      </c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x14ac:dyDescent="0.35">
      <c r="A93" s="2">
        <v>44574</v>
      </c>
      <c r="B93" s="24">
        <v>1.7237662999999999E-4</v>
      </c>
      <c r="C93" s="24">
        <v>3.2852529999999998E-2</v>
      </c>
      <c r="D93" s="24">
        <v>5.686426E-2</v>
      </c>
      <c r="E93" s="24">
        <v>3.2313824000000005E-2</v>
      </c>
      <c r="F93" s="24">
        <v>6.2789916999999992E-3</v>
      </c>
      <c r="G93" s="24">
        <v>8.8443755999999991E-3</v>
      </c>
      <c r="H93" s="24">
        <v>8.4250340000000007E-2</v>
      </c>
      <c r="I93" s="24">
        <v>-3.5977483000000005E-2</v>
      </c>
      <c r="J93" s="24">
        <v>-8.294582E-4</v>
      </c>
      <c r="K93" s="24">
        <v>4.7745943000000006E-2</v>
      </c>
      <c r="L93" s="24">
        <v>1.5454411999999999E-2</v>
      </c>
      <c r="M93" s="24">
        <v>3.1349420000000003E-2</v>
      </c>
      <c r="N93" s="24">
        <v>5.9249996999999999E-2</v>
      </c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x14ac:dyDescent="0.35">
      <c r="A94" s="2">
        <v>44603</v>
      </c>
      <c r="B94" s="24">
        <v>-7.722807000000001E-2</v>
      </c>
      <c r="C94" s="24">
        <v>-4.9035370000000002E-2</v>
      </c>
      <c r="D94" s="24">
        <v>-4.8680305000000004E-3</v>
      </c>
      <c r="E94" s="24">
        <v>-5.3089380000000005E-2</v>
      </c>
      <c r="F94" s="24">
        <v>-4.9769696999999995E-2</v>
      </c>
      <c r="G94" s="24">
        <v>-5.2211164999999997E-2</v>
      </c>
      <c r="H94" s="24">
        <v>-8.6987019999999998E-4</v>
      </c>
      <c r="I94" s="24">
        <v>-8.1025305000000006E-2</v>
      </c>
      <c r="J94" s="24">
        <v>-5.1815805E-2</v>
      </c>
      <c r="K94" s="24">
        <v>-4.8879805000000005E-2</v>
      </c>
      <c r="L94" s="24">
        <v>-8.6647750000000009E-2</v>
      </c>
      <c r="M94" s="24">
        <v>-0.10873824000000001</v>
      </c>
      <c r="N94" s="24">
        <v>-4.4034480000000001E-2</v>
      </c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x14ac:dyDescent="0.35">
      <c r="A95" s="2">
        <v>44631</v>
      </c>
      <c r="B95" s="24">
        <v>6.5383910000000002E-3</v>
      </c>
      <c r="C95" s="24">
        <v>3.0431032E-2</v>
      </c>
      <c r="D95" s="24">
        <v>-8.2389115999999991E-3</v>
      </c>
      <c r="E95" s="24">
        <v>-0.15394365000000002</v>
      </c>
      <c r="F95" s="24">
        <v>-8.474045999999999E-2</v>
      </c>
      <c r="G95" s="24">
        <v>-7.1736930000000004E-2</v>
      </c>
      <c r="H95" s="24">
        <v>-8.5896670000000008E-2</v>
      </c>
      <c r="I95" s="24">
        <v>-6.5291286000000004E-2</v>
      </c>
      <c r="J95" s="24">
        <v>-4.6292486000000001E-2</v>
      </c>
      <c r="K95" s="24">
        <v>-0.12981802000000001</v>
      </c>
      <c r="L95" s="24">
        <v>-0.14419013</v>
      </c>
      <c r="M95" s="24">
        <v>-0.12004889000000001</v>
      </c>
      <c r="N95" s="24">
        <v>-0.16433238999999999</v>
      </c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x14ac:dyDescent="0.35">
      <c r="A96" s="2">
        <v>44664</v>
      </c>
      <c r="B96" s="24">
        <v>-1.5033424E-2</v>
      </c>
      <c r="C96" s="24">
        <v>8.6956500000000006E-2</v>
      </c>
      <c r="D96" s="24">
        <v>3.3489108000000004E-2</v>
      </c>
      <c r="E96" s="24">
        <v>2.3212313999999998E-2</v>
      </c>
      <c r="F96" s="24">
        <v>3.4165382000000001E-4</v>
      </c>
      <c r="G96" s="24">
        <v>9.588134999999999E-2</v>
      </c>
      <c r="H96" s="24">
        <v>8.1904770000000002E-2</v>
      </c>
      <c r="I96" s="24">
        <v>6.8986060000000002E-2</v>
      </c>
      <c r="J96" s="24">
        <v>5.8567046999999997E-2</v>
      </c>
      <c r="K96" s="24">
        <v>5.8136105999999993E-2</v>
      </c>
      <c r="L96" s="24">
        <v>5.9968830000000001E-2</v>
      </c>
      <c r="M96" s="24">
        <v>7.5298667E-2</v>
      </c>
      <c r="N96" s="24">
        <v>8.752335E-2</v>
      </c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x14ac:dyDescent="0.35">
      <c r="A97" s="2">
        <v>44694</v>
      </c>
      <c r="B97" s="24">
        <v>-0.12794422999999999</v>
      </c>
      <c r="C97" s="24">
        <v>-0.108301935</v>
      </c>
      <c r="D97" s="24">
        <v>-9.8216529999999996E-2</v>
      </c>
      <c r="E97" s="24">
        <v>-5.6714177000000005E-2</v>
      </c>
      <c r="F97" s="24">
        <v>-3.8251400000000005E-2</v>
      </c>
      <c r="G97" s="24">
        <v>-0.11456865000000001</v>
      </c>
      <c r="H97" s="24">
        <v>-7.4823976E-2</v>
      </c>
      <c r="I97" s="24">
        <v>-0.12822288500000001</v>
      </c>
      <c r="J97" s="24">
        <v>-9.3816940000000001E-2</v>
      </c>
      <c r="K97" s="24">
        <v>-5.7267485E-2</v>
      </c>
      <c r="L97" s="24">
        <v>-8.9395100000000005E-2</v>
      </c>
      <c r="M97" s="24">
        <v>-0.10490959999999999</v>
      </c>
      <c r="N97" s="24">
        <v>-7.1575345999999998E-2</v>
      </c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x14ac:dyDescent="0.35">
      <c r="A98" s="2">
        <v>44725</v>
      </c>
      <c r="B98" s="24">
        <v>-4.1170597000000003E-2</v>
      </c>
      <c r="C98" s="24">
        <v>-6.4676641999999993E-2</v>
      </c>
      <c r="D98" s="24">
        <v>-1.7802237999999998E-2</v>
      </c>
      <c r="E98" s="24">
        <v>-4.1460093999999996E-2</v>
      </c>
      <c r="F98" s="24">
        <v>-4.5080780000000001E-2</v>
      </c>
      <c r="G98" s="24">
        <v>-6.9714904000000008E-2</v>
      </c>
      <c r="H98" s="24">
        <v>-3.2671451999999997E-2</v>
      </c>
      <c r="I98" s="24">
        <v>-8.786511000000001E-2</v>
      </c>
      <c r="J98" s="24">
        <v>-6.651401500000001E-2</v>
      </c>
      <c r="K98" s="24">
        <v>-4.2882680000000006E-2</v>
      </c>
      <c r="L98" s="24">
        <v>-5.2031937E-2</v>
      </c>
      <c r="M98" s="24">
        <v>-4.3829260000000002E-2</v>
      </c>
      <c r="N98" s="24">
        <v>-7.3857726999999998E-2</v>
      </c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x14ac:dyDescent="0.35">
      <c r="A99" s="2">
        <v>44755</v>
      </c>
      <c r="B99" s="24">
        <v>2.7131796E-2</v>
      </c>
      <c r="C99" s="24">
        <v>-2.5221825E-2</v>
      </c>
      <c r="D99" s="24">
        <v>-5.6857166000000001E-2</v>
      </c>
      <c r="E99" s="24">
        <v>-8.7192349999999988E-2</v>
      </c>
      <c r="F99" s="24">
        <v>-9.9511740000000001E-3</v>
      </c>
      <c r="G99" s="24">
        <v>2.7284144999999999E-2</v>
      </c>
      <c r="H99" s="24">
        <v>-2.8046726999999997E-2</v>
      </c>
      <c r="I99" s="24">
        <v>3.9126991999999999E-2</v>
      </c>
      <c r="J99" s="24">
        <v>1.4567375E-2</v>
      </c>
      <c r="K99" s="24">
        <v>-2.9850721E-2</v>
      </c>
      <c r="L99" s="24">
        <v>-2.6731848999999999E-2</v>
      </c>
      <c r="M99" s="24">
        <v>-5.0947484999999994E-2</v>
      </c>
      <c r="N99" s="24">
        <v>-5.4187180000000001E-2</v>
      </c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x14ac:dyDescent="0.35">
      <c r="A100" s="2">
        <v>44785</v>
      </c>
      <c r="B100" s="24">
        <v>0.11453938499999999</v>
      </c>
      <c r="C100" s="24">
        <v>0.11403931</v>
      </c>
      <c r="D100" s="24">
        <v>9.7849249999999999E-2</v>
      </c>
      <c r="E100" s="24">
        <v>0.10603296000000001</v>
      </c>
      <c r="F100" s="24">
        <v>8.1547499999999995E-2</v>
      </c>
      <c r="G100" s="24">
        <v>7.2124720000000003E-2</v>
      </c>
      <c r="H100" s="24">
        <v>7.4201345000000002E-2</v>
      </c>
      <c r="I100" s="24">
        <v>0.15662527000000001</v>
      </c>
      <c r="J100" s="24">
        <v>0.12741863</v>
      </c>
      <c r="K100" s="24">
        <v>0.11487185999999999</v>
      </c>
      <c r="L100" s="24">
        <v>0.13585340499999998</v>
      </c>
      <c r="M100" s="24">
        <v>0.10736501999999999</v>
      </c>
      <c r="N100" s="24">
        <v>0.1028645</v>
      </c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x14ac:dyDescent="0.35">
      <c r="A101" s="2">
        <v>44817</v>
      </c>
      <c r="B101" s="24">
        <v>-8.1856190000000009E-2</v>
      </c>
      <c r="C101" s="24">
        <v>-7.0107517000000008E-2</v>
      </c>
      <c r="D101" s="24">
        <v>-5.4635819999999995E-2</v>
      </c>
      <c r="E101" s="24">
        <v>-8.7190089999999998E-2</v>
      </c>
      <c r="F101" s="24">
        <v>-9.9772029999999998E-2</v>
      </c>
      <c r="G101" s="24">
        <v>-6.7954597000000005E-2</v>
      </c>
      <c r="H101" s="24">
        <v>-7.6750874999999996E-2</v>
      </c>
      <c r="I101" s="24">
        <v>-0.11105060999999999</v>
      </c>
      <c r="J101" s="24">
        <v>-7.9606650000000001E-2</v>
      </c>
      <c r="K101" s="24">
        <v>-8.7396509999999997E-2</v>
      </c>
      <c r="L101" s="24">
        <v>-0.11544460000000001</v>
      </c>
      <c r="M101" s="24">
        <v>-0.10434532000000001</v>
      </c>
      <c r="N101" s="24">
        <v>-6.8870544000000006E-2</v>
      </c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x14ac:dyDescent="0.35">
      <c r="A102" s="2">
        <v>44847</v>
      </c>
      <c r="B102" s="24">
        <v>-0.11475049999999999</v>
      </c>
      <c r="C102" s="24">
        <v>-7.0767819999999995E-2</v>
      </c>
      <c r="D102" s="24">
        <v>-8.9025079999999993E-2</v>
      </c>
      <c r="E102" s="24">
        <v>-7.8768672999999997E-2</v>
      </c>
      <c r="F102" s="24">
        <v>-4.2267264999999998E-2</v>
      </c>
      <c r="G102" s="24">
        <v>-8.9978040000000009E-2</v>
      </c>
      <c r="H102" s="24">
        <v>-6.9622459999999997E-2</v>
      </c>
      <c r="I102" s="24">
        <v>-8.3081539999999995E-2</v>
      </c>
      <c r="J102" s="24">
        <v>-6.516081E-2</v>
      </c>
      <c r="K102" s="24">
        <v>-6.5188170000000004E-2</v>
      </c>
      <c r="L102" s="24">
        <v>-0.10052908000000001</v>
      </c>
      <c r="M102" s="24">
        <v>-8.8118789999999989E-2</v>
      </c>
      <c r="N102" s="24">
        <v>-7.0160627000000003E-2</v>
      </c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x14ac:dyDescent="0.35">
      <c r="A103" s="2">
        <v>44876</v>
      </c>
      <c r="B103" s="24">
        <v>0.1242342</v>
      </c>
      <c r="C103" s="24">
        <v>0.13489293999999999</v>
      </c>
      <c r="D103" s="24">
        <v>0.12271713999999999</v>
      </c>
      <c r="E103" s="24">
        <v>0.22014735999999999</v>
      </c>
      <c r="F103" s="24">
        <v>0.11734795999999999</v>
      </c>
      <c r="G103" s="24">
        <v>0.16050375</v>
      </c>
      <c r="H103" s="24">
        <v>0.11206257000000001</v>
      </c>
      <c r="I103" s="24">
        <v>7.1200013000000006E-2</v>
      </c>
      <c r="J103" s="24">
        <v>8.8914389999999996E-2</v>
      </c>
      <c r="K103" s="24">
        <v>0.18296193999999999</v>
      </c>
      <c r="L103" s="24">
        <v>0.23366009999999998</v>
      </c>
      <c r="M103" s="24">
        <v>0.23488962000000002</v>
      </c>
      <c r="N103" s="24">
        <v>0.24363636</v>
      </c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x14ac:dyDescent="0.35">
      <c r="A104" s="2">
        <v>44908</v>
      </c>
      <c r="B104" s="24">
        <v>9.4207399999999997E-2</v>
      </c>
      <c r="C104" s="24">
        <v>3.2024503000000003E-2</v>
      </c>
      <c r="D104" s="24">
        <v>-2.3359299E-2</v>
      </c>
      <c r="E104" s="24">
        <v>3.5386204999999997E-2</v>
      </c>
      <c r="F104" s="24">
        <v>2.0099760000000001E-2</v>
      </c>
      <c r="G104" s="24">
        <v>2.3088455000000001E-3</v>
      </c>
      <c r="H104" s="24">
        <v>6.8310380000000004E-2</v>
      </c>
      <c r="I104" s="24">
        <v>2.396226E-3</v>
      </c>
      <c r="J104" s="24">
        <v>8.68237E-3</v>
      </c>
      <c r="K104" s="24">
        <v>4.0506362999999997E-2</v>
      </c>
      <c r="L104" s="24">
        <v>5.8186410000000001E-2</v>
      </c>
      <c r="M104" s="24">
        <v>2.0455002999999999E-2</v>
      </c>
      <c r="N104" s="24">
        <v>2.6166676999999999E-2</v>
      </c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x14ac:dyDescent="0.35">
      <c r="A105" s="2">
        <v>44939</v>
      </c>
      <c r="B105" s="24">
        <v>1.1409163E-2</v>
      </c>
      <c r="C105" s="24">
        <v>3.9393902000000001E-2</v>
      </c>
      <c r="D105" s="24">
        <v>3.2019020000000002E-2</v>
      </c>
      <c r="E105" s="24">
        <v>8.1322909999999998E-2</v>
      </c>
      <c r="F105" s="24">
        <v>1.5200377000000001E-2</v>
      </c>
      <c r="G105" s="24">
        <v>2.7413010000000002E-2</v>
      </c>
      <c r="H105" s="24">
        <v>3.7531734000000004E-2</v>
      </c>
      <c r="I105" s="24">
        <v>-2.4241567000000002E-2</v>
      </c>
      <c r="J105" s="24">
        <v>-4.0247440000000002E-3</v>
      </c>
      <c r="K105" s="24">
        <v>6.8581459999999997E-2</v>
      </c>
      <c r="L105" s="24">
        <v>5.6675076000000005E-2</v>
      </c>
      <c r="M105" s="24">
        <v>2.1663785000000001E-2</v>
      </c>
      <c r="N105" s="24">
        <v>7.0860505000000004E-2</v>
      </c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x14ac:dyDescent="0.35">
      <c r="A106" s="2">
        <v>44970</v>
      </c>
      <c r="B106" s="24">
        <v>1.8009067E-2</v>
      </c>
      <c r="C106" s="24">
        <v>1.9158602E-2</v>
      </c>
      <c r="D106" s="24">
        <v>2.6429176000000002E-2</v>
      </c>
      <c r="E106" s="24">
        <v>8.6362360000000003E-3</v>
      </c>
      <c r="F106" s="24">
        <v>2.3251653000000001E-2</v>
      </c>
      <c r="G106" s="24">
        <v>6.7265034000000001E-3</v>
      </c>
      <c r="H106" s="24">
        <v>6.4378977000000004E-3</v>
      </c>
      <c r="I106" s="24">
        <v>8.3745589999999995E-2</v>
      </c>
      <c r="J106" s="24">
        <v>3.595984E-2</v>
      </c>
      <c r="K106" s="24">
        <v>1.3439417E-2</v>
      </c>
      <c r="L106" s="24">
        <v>6.6745279999999999E-3</v>
      </c>
      <c r="M106" s="24">
        <v>1.2157202000000001E-2</v>
      </c>
      <c r="N106" s="24">
        <v>3.2748103000000001E-2</v>
      </c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x14ac:dyDescent="0.35">
      <c r="A107" s="2">
        <v>44998</v>
      </c>
      <c r="B107" s="24">
        <v>-6.9206770000000001E-2</v>
      </c>
      <c r="C107" s="24">
        <v>-9.6444550000000004E-2</v>
      </c>
      <c r="D107" s="24">
        <v>-8.3683130000000008E-2</v>
      </c>
      <c r="E107" s="24">
        <v>-3.8530170000000002E-2</v>
      </c>
      <c r="F107" s="24">
        <v>-3.184712E-2</v>
      </c>
      <c r="G107" s="24">
        <v>-4.0757300000000003E-2</v>
      </c>
      <c r="H107" s="24">
        <v>-4.4471559999999993E-2</v>
      </c>
      <c r="I107" s="24">
        <v>-4.5353054999999996E-2</v>
      </c>
      <c r="J107" s="24">
        <v>-6.6540719999999998E-2</v>
      </c>
      <c r="K107" s="24">
        <v>-3.382951E-2</v>
      </c>
      <c r="L107" s="24">
        <v>-5.9909999999999998E-2</v>
      </c>
      <c r="M107" s="24">
        <v>-6.5083740000000001E-2</v>
      </c>
      <c r="N107" s="24">
        <v>-4.8708735000000003E-2</v>
      </c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x14ac:dyDescent="0.35">
      <c r="A108" s="2">
        <v>45029</v>
      </c>
      <c r="B108" s="24">
        <v>5.5346609999999997E-2</v>
      </c>
      <c r="C108" s="24">
        <v>7.1460842999999996E-2</v>
      </c>
      <c r="D108" s="24">
        <v>8.3995099999999989E-2</v>
      </c>
      <c r="E108" s="24">
        <v>8.2374690000000014E-2</v>
      </c>
      <c r="F108" s="24">
        <v>4.694164E-2</v>
      </c>
      <c r="G108" s="24">
        <v>9.8676569999999991E-2</v>
      </c>
      <c r="H108" s="24">
        <v>7.6824903E-2</v>
      </c>
      <c r="I108" s="24">
        <v>9.9668389999999996E-2</v>
      </c>
      <c r="J108" s="24">
        <v>7.7088593999999996E-2</v>
      </c>
      <c r="K108" s="24">
        <v>0.10504198000000001</v>
      </c>
      <c r="L108" s="24">
        <v>7.25441E-2</v>
      </c>
      <c r="M108" s="24">
        <v>8.7541100000000011E-2</v>
      </c>
      <c r="N108" s="24">
        <v>8.969068999999999E-2</v>
      </c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x14ac:dyDescent="0.35">
      <c r="A109" s="2">
        <v>45058</v>
      </c>
      <c r="B109" s="24">
        <v>-1.0686636000000001E-2</v>
      </c>
      <c r="C109" s="24">
        <v>-3.3769548000000003E-2</v>
      </c>
      <c r="D109" s="24">
        <v>-1.9442141E-2</v>
      </c>
      <c r="E109" s="24">
        <v>-1.0970175E-2</v>
      </c>
      <c r="F109" s="24">
        <v>2.2418499999999997E-2</v>
      </c>
      <c r="G109" s="24">
        <v>2.1766662999999999E-2</v>
      </c>
      <c r="H109" s="24">
        <v>-1.657778E-2</v>
      </c>
      <c r="I109" s="24">
        <v>1.8360019000000002E-2</v>
      </c>
      <c r="J109" s="24">
        <v>-4.5468807000000003E-3</v>
      </c>
      <c r="K109" s="24">
        <v>-1.8504441E-2</v>
      </c>
      <c r="L109" s="24">
        <v>-1.9962489999999999E-2</v>
      </c>
      <c r="M109" s="24">
        <v>-1.0164917000000001E-2</v>
      </c>
      <c r="N109" s="24">
        <v>-1.2298942E-2</v>
      </c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x14ac:dyDescent="0.35">
      <c r="A110" s="2">
        <v>45090</v>
      </c>
      <c r="B110" s="24">
        <v>-2.8782009999999997E-2</v>
      </c>
      <c r="C110" s="24">
        <v>1.1779547E-2</v>
      </c>
      <c r="D110" s="24">
        <v>-2.3495555000000003E-3</v>
      </c>
      <c r="E110" s="24">
        <v>1.107645E-2</v>
      </c>
      <c r="F110" s="24">
        <v>6.2431096999999998E-2</v>
      </c>
      <c r="G110" s="24">
        <v>-3.0417679999999999E-2</v>
      </c>
      <c r="H110" s="24">
        <v>-7.8860519999999993E-3</v>
      </c>
      <c r="I110" s="24">
        <v>0.11761998999999999</v>
      </c>
      <c r="J110" s="24">
        <v>6.0910105999999999E-2</v>
      </c>
      <c r="K110" s="24">
        <v>-1.1176467000000001E-2</v>
      </c>
      <c r="L110" s="24">
        <v>3.7858963000000002E-2</v>
      </c>
      <c r="M110" s="24">
        <v>0</v>
      </c>
      <c r="N110" s="24">
        <v>4.9101114000000001E-3</v>
      </c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x14ac:dyDescent="0.35">
      <c r="A111" s="2">
        <v>45120</v>
      </c>
      <c r="B111" s="24">
        <v>6.6985726000000009E-2</v>
      </c>
      <c r="C111" s="24">
        <v>3.079629E-2</v>
      </c>
      <c r="D111" s="24">
        <v>3.3750414999999999E-2</v>
      </c>
      <c r="E111" s="24">
        <v>3.4519196000000002E-2</v>
      </c>
      <c r="F111" s="24">
        <v>-5.1959752999999999E-3</v>
      </c>
      <c r="G111" s="24">
        <v>2.9880047E-2</v>
      </c>
      <c r="H111" s="24">
        <v>1.8867849999999999E-2</v>
      </c>
      <c r="I111" s="24">
        <v>4.5176505999999998E-2</v>
      </c>
      <c r="J111" s="24">
        <v>3.3380627999999996E-2</v>
      </c>
      <c r="K111" s="24">
        <v>5.6608796000000003E-2</v>
      </c>
      <c r="L111" s="24">
        <v>5.3700685999999997E-2</v>
      </c>
      <c r="M111" s="24">
        <v>2.3313879999999999E-2</v>
      </c>
      <c r="N111" s="24">
        <v>7.9752563999999998E-2</v>
      </c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x14ac:dyDescent="0.35">
      <c r="A112" s="2">
        <v>45149</v>
      </c>
      <c r="B112" s="24">
        <v>-8.1692399999999998E-2</v>
      </c>
      <c r="C112" s="24">
        <v>-5.0362770000000001E-2</v>
      </c>
      <c r="D112" s="24">
        <v>-1.6042768999999998E-2</v>
      </c>
      <c r="E112" s="24">
        <v>-4.2900919999999995E-2</v>
      </c>
      <c r="F112" s="24">
        <v>-2.8648317E-2</v>
      </c>
      <c r="G112" s="24">
        <v>-1.5247821999999999E-2</v>
      </c>
      <c r="H112" s="24">
        <v>-1.3357580000000001E-2</v>
      </c>
      <c r="I112" s="24">
        <v>-3.4049868999999996E-2</v>
      </c>
      <c r="J112" s="24">
        <v>-8.6973906000000004E-3</v>
      </c>
      <c r="K112" s="24">
        <v>-3.3864021000000001E-2</v>
      </c>
      <c r="L112" s="24">
        <v>-5.0963880000000003E-2</v>
      </c>
      <c r="M112" s="24">
        <v>-7.6484919999999998E-2</v>
      </c>
      <c r="N112" s="24">
        <v>-3.7081659999999995E-2</v>
      </c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x14ac:dyDescent="0.35">
      <c r="A113" s="2">
        <v>45182</v>
      </c>
      <c r="B113" s="24">
        <v>-5.7324767000000006E-2</v>
      </c>
      <c r="C113" s="24">
        <v>-1.5730381000000002E-2</v>
      </c>
      <c r="D113" s="24">
        <v>-1.0297476999999999E-2</v>
      </c>
      <c r="E113" s="24">
        <v>-3.6641777E-2</v>
      </c>
      <c r="F113" s="24">
        <v>1.4828086000000001E-2</v>
      </c>
      <c r="G113" s="24">
        <v>-3.1612933000000003E-2</v>
      </c>
      <c r="H113" s="24">
        <v>-1.5076994999999999E-2</v>
      </c>
      <c r="I113" s="24">
        <v>2.1761656000000001E-2</v>
      </c>
      <c r="J113" s="24">
        <v>1.92976E-3</v>
      </c>
      <c r="K113" s="24">
        <v>-4.2898235E-2</v>
      </c>
      <c r="L113" s="24">
        <v>-7.9967379999999991E-2</v>
      </c>
      <c r="M113" s="24">
        <v>-4.8164424999999997E-2</v>
      </c>
      <c r="N113" s="24">
        <v>-2.0037591E-2</v>
      </c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x14ac:dyDescent="0.35">
      <c r="A114" s="2">
        <v>45212</v>
      </c>
      <c r="B114" s="24">
        <v>-2.1171212000000002E-2</v>
      </c>
      <c r="C114" s="24">
        <v>-3.3789933000000001E-2</v>
      </c>
      <c r="D114" s="24">
        <v>-4.1040419999999994E-2</v>
      </c>
      <c r="E114" s="24">
        <v>-5.1698684999999994E-2</v>
      </c>
      <c r="F114" s="24">
        <v>-4.3352546999999998E-2</v>
      </c>
      <c r="G114" s="24">
        <v>-2.1763265E-2</v>
      </c>
      <c r="H114" s="24">
        <v>-1.0621607E-2</v>
      </c>
      <c r="I114" s="24">
        <v>-2.2453248999999998E-2</v>
      </c>
      <c r="J114" s="24">
        <v>-3.0165552999999998E-2</v>
      </c>
      <c r="K114" s="24">
        <v>-5.1380215E-2</v>
      </c>
      <c r="L114" s="24">
        <v>-4.7582807999999997E-2</v>
      </c>
      <c r="M114" s="24">
        <v>2.7152180000000001E-2</v>
      </c>
      <c r="N114" s="24">
        <v>-3.9297103999999999E-2</v>
      </c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x14ac:dyDescent="0.35">
      <c r="A115" s="2">
        <v>45243</v>
      </c>
      <c r="B115" s="24">
        <v>-7.1329474000000007E-3</v>
      </c>
      <c r="C115" s="24">
        <v>1.5595436000000001E-2</v>
      </c>
      <c r="D115" s="24">
        <v>8.4388255999999998E-3</v>
      </c>
      <c r="E115" s="24">
        <v>2.8426765999999999E-2</v>
      </c>
      <c r="F115" s="24">
        <v>1.4434338E-2</v>
      </c>
      <c r="G115" s="24">
        <v>-2.2020400000000002E-2</v>
      </c>
      <c r="H115" s="24">
        <v>-1.2630224000000001E-2</v>
      </c>
      <c r="I115" s="24">
        <v>3.2659887999999998E-2</v>
      </c>
      <c r="J115" s="24">
        <v>2.0139098000000001E-2</v>
      </c>
      <c r="K115" s="24">
        <v>3.0250669000000001E-2</v>
      </c>
      <c r="L115" s="24">
        <v>7.1676016000000009E-2</v>
      </c>
      <c r="M115" s="24">
        <v>-6.0078500000000003E-3</v>
      </c>
      <c r="N115" s="24">
        <v>4.3565034999999995E-2</v>
      </c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x14ac:dyDescent="0.35">
      <c r="A116" s="2">
        <v>45273</v>
      </c>
      <c r="B116" s="24">
        <v>0.10938584999999999</v>
      </c>
      <c r="C116" s="24">
        <v>9.9115959999999989E-2</v>
      </c>
      <c r="D116" s="24">
        <v>6.9635390000000005E-2</v>
      </c>
      <c r="E116" s="24">
        <v>0.11662245</v>
      </c>
      <c r="F116" s="24">
        <v>5.9066890000000004E-2</v>
      </c>
      <c r="G116" s="24">
        <v>9.0993400000000002E-2</v>
      </c>
      <c r="H116" s="24">
        <v>5.4684996999999999E-2</v>
      </c>
      <c r="I116" s="24">
        <v>7.0332169999999999E-2</v>
      </c>
      <c r="J116" s="24">
        <v>6.8856596999999992E-2</v>
      </c>
      <c r="K116" s="24">
        <v>9.0044739999999998E-2</v>
      </c>
      <c r="L116" s="24">
        <v>9.796118999999999E-2</v>
      </c>
      <c r="M116" s="24">
        <v>0.15865814</v>
      </c>
      <c r="N116" s="24">
        <v>7.9668639999999999E-2</v>
      </c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x14ac:dyDescent="0.35">
      <c r="A117" s="2">
        <v>45303</v>
      </c>
      <c r="B117" s="24">
        <v>2.6141286E-2</v>
      </c>
      <c r="C117" s="24">
        <v>2.4492145E-2</v>
      </c>
      <c r="D117" s="24">
        <v>2.835238E-2</v>
      </c>
      <c r="E117" s="24">
        <v>-9.1037749999999997E-3</v>
      </c>
      <c r="F117" s="24">
        <v>5.2434324999999997E-2</v>
      </c>
      <c r="G117" s="24">
        <v>1.8723369E-2</v>
      </c>
      <c r="H117" s="24">
        <v>1.6197204999999999E-2</v>
      </c>
      <c r="I117" s="24">
        <v>1.6962409000000001E-2</v>
      </c>
      <c r="J117" s="24">
        <v>1.7249583999999998E-2</v>
      </c>
      <c r="K117" s="24">
        <v>-8.4632635000000001E-3</v>
      </c>
      <c r="L117" s="24">
        <v>-5.6884290000000001E-3</v>
      </c>
      <c r="M117" s="24">
        <v>9.7273589999999997E-3</v>
      </c>
      <c r="N117" s="24">
        <v>1.2914896E-2</v>
      </c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x14ac:dyDescent="0.35">
      <c r="A118" s="2">
        <v>45335</v>
      </c>
      <c r="B118" s="24">
        <v>-7.4812946000000005E-2</v>
      </c>
      <c r="C118" s="24">
        <v>-3.0788660000000002E-2</v>
      </c>
      <c r="D118" s="24">
        <v>-2.8091430000000001E-2</v>
      </c>
      <c r="E118" s="24">
        <v>-1.4031469999999999E-2</v>
      </c>
      <c r="F118" s="24">
        <v>4.6665667999999999E-3</v>
      </c>
      <c r="G118" s="24">
        <v>-4.6992483000000002E-2</v>
      </c>
      <c r="H118" s="24">
        <v>-3.2966970999999998E-2</v>
      </c>
      <c r="I118" s="24">
        <v>4.6366810000000001E-2</v>
      </c>
      <c r="J118" s="24">
        <v>3.6502479999999997E-2</v>
      </c>
      <c r="K118" s="24">
        <v>-7.0312619999999999E-3</v>
      </c>
      <c r="L118" s="24">
        <v>5.5759429999999999E-2</v>
      </c>
      <c r="M118" s="24">
        <v>-2.329266E-2</v>
      </c>
      <c r="N118" s="24">
        <v>-1.3573288999999999E-2</v>
      </c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x14ac:dyDescent="0.35">
      <c r="A119" s="2">
        <v>45364</v>
      </c>
      <c r="B119" s="24">
        <v>2.8077245000000001E-2</v>
      </c>
      <c r="C119" s="24">
        <v>7.006097E-2</v>
      </c>
      <c r="D119" s="24">
        <v>8.104277E-2</v>
      </c>
      <c r="E119" s="24">
        <v>9.0246439999999997E-2</v>
      </c>
      <c r="F119" s="24">
        <v>3.9406775999999998E-2</v>
      </c>
      <c r="G119" s="24">
        <v>6.7937730000000002E-2</v>
      </c>
      <c r="H119" s="24">
        <v>6.5656542999999998E-2</v>
      </c>
      <c r="I119" s="24">
        <v>2.7301430000000002E-2</v>
      </c>
      <c r="J119" s="24">
        <v>4.4304490000000002E-2</v>
      </c>
      <c r="K119" s="24">
        <v>9.1528890000000002E-2</v>
      </c>
      <c r="L119" s="24">
        <v>6.389916000000001E-2</v>
      </c>
      <c r="M119" s="24">
        <v>0.122764225</v>
      </c>
      <c r="N119" s="24">
        <v>0.11426867</v>
      </c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x14ac:dyDescent="0.35">
      <c r="A120" s="2">
        <v>45394</v>
      </c>
      <c r="B120" s="24">
        <v>-2.4907111999999999E-2</v>
      </c>
      <c r="C120" s="24">
        <v>-2.8060198000000001E-2</v>
      </c>
      <c r="D120" s="24">
        <v>-2.6212335000000003E-2</v>
      </c>
      <c r="E120" s="24">
        <v>-3.6930919E-2</v>
      </c>
      <c r="F120" s="24">
        <v>-4.4688582000000001E-3</v>
      </c>
      <c r="G120" s="24">
        <v>-6.4847109999999999E-2</v>
      </c>
      <c r="H120" s="24">
        <v>-1.1847615000000001E-3</v>
      </c>
      <c r="I120" s="24">
        <v>-3.1925439999999999E-3</v>
      </c>
      <c r="J120" s="24">
        <v>-6.8256855000000003E-3</v>
      </c>
      <c r="K120" s="24">
        <v>-4.8294066999999996E-2</v>
      </c>
      <c r="L120" s="24">
        <v>-1.5117525999999999E-2</v>
      </c>
      <c r="M120" s="24">
        <v>-6.5170169999999999E-2</v>
      </c>
      <c r="N120" s="24">
        <v>-3.4362376E-2</v>
      </c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x14ac:dyDescent="0.35">
      <c r="A121" s="2">
        <v>45425</v>
      </c>
      <c r="B121" s="24">
        <v>4.9293039999999998E-3</v>
      </c>
      <c r="C121" s="24">
        <v>2.5941489999999998E-2</v>
      </c>
      <c r="D121" s="24">
        <v>2.5841116999999997E-2</v>
      </c>
      <c r="E121" s="24">
        <v>6.3470959999999993E-2</v>
      </c>
      <c r="F121" s="24">
        <v>-1.9982576000000002E-2</v>
      </c>
      <c r="G121" s="24">
        <v>4.6960709999999996E-2</v>
      </c>
      <c r="H121" s="24">
        <v>7.2657109999999997E-2</v>
      </c>
      <c r="I121" s="24">
        <v>1.0975003000000001E-2</v>
      </c>
      <c r="J121" s="24">
        <v>1.9692658999999998E-2</v>
      </c>
      <c r="K121" s="24">
        <v>6.1095594999999996E-2</v>
      </c>
      <c r="L121" s="24">
        <v>5.2478790000000004E-2</v>
      </c>
      <c r="M121" s="24">
        <v>5.0865054E-2</v>
      </c>
      <c r="N121" s="24">
        <v>6.5332173999999993E-2</v>
      </c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x14ac:dyDescent="0.35">
      <c r="A122" s="2">
        <v>45456</v>
      </c>
      <c r="B122" s="24">
        <v>3.4398794000000003E-2</v>
      </c>
      <c r="C122" s="24">
        <v>8.6758136999999999E-3</v>
      </c>
      <c r="D122" s="24">
        <v>-3.0529081999999999E-2</v>
      </c>
      <c r="E122" s="24">
        <v>-2.5022506999999999E-2</v>
      </c>
      <c r="F122" s="24">
        <v>-4.1592120000000005E-4</v>
      </c>
      <c r="G122" s="24">
        <v>4.7512890000000002E-2</v>
      </c>
      <c r="H122" s="24">
        <v>-1.0860205000000001E-2</v>
      </c>
      <c r="I122" s="24">
        <v>7.5923085000000001E-2</v>
      </c>
      <c r="J122" s="24">
        <v>4.135084E-2</v>
      </c>
      <c r="K122" s="24">
        <v>-5.1752450000000005E-2</v>
      </c>
      <c r="L122" s="24">
        <v>1.9652008999999998E-2</v>
      </c>
      <c r="M122" s="24">
        <v>2.3103832999999997E-2</v>
      </c>
      <c r="N122" s="50">
        <v>-2.8719366000000003E-2</v>
      </c>
    </row>
    <row r="123" spans="1:26" x14ac:dyDescent="0.35">
      <c r="A123" s="2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</row>
    <row r="124" spans="1:26" x14ac:dyDescent="0.35">
      <c r="A124" s="2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</row>
    <row r="125" spans="1:26" x14ac:dyDescent="0.35"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</row>
    <row r="126" spans="1:26" x14ac:dyDescent="0.35">
      <c r="A126" t="s">
        <v>782</v>
      </c>
      <c r="B126" s="24" cm="1">
        <f t="array" ref="B126">MAX(_xlfn._xlws.FILTER(B1:B122, ISNUMBER(B1:B122)))</f>
        <v>0.1242342</v>
      </c>
      <c r="C126" s="24" cm="1">
        <f t="array" ref="C126">MAX(_xlfn._xlws.FILTER(C1:C122, ISNUMBER(C1:C122)))</f>
        <v>0.16706026000000002</v>
      </c>
      <c r="D126" s="24" cm="1">
        <f t="array" ref="D126">MAX(_xlfn._xlws.FILTER(D1:D122, ISNUMBER(D1:D122)))</f>
        <v>0.14600682000000001</v>
      </c>
      <c r="E126" s="24" cm="1">
        <f t="array" ref="E126">MAX(_xlfn._xlws.FILTER(E1:E122, ISNUMBER(E1:E122)))</f>
        <v>0.22014735999999999</v>
      </c>
      <c r="F126" s="24" cm="1">
        <f t="array" ref="F126">MAX(_xlfn._xlws.FILTER(F1:F122, ISNUMBER(F1:F122)))</f>
        <v>0.11734795999999999</v>
      </c>
      <c r="G126" s="24" cm="1">
        <f t="array" ref="G126">MAX(_xlfn._xlws.FILTER(G1:G122, ISNUMBER(G1:G122)))</f>
        <v>0.16050375</v>
      </c>
      <c r="H126" s="24" cm="1">
        <f t="array" ref="H126">MAX(_xlfn._xlws.FILTER(H1:H122, ISNUMBER(H1:H122)))</f>
        <v>0.11206257000000001</v>
      </c>
      <c r="I126" s="24" cm="1">
        <f t="array" ref="I126">MAX(_xlfn._xlws.FILTER(I1:I122, ISNUMBER(I1:I122)))</f>
        <v>0.15662527000000001</v>
      </c>
      <c r="J126" s="24" cm="1">
        <f t="array" ref="J126">MAX(_xlfn._xlws.FILTER(J1:J122, ISNUMBER(J1:J122)))</f>
        <v>0.12741863</v>
      </c>
      <c r="K126" s="24" cm="1">
        <f t="array" ref="K126">MAX(_xlfn._xlws.FILTER(K1:K122, ISNUMBER(K1:K122)))</f>
        <v>0.18296193999999999</v>
      </c>
      <c r="L126" s="24" cm="1">
        <f t="array" ref="L126">MAX(_xlfn._xlws.FILTER(L1:L122, ISNUMBER(L1:L122)))</f>
        <v>0.23366009999999998</v>
      </c>
      <c r="M126" s="24" cm="1">
        <f t="array" ref="M126">MAX(_xlfn._xlws.FILTER(M1:M122, ISNUMBER(M1:M122)))</f>
        <v>0.23488962000000002</v>
      </c>
      <c r="N126" s="24" cm="1">
        <f t="array" ref="N126">MAX(_xlfn._xlws.FILTER(N1:N122, ISNUMBER(N1:N122)))</f>
        <v>0.24363636</v>
      </c>
    </row>
    <row r="127" spans="1:26" x14ac:dyDescent="0.35">
      <c r="A127" t="s">
        <v>85</v>
      </c>
      <c r="B127" s="24" cm="1">
        <f t="array" ref="B127">MIN(_xlfn._xlws.FILTER(B2:B122, ISNUMBER(B2:B122)))</f>
        <v>-0.14385228999999999</v>
      </c>
      <c r="C127" s="24" cm="1">
        <f t="array" ref="C127">MIN(_xlfn._xlws.FILTER(C2:C122, ISNUMBER(C2:C122)))</f>
        <v>-0.24923880000000001</v>
      </c>
      <c r="D127" s="24" cm="1">
        <f t="array" ref="D127">MIN(_xlfn._xlws.FILTER(D2:D122, ISNUMBER(D2:D122)))</f>
        <v>-0.26229507000000002</v>
      </c>
      <c r="E127" s="24" cm="1">
        <f t="array" ref="E127">MIN(_xlfn._xlws.FILTER(E2:E122, ISNUMBER(E2:E122)))</f>
        <v>-0.27970128999999999</v>
      </c>
      <c r="F127" s="24" cm="1">
        <f t="array" ref="F127">MIN(_xlfn._xlws.FILTER(F2:F122, ISNUMBER(F2:F122)))</f>
        <v>-0.21429782999999999</v>
      </c>
      <c r="G127" s="24" cm="1">
        <f t="array" ref="G127">MIN(_xlfn._xlws.FILTER(G2:G122, ISNUMBER(G2:G122)))</f>
        <v>-0.17687886999999999</v>
      </c>
      <c r="H127" s="24" cm="1">
        <f t="array" ref="H127">MIN(_xlfn._xlws.FILTER(H2:H122, ISNUMBER(H2:H122)))</f>
        <v>-0.27366192</v>
      </c>
      <c r="I127" s="24" cm="1">
        <f t="array" ref="I127">MIN(_xlfn._xlws.FILTER(I2:I122, ISNUMBER(I2:I122)))</f>
        <v>-0.17792881000000002</v>
      </c>
      <c r="J127" s="24" cm="1">
        <f t="array" ref="J127">MIN(_xlfn._xlws.FILTER(J2:J122, ISNUMBER(J2:J122)))</f>
        <v>-0.20097310000000002</v>
      </c>
      <c r="K127" s="24" cm="1">
        <f t="array" ref="K127">MIN(_xlfn._xlws.FILTER(K2:K122, ISNUMBER(K2:K122)))</f>
        <v>-0.26955174999999998</v>
      </c>
      <c r="L127" s="24" cm="1">
        <f t="array" ref="L127">MIN(_xlfn._xlws.FILTER(L2:L122, ISNUMBER(L2:L122)))</f>
        <v>-0.25350688999999998</v>
      </c>
      <c r="M127" s="24" cm="1">
        <f t="array" ref="M127">MIN(_xlfn._xlws.FILTER(M2:M122, ISNUMBER(M2:M122)))</f>
        <v>-0.23539823999999998</v>
      </c>
      <c r="N127" s="24" cm="1">
        <f t="array" ref="N127">MIN(_xlfn._xlws.FILTER(N2:N122, ISNUMBER(N2:N122)))</f>
        <v>-0.30494325999999999</v>
      </c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9" spans="1:17" x14ac:dyDescent="0.35">
      <c r="A129" t="s">
        <v>87</v>
      </c>
      <c r="B129">
        <f>COUNTIF(B2:B122, "&lt;"&amp;Assumption!$E$50)</f>
        <v>16</v>
      </c>
      <c r="C129">
        <f>COUNTIF(C2:C122, "&lt;"&amp;Assumption!$E$50)</f>
        <v>14</v>
      </c>
      <c r="D129">
        <f>COUNTIF(D2:D122, "&lt;"&amp;Assumption!$E$50)</f>
        <v>14</v>
      </c>
      <c r="E129">
        <f>COUNTIF(E2:E122, "&lt;"&amp;Assumption!$E$50)</f>
        <v>15</v>
      </c>
      <c r="F129">
        <f>COUNTIF(F2:F122, "&lt;"&amp;Assumption!$E$50)</f>
        <v>9</v>
      </c>
      <c r="G129">
        <f>COUNTIF(G2:G122, "&lt;"&amp;Assumption!$E$50)</f>
        <v>10</v>
      </c>
      <c r="H129">
        <f>COUNTIF(H2:H122, "&lt;"&amp;Assumption!$E$50)</f>
        <v>12</v>
      </c>
      <c r="I129">
        <f>COUNTIF(I2:I122, "&lt;"&amp;Assumption!$E$50)</f>
        <v>13</v>
      </c>
      <c r="J129">
        <f>COUNTIF(J2:J122, "&lt;"&amp;Assumption!$E$50)</f>
        <v>10</v>
      </c>
      <c r="K129">
        <f>COUNTIF(K2:K122, "&lt;"&amp;Assumption!$E$50)</f>
        <v>13</v>
      </c>
      <c r="L129">
        <f>COUNTIF(L2:L122, "&lt;"&amp;Assumption!$E$50)</f>
        <v>15</v>
      </c>
      <c r="M129">
        <f>COUNTIF(M2:M122, "&lt;"&amp;Assumption!$E$50)</f>
        <v>17</v>
      </c>
      <c r="N129">
        <f>COUNTIF(N2:N122, "&lt;"&amp;Assumption!$E$50)</f>
        <v>18</v>
      </c>
    </row>
    <row r="130" spans="1:17" x14ac:dyDescent="0.35">
      <c r="A130" t="s">
        <v>86</v>
      </c>
      <c r="B130">
        <f t="shared" ref="B130:J130" si="0">COUNT(B1:B122)</f>
        <v>121</v>
      </c>
      <c r="C130">
        <f t="shared" si="0"/>
        <v>121</v>
      </c>
      <c r="D130">
        <f t="shared" si="0"/>
        <v>121</v>
      </c>
      <c r="E130">
        <f t="shared" si="0"/>
        <v>121</v>
      </c>
      <c r="F130">
        <f t="shared" si="0"/>
        <v>121</v>
      </c>
      <c r="G130">
        <f t="shared" si="0"/>
        <v>121</v>
      </c>
      <c r="H130">
        <f t="shared" si="0"/>
        <v>121</v>
      </c>
      <c r="I130">
        <f t="shared" si="0"/>
        <v>121</v>
      </c>
      <c r="J130">
        <f t="shared" si="0"/>
        <v>121</v>
      </c>
      <c r="K130">
        <f t="shared" ref="K130:N130" si="1">COUNT(K1:K122)</f>
        <v>121</v>
      </c>
      <c r="L130">
        <f t="shared" si="1"/>
        <v>121</v>
      </c>
      <c r="M130">
        <f t="shared" si="1"/>
        <v>121</v>
      </c>
      <c r="N130">
        <f t="shared" si="1"/>
        <v>121</v>
      </c>
    </row>
    <row r="132" spans="1:17" x14ac:dyDescent="0.35">
      <c r="A132" t="s">
        <v>88</v>
      </c>
      <c r="B132" s="9">
        <f t="shared" ref="B132:J132" si="2">B129/B130</f>
        <v>0.13223140495867769</v>
      </c>
      <c r="C132" s="9">
        <f t="shared" si="2"/>
        <v>0.11570247933884298</v>
      </c>
      <c r="D132" s="9">
        <f t="shared" si="2"/>
        <v>0.11570247933884298</v>
      </c>
      <c r="E132" s="9">
        <f t="shared" si="2"/>
        <v>0.12396694214876033</v>
      </c>
      <c r="F132" s="9">
        <f t="shared" si="2"/>
        <v>7.43801652892562E-2</v>
      </c>
      <c r="G132" s="9">
        <f t="shared" si="2"/>
        <v>8.2644628099173556E-2</v>
      </c>
      <c r="H132" s="9">
        <f t="shared" si="2"/>
        <v>9.9173553719008267E-2</v>
      </c>
      <c r="I132" s="9">
        <f t="shared" si="2"/>
        <v>0.10743801652892562</v>
      </c>
      <c r="J132" s="9">
        <f t="shared" si="2"/>
        <v>8.2644628099173556E-2</v>
      </c>
      <c r="K132" s="9">
        <f t="shared" ref="K132:N132" si="3">K129/K130</f>
        <v>0.10743801652892562</v>
      </c>
      <c r="L132" s="9">
        <f t="shared" si="3"/>
        <v>0.12396694214876033</v>
      </c>
      <c r="M132" s="9">
        <f t="shared" si="3"/>
        <v>0.14049586776859505</v>
      </c>
      <c r="N132" s="9">
        <f t="shared" si="3"/>
        <v>0.1487603305785124</v>
      </c>
      <c r="O132" s="9"/>
      <c r="P132" s="9"/>
      <c r="Q132" s="9"/>
    </row>
    <row r="134" spans="1:17" x14ac:dyDescent="0.35">
      <c r="A134" t="s">
        <v>95</v>
      </c>
      <c r="B134" s="9" cm="1">
        <f t="array" ref="B134">_xlfn.PERCENTRANK.EXC(_xlfn._xlws.FILTER(B2:B122, ISNUMBER(B2:B122)),B122)</f>
        <v>0.76200000000000001</v>
      </c>
      <c r="C134" s="9" cm="1">
        <f t="array" ref="C134">_xlfn.PERCENTRANK.EXC(_xlfn._xlws.FILTER(C2:C122, ISNUMBER(C2:C122)),C122)</f>
        <v>0.47499999999999998</v>
      </c>
      <c r="D134" s="9" cm="1">
        <f t="array" ref="D134">_xlfn.PERCENTRANK.EXC(_xlfn._xlws.FILTER(D2:D122, ISNUMBER(D2:D122)),D122)</f>
        <v>0.19600000000000001</v>
      </c>
      <c r="E134" s="9" cm="1">
        <f t="array" ref="E134">_xlfn.PERCENTRANK.EXC(_xlfn._xlws.FILTER(E2:E122, ISNUMBER(E2:E122)),E122)</f>
        <v>0.245</v>
      </c>
      <c r="F134" s="9" cm="1">
        <f t="array" ref="F134">_xlfn.PERCENTRANK.EXC(_xlfn._xlws.FILTER(F2:F122, ISNUMBER(F2:F122)),F122)</f>
        <v>0.40899999999999997</v>
      </c>
      <c r="G134" s="9" cm="1">
        <f t="array" ref="G134">_xlfn.PERCENTRANK.EXC(_xlfn._xlws.FILTER(G2:G122, ISNUMBER(G2:G122)),G122)</f>
        <v>0.86</v>
      </c>
      <c r="H134" s="9" cm="1">
        <f t="array" ref="H134">_xlfn.PERCENTRANK.EXC(_xlfn._xlws.FILTER(H2:H122, ISNUMBER(H2:H122)),H122)</f>
        <v>0.36799999999999999</v>
      </c>
      <c r="I134" s="9" cm="1">
        <f t="array" ref="I134">_xlfn.PERCENTRANK.EXC(_xlfn._xlws.FILTER(I2:I122, ISNUMBER(I2:I122)),I122)</f>
        <v>0.90100000000000002</v>
      </c>
      <c r="J134" s="9" cm="1">
        <f t="array" ref="J134">_xlfn.PERCENTRANK.EXC(_xlfn._xlws.FILTER(J2:J122, ISNUMBER(J2:J122)),J122)</f>
        <v>0.83599999999999997</v>
      </c>
      <c r="K134" s="9" cm="1">
        <f t="array" ref="K134">_xlfn.PERCENTRANK.EXC(_xlfn._xlws.FILTER(K2:K122, ISNUMBER(K2:K122)),K122)</f>
        <v>8.1000000000000003E-2</v>
      </c>
      <c r="L134" s="9" cm="1">
        <f t="array" ref="L134">_xlfn.PERCENTRANK.EXC(_xlfn._xlws.FILTER(L2:L122, ISNUMBER(L2:L122)),L122)</f>
        <v>0.55700000000000005</v>
      </c>
      <c r="M134" s="9" cm="1">
        <f t="array" ref="M134">_xlfn.PERCENTRANK.EXC(_xlfn._xlws.FILTER(M2:M122, ISNUMBER(M2:M122)),M122)</f>
        <v>0.63100000000000001</v>
      </c>
      <c r="N134" s="9" cm="1">
        <f t="array" ref="N134">_xlfn.PERCENTRANK.EXC(_xlfn._xlws.FILTER(N2:N122, ISNUMBER(N2:N122)),N122)</f>
        <v>0.29499999999999998</v>
      </c>
      <c r="O134" s="9"/>
      <c r="P134" s="9"/>
      <c r="Q134" s="9"/>
    </row>
    <row r="136" spans="1:17" x14ac:dyDescent="0.35">
      <c r="A136" s="9"/>
      <c r="B136" s="9" cm="1">
        <f t="array" ref="B136">_xlfn.PERCENTRANK.EXC(_xlfn._xlws.FILTER(B4:B125, ISNUMBER(B4:B125)),B113)</f>
        <v>9.0999999999999998E-2</v>
      </c>
      <c r="C136" s="9" cm="1">
        <f t="array" ref="C136">_xlfn.PERCENTRANK.EXC(_xlfn._xlws.FILTER(C4:C125, ISNUMBER(C4:C125)),C113)</f>
        <v>0.33300000000000002</v>
      </c>
      <c r="D136" s="9" cm="1">
        <f t="array" ref="D136">_xlfn.PERCENTRANK.EXC(_xlfn._xlws.FILTER(D4:D125, ISNUMBER(D4:D125)),D113)</f>
        <v>0.32500000000000001</v>
      </c>
      <c r="E136" s="9" cm="1">
        <f t="array" ref="E136">_xlfn.PERCENTRANK.EXC(_xlfn._xlws.FILTER(E4:E125, ISNUMBER(E4:E125)),E113)</f>
        <v>0.2</v>
      </c>
      <c r="F136" s="9" cm="1">
        <f t="array" ref="F136">_xlfn.PERCENTRANK.EXC(_xlfn._xlws.FILTER(F4:F125, ISNUMBER(F4:F125)),F113)</f>
        <v>0.58299999999999996</v>
      </c>
      <c r="G136" s="9" cm="1">
        <f t="array" ref="G136">_xlfn.PERCENTRANK.EXC(_xlfn._xlws.FILTER(G4:G125, ISNUMBER(G4:G125)),G113)</f>
        <v>0.158</v>
      </c>
      <c r="H136" s="9" cm="1">
        <f t="array" ref="H136">_xlfn.PERCENTRANK.EXC(_xlfn._xlws.FILTER(H4:H125, ISNUMBER(H4:H125)),H113)</f>
        <v>0.29099999999999998</v>
      </c>
      <c r="I136" s="9" cm="1">
        <f t="array" ref="I136">_xlfn.PERCENTRANK.EXC(_xlfn._xlws.FILTER(I4:I125, ISNUMBER(I4:I125)),I113)</f>
        <v>0.5</v>
      </c>
      <c r="J136" s="9" cm="1">
        <f t="array" ref="J136">_xlfn.PERCENTRANK.EXC(_xlfn._xlws.FILTER(J4:J125, ISNUMBER(J4:J125)),J113)</f>
        <v>0.35799999999999998</v>
      </c>
      <c r="K136" s="9" cm="1">
        <f t="array" ref="K136">_xlfn.PERCENTRANK.EXC(_xlfn._xlws.FILTER(K4:K125, ISNUMBER(K4:K125)),K113)</f>
        <v>0.14099999999999999</v>
      </c>
      <c r="L136" s="9" cm="1">
        <f t="array" ref="L136">_xlfn.PERCENTRANK.EXC(_xlfn._xlws.FILTER(L4:L125, ISNUMBER(L4:L125)),L113)</f>
        <v>6.6000000000000003E-2</v>
      </c>
      <c r="M136" s="9" cm="1">
        <f t="array" ref="M136">_xlfn.PERCENTRANK.EXC(_xlfn._xlws.FILTER(M4:M125, ISNUMBER(M4:M125)),M113)</f>
        <v>0.158</v>
      </c>
      <c r="N136" s="9" cm="1">
        <f t="array" ref="N136">_xlfn.PERCENTRANK.EXC(_xlfn._xlws.FILTER(N4:N125, ISNUMBER(N4:N125)),N113)</f>
        <v>0.34100000000000003</v>
      </c>
    </row>
    <row r="138" spans="1:17" x14ac:dyDescent="0.35">
      <c r="A138" t="s">
        <v>829</v>
      </c>
      <c r="B138">
        <f t="shared" ref="B138:J138" si="4">STDEV(B40:B122)</f>
        <v>5.1437564548221355E-2</v>
      </c>
      <c r="C138">
        <f t="shared" si="4"/>
        <v>5.5250141907600359E-2</v>
      </c>
      <c r="D138">
        <f t="shared" si="4"/>
        <v>5.2103398072496303E-2</v>
      </c>
      <c r="E138">
        <f t="shared" si="4"/>
        <v>6.3983921353212542E-2</v>
      </c>
      <c r="F138">
        <f t="shared" si="4"/>
        <v>4.740188875895527E-2</v>
      </c>
      <c r="G138">
        <f t="shared" si="4"/>
        <v>4.946349493270167E-2</v>
      </c>
      <c r="H138">
        <f t="shared" si="4"/>
        <v>5.241242354631908E-2</v>
      </c>
      <c r="I138">
        <f t="shared" si="4"/>
        <v>5.8893851530046983E-2</v>
      </c>
      <c r="J138">
        <f t="shared" si="4"/>
        <v>4.6397490105001868E-2</v>
      </c>
      <c r="K138">
        <f t="shared" ref="K138:N138" si="5">STDEV(K40:K122)</f>
        <v>6.0985392836254745E-2</v>
      </c>
      <c r="L138">
        <f t="shared" si="5"/>
        <v>6.5817997883112989E-2</v>
      </c>
      <c r="M138">
        <f t="shared" si="5"/>
        <v>6.7238233084235405E-2</v>
      </c>
      <c r="N138">
        <f t="shared" si="5"/>
        <v>7.045353896521156E-2</v>
      </c>
    </row>
    <row r="139" spans="1:17" x14ac:dyDescent="0.35">
      <c r="A139" t="s">
        <v>830</v>
      </c>
      <c r="B139" s="74">
        <f t="shared" ref="B139:J139" si="6">B138*SQRT(12)</f>
        <v>0.1781849504302461</v>
      </c>
      <c r="C139" s="74">
        <f t="shared" si="6"/>
        <v>0.19139210581870852</v>
      </c>
      <c r="D139" s="74">
        <f t="shared" si="6"/>
        <v>0.18049146541709979</v>
      </c>
      <c r="E139" s="74">
        <f t="shared" si="6"/>
        <v>0.22164680530251063</v>
      </c>
      <c r="F139" s="74">
        <f t="shared" si="6"/>
        <v>0.16420495941047711</v>
      </c>
      <c r="G139" s="74">
        <f t="shared" si="6"/>
        <v>0.17134657268672998</v>
      </c>
      <c r="H139" s="74">
        <f t="shared" si="6"/>
        <v>0.18156196106008798</v>
      </c>
      <c r="I139" s="74">
        <f t="shared" si="6"/>
        <v>0.20401428620691886</v>
      </c>
      <c r="J139" s="74">
        <f t="shared" si="6"/>
        <v>0.16072562041107494</v>
      </c>
      <c r="K139" s="74">
        <f t="shared" ref="K139:N139" si="7">K138*SQRT(12)</f>
        <v>0.21125959782388051</v>
      </c>
      <c r="L139" s="74">
        <f t="shared" si="7"/>
        <v>0.228000232772025</v>
      </c>
      <c r="M139" s="74">
        <f t="shared" si="7"/>
        <v>0.23292007182610866</v>
      </c>
      <c r="N139" s="74">
        <f t="shared" si="7"/>
        <v>0.24405821812156009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613"/>
  <sheetViews>
    <sheetView zoomScaleNormal="100" workbookViewId="0">
      <pane ySplit="1" topLeftCell="A110" activePane="bottomLeft" state="frozen"/>
      <selection pane="bottomLeft" activeCell="B138" sqref="B138"/>
    </sheetView>
  </sheetViews>
  <sheetFormatPr defaultRowHeight="14.5" x14ac:dyDescent="0.35"/>
  <cols>
    <col min="1" max="1" width="24.54296875" customWidth="1"/>
    <col min="11" max="11" width="8.81640625" customWidth="1"/>
  </cols>
  <sheetData>
    <row r="1" spans="1:14" x14ac:dyDescent="0.35">
      <c r="A1" s="2" t="s">
        <v>388</v>
      </c>
      <c r="B1" s="3" t="s">
        <v>431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s="47" t="s">
        <v>865</v>
      </c>
      <c r="L1" s="47" t="s">
        <v>867</v>
      </c>
      <c r="M1" s="47" t="s">
        <v>864</v>
      </c>
      <c r="N1" s="47" t="s">
        <v>866</v>
      </c>
    </row>
    <row r="2" spans="1:14" x14ac:dyDescent="0.35">
      <c r="A2" s="2" cm="1">
        <f t="array" ref="A2:A122">_xll.FDS(B1,"JULIAN(P_PRICE_RETURNS_PR('52W',2,-10AY,0,AM).dates)")</f>
        <v>41803</v>
      </c>
      <c r="B2" s="7" cm="1">
        <f t="array" ref="B2:B122">_xll.FDS(B1,"P_PRICE_RETURNS_PR('52W',2,-10AY,0,AM)")</f>
        <v>25.444579999999998</v>
      </c>
      <c r="C2" s="7" cm="1">
        <f t="array" ref="C2:C122">_xll.FDS(C1,"P_PRICE_RETURNS_PR('52W',2,-10AY,0,AM)")</f>
        <v>15.750540000000001</v>
      </c>
      <c r="D2" s="7" cm="1">
        <f t="array" ref="D2:D122">_xll.FDS(D1,"P_PRICE_RETURNS_PR('52W',2,-10AY,0,AM)")</f>
        <v>16.987669</v>
      </c>
      <c r="E2" s="7" cm="1">
        <f t="array" ref="E2:E122">_xll.FDS(E1,"P_PRICE_RETURNS_PR('52W',2,-10AY,0,AM)")</f>
        <v>21.930468000000001</v>
      </c>
      <c r="F2" s="7" cm="1">
        <f t="array" ref="F2:F122">_xll.FDS(F1,"P_PRICE_RETURNS_PR('52W',2,-10AY,0,AM)")</f>
        <v>6.762016</v>
      </c>
      <c r="G2" s="7" cm="1">
        <f t="array" ref="G2:G122">_xll.FDS(G1,"P_PRICE_RETURNS_PR('52W',2,-10AY,0,AM)")</f>
        <v>19.017529</v>
      </c>
      <c r="H2" s="7" cm="1">
        <f t="array" ref="H2:H122">_xll.FDS(H1,"P_PRICE_RETURNS_PR('52W',2,-10AY,0,AM)")</f>
        <v>18.762089</v>
      </c>
      <c r="I2" s="7" cm="1">
        <f t="array" ref="I2:I122">_xll.FDS(I1,"P_PRICE_RETURNS_PR('52W',2,-10AY,0,AM)")</f>
        <v>28.896999999999998</v>
      </c>
      <c r="J2" s="7" cm="1">
        <f t="array" ref="J2:J122">_xll.FDS(J1,"P_PRICE_RETURNS_PR('52W',2,-10AY,0,AM)")</f>
        <v>20.604085999999999</v>
      </c>
      <c r="K2" s="158" cm="1">
        <f t="array" ref="K2:K122">_xll.FDS(K1,"P_PRICE_RETURNS_PR('52W',2,-10AY,0,AM)")</f>
        <v>23.036062000000001</v>
      </c>
      <c r="L2" s="158" cm="1">
        <f t="array" ref="L2:L122">_xll.FDS(L1,"P_PRICE_RETURNS_PR('52W',2,-10AY,0,AM)")</f>
        <v>20.833587999999999</v>
      </c>
      <c r="M2" s="158" cm="1">
        <f t="array" ref="M2:M122">_xll.FDS(M1,"P_PRICE_RETURNS_PR('52W',2,-10AY,0,AM)")</f>
        <v>16.727637999999999</v>
      </c>
      <c r="N2" s="158" cm="1">
        <f t="array" ref="N2:N122">_xll.FDS(N1,"P_PRICE_RETURNS_PR('52W',2,-10AY,0,AM)")</f>
        <v>41.032609999999998</v>
      </c>
    </row>
    <row r="3" spans="1:14" x14ac:dyDescent="0.35">
      <c r="A3" s="2">
        <v>41831</v>
      </c>
      <c r="B3" s="40">
        <v>25.300968000000001</v>
      </c>
      <c r="C3" s="40">
        <v>17.637920000000001</v>
      </c>
      <c r="D3" s="40">
        <v>19.659496000000001</v>
      </c>
      <c r="E3" s="40">
        <v>21.458625999999999</v>
      </c>
      <c r="F3" s="40">
        <v>1.9407988</v>
      </c>
      <c r="G3" s="40">
        <v>15.799856</v>
      </c>
      <c r="H3" s="40">
        <v>18.136002000000001</v>
      </c>
      <c r="I3" s="40">
        <v>29.031647</v>
      </c>
      <c r="J3" s="40">
        <v>19.729614000000002</v>
      </c>
      <c r="K3" s="47">
        <v>18.745577000000001</v>
      </c>
      <c r="L3" s="47">
        <v>14.053869000000001</v>
      </c>
      <c r="M3" s="47">
        <v>11.52178</v>
      </c>
      <c r="N3" s="47">
        <v>39.275753000000002</v>
      </c>
    </row>
    <row r="4" spans="1:14" x14ac:dyDescent="0.35">
      <c r="A4" s="2">
        <v>41864</v>
      </c>
      <c r="B4" s="40">
        <v>18.682659999999998</v>
      </c>
      <c r="C4" s="40">
        <v>13.816917</v>
      </c>
      <c r="D4" s="40">
        <v>17.215465999999999</v>
      </c>
      <c r="E4" s="40">
        <v>8.6260080000000006</v>
      </c>
      <c r="F4" s="40">
        <v>4.5844792999999999</v>
      </c>
      <c r="G4" s="40">
        <v>9.9872350000000001</v>
      </c>
      <c r="H4" s="40">
        <v>11.473131</v>
      </c>
      <c r="I4" s="40">
        <v>26.994645999999999</v>
      </c>
      <c r="J4" s="40">
        <v>17.133713</v>
      </c>
      <c r="K4" s="47">
        <v>5.4141282999999998</v>
      </c>
      <c r="L4" s="47">
        <v>3.0005932</v>
      </c>
      <c r="M4" s="47">
        <v>4.0285349999999998</v>
      </c>
      <c r="N4" s="47">
        <v>14.482856</v>
      </c>
    </row>
    <row r="5" spans="1:14" x14ac:dyDescent="0.35">
      <c r="A5" s="2">
        <v>41894</v>
      </c>
      <c r="B5" s="40">
        <v>13.207542</v>
      </c>
      <c r="C5" s="40">
        <v>7.3985576999999996</v>
      </c>
      <c r="D5" s="40">
        <v>17.075657</v>
      </c>
      <c r="E5" s="40">
        <v>9.5650200000000005</v>
      </c>
      <c r="F5" s="40">
        <v>3.6258697999999998</v>
      </c>
      <c r="G5" s="40">
        <v>11.946391999999999</v>
      </c>
      <c r="H5" s="40">
        <v>8.5413219999999992</v>
      </c>
      <c r="I5" s="40">
        <v>29.483115999999999</v>
      </c>
      <c r="J5" s="40">
        <v>20.180427999999999</v>
      </c>
      <c r="K5" s="47">
        <v>7.7589034999999997</v>
      </c>
      <c r="L5" s="47">
        <v>6.683719</v>
      </c>
      <c r="M5" s="47">
        <v>0.95881223999999998</v>
      </c>
      <c r="N5" s="47">
        <v>19.685268000000001</v>
      </c>
    </row>
    <row r="6" spans="1:14" x14ac:dyDescent="0.35">
      <c r="A6" s="2">
        <v>41925</v>
      </c>
      <c r="B6" s="40">
        <v>2.5747895000000001</v>
      </c>
      <c r="C6" s="40">
        <v>-6.2000630000000001</v>
      </c>
      <c r="D6" s="40">
        <v>3.3049225999999998</v>
      </c>
      <c r="E6" s="40">
        <v>-7.2799325000000001</v>
      </c>
      <c r="F6" s="40">
        <v>-7.2362003000000001</v>
      </c>
      <c r="G6" s="40">
        <v>1.1086464</v>
      </c>
      <c r="H6" s="40">
        <v>-0.30143259999999999</v>
      </c>
      <c r="I6" s="40">
        <v>19.058585999999998</v>
      </c>
      <c r="J6" s="40">
        <v>12.211204</v>
      </c>
      <c r="K6" s="47">
        <v>-8.1431450000000005</v>
      </c>
      <c r="L6" s="47">
        <v>-3.6014914999999998</v>
      </c>
      <c r="M6" s="47">
        <v>-7.0561465999999999</v>
      </c>
      <c r="N6" s="47">
        <v>-4.1614475000000004</v>
      </c>
    </row>
    <row r="7" spans="1:14" x14ac:dyDescent="0.35">
      <c r="A7" s="2">
        <v>41956</v>
      </c>
      <c r="B7" s="40">
        <v>5.9365990000000002</v>
      </c>
      <c r="C7" s="40">
        <v>-0.87622999999999995</v>
      </c>
      <c r="D7" s="40">
        <v>4.3489694999999999</v>
      </c>
      <c r="E7" s="40">
        <v>-6.4696493000000004</v>
      </c>
      <c r="F7" s="40">
        <v>-1.5574694E-2</v>
      </c>
      <c r="G7" s="40">
        <v>4.2783259999999999</v>
      </c>
      <c r="H7" s="40">
        <v>0.14212132</v>
      </c>
      <c r="I7" s="40">
        <v>24.989975000000001</v>
      </c>
      <c r="J7" s="40">
        <v>16.692947</v>
      </c>
      <c r="K7" s="47">
        <v>-6.1641510000000004</v>
      </c>
      <c r="L7" s="47">
        <v>-1.8344343000000001</v>
      </c>
      <c r="M7" s="47">
        <v>1.8980861</v>
      </c>
      <c r="N7" s="47">
        <v>-5.2651167000000001</v>
      </c>
    </row>
    <row r="8" spans="1:14" x14ac:dyDescent="0.35">
      <c r="A8" s="2">
        <v>41985</v>
      </c>
      <c r="B8" s="40">
        <v>10.927284</v>
      </c>
      <c r="C8" s="40">
        <v>-1.6705452999999999</v>
      </c>
      <c r="D8" s="40">
        <v>-1.0899127</v>
      </c>
      <c r="E8" s="40">
        <v>-4.9626646000000001</v>
      </c>
      <c r="F8" s="40">
        <v>-3.0926703999999998</v>
      </c>
      <c r="G8" s="40">
        <v>4.6156883000000004</v>
      </c>
      <c r="H8" s="40">
        <v>-4.8598049999999997</v>
      </c>
      <c r="I8" s="40">
        <v>22.62621</v>
      </c>
      <c r="J8" s="40">
        <v>14.968145</v>
      </c>
      <c r="K8" s="47">
        <v>-6.2788066999999996</v>
      </c>
      <c r="L8" s="47">
        <v>0.66150427000000001</v>
      </c>
      <c r="M8" s="47">
        <v>1.7658948999999999</v>
      </c>
      <c r="N8" s="47">
        <v>-3.3575594</v>
      </c>
    </row>
    <row r="9" spans="1:14" x14ac:dyDescent="0.35">
      <c r="A9" s="2">
        <v>42017</v>
      </c>
      <c r="B9" s="40">
        <v>7.55558</v>
      </c>
      <c r="C9" s="40">
        <v>-3.8032889999999999</v>
      </c>
      <c r="D9" s="40">
        <v>-3.4301339999999998</v>
      </c>
      <c r="E9" s="40">
        <v>-10.614991</v>
      </c>
      <c r="F9" s="40">
        <v>-5.6436596000000003</v>
      </c>
      <c r="G9" s="40">
        <v>-1.7378986000000001</v>
      </c>
      <c r="H9" s="40">
        <v>-8.347118</v>
      </c>
      <c r="I9" s="40">
        <v>19.839155000000002</v>
      </c>
      <c r="J9" s="40">
        <v>13.397169</v>
      </c>
      <c r="K9" s="47">
        <v>-10.819476999999999</v>
      </c>
      <c r="L9" s="47">
        <v>-7.4036955999999998</v>
      </c>
      <c r="M9" s="47">
        <v>-8.8927379999999996</v>
      </c>
      <c r="N9" s="47">
        <v>-15.541582999999999</v>
      </c>
    </row>
    <row r="10" spans="1:14" x14ac:dyDescent="0.35">
      <c r="A10" s="2">
        <v>42048</v>
      </c>
      <c r="B10" s="40">
        <v>7.0205570000000002</v>
      </c>
      <c r="C10" s="40">
        <v>-0.50663950000000002</v>
      </c>
      <c r="D10" s="40">
        <v>-0.90208650000000001</v>
      </c>
      <c r="E10" s="40">
        <v>-5.3738475000000001</v>
      </c>
      <c r="F10" s="40">
        <v>5.7072279999999997</v>
      </c>
      <c r="G10" s="40">
        <v>0.49161909999999998</v>
      </c>
      <c r="H10" s="40">
        <v>-2.3568392</v>
      </c>
      <c r="I10" s="40">
        <v>21.104717000000001</v>
      </c>
      <c r="J10" s="40">
        <v>16.865729999999999</v>
      </c>
      <c r="K10" s="47">
        <v>-5.0176379999999998</v>
      </c>
      <c r="L10" s="47">
        <v>-6.0522555999999998E-2</v>
      </c>
      <c r="M10" s="47">
        <v>-2.3532449999999998</v>
      </c>
      <c r="N10" s="47">
        <v>-10.152167</v>
      </c>
    </row>
    <row r="11" spans="1:14" x14ac:dyDescent="0.35">
      <c r="A11" s="2">
        <v>42076</v>
      </c>
      <c r="B11" s="40">
        <v>0.11053085</v>
      </c>
      <c r="C11" s="40">
        <v>-4.6622157</v>
      </c>
      <c r="D11" s="40">
        <v>-7.3547960000000003</v>
      </c>
      <c r="E11" s="40">
        <v>0.50235987000000004</v>
      </c>
      <c r="F11" s="40">
        <v>13.154517999999999</v>
      </c>
      <c r="G11" s="40">
        <v>-0.86193679999999995</v>
      </c>
      <c r="H11" s="40">
        <v>-5.3394136000000003</v>
      </c>
      <c r="I11" s="40">
        <v>19.301832000000001</v>
      </c>
      <c r="J11" s="40">
        <v>13.320017</v>
      </c>
      <c r="K11" s="47">
        <v>-7.4129459999999998</v>
      </c>
      <c r="L11" s="47">
        <v>2.3496389999999998</v>
      </c>
      <c r="M11" s="47">
        <v>-4.4303119999999998</v>
      </c>
      <c r="N11" s="47">
        <v>-12.726188</v>
      </c>
    </row>
    <row r="12" spans="1:14" x14ac:dyDescent="0.35">
      <c r="A12" s="2">
        <v>42107</v>
      </c>
      <c r="B12" s="40">
        <v>-0.72289705000000004</v>
      </c>
      <c r="C12" s="40">
        <v>-7.7132699999999996</v>
      </c>
      <c r="D12" s="40">
        <v>-2.3331879999999998</v>
      </c>
      <c r="E12" s="40">
        <v>0.81670284000000004</v>
      </c>
      <c r="F12" s="40">
        <v>20.500792000000001</v>
      </c>
      <c r="G12" s="40">
        <v>2.9875517</v>
      </c>
      <c r="H12" s="40">
        <v>-2.8464615000000002</v>
      </c>
      <c r="I12" s="40">
        <v>29.203785</v>
      </c>
      <c r="J12" s="40">
        <v>17.443382</v>
      </c>
      <c r="K12" s="47">
        <v>-5.6479873999999999</v>
      </c>
      <c r="L12" s="47">
        <v>3.7872433999999999</v>
      </c>
      <c r="M12" s="47">
        <v>-3.1850993999999999</v>
      </c>
      <c r="N12" s="47">
        <v>-11.986141999999999</v>
      </c>
    </row>
    <row r="13" spans="1:14" x14ac:dyDescent="0.35">
      <c r="A13" s="2">
        <v>42137</v>
      </c>
      <c r="B13" s="40">
        <v>-3.6756516000000001</v>
      </c>
      <c r="C13" s="40">
        <v>-7.3914410000000004</v>
      </c>
      <c r="D13" s="40">
        <v>-4.0296554999999996</v>
      </c>
      <c r="E13" s="40">
        <v>-4.1938542999999999</v>
      </c>
      <c r="F13" s="40">
        <v>16.602898</v>
      </c>
      <c r="G13" s="40">
        <v>3.7014961</v>
      </c>
      <c r="H13" s="40">
        <v>-3.3566653999999998</v>
      </c>
      <c r="I13" s="40">
        <v>23.682259999999999</v>
      </c>
      <c r="J13" s="40">
        <v>12.718260000000001</v>
      </c>
      <c r="K13" s="47">
        <v>-6.5906285999999996</v>
      </c>
      <c r="L13" s="47">
        <v>5.7180759999999999</v>
      </c>
      <c r="M13" s="47">
        <v>-4.9324750000000002</v>
      </c>
      <c r="N13" s="47">
        <v>-7.5315894999999999</v>
      </c>
    </row>
    <row r="14" spans="1:14" x14ac:dyDescent="0.35">
      <c r="A14" s="2">
        <v>42167</v>
      </c>
      <c r="B14" s="40">
        <v>-8.0610389999999992</v>
      </c>
      <c r="C14" s="40">
        <v>-13.217646</v>
      </c>
      <c r="D14" s="40">
        <v>-10.070783</v>
      </c>
      <c r="E14" s="40">
        <v>-6.6173973000000004</v>
      </c>
      <c r="F14" s="40">
        <v>11.516476000000001</v>
      </c>
      <c r="G14" s="40">
        <v>1.6569734</v>
      </c>
      <c r="H14" s="40">
        <v>-5.9419209999999998</v>
      </c>
      <c r="I14" s="40">
        <v>19.454001999999999</v>
      </c>
      <c r="J14" s="40">
        <v>10.627996</v>
      </c>
      <c r="K14" s="47">
        <v>-7.9854545999999997</v>
      </c>
      <c r="L14" s="47">
        <v>3.0856729000000001</v>
      </c>
      <c r="M14" s="47">
        <v>-2.5297105000000002</v>
      </c>
      <c r="N14" s="47">
        <v>-11.595768</v>
      </c>
    </row>
    <row r="15" spans="1:14" x14ac:dyDescent="0.35">
      <c r="A15" s="2">
        <v>42198</v>
      </c>
      <c r="B15" s="40">
        <v>-14.1816025</v>
      </c>
      <c r="C15" s="40">
        <v>-17.509777</v>
      </c>
      <c r="D15" s="40">
        <v>-16.665362999999999</v>
      </c>
      <c r="E15" s="40">
        <v>-4.1255655000000004</v>
      </c>
      <c r="F15" s="40">
        <v>8.6315989999999996</v>
      </c>
      <c r="G15" s="40">
        <v>2.887702</v>
      </c>
      <c r="H15" s="40">
        <v>-7.0974529999999998</v>
      </c>
      <c r="I15" s="40">
        <v>16.211880000000001</v>
      </c>
      <c r="J15" s="40">
        <v>8.7875840000000007</v>
      </c>
      <c r="K15" s="47">
        <v>-4.4016004000000004</v>
      </c>
      <c r="L15" s="47">
        <v>7.6695679999999999</v>
      </c>
      <c r="M15" s="47">
        <v>-1.305598</v>
      </c>
      <c r="N15" s="47">
        <v>-7.7535569999999998</v>
      </c>
    </row>
    <row r="16" spans="1:14" x14ac:dyDescent="0.35">
      <c r="A16" s="2">
        <v>42229</v>
      </c>
      <c r="B16" s="40">
        <v>-11.2136</v>
      </c>
      <c r="C16" s="40">
        <v>-20.386099999999999</v>
      </c>
      <c r="D16" s="40">
        <v>-19.506305999999999</v>
      </c>
      <c r="E16" s="40">
        <v>-0.36329030000000001</v>
      </c>
      <c r="F16" s="40">
        <v>9.4853159999999992</v>
      </c>
      <c r="G16" s="40">
        <v>3.8510800000000001</v>
      </c>
      <c r="H16" s="40">
        <v>-5.6070510000000002</v>
      </c>
      <c r="I16" s="40">
        <v>15.652418000000001</v>
      </c>
      <c r="J16" s="40">
        <v>9.1949699999999996</v>
      </c>
      <c r="K16" s="47">
        <v>1.8312335</v>
      </c>
      <c r="L16" s="47">
        <v>10.346662500000001</v>
      </c>
      <c r="M16" s="47">
        <v>-1.1676431</v>
      </c>
      <c r="N16" s="47">
        <v>3.4619331</v>
      </c>
    </row>
    <row r="17" spans="1:14" x14ac:dyDescent="0.35">
      <c r="A17" s="2">
        <v>42258</v>
      </c>
      <c r="B17" s="40">
        <v>-16.481596</v>
      </c>
      <c r="C17" s="40">
        <v>-25.985997999999999</v>
      </c>
      <c r="D17" s="40">
        <v>-25.861834999999999</v>
      </c>
      <c r="E17" s="40">
        <v>-7.2968063000000001</v>
      </c>
      <c r="F17" s="40">
        <v>0.32684803000000001</v>
      </c>
      <c r="G17" s="40">
        <v>-2.5500536</v>
      </c>
      <c r="H17" s="40">
        <v>-12.090075000000001</v>
      </c>
      <c r="I17" s="40">
        <v>6.7131400000000001</v>
      </c>
      <c r="J17" s="40">
        <v>0.15053749</v>
      </c>
      <c r="K17" s="47">
        <v>-6.9182040000000002</v>
      </c>
      <c r="L17" s="47">
        <v>-0.25199652</v>
      </c>
      <c r="M17" s="47">
        <v>-2.4409532999999999</v>
      </c>
      <c r="N17" s="47">
        <v>-6.0542819999999997</v>
      </c>
    </row>
    <row r="18" spans="1:14" x14ac:dyDescent="0.35">
      <c r="A18" s="2">
        <v>42290</v>
      </c>
      <c r="B18" s="40">
        <v>-5.9640940000000002</v>
      </c>
      <c r="C18" s="40">
        <v>-13.270110000000001</v>
      </c>
      <c r="D18" s="40">
        <v>-13.247842</v>
      </c>
      <c r="E18" s="40">
        <v>2.8030276000000001</v>
      </c>
      <c r="F18" s="40">
        <v>11.001884</v>
      </c>
      <c r="G18" s="40">
        <v>5.9017179999999998</v>
      </c>
      <c r="H18" s="40">
        <v>-2.7809083000000001</v>
      </c>
      <c r="I18" s="40">
        <v>15.369785</v>
      </c>
      <c r="J18" s="40">
        <v>9.0145</v>
      </c>
      <c r="K18" s="47">
        <v>6.0191749999999997</v>
      </c>
      <c r="L18" s="47">
        <v>8.64147</v>
      </c>
      <c r="M18" s="47">
        <v>4.5850872999999996</v>
      </c>
      <c r="N18" s="47">
        <v>7.5459719999999999</v>
      </c>
    </row>
    <row r="19" spans="1:14" x14ac:dyDescent="0.35">
      <c r="A19" s="2">
        <v>42321</v>
      </c>
      <c r="B19" s="40">
        <v>-9.7304460000000006</v>
      </c>
      <c r="C19" s="40">
        <v>-22.713422999999999</v>
      </c>
      <c r="D19" s="40">
        <v>-23.106532999999999</v>
      </c>
      <c r="E19" s="40">
        <v>-1.4425992999999999</v>
      </c>
      <c r="F19" s="40">
        <v>6.0777545000000002</v>
      </c>
      <c r="G19" s="40">
        <v>-4.0089309999999996</v>
      </c>
      <c r="H19" s="40">
        <v>-9.0783959999999997</v>
      </c>
      <c r="I19" s="40">
        <v>7.8991175</v>
      </c>
      <c r="J19" s="40">
        <v>1.2000084</v>
      </c>
      <c r="K19" s="47">
        <v>0.96666810000000003</v>
      </c>
      <c r="L19" s="47">
        <v>2.6252746999999999</v>
      </c>
      <c r="M19" s="47">
        <v>-7.3185086000000004</v>
      </c>
      <c r="N19" s="47">
        <v>1.8876314000000001</v>
      </c>
    </row>
    <row r="20" spans="1:14" x14ac:dyDescent="0.35">
      <c r="A20" s="2">
        <v>42349</v>
      </c>
      <c r="B20" s="40">
        <v>-5.984229</v>
      </c>
      <c r="C20" s="40">
        <v>-15.239411</v>
      </c>
      <c r="D20" s="40">
        <v>-20.903772</v>
      </c>
      <c r="E20" s="40">
        <v>-7.1267659999999999</v>
      </c>
      <c r="F20" s="40">
        <v>5.8554890000000004</v>
      </c>
      <c r="G20" s="40">
        <v>-3.9695619999999998</v>
      </c>
      <c r="H20" s="40">
        <v>-8.3966255000000007</v>
      </c>
      <c r="I20" s="40">
        <v>7.8887105000000002</v>
      </c>
      <c r="J20" s="40">
        <v>0.87023972999999999</v>
      </c>
      <c r="K20" s="47">
        <v>-1.6541003999999999</v>
      </c>
      <c r="L20" s="47">
        <v>-1.7267227000000001</v>
      </c>
      <c r="M20" s="47">
        <v>-10.114515000000001</v>
      </c>
      <c r="N20" s="47">
        <v>-7.8159569999999998E-2</v>
      </c>
    </row>
    <row r="21" spans="1:14" x14ac:dyDescent="0.35">
      <c r="A21" s="2">
        <v>42382</v>
      </c>
      <c r="B21" s="40">
        <v>-9.3025149999999996</v>
      </c>
      <c r="C21" s="40">
        <v>-20.374476999999999</v>
      </c>
      <c r="D21" s="40">
        <v>-26.903893</v>
      </c>
      <c r="E21" s="40">
        <v>-8.7278959999999994</v>
      </c>
      <c r="F21" s="40">
        <v>2.8661132</v>
      </c>
      <c r="G21" s="40">
        <v>-5.5374146</v>
      </c>
      <c r="H21" s="40">
        <v>-12.399464999999999</v>
      </c>
      <c r="I21" s="40">
        <v>1.4003634</v>
      </c>
      <c r="J21" s="40">
        <v>-4.6118499999999996</v>
      </c>
      <c r="K21" s="47">
        <v>-4.0870484999999999</v>
      </c>
      <c r="L21" s="47">
        <v>-1.7433643000000001</v>
      </c>
      <c r="M21" s="47">
        <v>-8.8310239999999993</v>
      </c>
      <c r="N21" s="47">
        <v>0.88882446000000004</v>
      </c>
    </row>
    <row r="22" spans="1:14" x14ac:dyDescent="0.35">
      <c r="A22" s="2">
        <v>42412</v>
      </c>
      <c r="B22" s="40">
        <v>-9.1084840000000007</v>
      </c>
      <c r="C22" s="40">
        <v>-21.604144999999999</v>
      </c>
      <c r="D22" s="40">
        <v>-25.495165</v>
      </c>
      <c r="E22" s="40">
        <v>-19.447814999999999</v>
      </c>
      <c r="F22" s="40">
        <v>-10.613334999999999</v>
      </c>
      <c r="G22" s="40">
        <v>-12.0646</v>
      </c>
      <c r="H22" s="40">
        <v>-19.211079000000002</v>
      </c>
      <c r="I22" s="40">
        <v>-6.5830289999999998</v>
      </c>
      <c r="J22" s="40">
        <v>-8.809787</v>
      </c>
      <c r="K22" s="47">
        <v>-14.604234999999999</v>
      </c>
      <c r="L22" s="47">
        <v>-10.950476</v>
      </c>
      <c r="M22" s="47">
        <v>-17.591930000000001</v>
      </c>
      <c r="N22" s="47">
        <v>-21.479733</v>
      </c>
    </row>
    <row r="23" spans="1:14" x14ac:dyDescent="0.35">
      <c r="A23" s="2">
        <v>42440</v>
      </c>
      <c r="B23" s="40">
        <v>4.0916442999999996</v>
      </c>
      <c r="C23" s="40">
        <v>-7.325971</v>
      </c>
      <c r="D23" s="40">
        <v>-10.187303999999999</v>
      </c>
      <c r="E23" s="40">
        <v>-11.941485999999999</v>
      </c>
      <c r="F23" s="40">
        <v>-4.3235006</v>
      </c>
      <c r="G23" s="40">
        <v>-4.8040390000000004</v>
      </c>
      <c r="H23" s="40">
        <v>-9.3717520000000007</v>
      </c>
      <c r="I23" s="40">
        <v>2.3485659999999999</v>
      </c>
      <c r="J23" s="40">
        <v>1.2128592</v>
      </c>
      <c r="K23" s="47">
        <v>-2.1259130000000002</v>
      </c>
      <c r="L23" s="47">
        <v>-0.73156949999999998</v>
      </c>
      <c r="M23" s="47">
        <v>-7.5143694999999999</v>
      </c>
      <c r="N23" s="47">
        <v>-9.8969819999999995</v>
      </c>
    </row>
    <row r="24" spans="1:14" x14ac:dyDescent="0.35">
      <c r="A24" s="2">
        <v>42473</v>
      </c>
      <c r="B24" s="40">
        <v>8.0124490000000002</v>
      </c>
      <c r="C24" s="40">
        <v>-11.361599</v>
      </c>
      <c r="D24" s="40">
        <v>-11.728643999999999</v>
      </c>
      <c r="E24" s="40">
        <v>-13.375097</v>
      </c>
      <c r="F24" s="40">
        <v>-6.7208886000000003</v>
      </c>
      <c r="G24" s="40">
        <v>-9.0147019999999998</v>
      </c>
      <c r="H24" s="40">
        <v>-10.181886</v>
      </c>
      <c r="I24" s="40">
        <v>4.3162703999999996</v>
      </c>
      <c r="J24" s="40">
        <v>1.6216159000000001</v>
      </c>
      <c r="K24" s="47">
        <v>-5.9518519999999997</v>
      </c>
      <c r="L24" s="47">
        <v>-2.7539372000000002</v>
      </c>
      <c r="M24" s="47">
        <v>-6.0257015000000003</v>
      </c>
      <c r="N24" s="47">
        <v>-17.541105000000002</v>
      </c>
    </row>
    <row r="25" spans="1:14" x14ac:dyDescent="0.35">
      <c r="A25" s="2">
        <v>42503</v>
      </c>
      <c r="B25" s="40">
        <v>8.6886770000000002</v>
      </c>
      <c r="C25" s="40">
        <v>-13.232649</v>
      </c>
      <c r="D25" s="40">
        <v>-14.417857</v>
      </c>
      <c r="E25" s="40">
        <v>-13.027632000000001</v>
      </c>
      <c r="F25" s="40">
        <v>-10.280305</v>
      </c>
      <c r="G25" s="40">
        <v>-13.516885</v>
      </c>
      <c r="H25" s="40">
        <v>-17.589891000000001</v>
      </c>
      <c r="I25" s="40">
        <v>-1.2498617000000001</v>
      </c>
      <c r="J25" s="40">
        <v>-0.40470361999999999</v>
      </c>
      <c r="K25" s="47">
        <v>-10.476565000000001</v>
      </c>
      <c r="L25" s="47">
        <v>-8.2117020000000007</v>
      </c>
      <c r="M25" s="47">
        <v>-12.988061</v>
      </c>
      <c r="N25" s="47">
        <v>-22.59965</v>
      </c>
    </row>
    <row r="26" spans="1:14" x14ac:dyDescent="0.35">
      <c r="A26" s="2">
        <v>42534</v>
      </c>
      <c r="B26" s="40">
        <v>19.341754999999999</v>
      </c>
      <c r="C26" s="40">
        <v>-7.498354</v>
      </c>
      <c r="D26" s="40">
        <v>-7.7196417000000004</v>
      </c>
      <c r="E26" s="40">
        <v>-13.768750000000001</v>
      </c>
      <c r="F26" s="40">
        <v>-10.637193999999999</v>
      </c>
      <c r="G26" s="40">
        <v>-12.758516999999999</v>
      </c>
      <c r="H26" s="40">
        <v>-16.231387999999999</v>
      </c>
      <c r="I26" s="40">
        <v>0.42089223999999997</v>
      </c>
      <c r="J26" s="40">
        <v>1.394558</v>
      </c>
      <c r="K26" s="47">
        <v>-10.880922999999999</v>
      </c>
      <c r="L26" s="47">
        <v>-8.5111559999999997</v>
      </c>
      <c r="M26" s="47">
        <v>-15.606779</v>
      </c>
      <c r="N26" s="47">
        <v>-25.564920000000001</v>
      </c>
    </row>
    <row r="27" spans="1:14" x14ac:dyDescent="0.35">
      <c r="A27" s="2">
        <v>42564</v>
      </c>
      <c r="B27" s="40">
        <v>35.944664000000003</v>
      </c>
      <c r="C27" s="40">
        <v>1.8841623999999999</v>
      </c>
      <c r="D27" s="40">
        <v>-1.7813265</v>
      </c>
      <c r="E27" s="40">
        <v>-13.011021</v>
      </c>
      <c r="F27" s="40">
        <v>-5.8320639999999999</v>
      </c>
      <c r="G27" s="40">
        <v>-10.351807000000001</v>
      </c>
      <c r="H27" s="40">
        <v>-12.914669</v>
      </c>
      <c r="I27" s="40">
        <v>2.6794075999999998</v>
      </c>
      <c r="J27" s="40">
        <v>4.6966910000000004</v>
      </c>
      <c r="K27" s="47">
        <v>-9.3079450000000001</v>
      </c>
      <c r="L27" s="47">
        <v>-9.115964</v>
      </c>
      <c r="M27" s="47">
        <v>-11.658752</v>
      </c>
      <c r="N27" s="47">
        <v>-25.488030999999999</v>
      </c>
    </row>
    <row r="28" spans="1:14" x14ac:dyDescent="0.35">
      <c r="A28" s="2">
        <v>42594</v>
      </c>
      <c r="B28" s="40">
        <v>39.81091</v>
      </c>
      <c r="C28" s="40">
        <v>9.0053199999999993</v>
      </c>
      <c r="D28" s="40">
        <v>3.2059312000000002</v>
      </c>
      <c r="E28" s="40">
        <v>-3.6765753999999999</v>
      </c>
      <c r="F28" s="40">
        <v>-2.3532389999999999</v>
      </c>
      <c r="G28" s="40">
        <v>-5.3179083</v>
      </c>
      <c r="H28" s="40">
        <v>-10.489903999999999</v>
      </c>
      <c r="I28" s="40">
        <v>7.2407602999999998</v>
      </c>
      <c r="J28" s="40">
        <v>6.8541527000000002</v>
      </c>
      <c r="K28" s="47">
        <v>-6.8594400000000002</v>
      </c>
      <c r="L28" s="47">
        <v>-3.9779365000000002</v>
      </c>
      <c r="M28" s="47">
        <v>-5.1750603000000002</v>
      </c>
      <c r="N28" s="47">
        <v>-25.645733</v>
      </c>
    </row>
    <row r="29" spans="1:14" x14ac:dyDescent="0.35">
      <c r="A29" s="2">
        <v>42626</v>
      </c>
      <c r="B29" s="40">
        <v>47.616301999999997</v>
      </c>
      <c r="C29" s="40">
        <v>9.6530909999999999</v>
      </c>
      <c r="D29" s="40">
        <v>7.9598307999999998</v>
      </c>
      <c r="E29" s="40">
        <v>0.18640756999999999</v>
      </c>
      <c r="F29" s="40">
        <v>5.5918336000000002</v>
      </c>
      <c r="G29" s="40">
        <v>-1.9911110000000001</v>
      </c>
      <c r="H29" s="40">
        <v>-4.1187230000000001</v>
      </c>
      <c r="I29" s="40">
        <v>10.439467</v>
      </c>
      <c r="J29" s="40">
        <v>10.7528925</v>
      </c>
      <c r="K29" s="47">
        <v>-1.5880167000000001</v>
      </c>
      <c r="L29" s="47">
        <v>2.9184459999999999</v>
      </c>
      <c r="M29" s="47">
        <v>-4.2875050000000003</v>
      </c>
      <c r="N29" s="47">
        <v>-22.907347000000001</v>
      </c>
    </row>
    <row r="30" spans="1:14" x14ac:dyDescent="0.35">
      <c r="A30" s="2">
        <v>42656</v>
      </c>
      <c r="B30" s="40">
        <v>32.826540000000001</v>
      </c>
      <c r="C30" s="40">
        <v>12.524736000000001</v>
      </c>
      <c r="D30" s="40">
        <v>5.8757780000000004</v>
      </c>
      <c r="E30" s="40">
        <v>1.0117054000000001</v>
      </c>
      <c r="F30" s="40">
        <v>4.4909596000000001</v>
      </c>
      <c r="G30" s="40">
        <v>-3.8900852000000001</v>
      </c>
      <c r="H30" s="40">
        <v>-7.9428970000000003</v>
      </c>
      <c r="I30" s="40">
        <v>11.521815999999999</v>
      </c>
      <c r="J30" s="40">
        <v>8.6759810000000002</v>
      </c>
      <c r="K30" s="47">
        <v>-4.1044179999999999</v>
      </c>
      <c r="L30" s="47">
        <v>2.0697594000000001</v>
      </c>
      <c r="M30" s="47">
        <v>-4.7579583999999997</v>
      </c>
      <c r="N30" s="47">
        <v>-26.059555</v>
      </c>
    </row>
    <row r="31" spans="1:14" x14ac:dyDescent="0.35">
      <c r="A31" s="2">
        <v>42685</v>
      </c>
      <c r="B31" s="40">
        <v>20.130656999999999</v>
      </c>
      <c r="C31" s="40">
        <v>16.130244999999999</v>
      </c>
      <c r="D31" s="40">
        <v>9.3818070000000002</v>
      </c>
      <c r="E31" s="40">
        <v>-1.4367700000000001</v>
      </c>
      <c r="F31" s="40">
        <v>0.27135609999999999</v>
      </c>
      <c r="G31" s="40">
        <v>-4.0460880000000001</v>
      </c>
      <c r="H31" s="40">
        <v>-8.0157389999999999</v>
      </c>
      <c r="I31" s="40">
        <v>3.5098672</v>
      </c>
      <c r="J31" s="40">
        <v>6.4347386000000002</v>
      </c>
      <c r="K31" s="47">
        <v>-4.5268774000000001</v>
      </c>
      <c r="L31" s="47">
        <v>-2.7945817000000002</v>
      </c>
      <c r="M31" s="47">
        <v>-4.1375694000000003</v>
      </c>
      <c r="N31" s="47">
        <v>-20.764832999999999</v>
      </c>
    </row>
    <row r="32" spans="1:14" x14ac:dyDescent="0.35">
      <c r="A32" s="2">
        <v>42717</v>
      </c>
      <c r="B32" s="40">
        <v>21.980022000000002</v>
      </c>
      <c r="C32" s="40">
        <v>22.864066999999999</v>
      </c>
      <c r="D32" s="40">
        <v>28.686596000000002</v>
      </c>
      <c r="E32" s="40">
        <v>4.6549797000000002</v>
      </c>
      <c r="F32" s="40">
        <v>8.5226059999999997</v>
      </c>
      <c r="G32" s="40">
        <v>-0.97192526000000001</v>
      </c>
      <c r="H32" s="40">
        <v>1.219368</v>
      </c>
      <c r="I32" s="40">
        <v>9.9592209999999994</v>
      </c>
      <c r="J32" s="40">
        <v>15.263104</v>
      </c>
      <c r="K32" s="47">
        <v>5.4744244000000002</v>
      </c>
      <c r="L32" s="47">
        <v>5.0132630000000002</v>
      </c>
      <c r="M32" s="47">
        <v>6.8466306000000001</v>
      </c>
      <c r="N32" s="47">
        <v>-9.3124090000000006</v>
      </c>
    </row>
    <row r="33" spans="1:14" x14ac:dyDescent="0.35">
      <c r="A33" s="2">
        <v>42748</v>
      </c>
      <c r="B33" s="40">
        <v>26.470364</v>
      </c>
      <c r="C33" s="40">
        <v>32.669342</v>
      </c>
      <c r="D33" s="40">
        <v>42.511200000000002</v>
      </c>
      <c r="E33" s="40">
        <v>14.591969000000001</v>
      </c>
      <c r="F33" s="40">
        <v>14.206481</v>
      </c>
      <c r="G33" s="40">
        <v>7.3699593999999999</v>
      </c>
      <c r="H33" s="40">
        <v>9.8098989999999997</v>
      </c>
      <c r="I33" s="40">
        <v>22.213804</v>
      </c>
      <c r="J33" s="40">
        <v>22.826218000000001</v>
      </c>
      <c r="K33" s="47">
        <v>14.870989</v>
      </c>
      <c r="L33" s="47">
        <v>12.589192000000001</v>
      </c>
      <c r="M33" s="47">
        <v>13.513123999999999</v>
      </c>
      <c r="N33" s="47">
        <v>-0.61445236000000003</v>
      </c>
    </row>
    <row r="34" spans="1:14" x14ac:dyDescent="0.35">
      <c r="A34" s="2">
        <v>42779</v>
      </c>
      <c r="B34" s="40">
        <v>30.830908000000001</v>
      </c>
      <c r="C34" s="40">
        <v>34.987414999999999</v>
      </c>
      <c r="D34" s="40">
        <v>38.062595000000002</v>
      </c>
      <c r="E34" s="40">
        <v>21.566582</v>
      </c>
      <c r="F34" s="40">
        <v>26.318598000000001</v>
      </c>
      <c r="G34" s="40">
        <v>12.243938</v>
      </c>
      <c r="H34" s="40">
        <v>13.537205</v>
      </c>
      <c r="I34" s="40">
        <v>32.147587000000001</v>
      </c>
      <c r="J34" s="40">
        <v>27.404892</v>
      </c>
      <c r="K34" s="47">
        <v>17.909122</v>
      </c>
      <c r="L34" s="47">
        <v>18.743206000000001</v>
      </c>
      <c r="M34" s="47">
        <v>20.460450999999999</v>
      </c>
      <c r="N34" s="47">
        <v>11.674476</v>
      </c>
    </row>
    <row r="35" spans="1:14" x14ac:dyDescent="0.35">
      <c r="A35" s="2">
        <v>42807</v>
      </c>
      <c r="B35" s="40">
        <v>12.663376</v>
      </c>
      <c r="C35" s="40">
        <v>16.507232999999999</v>
      </c>
      <c r="D35" s="40">
        <v>16.033352000000001</v>
      </c>
      <c r="E35" s="40">
        <v>14.503086</v>
      </c>
      <c r="F35" s="40">
        <v>14.092482</v>
      </c>
      <c r="G35" s="40">
        <v>9.2802290000000003</v>
      </c>
      <c r="H35" s="40">
        <v>5.9060097000000003</v>
      </c>
      <c r="I35" s="40">
        <v>24.969732</v>
      </c>
      <c r="J35" s="40">
        <v>19.808733</v>
      </c>
      <c r="K35" s="47">
        <v>9.2567679999999992</v>
      </c>
      <c r="L35" s="47">
        <v>12.432421</v>
      </c>
      <c r="M35" s="47">
        <v>10.159599</v>
      </c>
      <c r="N35" s="47">
        <v>1.6647935</v>
      </c>
    </row>
    <row r="36" spans="1:14" x14ac:dyDescent="0.35">
      <c r="A36" s="2">
        <v>42838</v>
      </c>
      <c r="B36" s="40">
        <v>6.8704367</v>
      </c>
      <c r="C36" s="40">
        <v>19.837261000000002</v>
      </c>
      <c r="D36" s="40">
        <v>11.446857</v>
      </c>
      <c r="E36" s="40">
        <v>12.05883</v>
      </c>
      <c r="F36" s="40">
        <v>8.9735984999999996</v>
      </c>
      <c r="G36" s="40">
        <v>8.0652480000000004</v>
      </c>
      <c r="H36" s="40">
        <v>4.8568486999999996</v>
      </c>
      <c r="I36" s="40">
        <v>18.782162</v>
      </c>
      <c r="J36" s="40">
        <v>14.098871000000001</v>
      </c>
      <c r="K36" s="47">
        <v>9.5778940000000006</v>
      </c>
      <c r="L36" s="47">
        <v>10.883724000000001</v>
      </c>
      <c r="M36" s="47">
        <v>6.8221806999999997</v>
      </c>
      <c r="N36" s="47">
        <v>6.0695766999999998</v>
      </c>
    </row>
    <row r="37" spans="1:14" x14ac:dyDescent="0.35">
      <c r="A37" s="2">
        <v>42867</v>
      </c>
      <c r="B37" s="40">
        <v>8.5518470000000004</v>
      </c>
      <c r="C37" s="40">
        <v>15.082312</v>
      </c>
      <c r="D37" s="40">
        <v>8.8910219999999995</v>
      </c>
      <c r="E37" s="40">
        <v>22.190010000000001</v>
      </c>
      <c r="F37" s="40">
        <v>14.210153</v>
      </c>
      <c r="G37" s="40">
        <v>16.178417</v>
      </c>
      <c r="H37" s="40">
        <v>12.077737000000001</v>
      </c>
      <c r="I37" s="40">
        <v>32.236908</v>
      </c>
      <c r="J37" s="40">
        <v>18.09188</v>
      </c>
      <c r="K37" s="47">
        <v>22.933805</v>
      </c>
      <c r="L37" s="47">
        <v>22.563326</v>
      </c>
      <c r="M37" s="47">
        <v>21.64818</v>
      </c>
      <c r="N37" s="47">
        <v>20.464611000000001</v>
      </c>
    </row>
    <row r="38" spans="1:14" x14ac:dyDescent="0.35">
      <c r="A38" s="2">
        <v>42899</v>
      </c>
      <c r="B38" s="40">
        <v>10.914183</v>
      </c>
      <c r="C38" s="40">
        <v>19.113503999999999</v>
      </c>
      <c r="D38" s="40">
        <v>9.3647589999999994</v>
      </c>
      <c r="E38" s="40">
        <v>29.706419</v>
      </c>
      <c r="F38" s="40">
        <v>21.586407000000001</v>
      </c>
      <c r="G38" s="40">
        <v>19.38635</v>
      </c>
      <c r="H38" s="40">
        <v>15.231252</v>
      </c>
      <c r="I38" s="40">
        <v>31.263314999999999</v>
      </c>
      <c r="J38" s="40">
        <v>19.749079999999999</v>
      </c>
      <c r="K38" s="47">
        <v>28.432369999999999</v>
      </c>
      <c r="L38" s="47">
        <v>27.693152999999999</v>
      </c>
      <c r="M38" s="47">
        <v>26.877545999999999</v>
      </c>
      <c r="N38" s="47">
        <v>29.656196999999999</v>
      </c>
    </row>
    <row r="39" spans="1:14" x14ac:dyDescent="0.35">
      <c r="A39" s="2">
        <v>42929</v>
      </c>
      <c r="B39" s="40">
        <v>8.1723800000000004</v>
      </c>
      <c r="C39" s="40">
        <v>13.537443</v>
      </c>
      <c r="D39" s="40">
        <v>10.658956</v>
      </c>
      <c r="E39" s="40">
        <v>28.844176999999998</v>
      </c>
      <c r="F39" s="40">
        <v>14.445745000000001</v>
      </c>
      <c r="G39" s="40">
        <v>18.415047000000001</v>
      </c>
      <c r="H39" s="40">
        <v>12.789429</v>
      </c>
      <c r="I39" s="40">
        <v>28.094912000000001</v>
      </c>
      <c r="J39" s="40">
        <v>16.041993999999999</v>
      </c>
      <c r="K39" s="47">
        <v>28.464200000000002</v>
      </c>
      <c r="L39" s="47">
        <v>29.170715000000001</v>
      </c>
      <c r="M39" s="47">
        <v>29.666827999999999</v>
      </c>
      <c r="N39" s="47">
        <v>35.135902000000002</v>
      </c>
    </row>
    <row r="40" spans="1:14" x14ac:dyDescent="0.35">
      <c r="A40" s="2">
        <v>42958</v>
      </c>
      <c r="B40" s="40">
        <v>5.658245</v>
      </c>
      <c r="C40" s="40">
        <v>10.600698</v>
      </c>
      <c r="D40" s="40">
        <v>7.3142050000000003</v>
      </c>
      <c r="E40" s="40">
        <v>16.862500000000001</v>
      </c>
      <c r="F40" s="40">
        <v>11.090731999999999</v>
      </c>
      <c r="G40" s="40">
        <v>13.077199999999999</v>
      </c>
      <c r="H40" s="40">
        <v>9.8994020000000003</v>
      </c>
      <c r="I40" s="40">
        <v>22.582339999999999</v>
      </c>
      <c r="J40" s="40">
        <v>13.922404999999999</v>
      </c>
      <c r="K40" s="47">
        <v>23.501469</v>
      </c>
      <c r="L40" s="47">
        <v>26.312721</v>
      </c>
      <c r="M40" s="47">
        <v>19.425034</v>
      </c>
      <c r="N40" s="47">
        <v>35.031962999999998</v>
      </c>
    </row>
    <row r="41" spans="1:14" x14ac:dyDescent="0.35">
      <c r="A41" s="2">
        <v>42991</v>
      </c>
      <c r="B41" s="40">
        <v>8.1594709999999999</v>
      </c>
      <c r="C41" s="40">
        <v>25.014220999999999</v>
      </c>
      <c r="D41" s="40">
        <v>17.125475000000002</v>
      </c>
      <c r="E41" s="40">
        <v>25.529062</v>
      </c>
      <c r="F41" s="40">
        <v>14.980102</v>
      </c>
      <c r="G41" s="40">
        <v>16.994644000000001</v>
      </c>
      <c r="H41" s="40">
        <v>14.524687</v>
      </c>
      <c r="I41" s="40">
        <v>28.313887000000001</v>
      </c>
      <c r="J41" s="40">
        <v>19.713234</v>
      </c>
      <c r="K41" s="47">
        <v>30.047453000000001</v>
      </c>
      <c r="L41" s="47">
        <v>31.116629</v>
      </c>
      <c r="M41" s="47">
        <v>25.588072</v>
      </c>
      <c r="N41" s="47">
        <v>42.680584000000003</v>
      </c>
    </row>
    <row r="42" spans="1:14" x14ac:dyDescent="0.35">
      <c r="A42" s="2">
        <v>43021</v>
      </c>
      <c r="B42" s="40">
        <v>14.9060135</v>
      </c>
      <c r="C42" s="40">
        <v>16.556608000000001</v>
      </c>
      <c r="D42" s="40">
        <v>17.399882999999999</v>
      </c>
      <c r="E42" s="40">
        <v>30.620373000000001</v>
      </c>
      <c r="F42" s="40">
        <v>18.369054999999999</v>
      </c>
      <c r="G42" s="40">
        <v>22.138596</v>
      </c>
      <c r="H42" s="40">
        <v>20.935321999999999</v>
      </c>
      <c r="I42" s="40">
        <v>28.056728</v>
      </c>
      <c r="J42" s="40">
        <v>22.112392</v>
      </c>
      <c r="K42" s="47">
        <v>34.125900000000001</v>
      </c>
      <c r="L42" s="47">
        <v>34.67933</v>
      </c>
      <c r="M42" s="47">
        <v>31.035661999999999</v>
      </c>
      <c r="N42" s="47">
        <v>47.657333000000001</v>
      </c>
    </row>
    <row r="43" spans="1:14" x14ac:dyDescent="0.35">
      <c r="A43" s="2">
        <v>43052</v>
      </c>
      <c r="B43" s="40">
        <v>15.478586999999999</v>
      </c>
      <c r="C43" s="40">
        <v>18.182659999999998</v>
      </c>
      <c r="D43" s="40">
        <v>19.657910000000001</v>
      </c>
      <c r="E43" s="40">
        <v>30.708874000000002</v>
      </c>
      <c r="F43" s="40">
        <v>20.996452000000001</v>
      </c>
      <c r="G43" s="40">
        <v>19.644081</v>
      </c>
      <c r="H43" s="40">
        <v>18.39838</v>
      </c>
      <c r="I43" s="40">
        <v>34.207058000000004</v>
      </c>
      <c r="J43" s="40">
        <v>21.78173</v>
      </c>
      <c r="K43" s="47">
        <v>32.048606999999997</v>
      </c>
      <c r="L43" s="47">
        <v>34.522568</v>
      </c>
      <c r="M43" s="47">
        <v>29.097079999999998</v>
      </c>
      <c r="N43" s="47">
        <v>42.253875999999998</v>
      </c>
    </row>
    <row r="44" spans="1:14" x14ac:dyDescent="0.35">
      <c r="A44" s="2">
        <v>43082</v>
      </c>
      <c r="B44" s="40">
        <v>17.23349</v>
      </c>
      <c r="C44" s="40">
        <v>14.036632000000001</v>
      </c>
      <c r="D44" s="40">
        <v>9.7403530000000007</v>
      </c>
      <c r="E44" s="40">
        <v>28.078281</v>
      </c>
      <c r="F44" s="40">
        <v>19.274616000000002</v>
      </c>
      <c r="G44" s="40">
        <v>21.753167999999999</v>
      </c>
      <c r="H44" s="40">
        <v>17.31906</v>
      </c>
      <c r="I44" s="40">
        <v>30.792831</v>
      </c>
      <c r="J44" s="40">
        <v>19.490027999999999</v>
      </c>
      <c r="K44" s="47">
        <v>29.37771</v>
      </c>
      <c r="L44" s="47">
        <v>34.100914000000003</v>
      </c>
      <c r="M44" s="47">
        <v>20.246338000000002</v>
      </c>
      <c r="N44" s="47">
        <v>31.493113999999998</v>
      </c>
    </row>
    <row r="45" spans="1:14" x14ac:dyDescent="0.35">
      <c r="A45" s="2">
        <v>43112</v>
      </c>
      <c r="B45" s="40">
        <v>18.062125999999999</v>
      </c>
      <c r="C45" s="40">
        <v>15.17694</v>
      </c>
      <c r="D45" s="40">
        <v>13.878297999999999</v>
      </c>
      <c r="E45" s="40">
        <v>30.681301000000001</v>
      </c>
      <c r="F45" s="40">
        <v>27.14405</v>
      </c>
      <c r="G45" s="40">
        <v>22.733711</v>
      </c>
      <c r="H45" s="40">
        <v>23.670244</v>
      </c>
      <c r="I45" s="40">
        <v>35.237563999999999</v>
      </c>
      <c r="J45" s="40">
        <v>25.065697</v>
      </c>
      <c r="K45" s="47">
        <v>33.193897</v>
      </c>
      <c r="L45" s="47">
        <v>36.563502999999997</v>
      </c>
      <c r="M45" s="47">
        <v>27.023363</v>
      </c>
      <c r="N45" s="47">
        <v>38.575744999999998</v>
      </c>
    </row>
    <row r="46" spans="1:14" x14ac:dyDescent="0.35">
      <c r="A46" s="2">
        <v>43144</v>
      </c>
      <c r="B46" s="40">
        <v>13.224638000000001</v>
      </c>
      <c r="C46" s="40">
        <v>7.7669620000000004</v>
      </c>
      <c r="D46" s="40">
        <v>2.6694179</v>
      </c>
      <c r="E46" s="40">
        <v>21.021235000000001</v>
      </c>
      <c r="F46" s="40">
        <v>16.836511999999999</v>
      </c>
      <c r="G46" s="40">
        <v>15.909147000000001</v>
      </c>
      <c r="H46" s="40">
        <v>13.06237</v>
      </c>
      <c r="I46" s="40">
        <v>25.797630000000002</v>
      </c>
      <c r="J46" s="40">
        <v>16.492699999999999</v>
      </c>
      <c r="K46" s="47">
        <v>26.753675000000001</v>
      </c>
      <c r="L46" s="47">
        <v>27.512191999999999</v>
      </c>
      <c r="M46" s="47">
        <v>14.056182</v>
      </c>
      <c r="N46" s="47">
        <v>36.380184</v>
      </c>
    </row>
    <row r="47" spans="1:14" x14ac:dyDescent="0.35">
      <c r="A47" s="2">
        <v>43172</v>
      </c>
      <c r="B47" s="40">
        <v>24.233318000000001</v>
      </c>
      <c r="C47" s="40">
        <v>8.8810210000000005</v>
      </c>
      <c r="D47" s="40">
        <v>6.3676953000000003</v>
      </c>
      <c r="E47" s="40">
        <v>18.012691</v>
      </c>
      <c r="F47" s="40">
        <v>18.951118000000001</v>
      </c>
      <c r="G47" s="40">
        <v>12.4550705</v>
      </c>
      <c r="H47" s="40">
        <v>13.097704</v>
      </c>
      <c r="I47" s="40">
        <v>31.659020000000002</v>
      </c>
      <c r="J47" s="40">
        <v>18.619071999999999</v>
      </c>
      <c r="K47" s="47">
        <v>25.767945999999998</v>
      </c>
      <c r="L47" s="47">
        <v>23.612904</v>
      </c>
      <c r="M47" s="47">
        <v>13.134074</v>
      </c>
      <c r="N47" s="47">
        <v>34.03013</v>
      </c>
    </row>
    <row r="48" spans="1:14" x14ac:dyDescent="0.35">
      <c r="A48" s="2">
        <v>43203</v>
      </c>
      <c r="B48" s="40">
        <v>22.964752000000001</v>
      </c>
      <c r="C48" s="40">
        <v>4.4817210000000003</v>
      </c>
      <c r="D48" s="40">
        <v>6.9368124</v>
      </c>
      <c r="E48" s="40">
        <v>19.414435999999998</v>
      </c>
      <c r="F48" s="40">
        <v>20.577287999999999</v>
      </c>
      <c r="G48" s="40">
        <v>9.9309809999999992</v>
      </c>
      <c r="H48" s="40">
        <v>16.578244999999999</v>
      </c>
      <c r="I48" s="40">
        <v>24.825727000000001</v>
      </c>
      <c r="J48" s="40">
        <v>16.208791999999999</v>
      </c>
      <c r="K48" s="47">
        <v>26.306878999999999</v>
      </c>
      <c r="L48" s="47">
        <v>24.535084000000001</v>
      </c>
      <c r="M48" s="47">
        <v>9.1292620000000007</v>
      </c>
      <c r="N48" s="47">
        <v>38.329230000000003</v>
      </c>
    </row>
    <row r="49" spans="1:14" x14ac:dyDescent="0.35">
      <c r="A49" s="2">
        <v>43231</v>
      </c>
      <c r="B49" s="40">
        <v>16.628874</v>
      </c>
      <c r="C49" s="40">
        <v>9.5076079999999994</v>
      </c>
      <c r="D49" s="40">
        <v>13.323426</v>
      </c>
      <c r="E49" s="40">
        <v>11.965954</v>
      </c>
      <c r="F49" s="40">
        <v>18.851459999999999</v>
      </c>
      <c r="G49" s="40">
        <v>3.8845657999999998</v>
      </c>
      <c r="H49" s="40">
        <v>12.961149000000001</v>
      </c>
      <c r="I49" s="40">
        <v>23.604810000000001</v>
      </c>
      <c r="J49" s="40">
        <v>16.15156</v>
      </c>
      <c r="K49" s="47">
        <v>16.838657000000001</v>
      </c>
      <c r="L49" s="47">
        <v>13.57752</v>
      </c>
      <c r="M49" s="47">
        <v>5.0139069999999997</v>
      </c>
      <c r="N49" s="47">
        <v>24.101437000000001</v>
      </c>
    </row>
    <row r="50" spans="1:14" x14ac:dyDescent="0.35">
      <c r="A50" s="2">
        <v>43264</v>
      </c>
      <c r="B50" s="40">
        <v>15.867245</v>
      </c>
      <c r="C50" s="40">
        <v>7.8537583</v>
      </c>
      <c r="D50" s="40">
        <v>10.896110999999999</v>
      </c>
      <c r="E50" s="40">
        <v>5.8584930000000002</v>
      </c>
      <c r="F50" s="40">
        <v>12.720596</v>
      </c>
      <c r="G50" s="40">
        <v>0.27512312</v>
      </c>
      <c r="H50" s="40">
        <v>10.566055</v>
      </c>
      <c r="I50" s="40">
        <v>26.352499999999999</v>
      </c>
      <c r="J50" s="40">
        <v>15.854513000000001</v>
      </c>
      <c r="K50" s="47">
        <v>12.144709000000001</v>
      </c>
      <c r="L50" s="47">
        <v>11.48082</v>
      </c>
      <c r="M50" s="47">
        <v>0.82904100000000003</v>
      </c>
      <c r="N50" s="47">
        <v>10.874498000000001</v>
      </c>
    </row>
    <row r="51" spans="1:14" x14ac:dyDescent="0.35">
      <c r="A51" s="2">
        <v>43294</v>
      </c>
      <c r="B51" s="40">
        <v>8.2117319999999996</v>
      </c>
      <c r="C51" s="40">
        <v>8.9026340000000008</v>
      </c>
      <c r="D51" s="40">
        <v>8.584225</v>
      </c>
      <c r="E51" s="40">
        <v>1.8087506</v>
      </c>
      <c r="F51" s="40">
        <v>9.1579075000000003</v>
      </c>
      <c r="G51" s="40">
        <v>-0.80003139999999995</v>
      </c>
      <c r="H51" s="40">
        <v>8.8146690000000003</v>
      </c>
      <c r="I51" s="40">
        <v>28.404903000000001</v>
      </c>
      <c r="J51" s="40">
        <v>16.522290000000002</v>
      </c>
      <c r="K51" s="47">
        <v>9.896255</v>
      </c>
      <c r="L51" s="47">
        <v>7.7830195</v>
      </c>
      <c r="M51" s="47">
        <v>-6.9775343000000003</v>
      </c>
      <c r="N51" s="47">
        <v>5.1639556999999998</v>
      </c>
    </row>
    <row r="52" spans="1:14" x14ac:dyDescent="0.35">
      <c r="A52" s="2">
        <v>43325</v>
      </c>
      <c r="B52" s="40">
        <v>3.9030909999999999</v>
      </c>
      <c r="C52" s="40">
        <v>4.9830914000000002</v>
      </c>
      <c r="D52" s="40">
        <v>7.599926</v>
      </c>
      <c r="E52" s="40">
        <v>-9.6511840000000002E-2</v>
      </c>
      <c r="F52" s="40">
        <v>7.2566031999999998</v>
      </c>
      <c r="G52" s="40">
        <v>2.598071</v>
      </c>
      <c r="H52" s="40">
        <v>5.5600759999999996</v>
      </c>
      <c r="I52" s="40">
        <v>27.92362</v>
      </c>
      <c r="J52" s="40">
        <v>17.712842999999999</v>
      </c>
      <c r="K52" s="47">
        <v>6.4252852999999996</v>
      </c>
      <c r="L52" s="47">
        <v>2.9079318000000001</v>
      </c>
      <c r="M52" s="47">
        <v>-3.0494629999999998</v>
      </c>
      <c r="N52" s="47">
        <v>-3.4542918</v>
      </c>
    </row>
    <row r="53" spans="1:14" x14ac:dyDescent="0.35">
      <c r="A53" s="2">
        <v>43356</v>
      </c>
      <c r="B53" s="40">
        <v>6.6475629999999999</v>
      </c>
      <c r="C53" s="40">
        <v>-0.44540167000000003</v>
      </c>
      <c r="D53" s="40">
        <v>1.7982005999999999</v>
      </c>
      <c r="E53" s="40">
        <v>-4.1869344999999996</v>
      </c>
      <c r="F53" s="40">
        <v>5.7265161999999998</v>
      </c>
      <c r="G53" s="40">
        <v>2.8323889000000002</v>
      </c>
      <c r="H53" s="40">
        <v>1.0342956000000001</v>
      </c>
      <c r="I53" s="40">
        <v>27.047909000000001</v>
      </c>
      <c r="J53" s="40">
        <v>18.420815000000001</v>
      </c>
      <c r="K53" s="47">
        <v>4.118347</v>
      </c>
      <c r="L53" s="47">
        <v>-0.50520299999999996</v>
      </c>
      <c r="M53" s="47">
        <v>-3.9325296999999999</v>
      </c>
      <c r="N53" s="47">
        <v>-6.0704710000000004</v>
      </c>
    </row>
    <row r="54" spans="1:14" x14ac:dyDescent="0.35">
      <c r="A54" s="2">
        <v>43385</v>
      </c>
      <c r="B54" s="40">
        <v>-0.22950171999999999</v>
      </c>
      <c r="C54" s="40">
        <v>-4.9508150000000004</v>
      </c>
      <c r="D54" s="40">
        <v>-4.5971812999999999</v>
      </c>
      <c r="E54" s="40">
        <v>-12.615430999999999</v>
      </c>
      <c r="F54" s="40">
        <v>1.5479326</v>
      </c>
      <c r="G54" s="40">
        <v>-5.6500196000000003</v>
      </c>
      <c r="H54" s="40">
        <v>-4.3303669999999999</v>
      </c>
      <c r="I54" s="40">
        <v>18.874310999999999</v>
      </c>
      <c r="J54" s="40">
        <v>10.342873000000001</v>
      </c>
      <c r="K54" s="47">
        <v>-4.0437640000000004</v>
      </c>
      <c r="L54" s="47">
        <v>-8.8325739999999993</v>
      </c>
      <c r="M54" s="47">
        <v>-11.000280999999999</v>
      </c>
      <c r="N54" s="47">
        <v>-13.808846000000001</v>
      </c>
    </row>
    <row r="55" spans="1:14" x14ac:dyDescent="0.35">
      <c r="A55" s="2">
        <v>43417</v>
      </c>
      <c r="B55" s="40">
        <v>9.4671249999999993</v>
      </c>
      <c r="C55" s="40">
        <v>-4.5229014999999997</v>
      </c>
      <c r="D55" s="40">
        <v>-7.4244079999999997</v>
      </c>
      <c r="E55" s="40">
        <v>-14.832038000000001</v>
      </c>
      <c r="F55" s="40">
        <v>-6.5968156000000002</v>
      </c>
      <c r="G55" s="40">
        <v>-1.1833608</v>
      </c>
      <c r="H55" s="40">
        <v>-2.9384969999999999</v>
      </c>
      <c r="I55" s="40">
        <v>9.0207339999999991</v>
      </c>
      <c r="J55" s="40">
        <v>7.2334646999999999</v>
      </c>
      <c r="K55" s="47">
        <v>-5.1088275999999997</v>
      </c>
      <c r="L55" s="47">
        <v>-6.8066779999999998</v>
      </c>
      <c r="M55" s="47">
        <v>-10.794199000000001</v>
      </c>
      <c r="N55" s="47">
        <v>-15.256065</v>
      </c>
    </row>
    <row r="56" spans="1:14" x14ac:dyDescent="0.35">
      <c r="A56" s="2">
        <v>43447</v>
      </c>
      <c r="B56" s="40">
        <v>4.1165589999999996</v>
      </c>
      <c r="C56" s="40">
        <v>-8.0677869999999992</v>
      </c>
      <c r="D56" s="40">
        <v>-10.501421000000001</v>
      </c>
      <c r="E56" s="40">
        <v>-19.456982</v>
      </c>
      <c r="F56" s="40">
        <v>-9.6404259999999997</v>
      </c>
      <c r="G56" s="40">
        <v>-4.8602999999999996</v>
      </c>
      <c r="H56" s="40">
        <v>-10.185492</v>
      </c>
      <c r="I56" s="40">
        <v>6.6540600000000003</v>
      </c>
      <c r="J56" s="40">
        <v>1.2949705</v>
      </c>
      <c r="K56" s="47">
        <v>-10.052413</v>
      </c>
      <c r="L56" s="47">
        <v>-11.165577000000001</v>
      </c>
      <c r="M56" s="47">
        <v>-11.069637</v>
      </c>
      <c r="N56" s="47">
        <v>-15.336859</v>
      </c>
    </row>
    <row r="57" spans="1:14" x14ac:dyDescent="0.35">
      <c r="A57" s="2">
        <v>43476</v>
      </c>
      <c r="B57" s="40">
        <v>3.4255146999999999</v>
      </c>
      <c r="C57" s="40">
        <v>-9.088654</v>
      </c>
      <c r="D57" s="40">
        <v>-12.168371</v>
      </c>
      <c r="E57" s="40">
        <v>-21.506298000000001</v>
      </c>
      <c r="F57" s="40">
        <v>-15.164638</v>
      </c>
      <c r="G57" s="40">
        <v>-7.009506</v>
      </c>
      <c r="H57" s="40">
        <v>-12.547672</v>
      </c>
      <c r="I57" s="40">
        <v>-0.75089335000000001</v>
      </c>
      <c r="J57" s="40">
        <v>-4.4139265999999999</v>
      </c>
      <c r="K57" s="47">
        <v>-14.339071000000001</v>
      </c>
      <c r="L57" s="47">
        <v>-14.714802000000001</v>
      </c>
      <c r="M57" s="47">
        <v>-14.310140000000001</v>
      </c>
      <c r="N57" s="47">
        <v>-18.651522</v>
      </c>
    </row>
    <row r="58" spans="1:14" x14ac:dyDescent="0.35">
      <c r="A58" s="2">
        <v>43509</v>
      </c>
      <c r="B58" s="40">
        <v>9.0470790000000001</v>
      </c>
      <c r="C58" s="40">
        <v>-2.8240978999999999</v>
      </c>
      <c r="D58" s="40">
        <v>-0.72208640000000002</v>
      </c>
      <c r="E58" s="40">
        <v>-17.166632</v>
      </c>
      <c r="F58" s="40">
        <v>-8.0657370000000004</v>
      </c>
      <c r="G58" s="40">
        <v>-1.9530535</v>
      </c>
      <c r="H58" s="40">
        <v>-4.2093160000000003</v>
      </c>
      <c r="I58" s="40">
        <v>8.004308</v>
      </c>
      <c r="J58" s="40">
        <v>5.3565383000000004</v>
      </c>
      <c r="K58" s="47">
        <v>-7.5227259999999996</v>
      </c>
      <c r="L58" s="47">
        <v>-6.1340810000000001</v>
      </c>
      <c r="M58" s="47">
        <v>-7.2955728000000004</v>
      </c>
      <c r="N58" s="47">
        <v>-14.521986</v>
      </c>
    </row>
    <row r="59" spans="1:14" x14ac:dyDescent="0.35">
      <c r="A59" s="2">
        <v>43537</v>
      </c>
      <c r="B59" s="40">
        <v>4.5094966999999997</v>
      </c>
      <c r="C59" s="40">
        <v>-1.3834298</v>
      </c>
      <c r="D59" s="40">
        <v>2.7768492999999999</v>
      </c>
      <c r="E59" s="40">
        <v>-13.643127</v>
      </c>
      <c r="F59" s="40">
        <v>-9.0141480000000005</v>
      </c>
      <c r="G59" s="40">
        <v>2.2137403</v>
      </c>
      <c r="H59" s="40">
        <v>-0.71507690000000002</v>
      </c>
      <c r="I59" s="40">
        <v>3.9679527000000001</v>
      </c>
      <c r="J59" s="40">
        <v>3.6136865999999999</v>
      </c>
      <c r="K59" s="47">
        <v>-4.6657443000000001</v>
      </c>
      <c r="L59" s="47">
        <v>-6.4518633000000003</v>
      </c>
      <c r="M59" s="47">
        <v>-7.7892302999999998</v>
      </c>
      <c r="N59" s="47">
        <v>-12.637699</v>
      </c>
    </row>
    <row r="60" spans="1:14" x14ac:dyDescent="0.35">
      <c r="A60" s="2">
        <v>43567</v>
      </c>
      <c r="B60" s="40">
        <v>6.5919280000000002</v>
      </c>
      <c r="C60" s="40">
        <v>3.4304380000000001</v>
      </c>
      <c r="D60" s="40">
        <v>4.2378305999999997</v>
      </c>
      <c r="E60" s="40">
        <v>-11.886101999999999</v>
      </c>
      <c r="F60" s="40">
        <v>-7.1532669999999996</v>
      </c>
      <c r="G60" s="40">
        <v>6.2368034999999997</v>
      </c>
      <c r="H60" s="40">
        <v>-2.0499348999999998</v>
      </c>
      <c r="I60" s="40">
        <v>15.559519</v>
      </c>
      <c r="J60" s="40">
        <v>11.240339000000001</v>
      </c>
      <c r="K60" s="47">
        <v>-2.9061913000000001</v>
      </c>
      <c r="L60" s="47">
        <v>-3.0400455000000002</v>
      </c>
      <c r="M60" s="47">
        <v>2.6551485000000001</v>
      </c>
      <c r="N60" s="47">
        <v>-11.217366999999999</v>
      </c>
    </row>
    <row r="61" spans="1:14" x14ac:dyDescent="0.35">
      <c r="A61" s="2">
        <v>43598</v>
      </c>
      <c r="B61" s="40">
        <v>9.226286</v>
      </c>
      <c r="C61" s="40">
        <v>-1.431179</v>
      </c>
      <c r="D61" s="40">
        <v>-2.4270535</v>
      </c>
      <c r="E61" s="40">
        <v>-14.979017000000001</v>
      </c>
      <c r="F61" s="40">
        <v>-12.406974999999999</v>
      </c>
      <c r="G61" s="40">
        <v>4.4686437000000003</v>
      </c>
      <c r="H61" s="40">
        <v>-7.9305053000000001</v>
      </c>
      <c r="I61" s="40">
        <v>6.2999606000000004</v>
      </c>
      <c r="J61" s="40">
        <v>4.9440980000000003</v>
      </c>
      <c r="K61" s="47">
        <v>-8.6842059999999996</v>
      </c>
      <c r="L61" s="47">
        <v>-4.5626519999999999</v>
      </c>
      <c r="M61" s="47">
        <v>-8.5631730000000008</v>
      </c>
      <c r="N61" s="47">
        <v>-16.868752000000001</v>
      </c>
    </row>
    <row r="62" spans="1:14" x14ac:dyDescent="0.35">
      <c r="A62" s="2">
        <v>43629</v>
      </c>
      <c r="B62" s="40">
        <v>5.2034380000000002</v>
      </c>
      <c r="C62" s="40">
        <v>4.3967605000000001</v>
      </c>
      <c r="D62" s="40">
        <v>-0.86975100000000005</v>
      </c>
      <c r="E62" s="40">
        <v>-11.630064000000001</v>
      </c>
      <c r="F62" s="40">
        <v>-9.4115549999999999</v>
      </c>
      <c r="G62" s="40">
        <v>13.178575500000001</v>
      </c>
      <c r="H62" s="40">
        <v>-5.6635856999999996</v>
      </c>
      <c r="I62" s="40">
        <v>5.2315234999999998</v>
      </c>
      <c r="J62" s="40">
        <v>6.1864257</v>
      </c>
      <c r="K62" s="47">
        <v>-3.8573502999999998</v>
      </c>
      <c r="L62" s="47">
        <v>-1.7484546000000001</v>
      </c>
      <c r="M62" s="47">
        <v>-3.8354218000000002</v>
      </c>
      <c r="N62" s="47">
        <v>-7.0830764999999998</v>
      </c>
    </row>
    <row r="63" spans="1:14" x14ac:dyDescent="0.35">
      <c r="A63" s="2">
        <v>43658</v>
      </c>
      <c r="B63" s="40">
        <v>16.444016000000001</v>
      </c>
      <c r="C63" s="40">
        <v>4.5932649999999997</v>
      </c>
      <c r="D63" s="40">
        <v>2.3510456</v>
      </c>
      <c r="E63" s="40">
        <v>-7.0489287000000003</v>
      </c>
      <c r="F63" s="40">
        <v>-1.7686605</v>
      </c>
      <c r="G63" s="40">
        <v>13.750064999999999</v>
      </c>
      <c r="H63" s="40">
        <v>-3.4241378</v>
      </c>
      <c r="I63" s="40">
        <v>8.7868209999999998</v>
      </c>
      <c r="J63" s="40">
        <v>9.7578639999999996</v>
      </c>
      <c r="K63" s="47">
        <v>0.93997717000000003</v>
      </c>
      <c r="L63" s="47">
        <v>2.8215408000000002</v>
      </c>
      <c r="M63" s="47">
        <v>3.4644960999999999</v>
      </c>
      <c r="N63" s="47">
        <v>2.6831865000000001</v>
      </c>
    </row>
    <row r="64" spans="1:14" x14ac:dyDescent="0.35">
      <c r="A64" s="2">
        <v>43690</v>
      </c>
      <c r="B64" s="40">
        <v>18.027615000000001</v>
      </c>
      <c r="C64" s="40">
        <v>2.4246454000000002</v>
      </c>
      <c r="D64" s="40">
        <v>0.77372790000000002</v>
      </c>
      <c r="E64" s="40">
        <v>-8.7906949999999995</v>
      </c>
      <c r="F64" s="40">
        <v>-4.5361099999999999</v>
      </c>
      <c r="G64" s="40">
        <v>12.311458999999999</v>
      </c>
      <c r="H64" s="40">
        <v>-6.8300485999999996</v>
      </c>
      <c r="I64" s="40">
        <v>5.392468</v>
      </c>
      <c r="J64" s="40">
        <v>5.7672499999999998</v>
      </c>
      <c r="K64" s="47">
        <v>-0.53727627</v>
      </c>
      <c r="L64" s="47">
        <v>1.8437386</v>
      </c>
      <c r="M64" s="47">
        <v>-5.2643420000000001</v>
      </c>
      <c r="N64" s="47">
        <v>-0.43979287</v>
      </c>
    </row>
    <row r="65" spans="1:14" x14ac:dyDescent="0.35">
      <c r="A65" s="2">
        <v>43721</v>
      </c>
      <c r="B65" s="40">
        <v>13.270270999999999</v>
      </c>
      <c r="C65" s="40">
        <v>9.2248920000000005</v>
      </c>
      <c r="D65" s="40">
        <v>4.1510699999999998</v>
      </c>
      <c r="E65" s="40">
        <v>-4.9950542000000002</v>
      </c>
      <c r="F65" s="40">
        <v>0.62888860000000002</v>
      </c>
      <c r="G65" s="40">
        <v>10.845255999999999</v>
      </c>
      <c r="H65" s="40">
        <v>-0.38787723000000002</v>
      </c>
      <c r="I65" s="40">
        <v>5.2566648000000002</v>
      </c>
      <c r="J65" s="40">
        <v>5.5872320000000002</v>
      </c>
      <c r="K65" s="47">
        <v>1.6843796</v>
      </c>
      <c r="L65" s="47">
        <v>8.6079120000000007</v>
      </c>
      <c r="M65" s="47">
        <v>-1.3996660999999999</v>
      </c>
      <c r="N65" s="47">
        <v>4.6154736999999999</v>
      </c>
    </row>
    <row r="66" spans="1:14" x14ac:dyDescent="0.35">
      <c r="A66" s="2">
        <v>43749</v>
      </c>
      <c r="B66" s="40">
        <v>21.851085999999999</v>
      </c>
      <c r="C66" s="40">
        <v>14.5713215</v>
      </c>
      <c r="D66" s="40">
        <v>7.968235</v>
      </c>
      <c r="E66" s="40">
        <v>0.71099997000000004</v>
      </c>
      <c r="F66" s="40">
        <v>2.6787399999999999</v>
      </c>
      <c r="G66" s="40">
        <v>17.872084000000001</v>
      </c>
      <c r="H66" s="40">
        <v>2.8260350000000001</v>
      </c>
      <c r="I66" s="40">
        <v>13.697253999999999</v>
      </c>
      <c r="J66" s="40">
        <v>11.035895</v>
      </c>
      <c r="K66" s="47">
        <v>7.2640419999999999</v>
      </c>
      <c r="L66" s="47">
        <v>15.723062000000001</v>
      </c>
      <c r="M66" s="47">
        <v>1.0428548</v>
      </c>
      <c r="N66" s="47">
        <v>12.832737</v>
      </c>
    </row>
    <row r="67" spans="1:14" x14ac:dyDescent="0.35">
      <c r="A67" s="2">
        <v>43782</v>
      </c>
      <c r="B67" s="40">
        <v>15.042019</v>
      </c>
      <c r="C67" s="40">
        <v>13.993895</v>
      </c>
      <c r="D67" s="40">
        <v>14.49306</v>
      </c>
      <c r="E67" s="40">
        <v>9.4889880000000009</v>
      </c>
      <c r="F67" s="40">
        <v>12.113142</v>
      </c>
      <c r="G67" s="40">
        <v>19.968043999999999</v>
      </c>
      <c r="H67" s="40">
        <v>6.8725110000000003</v>
      </c>
      <c r="I67" s="40">
        <v>22.187125999999999</v>
      </c>
      <c r="J67" s="40">
        <v>15.887249000000001</v>
      </c>
      <c r="K67" s="47">
        <v>15.096939000000001</v>
      </c>
      <c r="L67" s="47">
        <v>17.972325999999999</v>
      </c>
      <c r="M67" s="47">
        <v>12.355995</v>
      </c>
      <c r="N67" s="47">
        <v>22.77788</v>
      </c>
    </row>
    <row r="68" spans="1:14" x14ac:dyDescent="0.35">
      <c r="A68" s="2">
        <v>43812</v>
      </c>
      <c r="B68" s="40">
        <v>22.502338000000002</v>
      </c>
      <c r="C68" s="40">
        <v>18.871355000000001</v>
      </c>
      <c r="D68" s="40">
        <v>18.625402000000001</v>
      </c>
      <c r="E68" s="40">
        <v>16.439485999999999</v>
      </c>
      <c r="F68" s="40">
        <v>15.282213</v>
      </c>
      <c r="G68" s="40">
        <v>23.695385000000002</v>
      </c>
      <c r="H68" s="40">
        <v>17.025804999999998</v>
      </c>
      <c r="I68" s="40">
        <v>26.623450999999999</v>
      </c>
      <c r="J68" s="40">
        <v>21.968305999999998</v>
      </c>
      <c r="K68" s="47">
        <v>20.465623999999998</v>
      </c>
      <c r="L68" s="47">
        <v>25.277350999999999</v>
      </c>
      <c r="M68" s="47">
        <v>19.401443</v>
      </c>
      <c r="N68" s="47">
        <v>21.164619999999999</v>
      </c>
    </row>
    <row r="69" spans="1:14" x14ac:dyDescent="0.35">
      <c r="A69" s="2">
        <v>43843</v>
      </c>
      <c r="B69" s="40">
        <v>24.125671000000001</v>
      </c>
      <c r="C69" s="40">
        <v>18.606102</v>
      </c>
      <c r="D69" s="40">
        <v>19.94754</v>
      </c>
      <c r="E69" s="40">
        <v>17.373025999999999</v>
      </c>
      <c r="F69" s="40">
        <v>15.671514999999999</v>
      </c>
      <c r="G69" s="40">
        <v>26.333046</v>
      </c>
      <c r="H69" s="40">
        <v>15.115690000000001</v>
      </c>
      <c r="I69" s="40">
        <v>38.632106999999998</v>
      </c>
      <c r="J69" s="40">
        <v>29.027187000000001</v>
      </c>
      <c r="K69" s="47">
        <v>24.286401999999999</v>
      </c>
      <c r="L69" s="47">
        <v>28.687752</v>
      </c>
      <c r="M69" s="47">
        <v>18.485296000000002</v>
      </c>
      <c r="N69" s="47">
        <v>21.567094999999998</v>
      </c>
    </row>
    <row r="70" spans="1:14" x14ac:dyDescent="0.35">
      <c r="A70" s="2">
        <v>43874</v>
      </c>
      <c r="B70" s="40">
        <v>20.141876</v>
      </c>
      <c r="C70" s="40">
        <v>15.3744335</v>
      </c>
      <c r="D70" s="40">
        <v>15.682316</v>
      </c>
      <c r="E70" s="40">
        <v>15.216647999999999</v>
      </c>
      <c r="F70" s="40">
        <v>11.6835</v>
      </c>
      <c r="G70" s="40">
        <v>27.622174999999999</v>
      </c>
      <c r="H70" s="40">
        <v>8.5299130000000005</v>
      </c>
      <c r="I70" s="40">
        <v>37.942279999999997</v>
      </c>
      <c r="J70" s="40">
        <v>24.890720000000002</v>
      </c>
      <c r="K70" s="47">
        <v>18.356752</v>
      </c>
      <c r="L70" s="47">
        <v>23.084496999999999</v>
      </c>
      <c r="M70" s="47">
        <v>18.355751000000001</v>
      </c>
      <c r="N70" s="47">
        <v>19.760418000000001</v>
      </c>
    </row>
    <row r="71" spans="1:14" x14ac:dyDescent="0.35">
      <c r="A71" s="2">
        <v>43903</v>
      </c>
      <c r="B71" s="40">
        <v>1.3254881000000001</v>
      </c>
      <c r="C71" s="40">
        <v>-16.131145</v>
      </c>
      <c r="D71" s="40">
        <v>-17.387777</v>
      </c>
      <c r="E71" s="40">
        <v>-20.199197999999999</v>
      </c>
      <c r="F71" s="40">
        <v>-12.9453</v>
      </c>
      <c r="G71" s="40">
        <v>0.91060399999999997</v>
      </c>
      <c r="H71" s="40">
        <v>-23.944932999999999</v>
      </c>
      <c r="I71" s="40">
        <v>9.5545770000000001</v>
      </c>
      <c r="J71" s="40">
        <v>-2.4612962999999999</v>
      </c>
      <c r="K71" s="47">
        <v>-17.904292999999999</v>
      </c>
      <c r="L71" s="47">
        <v>-10.26085</v>
      </c>
      <c r="M71" s="47">
        <v>-9.9263130000000004</v>
      </c>
      <c r="N71" s="47">
        <v>-20.337630000000001</v>
      </c>
    </row>
    <row r="72" spans="1:14" x14ac:dyDescent="0.35">
      <c r="A72" s="2">
        <v>43934</v>
      </c>
      <c r="B72" s="40">
        <v>-6.3364925000000003</v>
      </c>
      <c r="C72" s="40">
        <v>-21.104599</v>
      </c>
      <c r="D72" s="40">
        <v>-16.731155000000001</v>
      </c>
      <c r="E72" s="40">
        <v>-17.428791</v>
      </c>
      <c r="F72" s="40">
        <v>-6.9619894000000002</v>
      </c>
      <c r="G72" s="40">
        <v>3.0007242999999999</v>
      </c>
      <c r="H72" s="40">
        <v>-24.019306</v>
      </c>
      <c r="I72" s="40">
        <v>10.1888895</v>
      </c>
      <c r="J72" s="40">
        <v>-3.0302584000000001</v>
      </c>
      <c r="K72" s="47">
        <v>-19.246452000000001</v>
      </c>
      <c r="L72" s="47">
        <v>-9.8498640000000002</v>
      </c>
      <c r="M72" s="47">
        <v>-15.154296</v>
      </c>
      <c r="N72" s="47">
        <v>-22.665220000000001</v>
      </c>
    </row>
    <row r="73" spans="1:14" x14ac:dyDescent="0.35">
      <c r="A73" s="2">
        <v>43964</v>
      </c>
      <c r="B73" s="40">
        <v>-1.1032999000000001</v>
      </c>
      <c r="C73" s="40">
        <v>-19.30762</v>
      </c>
      <c r="D73" s="40">
        <v>-12.918073</v>
      </c>
      <c r="E73" s="40">
        <v>-15.104507999999999</v>
      </c>
      <c r="F73" s="40">
        <v>1.2369037000000001</v>
      </c>
      <c r="G73" s="40">
        <v>6.699109</v>
      </c>
      <c r="H73" s="40">
        <v>-21.019005</v>
      </c>
      <c r="I73" s="40">
        <v>23.873519999999999</v>
      </c>
      <c r="J73" s="40">
        <v>2.3393988999999999</v>
      </c>
      <c r="K73" s="47">
        <v>-18.480979999999999</v>
      </c>
      <c r="L73" s="47">
        <v>-3.6317824999999999</v>
      </c>
      <c r="M73" s="47">
        <v>-6.4545750000000002</v>
      </c>
      <c r="N73" s="47">
        <v>-21.090983999999999</v>
      </c>
    </row>
    <row r="74" spans="1:14" x14ac:dyDescent="0.35">
      <c r="A74" s="2">
        <v>43994</v>
      </c>
      <c r="B74" s="40">
        <v>7.6381563999999997</v>
      </c>
      <c r="C74" s="40">
        <v>-10.586506</v>
      </c>
      <c r="D74" s="40">
        <v>-6.2170266999999999</v>
      </c>
      <c r="E74" s="40">
        <v>-1.2363374</v>
      </c>
      <c r="F74" s="40">
        <v>5.7610273000000003</v>
      </c>
      <c r="G74" s="40">
        <v>5.4131270000000002</v>
      </c>
      <c r="H74" s="40">
        <v>-16.306287999999999</v>
      </c>
      <c r="I74" s="40">
        <v>30.467583000000001</v>
      </c>
      <c r="J74" s="40">
        <v>7.6696634000000001</v>
      </c>
      <c r="K74" s="47">
        <v>-8.3927449999999997</v>
      </c>
      <c r="L74" s="47">
        <v>5.3045989999999996</v>
      </c>
      <c r="M74" s="47">
        <v>2.8613925</v>
      </c>
      <c r="N74" s="47">
        <v>-8.7382849999999994</v>
      </c>
    </row>
    <row r="75" spans="1:14" x14ac:dyDescent="0.35">
      <c r="A75" s="2">
        <v>44025</v>
      </c>
      <c r="B75" s="40">
        <v>5.9853909999999999</v>
      </c>
      <c r="C75" s="40">
        <v>-11.41333</v>
      </c>
      <c r="D75" s="40">
        <v>-8.1313130000000005</v>
      </c>
      <c r="E75" s="40">
        <v>1.7742633999999999</v>
      </c>
      <c r="F75" s="40">
        <v>2.7579308</v>
      </c>
      <c r="G75" s="40">
        <v>9.6549510000000005</v>
      </c>
      <c r="H75" s="40">
        <v>-17.551189999999998</v>
      </c>
      <c r="I75" s="40">
        <v>34.666919999999998</v>
      </c>
      <c r="J75" s="40">
        <v>6.8408490000000004</v>
      </c>
      <c r="K75" s="47">
        <v>-8.1912699999999994</v>
      </c>
      <c r="L75" s="47">
        <v>10.638904999999999</v>
      </c>
      <c r="M75" s="47">
        <v>7.3684573000000002</v>
      </c>
      <c r="N75" s="47">
        <v>-12.414813000000001</v>
      </c>
    </row>
    <row r="76" spans="1:14" x14ac:dyDescent="0.35">
      <c r="A76" s="2">
        <v>44056</v>
      </c>
      <c r="B76" s="40">
        <v>10.387039</v>
      </c>
      <c r="C76" s="40">
        <v>-1.4725268</v>
      </c>
      <c r="D76" s="40">
        <v>2.8998613</v>
      </c>
      <c r="E76" s="40">
        <v>14.74098</v>
      </c>
      <c r="F76" s="40">
        <v>9.9823360000000001</v>
      </c>
      <c r="G76" s="40">
        <v>13.348997000000001</v>
      </c>
      <c r="H76" s="40">
        <v>-6.8989095999999996</v>
      </c>
      <c r="I76" s="40">
        <v>45.800243000000002</v>
      </c>
      <c r="J76" s="40">
        <v>17.467928000000001</v>
      </c>
      <c r="K76" s="47">
        <v>1.485908</v>
      </c>
      <c r="L76" s="47">
        <v>18.606173999999999</v>
      </c>
      <c r="M76" s="47">
        <v>27.857707999999999</v>
      </c>
      <c r="N76" s="47">
        <v>2.0214677000000001</v>
      </c>
    </row>
    <row r="77" spans="1:14" x14ac:dyDescent="0.35">
      <c r="A77" s="2">
        <v>44085</v>
      </c>
      <c r="B77" s="40">
        <v>11.142932999999999</v>
      </c>
      <c r="C77" s="40">
        <v>-6.8860054000000002</v>
      </c>
      <c r="D77" s="40">
        <v>-0.98357797000000002</v>
      </c>
      <c r="E77" s="40">
        <v>12.430584</v>
      </c>
      <c r="F77" s="40">
        <v>6.9489717000000004</v>
      </c>
      <c r="G77" s="40">
        <v>13.111186</v>
      </c>
      <c r="H77" s="40">
        <v>-14.285147</v>
      </c>
      <c r="I77" s="40">
        <v>41.675792999999999</v>
      </c>
      <c r="J77" s="40">
        <v>13.514161</v>
      </c>
      <c r="K77" s="47">
        <v>-1.7392038999999999</v>
      </c>
      <c r="L77" s="47">
        <v>12.407864</v>
      </c>
      <c r="M77" s="47">
        <v>20.548701999999999</v>
      </c>
      <c r="N77" s="47">
        <v>-5.0237299999999996</v>
      </c>
    </row>
    <row r="78" spans="1:14" x14ac:dyDescent="0.35">
      <c r="A78" s="2">
        <v>44117</v>
      </c>
      <c r="B78" s="40">
        <v>20.591843000000001</v>
      </c>
      <c r="C78" s="40">
        <v>-2.7535677000000001</v>
      </c>
      <c r="D78" s="40">
        <v>1.9246459</v>
      </c>
      <c r="E78" s="40">
        <v>10.6695175</v>
      </c>
      <c r="F78" s="40">
        <v>6.0680630000000004</v>
      </c>
      <c r="G78" s="40">
        <v>14.203668</v>
      </c>
      <c r="H78" s="40">
        <v>-15.152049</v>
      </c>
      <c r="I78" s="40">
        <v>55.262923999999998</v>
      </c>
      <c r="J78" s="40">
        <v>20.498370999999999</v>
      </c>
      <c r="K78" s="47">
        <v>-4.1856527000000003</v>
      </c>
      <c r="L78" s="47">
        <v>17.588709999999999</v>
      </c>
      <c r="M78" s="47">
        <v>24.20063</v>
      </c>
      <c r="N78" s="47">
        <v>-8.527666</v>
      </c>
    </row>
    <row r="79" spans="1:14" x14ac:dyDescent="0.35">
      <c r="A79" s="2">
        <v>44148</v>
      </c>
      <c r="B79" s="40">
        <v>26.410388999999999</v>
      </c>
      <c r="C79" s="40">
        <v>1.5436171999999999</v>
      </c>
      <c r="D79" s="40">
        <v>-0.27762055000000002</v>
      </c>
      <c r="E79" s="40">
        <v>4.7165154999999999</v>
      </c>
      <c r="F79" s="40">
        <v>8.2862015000000007</v>
      </c>
      <c r="G79" s="40">
        <v>12.416112999999999</v>
      </c>
      <c r="H79" s="40">
        <v>-10.354721</v>
      </c>
      <c r="I79" s="40">
        <v>45.397151999999998</v>
      </c>
      <c r="J79" s="40">
        <v>18.129802999999999</v>
      </c>
      <c r="K79" s="47">
        <v>1.1226773000000001</v>
      </c>
      <c r="L79" s="47">
        <v>19.109608000000001</v>
      </c>
      <c r="M79" s="47">
        <v>22.026454999999999</v>
      </c>
      <c r="N79" s="47">
        <v>-5.4562569999999999</v>
      </c>
    </row>
    <row r="80" spans="1:14" x14ac:dyDescent="0.35">
      <c r="A80" s="2">
        <v>44176</v>
      </c>
      <c r="B80" s="40">
        <v>22.654093</v>
      </c>
      <c r="C80" s="40">
        <v>8.0612899999999996</v>
      </c>
      <c r="D80" s="40">
        <v>8.7195990000000005</v>
      </c>
      <c r="E80" s="40">
        <v>7.3667290000000003</v>
      </c>
      <c r="F80" s="40">
        <v>11.33436</v>
      </c>
      <c r="G80" s="40">
        <v>12.938010999999999</v>
      </c>
      <c r="H80" s="40">
        <v>-8.0412330000000001</v>
      </c>
      <c r="I80" s="40">
        <v>48.359740000000002</v>
      </c>
      <c r="J80" s="40">
        <v>18.790268000000001</v>
      </c>
      <c r="K80" s="47">
        <v>5.1525353999999997</v>
      </c>
      <c r="L80" s="47">
        <v>22.198141</v>
      </c>
      <c r="M80" s="47">
        <v>23.47343</v>
      </c>
      <c r="N80" s="47">
        <v>1.8901587</v>
      </c>
    </row>
    <row r="81" spans="1:14" x14ac:dyDescent="0.35">
      <c r="A81" s="2">
        <v>44209</v>
      </c>
      <c r="B81" s="40">
        <v>21.52487</v>
      </c>
      <c r="C81" s="40">
        <v>8.7873570000000001</v>
      </c>
      <c r="D81" s="40">
        <v>8.3045600000000004</v>
      </c>
      <c r="E81" s="40">
        <v>11.196517999999999</v>
      </c>
      <c r="F81" s="40">
        <v>16.986525</v>
      </c>
      <c r="G81" s="40">
        <v>13.388263999999999</v>
      </c>
      <c r="H81" s="40">
        <v>-6.4562080000000002</v>
      </c>
      <c r="I81" s="40">
        <v>44.057380000000002</v>
      </c>
      <c r="J81" s="40">
        <v>18.011427000000001</v>
      </c>
      <c r="K81" s="47">
        <v>5.1729082999999996</v>
      </c>
      <c r="L81" s="47">
        <v>26.794315000000001</v>
      </c>
      <c r="M81" s="47">
        <v>26.400316</v>
      </c>
      <c r="N81" s="47">
        <v>2.9105663000000002</v>
      </c>
    </row>
    <row r="82" spans="1:14" x14ac:dyDescent="0.35">
      <c r="A82" s="2">
        <v>44239</v>
      </c>
      <c r="B82" s="40">
        <v>15.659534000000001</v>
      </c>
      <c r="C82" s="40">
        <v>11.241198000000001</v>
      </c>
      <c r="D82" s="40">
        <v>9.8549600000000002</v>
      </c>
      <c r="E82" s="40">
        <v>13.512062999999999</v>
      </c>
      <c r="F82" s="40">
        <v>21.875525</v>
      </c>
      <c r="G82" s="40">
        <v>9.7873450000000002</v>
      </c>
      <c r="H82" s="40">
        <v>-5.7464719999999998</v>
      </c>
      <c r="I82" s="40">
        <v>44.640957</v>
      </c>
      <c r="J82" s="40">
        <v>18.580127999999998</v>
      </c>
      <c r="K82" s="47">
        <v>6.1517239999999997</v>
      </c>
      <c r="L82" s="47">
        <v>33.864044</v>
      </c>
      <c r="M82" s="47">
        <v>26.515984</v>
      </c>
      <c r="N82" s="47">
        <v>4.3434499999999998</v>
      </c>
    </row>
    <row r="83" spans="1:14" x14ac:dyDescent="0.35">
      <c r="A83" s="2">
        <v>44267</v>
      </c>
      <c r="B83" s="40">
        <v>43.169083000000001</v>
      </c>
      <c r="C83" s="40">
        <v>70.166650000000004</v>
      </c>
      <c r="D83" s="40">
        <v>73.709045000000003</v>
      </c>
      <c r="E83" s="40">
        <v>67.862785000000002</v>
      </c>
      <c r="F83" s="40">
        <v>55.725501999999999</v>
      </c>
      <c r="G83" s="40">
        <v>40.04383</v>
      </c>
      <c r="H83" s="40">
        <v>42.030290000000001</v>
      </c>
      <c r="I83" s="40">
        <v>79.173599999999993</v>
      </c>
      <c r="J83" s="40">
        <v>61.847589999999997</v>
      </c>
      <c r="K83" s="47">
        <v>63.366936000000003</v>
      </c>
      <c r="L83" s="47">
        <v>82.087159999999997</v>
      </c>
      <c r="M83" s="47">
        <v>90.48357</v>
      </c>
      <c r="N83" s="47">
        <v>72.124626000000006</v>
      </c>
    </row>
    <row r="84" spans="1:14" x14ac:dyDescent="0.35">
      <c r="A84" s="2">
        <v>44299</v>
      </c>
      <c r="B84" s="40">
        <v>38.607821999999999</v>
      </c>
      <c r="C84" s="40">
        <v>57.808124999999997</v>
      </c>
      <c r="D84" s="40">
        <v>54.640326999999999</v>
      </c>
      <c r="E84" s="40">
        <v>56.631720000000001</v>
      </c>
      <c r="F84" s="40">
        <v>40.549872999999998</v>
      </c>
      <c r="G84" s="40">
        <v>30.253433000000001</v>
      </c>
      <c r="H84" s="40">
        <v>33.054614999999998</v>
      </c>
      <c r="I84" s="40">
        <v>68.805459999999997</v>
      </c>
      <c r="J84" s="40">
        <v>52.187835999999997</v>
      </c>
      <c r="K84" s="47">
        <v>53.221713999999999</v>
      </c>
      <c r="L84" s="47">
        <v>77.433944999999994</v>
      </c>
      <c r="M84" s="47">
        <v>81.500860000000003</v>
      </c>
      <c r="N84" s="47">
        <v>54.800842000000003</v>
      </c>
    </row>
    <row r="85" spans="1:14" x14ac:dyDescent="0.35">
      <c r="A85" s="2">
        <v>44329</v>
      </c>
      <c r="B85" s="40">
        <v>31.220222</v>
      </c>
      <c r="C85" s="40">
        <v>62.918210000000002</v>
      </c>
      <c r="D85" s="40">
        <v>57.730685999999999</v>
      </c>
      <c r="E85" s="40">
        <v>56.308436999999998</v>
      </c>
      <c r="F85" s="40">
        <v>27.403568</v>
      </c>
      <c r="G85" s="40">
        <v>29.090464000000001</v>
      </c>
      <c r="H85" s="40">
        <v>39.826157000000002</v>
      </c>
      <c r="I85" s="40">
        <v>46.499969999999998</v>
      </c>
      <c r="J85" s="40">
        <v>48.046639999999996</v>
      </c>
      <c r="K85" s="47">
        <v>63.60322</v>
      </c>
      <c r="L85" s="47">
        <v>69.544280000000001</v>
      </c>
      <c r="M85" s="47">
        <v>78.470359999999999</v>
      </c>
      <c r="N85" s="47">
        <v>62.516914</v>
      </c>
    </row>
    <row r="86" spans="1:14" x14ac:dyDescent="0.35">
      <c r="A86" s="2">
        <v>44358</v>
      </c>
      <c r="B86" s="40">
        <v>21.244323999999999</v>
      </c>
      <c r="C86" s="40">
        <v>48.581195999999998</v>
      </c>
      <c r="D86" s="40">
        <v>54.187213999999997</v>
      </c>
      <c r="E86" s="40">
        <v>40.235183999999997</v>
      </c>
      <c r="F86" s="40">
        <v>27.318107999999999</v>
      </c>
      <c r="G86" s="40">
        <v>34.390841999999999</v>
      </c>
      <c r="H86" s="40">
        <v>37.132133000000003</v>
      </c>
      <c r="I86" s="40">
        <v>46.726643000000003</v>
      </c>
      <c r="J86" s="40">
        <v>43.426940000000002</v>
      </c>
      <c r="K86" s="47">
        <v>51.161754999999999</v>
      </c>
      <c r="L86" s="47">
        <v>62.910330000000002</v>
      </c>
      <c r="M86" s="47">
        <v>68.848274000000004</v>
      </c>
      <c r="N86" s="47">
        <v>49.774909999999998</v>
      </c>
    </row>
    <row r="87" spans="1:14" x14ac:dyDescent="0.35">
      <c r="A87" s="2">
        <v>44390</v>
      </c>
      <c r="B87" s="40">
        <v>11.49441</v>
      </c>
      <c r="C87" s="40">
        <v>37.025950000000002</v>
      </c>
      <c r="D87" s="40">
        <v>45.373165</v>
      </c>
      <c r="E87" s="40">
        <v>28.993786</v>
      </c>
      <c r="F87" s="40">
        <v>24.652576</v>
      </c>
      <c r="G87" s="40">
        <v>26.324522000000002</v>
      </c>
      <c r="H87" s="40">
        <v>32.093502000000001</v>
      </c>
      <c r="I87" s="40">
        <v>40.974460000000001</v>
      </c>
      <c r="J87" s="40">
        <v>40.429519999999997</v>
      </c>
      <c r="K87" s="47">
        <v>37.568367000000002</v>
      </c>
      <c r="L87" s="47">
        <v>44.622242</v>
      </c>
      <c r="M87" s="47">
        <v>50.309310000000004</v>
      </c>
      <c r="N87" s="47">
        <v>32.908237</v>
      </c>
    </row>
    <row r="88" spans="1:14" x14ac:dyDescent="0.35">
      <c r="A88" s="2">
        <v>44421</v>
      </c>
      <c r="B88" s="40">
        <v>9.6508389999999995</v>
      </c>
      <c r="C88" s="40">
        <v>32.343640000000001</v>
      </c>
      <c r="D88" s="40">
        <v>35.653149999999997</v>
      </c>
      <c r="E88" s="40">
        <v>22.04318</v>
      </c>
      <c r="F88" s="40">
        <v>19.970226</v>
      </c>
      <c r="G88" s="40">
        <v>24.511814000000001</v>
      </c>
      <c r="H88" s="40">
        <v>27.838695999999999</v>
      </c>
      <c r="I88" s="40">
        <v>36.124374000000003</v>
      </c>
      <c r="J88" s="40">
        <v>34.374428000000002</v>
      </c>
      <c r="K88" s="47">
        <v>36.040306000000001</v>
      </c>
      <c r="L88" s="47">
        <v>45.645843999999997</v>
      </c>
      <c r="M88" s="47">
        <v>41.020668000000001</v>
      </c>
      <c r="N88" s="47">
        <v>31.801987</v>
      </c>
    </row>
    <row r="89" spans="1:14" x14ac:dyDescent="0.35">
      <c r="A89" s="2">
        <v>44452</v>
      </c>
      <c r="B89" s="40">
        <v>12.058294</v>
      </c>
      <c r="C89" s="40">
        <v>31.991695</v>
      </c>
      <c r="D89" s="40">
        <v>36.515118000000001</v>
      </c>
      <c r="E89" s="40">
        <v>17.997669999999999</v>
      </c>
      <c r="F89" s="40">
        <v>27.486122000000002</v>
      </c>
      <c r="G89" s="40">
        <v>19.214272000000001</v>
      </c>
      <c r="H89" s="40">
        <v>30.675840000000001</v>
      </c>
      <c r="I89" s="40">
        <v>39.938713</v>
      </c>
      <c r="J89" s="40">
        <v>35.689174999999999</v>
      </c>
      <c r="K89" s="47">
        <v>34.142099999999999</v>
      </c>
      <c r="L89" s="47">
        <v>52.289900000000003</v>
      </c>
      <c r="M89" s="47">
        <v>38.456176999999997</v>
      </c>
      <c r="N89" s="47">
        <v>30.253733</v>
      </c>
    </row>
    <row r="90" spans="1:14" x14ac:dyDescent="0.35">
      <c r="A90" s="2">
        <v>44482</v>
      </c>
      <c r="B90" s="40">
        <v>2.5655508</v>
      </c>
      <c r="C90" s="40">
        <v>26.588761999999999</v>
      </c>
      <c r="D90" s="40">
        <v>36.740789999999997</v>
      </c>
      <c r="E90" s="40">
        <v>13.523066</v>
      </c>
      <c r="F90" s="40">
        <v>15.167308</v>
      </c>
      <c r="G90" s="40">
        <v>16.367934999999999</v>
      </c>
      <c r="H90" s="40">
        <v>31.506907999999999</v>
      </c>
      <c r="I90" s="40">
        <v>22.886800000000001</v>
      </c>
      <c r="J90" s="40">
        <v>26.054227999999998</v>
      </c>
      <c r="K90" s="47">
        <v>33.809387000000001</v>
      </c>
      <c r="L90" s="47">
        <v>36.730553</v>
      </c>
      <c r="M90" s="47">
        <v>31.597317</v>
      </c>
      <c r="N90" s="47">
        <v>32.088352</v>
      </c>
    </row>
    <row r="91" spans="1:14" x14ac:dyDescent="0.35">
      <c r="A91" s="2">
        <v>44512</v>
      </c>
      <c r="B91" s="40">
        <v>-2.6449262999999998</v>
      </c>
      <c r="C91" s="40">
        <v>21.668983000000001</v>
      </c>
      <c r="D91" s="40">
        <v>42.233530000000002</v>
      </c>
      <c r="E91" s="40">
        <v>19.154060000000001</v>
      </c>
      <c r="F91" s="40">
        <v>13.411784000000001</v>
      </c>
      <c r="G91" s="40">
        <v>22.994923</v>
      </c>
      <c r="H91" s="40">
        <v>23.624956000000001</v>
      </c>
      <c r="I91" s="40">
        <v>37.590800000000002</v>
      </c>
      <c r="J91" s="40">
        <v>34.169186000000003</v>
      </c>
      <c r="K91" s="47">
        <v>30.474340000000002</v>
      </c>
      <c r="L91" s="47">
        <v>41.180169999999997</v>
      </c>
      <c r="M91" s="47">
        <v>32.460680000000004</v>
      </c>
      <c r="N91" s="47">
        <v>29.993068999999998</v>
      </c>
    </row>
    <row r="92" spans="1:14" x14ac:dyDescent="0.35">
      <c r="A92" s="2">
        <v>44543</v>
      </c>
      <c r="B92" s="40">
        <v>-11.332762000000001</v>
      </c>
      <c r="C92" s="40">
        <v>7.4919105000000004</v>
      </c>
      <c r="D92" s="40">
        <v>21.251465</v>
      </c>
      <c r="E92" s="40">
        <v>8.5653419999999993</v>
      </c>
      <c r="F92" s="40">
        <v>3.9320349999999999</v>
      </c>
      <c r="G92" s="40">
        <v>19.103038999999999</v>
      </c>
      <c r="H92" s="40">
        <v>14.466488</v>
      </c>
      <c r="I92" s="40">
        <v>30.647265999999998</v>
      </c>
      <c r="J92" s="40">
        <v>29.18074</v>
      </c>
      <c r="K92" s="47">
        <v>18.171776000000001</v>
      </c>
      <c r="L92" s="47">
        <v>22.707808</v>
      </c>
      <c r="M92" s="47">
        <v>19.722414000000001</v>
      </c>
      <c r="N92" s="47">
        <v>13.174474999999999</v>
      </c>
    </row>
    <row r="93" spans="1:14" x14ac:dyDescent="0.35">
      <c r="A93" s="2">
        <v>44574</v>
      </c>
      <c r="B93" s="40">
        <v>-12.844211</v>
      </c>
      <c r="C93" s="40">
        <v>6.8061949999999998</v>
      </c>
      <c r="D93" s="40">
        <v>24.502516</v>
      </c>
      <c r="E93" s="40">
        <v>5.4574012999999999</v>
      </c>
      <c r="F93" s="40">
        <v>-0.716275</v>
      </c>
      <c r="G93" s="40">
        <v>15.35033</v>
      </c>
      <c r="H93" s="40">
        <v>17.312156999999999</v>
      </c>
      <c r="I93" s="40">
        <v>20.073795</v>
      </c>
      <c r="J93" s="40">
        <v>23.958407999999999</v>
      </c>
      <c r="K93" s="47">
        <v>20.051575</v>
      </c>
      <c r="L93" s="47">
        <v>16.880358000000001</v>
      </c>
      <c r="M93" s="47">
        <v>17.247831000000001</v>
      </c>
      <c r="N93" s="47">
        <v>15.090752</v>
      </c>
    </row>
    <row r="94" spans="1:14" x14ac:dyDescent="0.35">
      <c r="A94" s="2">
        <v>44603</v>
      </c>
      <c r="B94" s="40">
        <v>-17.338526000000002</v>
      </c>
      <c r="C94" s="40">
        <v>-0.93997120000000001</v>
      </c>
      <c r="D94" s="40">
        <v>20.722507</v>
      </c>
      <c r="E94" s="40">
        <v>-1.5378892</v>
      </c>
      <c r="F94" s="40">
        <v>-8.1916274999999992</v>
      </c>
      <c r="G94" s="40">
        <v>9.1832049999999992</v>
      </c>
      <c r="H94" s="40">
        <v>19.584667</v>
      </c>
      <c r="I94" s="40">
        <v>4.2302730000000004</v>
      </c>
      <c r="J94" s="40">
        <v>14.250398000000001</v>
      </c>
      <c r="K94" s="47">
        <v>14.217067</v>
      </c>
      <c r="L94" s="47">
        <v>8.0871579999999998E-2</v>
      </c>
      <c r="M94" s="47">
        <v>1.3579129999999999</v>
      </c>
      <c r="N94" s="47">
        <v>7.3375583000000004</v>
      </c>
    </row>
    <row r="95" spans="1:14" x14ac:dyDescent="0.35">
      <c r="A95" s="2">
        <v>44631</v>
      </c>
      <c r="B95" s="40">
        <v>-13.08403</v>
      </c>
      <c r="C95" s="40">
        <v>1.7098308</v>
      </c>
      <c r="D95" s="40">
        <v>14.490461</v>
      </c>
      <c r="E95" s="40">
        <v>-17.671728000000002</v>
      </c>
      <c r="F95" s="40">
        <v>-12.180096000000001</v>
      </c>
      <c r="G95" s="40">
        <v>4.0564774999999997</v>
      </c>
      <c r="H95" s="40">
        <v>3.9938807000000001</v>
      </c>
      <c r="I95" s="40">
        <v>2.491641</v>
      </c>
      <c r="J95" s="40">
        <v>8.1806549999999998</v>
      </c>
      <c r="K95" s="47">
        <v>-4.5960546000000004</v>
      </c>
      <c r="L95" s="47">
        <v>-14.104062000000001</v>
      </c>
      <c r="M95" s="47">
        <v>-15.792446999999999</v>
      </c>
      <c r="N95" s="47">
        <v>-12.605100999999999</v>
      </c>
    </row>
    <row r="96" spans="1:14" x14ac:dyDescent="0.35">
      <c r="A96" s="2">
        <v>44664</v>
      </c>
      <c r="B96" s="40">
        <v>-14.255661</v>
      </c>
      <c r="C96" s="40">
        <v>8.9964630000000003</v>
      </c>
      <c r="D96" s="40">
        <v>15.659964</v>
      </c>
      <c r="E96" s="40">
        <v>-19.2545</v>
      </c>
      <c r="F96" s="40">
        <v>-14.217739999999999</v>
      </c>
      <c r="G96" s="40">
        <v>9.4761849999999992</v>
      </c>
      <c r="H96" s="40">
        <v>11.211384000000001</v>
      </c>
      <c r="I96" s="40">
        <v>2.1785855000000001</v>
      </c>
      <c r="J96" s="40">
        <v>8.7979079999999996</v>
      </c>
      <c r="K96" s="47">
        <v>-1.7952680000000001</v>
      </c>
      <c r="L96" s="47">
        <v>-13.695800999999999</v>
      </c>
      <c r="M96" s="47">
        <v>-13.22217</v>
      </c>
      <c r="N96" s="47">
        <v>-6.4975795999999999</v>
      </c>
    </row>
    <row r="97" spans="1:14" x14ac:dyDescent="0.35">
      <c r="A97" s="2">
        <v>44694</v>
      </c>
      <c r="B97" s="40">
        <v>-24.977701</v>
      </c>
      <c r="C97" s="40">
        <v>-5.3998470000000003</v>
      </c>
      <c r="D97" s="40">
        <v>0.8226156</v>
      </c>
      <c r="E97" s="40">
        <v>-23.877763999999999</v>
      </c>
      <c r="F97" s="40">
        <v>-12.859374000000001</v>
      </c>
      <c r="G97" s="40">
        <v>-4.3748674000000003</v>
      </c>
      <c r="H97" s="40">
        <v>-1.2131512</v>
      </c>
      <c r="I97" s="40">
        <v>-4.9927590000000004</v>
      </c>
      <c r="J97" s="40">
        <v>-0.78920126000000002</v>
      </c>
      <c r="K97" s="47">
        <v>-10.230665999999999</v>
      </c>
      <c r="L97" s="47">
        <v>-20.445663</v>
      </c>
      <c r="M97" s="47">
        <v>-22.572749999999999</v>
      </c>
      <c r="N97" s="47">
        <v>-13.968247</v>
      </c>
    </row>
    <row r="98" spans="1:14" x14ac:dyDescent="0.35">
      <c r="A98" s="2">
        <v>44725</v>
      </c>
      <c r="B98" s="40">
        <v>-27.402061</v>
      </c>
      <c r="C98" s="40">
        <v>-15.127158</v>
      </c>
      <c r="D98" s="40">
        <v>-5.5597124000000004</v>
      </c>
      <c r="E98" s="40">
        <v>-30.025393000000001</v>
      </c>
      <c r="F98" s="40">
        <v>-20.883953000000002</v>
      </c>
      <c r="G98" s="40">
        <v>-17.878537999999999</v>
      </c>
      <c r="H98" s="40">
        <v>-7.1146965</v>
      </c>
      <c r="I98" s="40">
        <v>-18.902194999999999</v>
      </c>
      <c r="J98" s="40">
        <v>-10.450362999999999</v>
      </c>
      <c r="K98" s="47">
        <v>-18.461205</v>
      </c>
      <c r="L98" s="47">
        <v>-28.876835</v>
      </c>
      <c r="M98" s="47">
        <v>-29.092693000000001</v>
      </c>
      <c r="N98" s="47">
        <v>-24.457937000000001</v>
      </c>
    </row>
    <row r="99" spans="1:14" x14ac:dyDescent="0.35">
      <c r="A99" s="2">
        <v>44755</v>
      </c>
      <c r="B99" s="40">
        <v>-24.777823999999999</v>
      </c>
      <c r="C99" s="40">
        <v>-13.885773</v>
      </c>
      <c r="D99" s="40">
        <v>-9.2740899999999993</v>
      </c>
      <c r="E99" s="40">
        <v>-34.734107999999999</v>
      </c>
      <c r="F99" s="40">
        <v>-21.133120000000002</v>
      </c>
      <c r="G99" s="40">
        <v>-15.296656</v>
      </c>
      <c r="H99" s="40">
        <v>-7.8907369999999997</v>
      </c>
      <c r="I99" s="40">
        <v>-20.745241</v>
      </c>
      <c r="J99" s="40">
        <v>-11.791116000000001</v>
      </c>
      <c r="K99" s="47">
        <v>-17.980920000000001</v>
      </c>
      <c r="L99" s="47">
        <v>-29.096</v>
      </c>
      <c r="M99" s="47">
        <v>-31.784946000000001</v>
      </c>
      <c r="N99" s="47">
        <v>-24.850726999999999</v>
      </c>
    </row>
    <row r="100" spans="1:14" x14ac:dyDescent="0.35">
      <c r="A100" s="2">
        <v>44785</v>
      </c>
      <c r="B100" s="40">
        <v>-15.405637</v>
      </c>
      <c r="C100" s="40">
        <v>-5.8802547000000001</v>
      </c>
      <c r="D100" s="40">
        <v>-1.980567</v>
      </c>
      <c r="E100" s="40">
        <v>-28.266483000000001</v>
      </c>
      <c r="F100" s="40">
        <v>-14.726644500000001</v>
      </c>
      <c r="G100" s="40">
        <v>-11.146397</v>
      </c>
      <c r="H100" s="40">
        <v>-2.4426280999999999</v>
      </c>
      <c r="I100" s="40">
        <v>-9.6064570000000007</v>
      </c>
      <c r="J100" s="40">
        <v>-2.6786447</v>
      </c>
      <c r="K100" s="47">
        <v>-12.212217000000001</v>
      </c>
      <c r="L100" s="47">
        <v>-23.105484000000001</v>
      </c>
      <c r="M100" s="47">
        <v>-26.184887</v>
      </c>
      <c r="N100" s="47">
        <v>-21.155035000000002</v>
      </c>
    </row>
    <row r="101" spans="1:14" x14ac:dyDescent="0.35">
      <c r="A101" s="2">
        <v>44817</v>
      </c>
      <c r="B101" s="40">
        <v>-25.949532000000001</v>
      </c>
      <c r="C101" s="40">
        <v>-11.065488999999999</v>
      </c>
      <c r="D101" s="40">
        <v>-6.418234</v>
      </c>
      <c r="E101" s="40">
        <v>-33.861052999999998</v>
      </c>
      <c r="F101" s="40">
        <v>-28.829961999999998</v>
      </c>
      <c r="G101" s="40">
        <v>-15.341461000000001</v>
      </c>
      <c r="H101" s="40">
        <v>-8.5118179999999999</v>
      </c>
      <c r="I101" s="40">
        <v>-21.523707999999999</v>
      </c>
      <c r="J101" s="40">
        <v>-10.720926</v>
      </c>
      <c r="K101" s="47">
        <v>-18.873059999999999</v>
      </c>
      <c r="L101" s="47">
        <v>-34.864089999999997</v>
      </c>
      <c r="M101" s="47">
        <v>-32.570152</v>
      </c>
      <c r="N101" s="47">
        <v>-24.477958999999998</v>
      </c>
    </row>
    <row r="102" spans="1:14" x14ac:dyDescent="0.35">
      <c r="A102" s="2">
        <v>44847</v>
      </c>
      <c r="B102" s="40">
        <v>-32.526589999999999</v>
      </c>
      <c r="C102" s="40">
        <v>-16.524761000000002</v>
      </c>
      <c r="D102" s="40">
        <v>-16.536581000000002</v>
      </c>
      <c r="E102" s="40">
        <v>-35.779254999999999</v>
      </c>
      <c r="F102" s="40">
        <v>-25.664484000000002</v>
      </c>
      <c r="G102" s="40">
        <v>-20.680205999999998</v>
      </c>
      <c r="H102" s="40">
        <v>-15.419364</v>
      </c>
      <c r="I102" s="40">
        <v>-24.864668000000002</v>
      </c>
      <c r="J102" s="40">
        <v>-14.628273</v>
      </c>
      <c r="K102" s="47">
        <v>-22.442972000000001</v>
      </c>
      <c r="L102" s="47">
        <v>-37.580722999999999</v>
      </c>
      <c r="M102" s="47">
        <v>-36.487698000000002</v>
      </c>
      <c r="N102" s="47">
        <v>-28.952259999999999</v>
      </c>
    </row>
    <row r="103" spans="1:14" x14ac:dyDescent="0.35">
      <c r="A103" s="2">
        <v>44876</v>
      </c>
      <c r="B103" s="40">
        <v>-24.119658000000001</v>
      </c>
      <c r="C103" s="40">
        <v>-5.5944976999999998</v>
      </c>
      <c r="D103" s="40">
        <v>-9.3813060000000004</v>
      </c>
      <c r="E103" s="40">
        <v>-24.239391000000001</v>
      </c>
      <c r="F103" s="40">
        <v>-18.624656999999999</v>
      </c>
      <c r="G103" s="40">
        <v>-12.918925</v>
      </c>
      <c r="H103" s="40">
        <v>-6.810397</v>
      </c>
      <c r="I103" s="40">
        <v>-25.818407000000001</v>
      </c>
      <c r="J103" s="40">
        <v>-12.768345999999999</v>
      </c>
      <c r="K103" s="47">
        <v>-12.714994000000001</v>
      </c>
      <c r="L103" s="47">
        <v>-26.896626000000001</v>
      </c>
      <c r="M103" s="47">
        <v>-25.260179999999998</v>
      </c>
      <c r="N103" s="47">
        <v>-15.555531</v>
      </c>
    </row>
    <row r="104" spans="1:14" x14ac:dyDescent="0.35">
      <c r="A104" s="2">
        <v>44908</v>
      </c>
      <c r="B104" s="40">
        <v>-12.428838000000001</v>
      </c>
      <c r="C104" s="40">
        <v>0.83739759999999996</v>
      </c>
      <c r="D104" s="40">
        <v>-6.6434145000000004</v>
      </c>
      <c r="E104" s="40">
        <v>-17.936443000000001</v>
      </c>
      <c r="F104" s="40">
        <v>-15.394574</v>
      </c>
      <c r="G104" s="40">
        <v>-12.940865499999999</v>
      </c>
      <c r="H104" s="40">
        <v>2.1574854999999999</v>
      </c>
      <c r="I104" s="40">
        <v>-25.957232999999999</v>
      </c>
      <c r="J104" s="40">
        <v>-12.539016999999999</v>
      </c>
      <c r="K104" s="47">
        <v>-5.9666214000000002</v>
      </c>
      <c r="L104" s="47">
        <v>-16.609324000000001</v>
      </c>
      <c r="M104" s="47">
        <v>-19.483858000000001</v>
      </c>
      <c r="N104" s="47">
        <v>-8.8001970000000007</v>
      </c>
    </row>
    <row r="105" spans="1:14" x14ac:dyDescent="0.35">
      <c r="A105" s="2">
        <v>44939</v>
      </c>
      <c r="B105" s="40">
        <v>-11.444986</v>
      </c>
      <c r="C105" s="40">
        <v>1.4760256</v>
      </c>
      <c r="D105" s="40">
        <v>-8.8380810000000007</v>
      </c>
      <c r="E105" s="40">
        <v>-14.040482000000001</v>
      </c>
      <c r="F105" s="40">
        <v>-14.64448</v>
      </c>
      <c r="G105" s="40">
        <v>-11.338471999999999</v>
      </c>
      <c r="H105" s="40">
        <v>-2.2443175000000002</v>
      </c>
      <c r="I105" s="40">
        <v>-25.055842999999999</v>
      </c>
      <c r="J105" s="40">
        <v>-12.818718000000001</v>
      </c>
      <c r="K105" s="47">
        <v>-4.0966750000000003</v>
      </c>
      <c r="L105" s="47">
        <v>-13.224214999999999</v>
      </c>
      <c r="M105" s="47">
        <v>-20.239998</v>
      </c>
      <c r="N105" s="47">
        <v>-7.8005433000000002</v>
      </c>
    </row>
    <row r="106" spans="1:14" x14ac:dyDescent="0.35">
      <c r="A106" s="2">
        <v>44970</v>
      </c>
      <c r="B106" s="40">
        <v>-2.3054302</v>
      </c>
      <c r="C106" s="40">
        <v>8.7529179999999993</v>
      </c>
      <c r="D106" s="40">
        <v>-5.9710207000000004</v>
      </c>
      <c r="E106" s="40">
        <v>-8.4370980000000007</v>
      </c>
      <c r="F106" s="40">
        <v>-8.0852509999999995</v>
      </c>
      <c r="G106" s="40">
        <v>-5.8251143000000001</v>
      </c>
      <c r="H106" s="40">
        <v>-1.5293181</v>
      </c>
      <c r="I106" s="40">
        <v>-11.618453000000001</v>
      </c>
      <c r="J106" s="40">
        <v>-4.7481419999999996</v>
      </c>
      <c r="K106" s="47">
        <v>2.1870970000000001</v>
      </c>
      <c r="L106" s="47">
        <v>-4.3578386</v>
      </c>
      <c r="M106" s="47">
        <v>-9.4209309999999995</v>
      </c>
      <c r="N106" s="47">
        <v>-0.39514303000000001</v>
      </c>
    </row>
    <row r="107" spans="1:14" x14ac:dyDescent="0.35">
      <c r="A107" s="2">
        <v>44998</v>
      </c>
      <c r="B107" s="40">
        <v>-9.6572639999999996</v>
      </c>
      <c r="C107" s="40">
        <v>-4.6376885999999997</v>
      </c>
      <c r="D107" s="40">
        <v>-13.123882</v>
      </c>
      <c r="E107" s="40">
        <v>4.0533184999999996</v>
      </c>
      <c r="F107" s="40">
        <v>-2.7734518000000001</v>
      </c>
      <c r="G107" s="40">
        <v>-2.6821375000000001</v>
      </c>
      <c r="H107" s="40">
        <v>2.9331564999999999</v>
      </c>
      <c r="I107" s="40">
        <v>-9.7331939999999992</v>
      </c>
      <c r="J107" s="40">
        <v>-6.7704380000000004</v>
      </c>
      <c r="K107" s="47">
        <v>13.459217000000001</v>
      </c>
      <c r="L107" s="47">
        <v>5.0609945999999999</v>
      </c>
      <c r="M107" s="47">
        <v>-3.7630140000000001</v>
      </c>
      <c r="N107" s="47">
        <v>13.386272999999999</v>
      </c>
    </row>
    <row r="108" spans="1:14" x14ac:dyDescent="0.35">
      <c r="A108" s="2">
        <v>45029</v>
      </c>
      <c r="B108" s="40">
        <v>-3.2018840000000002</v>
      </c>
      <c r="C108" s="40">
        <v>-5.9971810000000003</v>
      </c>
      <c r="D108" s="40">
        <v>-8.8783080000000005</v>
      </c>
      <c r="E108" s="40">
        <v>10.069715499999999</v>
      </c>
      <c r="F108" s="40">
        <v>1.7557621000000001</v>
      </c>
      <c r="G108" s="40">
        <v>-2.4339140000000001</v>
      </c>
      <c r="H108" s="40">
        <v>2.4498343</v>
      </c>
      <c r="I108" s="40">
        <v>-7.1423290000000001</v>
      </c>
      <c r="J108" s="40">
        <v>-5.1392259999999998</v>
      </c>
      <c r="K108" s="47">
        <v>18.48873</v>
      </c>
      <c r="L108" s="47">
        <v>6.3074110000000001</v>
      </c>
      <c r="M108" s="47">
        <v>-2.6673377</v>
      </c>
      <c r="N108" s="47">
        <v>13.612246499999999</v>
      </c>
    </row>
    <row r="109" spans="1:14" x14ac:dyDescent="0.35">
      <c r="A109" s="2">
        <v>45058</v>
      </c>
      <c r="B109" s="40">
        <v>10.867749999999999</v>
      </c>
      <c r="C109" s="40">
        <v>5.5680750000000003</v>
      </c>
      <c r="D109" s="40">
        <v>1.9789934</v>
      </c>
      <c r="E109" s="40">
        <v>18.534051999999999</v>
      </c>
      <c r="F109" s="40">
        <v>10.409665</v>
      </c>
      <c r="G109" s="40">
        <v>14.762676000000001</v>
      </c>
      <c r="H109" s="40">
        <v>12.356339999999999</v>
      </c>
      <c r="I109" s="40">
        <v>12.49094</v>
      </c>
      <c r="J109" s="40">
        <v>6.6970587000000004</v>
      </c>
      <c r="K109" s="47">
        <v>27.204704</v>
      </c>
      <c r="L109" s="47">
        <v>18.641317000000001</v>
      </c>
      <c r="M109" s="47">
        <v>11.43111</v>
      </c>
      <c r="N109" s="47">
        <v>24.116527999999999</v>
      </c>
    </row>
    <row r="110" spans="1:14" x14ac:dyDescent="0.35">
      <c r="A110" s="2">
        <v>45090</v>
      </c>
      <c r="B110" s="40">
        <v>11.232555</v>
      </c>
      <c r="C110" s="40">
        <v>10.186375</v>
      </c>
      <c r="D110" s="40">
        <v>0.64035653999999997</v>
      </c>
      <c r="E110" s="40">
        <v>21.73283</v>
      </c>
      <c r="F110" s="40">
        <v>20.353949</v>
      </c>
      <c r="G110" s="40">
        <v>17.344940000000001</v>
      </c>
      <c r="H110" s="40">
        <v>11.690056</v>
      </c>
      <c r="I110" s="40">
        <v>32.907283999999997</v>
      </c>
      <c r="J110" s="40">
        <v>18.430185000000002</v>
      </c>
      <c r="K110" s="47">
        <v>27.447247000000001</v>
      </c>
      <c r="L110" s="47">
        <v>25.262440000000002</v>
      </c>
      <c r="M110" s="47">
        <v>12.56907</v>
      </c>
      <c r="N110" s="47">
        <v>31.145524999999999</v>
      </c>
    </row>
    <row r="111" spans="1:14" x14ac:dyDescent="0.35">
      <c r="A111" s="2">
        <v>45120</v>
      </c>
      <c r="B111" s="40">
        <v>15.548491500000001</v>
      </c>
      <c r="C111" s="40">
        <v>16.518519999999999</v>
      </c>
      <c r="D111" s="40">
        <v>10.308862</v>
      </c>
      <c r="E111" s="40">
        <v>37.964393999999999</v>
      </c>
      <c r="F111" s="40">
        <v>20.932006999999999</v>
      </c>
      <c r="G111" s="40">
        <v>17.641472</v>
      </c>
      <c r="H111" s="40">
        <v>17.081142</v>
      </c>
      <c r="I111" s="40">
        <v>33.681010000000001</v>
      </c>
      <c r="J111" s="40">
        <v>20.626246999999999</v>
      </c>
      <c r="K111" s="47">
        <v>38.805329999999998</v>
      </c>
      <c r="L111" s="47">
        <v>35.614333999999999</v>
      </c>
      <c r="M111" s="47">
        <v>21.377372999999999</v>
      </c>
      <c r="N111" s="47">
        <v>49.717500000000001</v>
      </c>
    </row>
    <row r="112" spans="1:14" x14ac:dyDescent="0.35">
      <c r="A112" s="2">
        <v>45149</v>
      </c>
      <c r="B112" s="40">
        <v>-3.9346158999999998</v>
      </c>
      <c r="C112" s="40">
        <v>0.22882222999999999</v>
      </c>
      <c r="D112" s="40">
        <v>-0.17054676999999999</v>
      </c>
      <c r="E112" s="40">
        <v>20.431746</v>
      </c>
      <c r="F112" s="40">
        <v>10.038399999999999</v>
      </c>
      <c r="G112" s="40">
        <v>8.5724944999999995</v>
      </c>
      <c r="H112" s="40">
        <v>8.1256029999999999</v>
      </c>
      <c r="I112" s="40">
        <v>13.81681</v>
      </c>
      <c r="J112" s="40">
        <v>7.8582882999999999</v>
      </c>
      <c r="K112" s="47">
        <v>20.992172</v>
      </c>
      <c r="L112" s="47">
        <v>14.380062000000001</v>
      </c>
      <c r="M112" s="47">
        <v>0.98692179999999996</v>
      </c>
      <c r="N112" s="47">
        <v>31.808674</v>
      </c>
    </row>
    <row r="113" spans="1:14" x14ac:dyDescent="0.35">
      <c r="A113" s="2">
        <v>45182</v>
      </c>
      <c r="B113" s="40">
        <v>-2.2518634999999998</v>
      </c>
      <c r="C113" s="40">
        <v>5.1316620000000004</v>
      </c>
      <c r="D113" s="40">
        <v>3.5021662999999998</v>
      </c>
      <c r="E113" s="40">
        <v>25.997889000000001</v>
      </c>
      <c r="F113" s="40">
        <v>22.436845999999999</v>
      </c>
      <c r="G113" s="40">
        <v>12.267493999999999</v>
      </c>
      <c r="H113" s="40">
        <v>14.721417000000001</v>
      </c>
      <c r="I113" s="40">
        <v>28.322935000000001</v>
      </c>
      <c r="J113" s="40">
        <v>15.458703</v>
      </c>
      <c r="K113" s="47">
        <v>26.152372</v>
      </c>
      <c r="L113" s="47">
        <v>17.853974999999998</v>
      </c>
      <c r="M113" s="47">
        <v>7.5752139999999999</v>
      </c>
      <c r="N113" s="47">
        <v>37.574885999999999</v>
      </c>
    </row>
    <row r="114" spans="1:14" x14ac:dyDescent="0.35">
      <c r="A114" s="2">
        <v>45212</v>
      </c>
      <c r="B114" s="40">
        <v>8.0810429999999993</v>
      </c>
      <c r="C114" s="40">
        <v>9.3152760000000008</v>
      </c>
      <c r="D114" s="40">
        <v>8.9540369999999996</v>
      </c>
      <c r="E114" s="40">
        <v>29.700289999999999</v>
      </c>
      <c r="F114" s="40">
        <v>22.298098</v>
      </c>
      <c r="G114" s="40">
        <v>20.683014</v>
      </c>
      <c r="H114" s="40">
        <v>21.996582</v>
      </c>
      <c r="I114" s="40">
        <v>36.807884000000001</v>
      </c>
      <c r="J114" s="40">
        <v>19.780850000000001</v>
      </c>
      <c r="K114" s="47">
        <v>28.015757000000001</v>
      </c>
      <c r="L114" s="47">
        <v>24.7913</v>
      </c>
      <c r="M114" s="47">
        <v>21.1738</v>
      </c>
      <c r="N114" s="47">
        <v>42.14132</v>
      </c>
    </row>
    <row r="115" spans="1:14" x14ac:dyDescent="0.35">
      <c r="A115" s="2">
        <v>45243</v>
      </c>
      <c r="B115" s="40">
        <v>-4.5482635</v>
      </c>
      <c r="C115" s="40">
        <v>-2.1757126000000002</v>
      </c>
      <c r="D115" s="40">
        <v>-2.1360934</v>
      </c>
      <c r="E115" s="40">
        <v>9.3206039999999994</v>
      </c>
      <c r="F115" s="40">
        <v>11.033797</v>
      </c>
      <c r="G115" s="40">
        <v>1.7019629999999999</v>
      </c>
      <c r="H115" s="40">
        <v>8.3174109999999999</v>
      </c>
      <c r="I115" s="40">
        <v>31.885742</v>
      </c>
      <c r="J115" s="40">
        <v>12.215529999999999</v>
      </c>
      <c r="K115" s="47">
        <v>11.489903999999999</v>
      </c>
      <c r="L115" s="47">
        <v>8.4057569999999995</v>
      </c>
      <c r="M115" s="47">
        <v>-2.4643123</v>
      </c>
      <c r="N115" s="47">
        <v>19.274176000000001</v>
      </c>
    </row>
    <row r="116" spans="1:14" x14ac:dyDescent="0.35">
      <c r="A116" s="2">
        <v>45273</v>
      </c>
      <c r="B116" s="40">
        <v>-3.2242000000000002</v>
      </c>
      <c r="C116" s="40">
        <v>4.1838050000000004</v>
      </c>
      <c r="D116" s="40">
        <v>7.1824073999999998</v>
      </c>
      <c r="E116" s="40">
        <v>17.897902999999999</v>
      </c>
      <c r="F116" s="40">
        <v>15.275216</v>
      </c>
      <c r="G116" s="40">
        <v>10.700596000000001</v>
      </c>
      <c r="H116" s="40">
        <v>6.9359064000000004</v>
      </c>
      <c r="I116" s="40">
        <v>40.824115999999997</v>
      </c>
      <c r="J116" s="40">
        <v>18.90992</v>
      </c>
      <c r="K116" s="47">
        <v>16.797934999999999</v>
      </c>
      <c r="L116" s="47">
        <v>12.4804735</v>
      </c>
      <c r="M116" s="47">
        <v>10.745239</v>
      </c>
      <c r="N116" s="47">
        <v>25.492847000000001</v>
      </c>
    </row>
    <row r="117" spans="1:14" x14ac:dyDescent="0.35">
      <c r="A117" s="2">
        <v>45303</v>
      </c>
      <c r="B117" s="40">
        <v>-0.21501780000000001</v>
      </c>
      <c r="C117" s="40">
        <v>3.4658074000000001</v>
      </c>
      <c r="D117" s="40">
        <v>7.1401477</v>
      </c>
      <c r="E117" s="40">
        <v>8.116377</v>
      </c>
      <c r="F117" s="40">
        <v>20.010470999999999</v>
      </c>
      <c r="G117" s="40">
        <v>10.134708</v>
      </c>
      <c r="H117" s="40">
        <v>5.5459259999999997</v>
      </c>
      <c r="I117" s="40">
        <v>47.780642999999998</v>
      </c>
      <c r="J117" s="40">
        <v>21.921026000000001</v>
      </c>
      <c r="K117" s="47">
        <v>9.0046289999999996</v>
      </c>
      <c r="L117" s="47">
        <v>6.6300153999999996</v>
      </c>
      <c r="M117" s="47">
        <v>9.4204310000000007</v>
      </c>
      <c r="N117" s="47">
        <v>18.622185000000002</v>
      </c>
    </row>
    <row r="118" spans="1:14" x14ac:dyDescent="0.35">
      <c r="A118" s="2">
        <v>45335</v>
      </c>
      <c r="B118" s="40">
        <v>-10.767115</v>
      </c>
      <c r="C118" s="40">
        <v>-2.342552</v>
      </c>
      <c r="D118" s="40">
        <v>1.1286377999999999</v>
      </c>
      <c r="E118" s="40">
        <v>5.6105494</v>
      </c>
      <c r="F118" s="40">
        <v>17.332602000000001</v>
      </c>
      <c r="G118" s="40">
        <v>3.9072871</v>
      </c>
      <c r="H118" s="40">
        <v>0.63626766000000001</v>
      </c>
      <c r="I118" s="40">
        <v>41.708599999999997</v>
      </c>
      <c r="J118" s="40">
        <v>21.513473999999999</v>
      </c>
      <c r="K118" s="47">
        <v>6.1876774000000001</v>
      </c>
      <c r="L118" s="47">
        <v>11.002838000000001</v>
      </c>
      <c r="M118" s="47">
        <v>5.6179404000000002</v>
      </c>
      <c r="N118" s="47">
        <v>13.378166999999999</v>
      </c>
    </row>
    <row r="119" spans="1:14" x14ac:dyDescent="0.35">
      <c r="A119" s="2">
        <v>45364</v>
      </c>
      <c r="B119" s="40">
        <v>-1.4407277000000001</v>
      </c>
      <c r="C119" s="40">
        <v>15.653586000000001</v>
      </c>
      <c r="D119" s="40">
        <v>19.308495000000001</v>
      </c>
      <c r="E119" s="40">
        <v>19.755732999999999</v>
      </c>
      <c r="F119" s="40">
        <v>25.968001999999998</v>
      </c>
      <c r="G119" s="40">
        <v>15.681350999999999</v>
      </c>
      <c r="H119" s="40">
        <v>12.234973999999999</v>
      </c>
      <c r="I119" s="40">
        <v>52.493490000000001</v>
      </c>
      <c r="J119" s="40">
        <v>35.942805999999997</v>
      </c>
      <c r="K119" s="47">
        <v>19.96529</v>
      </c>
      <c r="L119" s="47">
        <v>25.621818999999999</v>
      </c>
      <c r="M119" s="47">
        <v>26.839220000000001</v>
      </c>
      <c r="N119" s="47">
        <v>32.802370000000003</v>
      </c>
    </row>
    <row r="120" spans="1:14" x14ac:dyDescent="0.35">
      <c r="A120" s="2">
        <v>45394</v>
      </c>
      <c r="B120" s="40">
        <v>-7.3499974999999997</v>
      </c>
      <c r="C120" s="40">
        <v>6.3023210000000001</v>
      </c>
      <c r="D120" s="40">
        <v>8.5860970000000005</v>
      </c>
      <c r="E120" s="40">
        <v>7.8496100000000002</v>
      </c>
      <c r="F120" s="40">
        <v>21.453094</v>
      </c>
      <c r="G120" s="40">
        <v>-0.29313563999999998</v>
      </c>
      <c r="H120" s="40">
        <v>5.162668</v>
      </c>
      <c r="I120" s="40">
        <v>40.936374999999998</v>
      </c>
      <c r="J120" s="40">
        <v>27.016698999999999</v>
      </c>
      <c r="K120" s="47">
        <v>4.9145219999999998</v>
      </c>
      <c r="L120" s="47">
        <v>16.752863000000001</v>
      </c>
      <c r="M120" s="47">
        <v>10.763062</v>
      </c>
      <c r="N120" s="47">
        <v>18.468368999999999</v>
      </c>
    </row>
    <row r="121" spans="1:14" x14ac:dyDescent="0.35">
      <c r="A121" s="2">
        <v>45425</v>
      </c>
      <c r="B121" s="40">
        <v>-7.4982347000000003</v>
      </c>
      <c r="C121" s="40">
        <v>11.394572</v>
      </c>
      <c r="D121" s="40">
        <v>12.128304999999999</v>
      </c>
      <c r="E121" s="40">
        <v>14.575672000000001</v>
      </c>
      <c r="F121" s="40">
        <v>14.814747000000001</v>
      </c>
      <c r="G121" s="40">
        <v>0.89155435999999999</v>
      </c>
      <c r="H121" s="40">
        <v>13.550520000000001</v>
      </c>
      <c r="I121" s="40">
        <v>37.227103999999997</v>
      </c>
      <c r="J121" s="40">
        <v>28.404045</v>
      </c>
      <c r="K121" s="47">
        <v>11.6980915</v>
      </c>
      <c r="L121" s="47">
        <v>23.881101999999998</v>
      </c>
      <c r="M121" s="47">
        <v>15.750944</v>
      </c>
      <c r="N121" s="47">
        <v>26.933516000000001</v>
      </c>
    </row>
    <row r="122" spans="1:14" x14ac:dyDescent="0.35">
      <c r="A122" s="2">
        <v>45456</v>
      </c>
      <c r="B122">
        <v>-1.4807045000000001</v>
      </c>
      <c r="C122">
        <v>11.052823</v>
      </c>
      <c r="D122">
        <v>8.9611420000000006</v>
      </c>
      <c r="E122">
        <v>10.484909999999999</v>
      </c>
      <c r="F122">
        <v>8.0229870000000005</v>
      </c>
      <c r="G122">
        <v>9.0007420000000007</v>
      </c>
      <c r="H122">
        <v>13.210106</v>
      </c>
      <c r="I122">
        <v>32.107353000000003</v>
      </c>
      <c r="J122">
        <v>26.036728</v>
      </c>
      <c r="K122" s="47">
        <v>7.1145889999999996</v>
      </c>
      <c r="L122" s="47">
        <v>21.707879999999999</v>
      </c>
      <c r="M122" s="47">
        <v>18.425225999999999</v>
      </c>
      <c r="N122" s="47">
        <v>22.685670000000002</v>
      </c>
    </row>
    <row r="123" spans="1:14" x14ac:dyDescent="0.35">
      <c r="A123" s="2"/>
    </row>
    <row r="124" spans="1:14" x14ac:dyDescent="0.35">
      <c r="A124" s="2"/>
    </row>
    <row r="125" spans="1:14" x14ac:dyDescent="0.35">
      <c r="A125" s="2"/>
    </row>
    <row r="126" spans="1:14" x14ac:dyDescent="0.35">
      <c r="A126" s="2" t="s">
        <v>85</v>
      </c>
      <c r="B126" s="40" cm="1">
        <f t="array" ref="B126">MIN(_xlfn._xlws.FILTER(B2:B122, ISNUMBER(B2:B122)))</f>
        <v>-32.526589999999999</v>
      </c>
      <c r="C126" s="40" cm="1">
        <f t="array" ref="C126">MIN(_xlfn._xlws.FILTER(C2:C122, ISNUMBER(C2:C122)))</f>
        <v>-25.985997999999999</v>
      </c>
      <c r="D126" s="40" cm="1">
        <f t="array" ref="D126">MIN(_xlfn._xlws.FILTER(D2:D122, ISNUMBER(D2:D122)))</f>
        <v>-26.903893</v>
      </c>
      <c r="E126" s="40" cm="1">
        <f t="array" ref="E126">MIN(_xlfn._xlws.FILTER(E2:E122, ISNUMBER(E2:E122)))</f>
        <v>-35.779254999999999</v>
      </c>
      <c r="F126" s="40" cm="1">
        <f t="array" ref="F126">MIN(_xlfn._xlws.FILTER(F2:F122, ISNUMBER(F2:F122)))</f>
        <v>-28.829961999999998</v>
      </c>
      <c r="G126" s="40" cm="1">
        <f t="array" ref="G126">MIN(_xlfn._xlws.FILTER(G2:G122, ISNUMBER(G2:G122)))</f>
        <v>-20.680205999999998</v>
      </c>
      <c r="H126" s="40" cm="1">
        <f t="array" ref="H126">MIN(_xlfn._xlws.FILTER(H2:H122, ISNUMBER(H2:H122)))</f>
        <v>-24.019306</v>
      </c>
      <c r="I126" s="40" cm="1">
        <f t="array" ref="I126">MIN(_xlfn._xlws.FILTER(I2:I122, ISNUMBER(I2:I122)))</f>
        <v>-25.957232999999999</v>
      </c>
      <c r="J126" s="40" cm="1">
        <f t="array" ref="J126">MIN(_xlfn._xlws.FILTER(J2:J122, ISNUMBER(J2:J122)))</f>
        <v>-14.628273</v>
      </c>
      <c r="K126" s="40" cm="1">
        <f t="array" ref="K126">MIN(_xlfn._xlws.FILTER(K2:K122, ISNUMBER(K2:K122)))</f>
        <v>-22.442972000000001</v>
      </c>
      <c r="L126" s="40" cm="1">
        <f t="array" ref="L126">MIN(_xlfn._xlws.FILTER(L2:L122, ISNUMBER(L2:L122)))</f>
        <v>-37.580722999999999</v>
      </c>
      <c r="M126" s="40" cm="1">
        <f t="array" ref="M126">MIN(_xlfn._xlws.FILTER(M2:M122, ISNUMBER(M2:M122)))</f>
        <v>-36.487698000000002</v>
      </c>
      <c r="N126" s="40" cm="1">
        <f t="array" ref="N126">MIN(_xlfn._xlws.FILTER(N2:N122, ISNUMBER(N2:N122)))</f>
        <v>-28.952259999999999</v>
      </c>
    </row>
    <row r="127" spans="1:14" x14ac:dyDescent="0.35">
      <c r="A127" s="2" t="s">
        <v>393</v>
      </c>
      <c r="B127" s="42" cm="1">
        <f t="array" ref="B127">MAX(_xlfn._xlws.FILTER(B1:B122, ISNUMBER(B1:B122)))</f>
        <v>47.616301999999997</v>
      </c>
      <c r="C127" s="42" cm="1">
        <f t="array" ref="C127">MAX(_xlfn._xlws.FILTER(C1:C122, ISNUMBER(C1:C122)))</f>
        <v>70.166650000000004</v>
      </c>
      <c r="D127" s="42" cm="1">
        <f t="array" ref="D127">MAX(_xlfn._xlws.FILTER(D1:D122, ISNUMBER(D1:D122)))</f>
        <v>73.709045000000003</v>
      </c>
      <c r="E127" s="42" cm="1">
        <f t="array" ref="E127">MAX(_xlfn._xlws.FILTER(E1:E122, ISNUMBER(E1:E122)))</f>
        <v>67.862785000000002</v>
      </c>
      <c r="F127" s="42" cm="1">
        <f t="array" ref="F127">MAX(_xlfn._xlws.FILTER(F1:F122, ISNUMBER(F1:F122)))</f>
        <v>55.725501999999999</v>
      </c>
      <c r="G127" s="42" cm="1">
        <f t="array" ref="G127">MAX(_xlfn._xlws.FILTER(G1:G122, ISNUMBER(G1:G122)))</f>
        <v>40.04383</v>
      </c>
      <c r="H127" s="42" cm="1">
        <f t="array" ref="H127">MAX(_xlfn._xlws.FILTER(H1:H122, ISNUMBER(H1:H122)))</f>
        <v>42.030290000000001</v>
      </c>
      <c r="I127" s="42" cm="1">
        <f t="array" ref="I127">MAX(_xlfn._xlws.FILTER(I1:I122, ISNUMBER(I1:I122)))</f>
        <v>79.173599999999993</v>
      </c>
      <c r="J127" s="42" cm="1">
        <f t="array" ref="J127">MAX(_xlfn._xlws.FILTER(J1:J122, ISNUMBER(J1:J122)))</f>
        <v>61.847589999999997</v>
      </c>
      <c r="K127" s="42" cm="1">
        <f t="array" ref="K127">MAX(_xlfn._xlws.FILTER(K1:K122, ISNUMBER(K1:K122)))</f>
        <v>63.60322</v>
      </c>
      <c r="L127" s="42" cm="1">
        <f t="array" ref="L127">MAX(_xlfn._xlws.FILTER(L1:L122, ISNUMBER(L1:L122)))</f>
        <v>82.087159999999997</v>
      </c>
      <c r="M127" s="42" cm="1">
        <f t="array" ref="M127">MAX(_xlfn._xlws.FILTER(M1:M122, ISNUMBER(M1:M122)))</f>
        <v>90.48357</v>
      </c>
      <c r="N127" s="42" cm="1">
        <f t="array" ref="N127">MAX(_xlfn._xlws.FILTER(N1:N122, ISNUMBER(N1:N122)))</f>
        <v>72.124626000000006</v>
      </c>
    </row>
    <row r="128" spans="1:14" x14ac:dyDescent="0.35">
      <c r="A128" s="2" t="s">
        <v>394</v>
      </c>
      <c r="B128" s="40" cm="1">
        <f t="array" ref="B128">MEDIAN(_xlfn._xlws.FILTER(B1:B122, ISNUMBER(B1:B122)))</f>
        <v>7.6381563999999997</v>
      </c>
      <c r="C128" s="40" cm="1">
        <f t="array" ref="C128">MEDIAN(_xlfn._xlws.FILTER(C1:C122, ISNUMBER(C1:C122)))</f>
        <v>4.4817210000000003</v>
      </c>
      <c r="D128" s="40" cm="1">
        <f t="array" ref="D128">MEDIAN(_xlfn._xlws.FILTER(D1:D122, ISNUMBER(D1:D122)))</f>
        <v>3.5021662999999998</v>
      </c>
      <c r="E128" s="40" cm="1">
        <f t="array" ref="E128">MEDIAN(_xlfn._xlws.FILTER(E1:E122, ISNUMBER(E1:E122)))</f>
        <v>4.0533184999999996</v>
      </c>
      <c r="F128" s="40" cm="1">
        <f t="array" ref="F128">MEDIAN(_xlfn._xlws.FILTER(F1:F122, ISNUMBER(F1:F122)))</f>
        <v>6.9489717000000004</v>
      </c>
      <c r="G128" s="40" cm="1">
        <f t="array" ref="G128">MEDIAN(_xlfn._xlws.FILTER(G1:G122, ISNUMBER(G1:G122)))</f>
        <v>6.699109</v>
      </c>
      <c r="H128" s="40" cm="1">
        <f t="array" ref="H128">MEDIAN(_xlfn._xlws.FILTER(H1:H122, ISNUMBER(H1:H122)))</f>
        <v>1.0342956000000001</v>
      </c>
      <c r="I128" s="40" cm="1">
        <f t="array" ref="I128">MEDIAN(_xlfn._xlws.FILTER(I1:I122, ISNUMBER(I1:I122)))</f>
        <v>22.62621</v>
      </c>
      <c r="J128" s="40" cm="1">
        <f t="array" ref="J128">MEDIAN(_xlfn._xlws.FILTER(J1:J122, ISNUMBER(J1:J122)))</f>
        <v>14.250398000000001</v>
      </c>
      <c r="K128" s="40" cm="1">
        <f t="array" ref="K128">MEDIAN(_xlfn._xlws.FILTER(K1:K122, ISNUMBER(K1:K122)))</f>
        <v>5.1525353999999997</v>
      </c>
      <c r="L128" s="40" cm="1">
        <f t="array" ref="L128">MEDIAN(_xlfn._xlws.FILTER(L1:L122, ISNUMBER(L1:L122)))</f>
        <v>7.7830195</v>
      </c>
      <c r="M128" s="40" cm="1">
        <f t="array" ref="M128">MEDIAN(_xlfn._xlws.FILTER(M1:M122, ISNUMBER(M1:M122)))</f>
        <v>1.8980861</v>
      </c>
      <c r="N128" s="40" cm="1">
        <f t="array" ref="N128">MEDIAN(_xlfn._xlws.FILTER(N1:N122, ISNUMBER(N1:N122)))</f>
        <v>2.0214677000000001</v>
      </c>
    </row>
    <row r="129" spans="1:14" x14ac:dyDescent="0.35">
      <c r="A129" s="2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</row>
    <row r="130" spans="1:14" x14ac:dyDescent="0.35">
      <c r="A130" s="2" t="s">
        <v>87</v>
      </c>
      <c r="B130">
        <f>COUNTIF(B2:B122, "&lt;"&amp;Assumption!$F$50)</f>
        <v>18</v>
      </c>
      <c r="C130">
        <f>COUNTIF(C2:C122, "&lt;"&amp;Assumption!$F$50)</f>
        <v>20</v>
      </c>
      <c r="D130">
        <f>COUNTIF(D2:D122, "&lt;"&amp;Assumption!$F$50)</f>
        <v>19</v>
      </c>
      <c r="E130">
        <f>COUNTIF(E2:E122, "&lt;"&amp;Assumption!$F$50)</f>
        <v>30</v>
      </c>
      <c r="F130">
        <f>COUNTIF(F2:F122, "&lt;"&amp;Assumption!$F$50)</f>
        <v>17</v>
      </c>
      <c r="G130">
        <f>COUNTIF(G2:G122, "&lt;"&amp;Assumption!$F$50)</f>
        <v>12</v>
      </c>
      <c r="H130">
        <f>COUNTIF(H2:H122, "&lt;"&amp;Assumption!$F$50)</f>
        <v>19</v>
      </c>
      <c r="I130">
        <f>COUNTIF(I2:I122, "&lt;"&amp;Assumption!$F$50)</f>
        <v>8</v>
      </c>
      <c r="J130">
        <f>COUNTIF(J2:J122, "&lt;"&amp;Assumption!$F$50)</f>
        <v>7</v>
      </c>
      <c r="K130">
        <f>COUNTIF(K2:K122, "&lt;"&amp;Assumption!$F$50)</f>
        <v>16</v>
      </c>
      <c r="L130">
        <f>COUNTIF(L2:L122, "&lt;"&amp;Assumption!$F$50)</f>
        <v>15</v>
      </c>
      <c r="M130">
        <f>COUNTIF(M2:M122, "&lt;"&amp;Assumption!$F$50)</f>
        <v>21</v>
      </c>
      <c r="N130">
        <f>COUNTIF(N2:N122, "&lt;"&amp;Assumption!$F$50)</f>
        <v>34</v>
      </c>
    </row>
    <row r="131" spans="1:14" x14ac:dyDescent="0.35">
      <c r="A131" s="2" t="s">
        <v>86</v>
      </c>
      <c r="B131">
        <f t="shared" ref="B131:J131" si="0">COUNT(B1:B122)</f>
        <v>121</v>
      </c>
      <c r="C131">
        <f t="shared" si="0"/>
        <v>121</v>
      </c>
      <c r="D131">
        <f t="shared" si="0"/>
        <v>121</v>
      </c>
      <c r="E131">
        <f t="shared" si="0"/>
        <v>121</v>
      </c>
      <c r="F131">
        <f t="shared" si="0"/>
        <v>121</v>
      </c>
      <c r="G131">
        <f t="shared" si="0"/>
        <v>121</v>
      </c>
      <c r="H131">
        <f t="shared" si="0"/>
        <v>121</v>
      </c>
      <c r="I131">
        <f t="shared" si="0"/>
        <v>121</v>
      </c>
      <c r="J131">
        <f t="shared" si="0"/>
        <v>121</v>
      </c>
      <c r="K131">
        <f t="shared" ref="K131:N131" si="1">COUNT(K1:K122)</f>
        <v>121</v>
      </c>
      <c r="L131">
        <f t="shared" si="1"/>
        <v>121</v>
      </c>
      <c r="M131">
        <f t="shared" si="1"/>
        <v>121</v>
      </c>
      <c r="N131">
        <f t="shared" si="1"/>
        <v>121</v>
      </c>
    </row>
    <row r="132" spans="1:14" x14ac:dyDescent="0.35">
      <c r="A132" s="2"/>
    </row>
    <row r="133" spans="1:14" x14ac:dyDescent="0.35">
      <c r="A133" s="2" t="s">
        <v>397</v>
      </c>
      <c r="B133" s="9">
        <f t="shared" ref="B133:J133" si="2">B130/B131</f>
        <v>0.1487603305785124</v>
      </c>
      <c r="C133" s="9">
        <f t="shared" si="2"/>
        <v>0.16528925619834711</v>
      </c>
      <c r="D133" s="9">
        <f t="shared" si="2"/>
        <v>0.15702479338842976</v>
      </c>
      <c r="E133" s="9">
        <f t="shared" si="2"/>
        <v>0.24793388429752067</v>
      </c>
      <c r="F133" s="9">
        <f t="shared" si="2"/>
        <v>0.14049586776859505</v>
      </c>
      <c r="G133" s="9">
        <f t="shared" si="2"/>
        <v>9.9173553719008267E-2</v>
      </c>
      <c r="H133" s="9">
        <f t="shared" si="2"/>
        <v>0.15702479338842976</v>
      </c>
      <c r="I133" s="9">
        <f t="shared" si="2"/>
        <v>6.6115702479338845E-2</v>
      </c>
      <c r="J133" s="9">
        <f t="shared" si="2"/>
        <v>5.7851239669421489E-2</v>
      </c>
      <c r="K133" s="9">
        <f t="shared" ref="K133:N133" si="3">K130/K131</f>
        <v>0.13223140495867769</v>
      </c>
      <c r="L133" s="9">
        <f t="shared" si="3"/>
        <v>0.12396694214876033</v>
      </c>
      <c r="M133" s="9">
        <f t="shared" si="3"/>
        <v>0.17355371900826447</v>
      </c>
      <c r="N133" s="9">
        <f t="shared" si="3"/>
        <v>0.28099173553719009</v>
      </c>
    </row>
    <row r="134" spans="1:14" x14ac:dyDescent="0.35">
      <c r="A134" s="2"/>
    </row>
    <row r="135" spans="1:14" x14ac:dyDescent="0.35">
      <c r="A135" s="2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 spans="1:14" x14ac:dyDescent="0.35">
      <c r="A136" s="2" t="s">
        <v>400</v>
      </c>
      <c r="B136" s="40" cm="1">
        <f t="array" ref="B136">_xlfn.PERCENTRANK.EXC(_xlfn._xlws.FILTER(B2:B122, ISNUMBER(B2:B122)),B120)</f>
        <v>0.20399999999999999</v>
      </c>
      <c r="C136" s="40" cm="1">
        <f t="array" ref="C136">_xlfn.PERCENTRANK.EXC(_xlfn._xlws.FILTER(C2:C122, ISNUMBER(C2:C122)),C120)</f>
        <v>0.54</v>
      </c>
      <c r="D136" s="40" cm="1">
        <f t="array" ref="D136">_xlfn.PERCENTRANK.EXC(_xlfn._xlws.FILTER(D2:D122, ISNUMBER(D2:D122)),D120)</f>
        <v>0.622</v>
      </c>
      <c r="E136" s="40" cm="1">
        <f t="array" ref="E136">_xlfn.PERCENTRANK.EXC(_xlfn._xlws.FILTER(E2:E122, ISNUMBER(E2:E122)),E120)</f>
        <v>0.55700000000000005</v>
      </c>
      <c r="F136" s="40" cm="1">
        <f t="array" ref="F136">_xlfn.PERCENTRANK.EXC(_xlfn._xlws.FILTER(F2:F122, ISNUMBER(F2:F122)),F120)</f>
        <v>0.88500000000000001</v>
      </c>
      <c r="G136" s="40" cm="1">
        <f t="array" ref="G136">_xlfn.PERCENTRANK.EXC(_xlfn._xlws.FILTER(G2:G122, ISNUMBER(G2:G122)),G120)</f>
        <v>0.29499999999999998</v>
      </c>
      <c r="H136" s="40" cm="1">
        <f t="array" ref="H136">_xlfn.PERCENTRANK.EXC(_xlfn._xlws.FILTER(H2:H122, ISNUMBER(H2:H122)),H120)</f>
        <v>0.56499999999999995</v>
      </c>
      <c r="I136" s="40" cm="1">
        <f t="array" ref="I136">_xlfn.PERCENTRANK.EXC(_xlfn._xlws.FILTER(I2:I122, ISNUMBER(I2:I122)),I120)</f>
        <v>0.86799999999999999</v>
      </c>
      <c r="J136" s="40" cm="1">
        <f t="array" ref="J136">_xlfn.PERCENTRANK.EXC(_xlfn._xlws.FILTER(J2:J122, ISNUMBER(J2:J122)),J120)</f>
        <v>0.88500000000000001</v>
      </c>
      <c r="K136" s="40" cm="1">
        <f t="array" ref="K136">_xlfn.PERCENTRANK.EXC(_xlfn._xlws.FILTER(K2:K122, ISNUMBER(K2:K122)),K120)</f>
        <v>0.49099999999999999</v>
      </c>
      <c r="L136" s="40" cm="1">
        <f t="array" ref="L136">_xlfn.PERCENTRANK.EXC(_xlfn._xlws.FILTER(L2:L122, ISNUMBER(L2:L122)),L120)</f>
        <v>0.63900000000000001</v>
      </c>
      <c r="M136" s="40" cm="1">
        <f t="array" ref="M136">_xlfn.PERCENTRANK.EXC(_xlfn._xlws.FILTER(M2:M122, ISNUMBER(M2:M122)),M120)</f>
        <v>0.63100000000000001</v>
      </c>
      <c r="N136" s="40" cm="1">
        <f t="array" ref="N136">_xlfn.PERCENTRANK.EXC(_xlfn._xlws.FILTER(N2:N122, ISNUMBER(N2:N122)),N120)</f>
        <v>0.65500000000000003</v>
      </c>
    </row>
    <row r="137" spans="1:14" x14ac:dyDescent="0.35">
      <c r="A137" s="2" t="s">
        <v>399</v>
      </c>
      <c r="B137" s="40" cm="1">
        <f t="array" ref="B137">_xlfn.PERCENTRANK.EXC(_xlfn._xlws.FILTER(B2:B122, ISNUMBER(B2:B122)),B121)</f>
        <v>0.19600000000000001</v>
      </c>
      <c r="C137" s="40" cm="1">
        <f t="array" ref="C137">_xlfn.PERCENTRANK.EXC(_xlfn._xlws.FILTER(C2:C122, ISNUMBER(C2:C122)),C121)</f>
        <v>0.71299999999999997</v>
      </c>
      <c r="D137" s="40" cm="1">
        <f t="array" ref="D137">_xlfn.PERCENTRANK.EXC(_xlfn._xlws.FILTER(D2:D122, ISNUMBER(D2:D122)),D121)</f>
        <v>0.72899999999999998</v>
      </c>
      <c r="E137" s="40" cm="1">
        <f t="array" ref="E137">_xlfn.PERCENTRANK.EXC(_xlfn._xlws.FILTER(E2:E122, ISNUMBER(E2:E122)),E121)</f>
        <v>0.69599999999999995</v>
      </c>
      <c r="F137" s="40" cm="1">
        <f t="array" ref="F137">_xlfn.PERCENTRANK.EXC(_xlfn._xlws.FILTER(F2:F122, ISNUMBER(F2:F122)),F121)</f>
        <v>0.71299999999999997</v>
      </c>
      <c r="G137" s="40" cm="1">
        <f t="array" ref="G137">_xlfn.PERCENTRANK.EXC(_xlfn._xlws.FILTER(G2:G122, ISNUMBER(G2:G122)),G121)</f>
        <v>0.31900000000000001</v>
      </c>
      <c r="H137" s="40" cm="1">
        <f t="array" ref="H137">_xlfn.PERCENTRANK.EXC(_xlfn._xlws.FILTER(H2:H122, ISNUMBER(H2:H122)),H121)</f>
        <v>0.77800000000000002</v>
      </c>
      <c r="I137" s="40" cm="1">
        <f t="array" ref="I137">_xlfn.PERCENTRANK.EXC(_xlfn._xlws.FILTER(I2:I122, ISNUMBER(I2:I122)),I121)</f>
        <v>0.81899999999999995</v>
      </c>
      <c r="J137" s="40" cm="1">
        <f t="array" ref="J137">_xlfn.PERCENTRANK.EXC(_xlfn._xlws.FILTER(J2:J122, ISNUMBER(J2:J122)),J121)</f>
        <v>0.90100000000000002</v>
      </c>
      <c r="K137" s="40" cm="1">
        <f t="array" ref="K137">_xlfn.PERCENTRANK.EXC(_xlfn._xlws.FILTER(K2:K122, ISNUMBER(K2:K122)),K121)</f>
        <v>0.63100000000000001</v>
      </c>
      <c r="L137" s="40" cm="1">
        <f t="array" ref="L137">_xlfn.PERCENTRANK.EXC(_xlfn._xlws.FILTER(L2:L122, ISNUMBER(L2:L122)),L121)</f>
        <v>0.77</v>
      </c>
      <c r="M137" s="40" cm="1">
        <f t="array" ref="M137">_xlfn.PERCENTRANK.EXC(_xlfn._xlws.FILTER(M2:M122, ISNUMBER(M2:M122)),M121)</f>
        <v>0.69599999999999995</v>
      </c>
      <c r="N137" s="40" cm="1">
        <f t="array" ref="N137">_xlfn.PERCENTRANK.EXC(_xlfn._xlws.FILTER(N2:N122, ISNUMBER(N2:N122)),N121)</f>
        <v>0.76200000000000001</v>
      </c>
    </row>
    <row r="138" spans="1:14" x14ac:dyDescent="0.35">
      <c r="A138" s="2" t="s">
        <v>401</v>
      </c>
      <c r="B138" s="40" cm="1">
        <f t="array" ref="B138">_xlfn.PERCENTRANK.EXC(_xlfn._xlws.FILTER(B2:B122, ISNUMBER(B2:B122)),B122)</f>
        <v>0.30299999999999999</v>
      </c>
      <c r="C138" s="40" cm="1">
        <f t="array" ref="C138">_xlfn.PERCENTRANK.EXC(_xlfn._xlws.FILTER(C2:C122, ISNUMBER(C2:C122)),C122)</f>
        <v>0.69599999999999995</v>
      </c>
      <c r="D138" s="40" cm="1">
        <f t="array" ref="D138">_xlfn.PERCENTRANK.EXC(_xlfn._xlws.FILTER(D2:D122, ISNUMBER(D2:D122)),D122)</f>
        <v>0.65500000000000003</v>
      </c>
      <c r="E138" s="40" cm="1">
        <f t="array" ref="E138">_xlfn.PERCENTRANK.EXC(_xlfn._xlws.FILTER(E2:E122, ISNUMBER(E2:E122)),E122)</f>
        <v>0.622</v>
      </c>
      <c r="F138" s="40" cm="1">
        <f t="array" ref="F138">_xlfn.PERCENTRANK.EXC(_xlfn._xlws.FILTER(F2:F122, ISNUMBER(F2:F122)),F122)</f>
        <v>0.51600000000000001</v>
      </c>
      <c r="G138" s="40" cm="1">
        <f t="array" ref="G138">_xlfn.PERCENTRANK.EXC(_xlfn._xlws.FILTER(G2:G122, ISNUMBER(G2:G122)),G122)</f>
        <v>0.53200000000000003</v>
      </c>
      <c r="H138" s="40" cm="1">
        <f t="array" ref="H138">_xlfn.PERCENTRANK.EXC(_xlfn._xlws.FILTER(H2:H122, ISNUMBER(H2:H122)),H122)</f>
        <v>0.76200000000000001</v>
      </c>
      <c r="I138" s="40" cm="1">
        <f t="array" ref="I138">_xlfn.PERCENTRANK.EXC(_xlfn._xlws.FILTER(I2:I122, ISNUMBER(I2:I122)),I122)</f>
        <v>0.73699999999999999</v>
      </c>
      <c r="J138" s="40" cm="1">
        <f t="array" ref="J138">_xlfn.PERCENTRANK.EXC(_xlfn._xlws.FILTER(J2:J122, ISNUMBER(J2:J122)),J122)</f>
        <v>0.86799999999999999</v>
      </c>
      <c r="K138" s="40" cm="1">
        <f t="array" ref="K138">_xlfn.PERCENTRANK.EXC(_xlfn._xlws.FILTER(K2:K122, ISNUMBER(K2:K122)),K122)</f>
        <v>0.56499999999999995</v>
      </c>
      <c r="L138" s="40" cm="1">
        <f t="array" ref="L138">_xlfn.PERCENTRANK.EXC(_xlfn._xlws.FILTER(L2:L122, ISNUMBER(L2:L122)),L122)</f>
        <v>0.72099999999999997</v>
      </c>
      <c r="M138" s="40" cm="1">
        <f t="array" ref="M138">_xlfn.PERCENTRANK.EXC(_xlfn._xlws.FILTER(M2:M122, ISNUMBER(M2:M122)),M122)</f>
        <v>0.72899999999999998</v>
      </c>
      <c r="N138" s="40" cm="1">
        <f t="array" ref="N138">_xlfn.PERCENTRANK.EXC(_xlfn._xlws.FILTER(N2:N122, ISNUMBER(N2:N122)),N122)</f>
        <v>0.72099999999999997</v>
      </c>
    </row>
    <row r="139" spans="1:14" x14ac:dyDescent="0.35">
      <c r="A139" s="2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</row>
    <row r="140" spans="1:14" x14ac:dyDescent="0.35">
      <c r="A140" s="2" t="s">
        <v>463</v>
      </c>
      <c r="B140" s="40">
        <f t="shared" ref="B140:J140" si="4">AVERAGE(B136:B138)</f>
        <v>0.23433333333333337</v>
      </c>
      <c r="C140" s="40">
        <f t="shared" si="4"/>
        <v>0.64966666666666673</v>
      </c>
      <c r="D140" s="40">
        <f t="shared" si="4"/>
        <v>0.66866666666666674</v>
      </c>
      <c r="E140" s="40">
        <f t="shared" si="4"/>
        <v>0.625</v>
      </c>
      <c r="F140" s="40">
        <f t="shared" si="4"/>
        <v>0.70466666666666666</v>
      </c>
      <c r="G140" s="40">
        <f t="shared" si="4"/>
        <v>0.38199999999999995</v>
      </c>
      <c r="H140" s="40">
        <f t="shared" si="4"/>
        <v>0.70166666666666666</v>
      </c>
      <c r="I140" s="40">
        <f t="shared" si="4"/>
        <v>0.80799999999999994</v>
      </c>
      <c r="J140" s="40">
        <f t="shared" si="4"/>
        <v>0.8846666666666666</v>
      </c>
      <c r="K140" s="40">
        <f t="shared" ref="K140:N140" si="5">AVERAGE(K136:K138)</f>
        <v>0.56233333333333324</v>
      </c>
      <c r="L140" s="40">
        <f t="shared" si="5"/>
        <v>0.71</v>
      </c>
      <c r="M140" s="40">
        <f t="shared" si="5"/>
        <v>0.68533333333333335</v>
      </c>
      <c r="N140" s="40">
        <f t="shared" si="5"/>
        <v>0.71266666666666667</v>
      </c>
    </row>
    <row r="141" spans="1:14" x14ac:dyDescent="0.35">
      <c r="A141" s="2"/>
    </row>
    <row r="142" spans="1:14" x14ac:dyDescent="0.35">
      <c r="A142" s="2"/>
    </row>
    <row r="143" spans="1:14" x14ac:dyDescent="0.35">
      <c r="A143" s="2"/>
    </row>
    <row r="144" spans="1:14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  <row r="1003" spans="1:1" x14ac:dyDescent="0.35">
      <c r="A1003" s="2"/>
    </row>
    <row r="1004" spans="1:1" x14ac:dyDescent="0.35">
      <c r="A1004" s="2"/>
    </row>
    <row r="1005" spans="1:1" x14ac:dyDescent="0.35">
      <c r="A1005" s="2"/>
    </row>
    <row r="1006" spans="1:1" x14ac:dyDescent="0.35">
      <c r="A1006" s="2"/>
    </row>
    <row r="1007" spans="1:1" x14ac:dyDescent="0.35">
      <c r="A1007" s="2"/>
    </row>
    <row r="1008" spans="1:1" x14ac:dyDescent="0.35">
      <c r="A1008" s="2"/>
    </row>
    <row r="1009" spans="1:1" x14ac:dyDescent="0.35">
      <c r="A1009" s="2"/>
    </row>
    <row r="1010" spans="1:1" x14ac:dyDescent="0.35">
      <c r="A1010" s="2"/>
    </row>
    <row r="1011" spans="1:1" x14ac:dyDescent="0.35">
      <c r="A1011" s="2"/>
    </row>
    <row r="1012" spans="1:1" x14ac:dyDescent="0.35">
      <c r="A1012" s="2"/>
    </row>
    <row r="1013" spans="1:1" x14ac:dyDescent="0.35">
      <c r="A1013" s="2"/>
    </row>
    <row r="1014" spans="1:1" x14ac:dyDescent="0.35">
      <c r="A1014" s="2"/>
    </row>
    <row r="1015" spans="1:1" x14ac:dyDescent="0.35">
      <c r="A1015" s="2"/>
    </row>
    <row r="1016" spans="1:1" x14ac:dyDescent="0.35">
      <c r="A1016" s="2"/>
    </row>
    <row r="1017" spans="1:1" x14ac:dyDescent="0.35">
      <c r="A1017" s="2"/>
    </row>
    <row r="1018" spans="1:1" x14ac:dyDescent="0.35">
      <c r="A1018" s="2"/>
    </row>
    <row r="1019" spans="1:1" x14ac:dyDescent="0.35">
      <c r="A1019" s="2"/>
    </row>
    <row r="1020" spans="1:1" x14ac:dyDescent="0.35">
      <c r="A1020" s="2"/>
    </row>
    <row r="1021" spans="1:1" x14ac:dyDescent="0.35">
      <c r="A1021" s="2"/>
    </row>
    <row r="1022" spans="1:1" x14ac:dyDescent="0.35">
      <c r="A1022" s="2"/>
    </row>
    <row r="1023" spans="1:1" x14ac:dyDescent="0.35">
      <c r="A1023" s="2"/>
    </row>
    <row r="1024" spans="1:1" x14ac:dyDescent="0.35">
      <c r="A1024" s="2"/>
    </row>
    <row r="1025" spans="1:1" x14ac:dyDescent="0.35">
      <c r="A1025" s="2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2"/>
    </row>
    <row r="1030" spans="1:1" x14ac:dyDescent="0.35">
      <c r="A1030" s="2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2"/>
    </row>
    <row r="1035" spans="1:1" x14ac:dyDescent="0.35">
      <c r="A1035" s="2"/>
    </row>
    <row r="1036" spans="1:1" x14ac:dyDescent="0.35">
      <c r="A1036" s="2"/>
    </row>
    <row r="1037" spans="1:1" x14ac:dyDescent="0.35">
      <c r="A1037" s="2"/>
    </row>
    <row r="1038" spans="1:1" x14ac:dyDescent="0.35">
      <c r="A1038" s="2"/>
    </row>
    <row r="1039" spans="1:1" x14ac:dyDescent="0.35">
      <c r="A1039" s="2"/>
    </row>
    <row r="1040" spans="1:1" x14ac:dyDescent="0.35">
      <c r="A1040" s="2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2"/>
    </row>
    <row r="1048" spans="1:1" x14ac:dyDescent="0.35">
      <c r="A1048" s="2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2"/>
    </row>
    <row r="1057" spans="1:1" x14ac:dyDescent="0.35">
      <c r="A1057" s="2"/>
    </row>
    <row r="1058" spans="1:1" x14ac:dyDescent="0.35">
      <c r="A1058" s="2"/>
    </row>
    <row r="1059" spans="1:1" x14ac:dyDescent="0.35">
      <c r="A1059" s="2"/>
    </row>
    <row r="1060" spans="1:1" x14ac:dyDescent="0.35">
      <c r="A1060" s="2"/>
    </row>
    <row r="1061" spans="1:1" x14ac:dyDescent="0.35">
      <c r="A1061" s="2"/>
    </row>
    <row r="1062" spans="1:1" x14ac:dyDescent="0.35">
      <c r="A1062" s="2"/>
    </row>
    <row r="1063" spans="1:1" x14ac:dyDescent="0.35">
      <c r="A1063" s="2"/>
    </row>
    <row r="1064" spans="1:1" x14ac:dyDescent="0.35">
      <c r="A1064" s="2"/>
    </row>
    <row r="1065" spans="1:1" x14ac:dyDescent="0.35">
      <c r="A1065" s="2"/>
    </row>
    <row r="1066" spans="1:1" x14ac:dyDescent="0.35">
      <c r="A1066" s="2"/>
    </row>
    <row r="1067" spans="1:1" x14ac:dyDescent="0.35">
      <c r="A1067" s="2"/>
    </row>
    <row r="1068" spans="1:1" x14ac:dyDescent="0.35">
      <c r="A1068" s="2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2"/>
    </row>
    <row r="1080" spans="1:1" x14ac:dyDescent="0.35">
      <c r="A1080" s="2"/>
    </row>
    <row r="1081" spans="1:1" x14ac:dyDescent="0.35">
      <c r="A1081" s="2"/>
    </row>
    <row r="1082" spans="1:1" x14ac:dyDescent="0.35">
      <c r="A1082" s="2"/>
    </row>
    <row r="1083" spans="1:1" x14ac:dyDescent="0.35">
      <c r="A1083" s="2"/>
    </row>
    <row r="1084" spans="1:1" x14ac:dyDescent="0.35">
      <c r="A1084" s="2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2"/>
    </row>
    <row r="1092" spans="1:1" x14ac:dyDescent="0.35">
      <c r="A1092" s="2"/>
    </row>
    <row r="1093" spans="1:1" x14ac:dyDescent="0.35">
      <c r="A1093" s="2"/>
    </row>
    <row r="1094" spans="1:1" x14ac:dyDescent="0.35">
      <c r="A1094" s="2"/>
    </row>
    <row r="1095" spans="1:1" x14ac:dyDescent="0.35">
      <c r="A1095" s="2"/>
    </row>
    <row r="1096" spans="1:1" x14ac:dyDescent="0.35">
      <c r="A1096" s="2"/>
    </row>
    <row r="1097" spans="1:1" x14ac:dyDescent="0.35">
      <c r="A1097" s="2"/>
    </row>
    <row r="1098" spans="1:1" x14ac:dyDescent="0.35">
      <c r="A1098" s="2"/>
    </row>
    <row r="1099" spans="1:1" x14ac:dyDescent="0.35">
      <c r="A1099" s="2"/>
    </row>
    <row r="1100" spans="1:1" x14ac:dyDescent="0.35">
      <c r="A1100" s="2"/>
    </row>
    <row r="1101" spans="1:1" x14ac:dyDescent="0.35">
      <c r="A1101" s="2"/>
    </row>
    <row r="1102" spans="1:1" x14ac:dyDescent="0.35">
      <c r="A1102" s="2"/>
    </row>
    <row r="1103" spans="1:1" x14ac:dyDescent="0.35">
      <c r="A1103" s="2"/>
    </row>
    <row r="1104" spans="1:1" x14ac:dyDescent="0.35">
      <c r="A1104" s="2"/>
    </row>
    <row r="1105" spans="1:1" x14ac:dyDescent="0.35">
      <c r="A1105" s="2"/>
    </row>
    <row r="1106" spans="1:1" x14ac:dyDescent="0.35">
      <c r="A1106" s="2"/>
    </row>
    <row r="1107" spans="1:1" x14ac:dyDescent="0.35">
      <c r="A1107" s="2"/>
    </row>
    <row r="1108" spans="1:1" x14ac:dyDescent="0.35">
      <c r="A1108" s="2"/>
    </row>
    <row r="1109" spans="1:1" x14ac:dyDescent="0.35">
      <c r="A1109" s="2"/>
    </row>
    <row r="1110" spans="1:1" x14ac:dyDescent="0.35">
      <c r="A1110" s="2"/>
    </row>
    <row r="1111" spans="1:1" x14ac:dyDescent="0.35">
      <c r="A1111" s="2"/>
    </row>
    <row r="1112" spans="1:1" x14ac:dyDescent="0.35">
      <c r="A1112" s="2"/>
    </row>
    <row r="1113" spans="1:1" x14ac:dyDescent="0.35">
      <c r="A1113" s="2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2"/>
    </row>
    <row r="1119" spans="1:1" x14ac:dyDescent="0.35">
      <c r="A1119" s="2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2"/>
    </row>
    <row r="1127" spans="1:1" x14ac:dyDescent="0.35">
      <c r="A1127" s="2"/>
    </row>
    <row r="1128" spans="1:1" x14ac:dyDescent="0.35">
      <c r="A1128" s="2"/>
    </row>
    <row r="1129" spans="1:1" x14ac:dyDescent="0.35">
      <c r="A1129" s="2"/>
    </row>
    <row r="1130" spans="1:1" x14ac:dyDescent="0.35">
      <c r="A1130" s="2"/>
    </row>
    <row r="1131" spans="1:1" x14ac:dyDescent="0.35">
      <c r="A1131" s="2"/>
    </row>
    <row r="1132" spans="1:1" x14ac:dyDescent="0.35">
      <c r="A1132" s="2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2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2"/>
    </row>
    <row r="1142" spans="1:1" x14ac:dyDescent="0.35">
      <c r="A1142" s="2"/>
    </row>
    <row r="1143" spans="1:1" x14ac:dyDescent="0.35">
      <c r="A1143" s="2"/>
    </row>
    <row r="1144" spans="1:1" x14ac:dyDescent="0.35">
      <c r="A1144" s="2"/>
    </row>
    <row r="1145" spans="1:1" x14ac:dyDescent="0.35">
      <c r="A1145" s="2"/>
    </row>
    <row r="1146" spans="1:1" x14ac:dyDescent="0.35">
      <c r="A1146" s="2"/>
    </row>
    <row r="1147" spans="1:1" x14ac:dyDescent="0.35">
      <c r="A1147" s="2"/>
    </row>
    <row r="1148" spans="1:1" x14ac:dyDescent="0.35">
      <c r="A1148" s="2"/>
    </row>
    <row r="1149" spans="1:1" x14ac:dyDescent="0.35">
      <c r="A1149" s="2"/>
    </row>
    <row r="1150" spans="1:1" x14ac:dyDescent="0.35">
      <c r="A1150" s="2"/>
    </row>
    <row r="1151" spans="1:1" x14ac:dyDescent="0.35">
      <c r="A1151" s="2"/>
    </row>
    <row r="1152" spans="1:1" x14ac:dyDescent="0.35">
      <c r="A1152" s="2"/>
    </row>
    <row r="1153" spans="1:1" x14ac:dyDescent="0.35">
      <c r="A1153" s="2"/>
    </row>
    <row r="1154" spans="1:1" x14ac:dyDescent="0.35">
      <c r="A1154" s="2"/>
    </row>
    <row r="1155" spans="1:1" x14ac:dyDescent="0.35">
      <c r="A1155" s="2"/>
    </row>
    <row r="1156" spans="1:1" x14ac:dyDescent="0.35">
      <c r="A1156" s="2"/>
    </row>
    <row r="1157" spans="1:1" x14ac:dyDescent="0.35">
      <c r="A1157" s="2"/>
    </row>
    <row r="1158" spans="1:1" x14ac:dyDescent="0.35">
      <c r="A1158" s="2"/>
    </row>
    <row r="1159" spans="1:1" x14ac:dyDescent="0.35">
      <c r="A1159" s="2"/>
    </row>
    <row r="1160" spans="1:1" x14ac:dyDescent="0.35">
      <c r="A1160" s="2"/>
    </row>
    <row r="1161" spans="1:1" x14ac:dyDescent="0.35">
      <c r="A1161" s="2"/>
    </row>
    <row r="1162" spans="1:1" x14ac:dyDescent="0.35">
      <c r="A1162" s="2"/>
    </row>
    <row r="1163" spans="1:1" x14ac:dyDescent="0.35">
      <c r="A1163" s="2"/>
    </row>
    <row r="1164" spans="1:1" x14ac:dyDescent="0.35">
      <c r="A1164" s="2"/>
    </row>
    <row r="1165" spans="1:1" x14ac:dyDescent="0.35">
      <c r="A1165" s="2"/>
    </row>
    <row r="1166" spans="1:1" x14ac:dyDescent="0.35">
      <c r="A1166" s="2"/>
    </row>
    <row r="1167" spans="1:1" x14ac:dyDescent="0.35">
      <c r="A1167" s="2"/>
    </row>
    <row r="1168" spans="1:1" x14ac:dyDescent="0.35">
      <c r="A1168" s="2"/>
    </row>
    <row r="1169" spans="1:1" x14ac:dyDescent="0.35">
      <c r="A1169" s="2"/>
    </row>
    <row r="1170" spans="1:1" x14ac:dyDescent="0.35">
      <c r="A1170" s="2"/>
    </row>
    <row r="1171" spans="1:1" x14ac:dyDescent="0.35">
      <c r="A1171" s="2"/>
    </row>
    <row r="1172" spans="1:1" x14ac:dyDescent="0.35">
      <c r="A1172" s="2"/>
    </row>
    <row r="1173" spans="1:1" x14ac:dyDescent="0.35">
      <c r="A1173" s="2"/>
    </row>
    <row r="1174" spans="1:1" x14ac:dyDescent="0.35">
      <c r="A1174" s="2"/>
    </row>
    <row r="1175" spans="1:1" x14ac:dyDescent="0.35">
      <c r="A1175" s="2"/>
    </row>
    <row r="1176" spans="1:1" x14ac:dyDescent="0.35">
      <c r="A1176" s="2"/>
    </row>
    <row r="1177" spans="1:1" x14ac:dyDescent="0.35">
      <c r="A1177" s="2"/>
    </row>
    <row r="1178" spans="1:1" x14ac:dyDescent="0.35">
      <c r="A1178" s="2"/>
    </row>
    <row r="1179" spans="1:1" x14ac:dyDescent="0.35">
      <c r="A1179" s="2"/>
    </row>
    <row r="1180" spans="1:1" x14ac:dyDescent="0.35">
      <c r="A1180" s="2"/>
    </row>
    <row r="1181" spans="1:1" x14ac:dyDescent="0.35">
      <c r="A1181" s="2"/>
    </row>
    <row r="1182" spans="1:1" x14ac:dyDescent="0.35">
      <c r="A1182" s="2"/>
    </row>
    <row r="1183" spans="1:1" x14ac:dyDescent="0.35">
      <c r="A1183" s="2"/>
    </row>
    <row r="1184" spans="1:1" x14ac:dyDescent="0.35">
      <c r="A1184" s="2"/>
    </row>
    <row r="1185" spans="1:1" x14ac:dyDescent="0.35">
      <c r="A1185" s="2"/>
    </row>
    <row r="1186" spans="1:1" x14ac:dyDescent="0.35">
      <c r="A1186" s="2"/>
    </row>
    <row r="1187" spans="1:1" x14ac:dyDescent="0.35">
      <c r="A1187" s="2"/>
    </row>
    <row r="1188" spans="1:1" x14ac:dyDescent="0.35">
      <c r="A1188" s="2"/>
    </row>
    <row r="1189" spans="1:1" x14ac:dyDescent="0.35">
      <c r="A1189" s="2"/>
    </row>
    <row r="1190" spans="1:1" x14ac:dyDescent="0.35">
      <c r="A1190" s="2"/>
    </row>
    <row r="1191" spans="1:1" x14ac:dyDescent="0.35">
      <c r="A1191" s="2"/>
    </row>
    <row r="1192" spans="1:1" x14ac:dyDescent="0.35">
      <c r="A1192" s="2"/>
    </row>
    <row r="1193" spans="1:1" x14ac:dyDescent="0.35">
      <c r="A1193" s="2"/>
    </row>
    <row r="1194" spans="1:1" x14ac:dyDescent="0.35">
      <c r="A1194" s="2"/>
    </row>
    <row r="1195" spans="1:1" x14ac:dyDescent="0.35">
      <c r="A1195" s="2"/>
    </row>
    <row r="1196" spans="1:1" x14ac:dyDescent="0.35">
      <c r="A1196" s="2"/>
    </row>
    <row r="1197" spans="1:1" x14ac:dyDescent="0.35">
      <c r="A1197" s="2"/>
    </row>
    <row r="1198" spans="1:1" x14ac:dyDescent="0.35">
      <c r="A1198" s="2"/>
    </row>
    <row r="1199" spans="1:1" x14ac:dyDescent="0.35">
      <c r="A1199" s="2"/>
    </row>
    <row r="1200" spans="1:1" x14ac:dyDescent="0.35">
      <c r="A1200" s="2"/>
    </row>
    <row r="1201" spans="1:1" x14ac:dyDescent="0.35">
      <c r="A1201" s="2"/>
    </row>
    <row r="1202" spans="1:1" x14ac:dyDescent="0.35">
      <c r="A1202" s="2"/>
    </row>
    <row r="1203" spans="1:1" x14ac:dyDescent="0.35">
      <c r="A1203" s="2"/>
    </row>
    <row r="1204" spans="1:1" x14ac:dyDescent="0.35">
      <c r="A1204" s="2"/>
    </row>
    <row r="1205" spans="1:1" x14ac:dyDescent="0.35">
      <c r="A1205" s="2"/>
    </row>
    <row r="1206" spans="1:1" x14ac:dyDescent="0.35">
      <c r="A1206" s="2"/>
    </row>
    <row r="1207" spans="1:1" x14ac:dyDescent="0.35">
      <c r="A1207" s="2"/>
    </row>
    <row r="1208" spans="1:1" x14ac:dyDescent="0.35">
      <c r="A1208" s="2"/>
    </row>
    <row r="1209" spans="1:1" x14ac:dyDescent="0.35">
      <c r="A1209" s="2"/>
    </row>
    <row r="1210" spans="1:1" x14ac:dyDescent="0.35">
      <c r="A1210" s="2"/>
    </row>
    <row r="1211" spans="1:1" x14ac:dyDescent="0.35">
      <c r="A1211" s="2"/>
    </row>
    <row r="1212" spans="1:1" x14ac:dyDescent="0.35">
      <c r="A1212" s="2"/>
    </row>
    <row r="1213" spans="1:1" x14ac:dyDescent="0.35">
      <c r="A1213" s="2"/>
    </row>
    <row r="1214" spans="1:1" x14ac:dyDescent="0.35">
      <c r="A1214" s="2"/>
    </row>
    <row r="1215" spans="1:1" x14ac:dyDescent="0.35">
      <c r="A1215" s="2"/>
    </row>
    <row r="1216" spans="1:1" x14ac:dyDescent="0.35">
      <c r="A1216" s="2"/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/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/>
    </row>
    <row r="1240" spans="1:1" x14ac:dyDescent="0.35">
      <c r="A1240" s="2"/>
    </row>
    <row r="1241" spans="1:1" x14ac:dyDescent="0.35">
      <c r="A1241" s="2"/>
    </row>
    <row r="1242" spans="1:1" x14ac:dyDescent="0.35">
      <c r="A1242" s="2"/>
    </row>
    <row r="1243" spans="1:1" x14ac:dyDescent="0.35">
      <c r="A1243" s="2"/>
    </row>
    <row r="1244" spans="1:1" x14ac:dyDescent="0.35">
      <c r="A1244" s="2"/>
    </row>
    <row r="1245" spans="1:1" x14ac:dyDescent="0.35">
      <c r="A1245" s="2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2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2"/>
    </row>
    <row r="1256" spans="1:1" x14ac:dyDescent="0.35">
      <c r="A1256" s="2"/>
    </row>
    <row r="1257" spans="1:1" x14ac:dyDescent="0.35">
      <c r="A1257" s="2"/>
    </row>
    <row r="1258" spans="1:1" x14ac:dyDescent="0.35">
      <c r="A1258" s="2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2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2"/>
    </row>
    <row r="1275" spans="1:1" x14ac:dyDescent="0.35">
      <c r="A1275" s="2"/>
    </row>
    <row r="1276" spans="1:1" x14ac:dyDescent="0.35">
      <c r="A1276" s="2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2"/>
    </row>
    <row r="1281" spans="1:1" x14ac:dyDescent="0.35">
      <c r="A1281" s="2"/>
    </row>
    <row r="1282" spans="1:1" x14ac:dyDescent="0.35">
      <c r="A1282" s="2"/>
    </row>
    <row r="1283" spans="1:1" x14ac:dyDescent="0.35">
      <c r="A1283" s="2"/>
    </row>
    <row r="1284" spans="1:1" x14ac:dyDescent="0.35">
      <c r="A1284" s="2"/>
    </row>
    <row r="1285" spans="1:1" x14ac:dyDescent="0.35">
      <c r="A1285" s="2"/>
    </row>
    <row r="1286" spans="1:1" x14ac:dyDescent="0.35">
      <c r="A1286" s="2"/>
    </row>
    <row r="1287" spans="1:1" x14ac:dyDescent="0.35">
      <c r="A1287" s="2"/>
    </row>
    <row r="1288" spans="1:1" x14ac:dyDescent="0.35">
      <c r="A1288" s="2"/>
    </row>
    <row r="1289" spans="1:1" x14ac:dyDescent="0.35">
      <c r="A1289" s="2"/>
    </row>
    <row r="1290" spans="1:1" x14ac:dyDescent="0.35">
      <c r="A1290" s="2"/>
    </row>
    <row r="1291" spans="1:1" x14ac:dyDescent="0.35">
      <c r="A1291" s="2"/>
    </row>
    <row r="1292" spans="1:1" x14ac:dyDescent="0.35">
      <c r="A1292" s="2"/>
    </row>
    <row r="1293" spans="1:1" x14ac:dyDescent="0.35">
      <c r="A1293" s="2"/>
    </row>
    <row r="1294" spans="1:1" x14ac:dyDescent="0.35">
      <c r="A1294" s="2"/>
    </row>
    <row r="1295" spans="1:1" x14ac:dyDescent="0.35">
      <c r="A1295" s="2"/>
    </row>
    <row r="1296" spans="1:1" x14ac:dyDescent="0.35">
      <c r="A1296" s="2"/>
    </row>
    <row r="1297" spans="1:1" x14ac:dyDescent="0.35">
      <c r="A1297" s="2"/>
    </row>
    <row r="1298" spans="1:1" x14ac:dyDescent="0.35">
      <c r="A1298" s="2"/>
    </row>
    <row r="1299" spans="1:1" x14ac:dyDescent="0.35">
      <c r="A1299" s="2"/>
    </row>
    <row r="1300" spans="1:1" x14ac:dyDescent="0.35">
      <c r="A1300" s="2"/>
    </row>
    <row r="1301" spans="1:1" x14ac:dyDescent="0.35">
      <c r="A1301" s="2"/>
    </row>
    <row r="1302" spans="1:1" x14ac:dyDescent="0.35">
      <c r="A1302" s="2"/>
    </row>
    <row r="1303" spans="1:1" x14ac:dyDescent="0.35">
      <c r="A1303" s="2"/>
    </row>
    <row r="1304" spans="1:1" x14ac:dyDescent="0.35">
      <c r="A1304" s="2"/>
    </row>
    <row r="1305" spans="1:1" x14ac:dyDescent="0.35">
      <c r="A1305" s="2"/>
    </row>
    <row r="1306" spans="1:1" x14ac:dyDescent="0.35">
      <c r="A1306" s="2"/>
    </row>
    <row r="1307" spans="1:1" x14ac:dyDescent="0.35">
      <c r="A1307" s="2"/>
    </row>
    <row r="1308" spans="1:1" x14ac:dyDescent="0.35">
      <c r="A1308" s="2"/>
    </row>
    <row r="1309" spans="1:1" x14ac:dyDescent="0.35">
      <c r="A1309" s="2"/>
    </row>
    <row r="1310" spans="1:1" x14ac:dyDescent="0.35">
      <c r="A1310" s="2"/>
    </row>
    <row r="1311" spans="1:1" x14ac:dyDescent="0.35">
      <c r="A1311" s="2"/>
    </row>
    <row r="1312" spans="1:1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2"/>
    </row>
    <row r="1318" spans="1:1" x14ac:dyDescent="0.35">
      <c r="A1318" s="2"/>
    </row>
    <row r="1319" spans="1:1" x14ac:dyDescent="0.35">
      <c r="A1319" s="2"/>
    </row>
    <row r="1320" spans="1:1" x14ac:dyDescent="0.35">
      <c r="A1320" s="2"/>
    </row>
    <row r="1321" spans="1:1" x14ac:dyDescent="0.35">
      <c r="A1321" s="2"/>
    </row>
    <row r="1322" spans="1:1" x14ac:dyDescent="0.35">
      <c r="A1322" s="2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2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2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2"/>
    </row>
    <row r="1344" spans="1:1" x14ac:dyDescent="0.35">
      <c r="A1344" s="2"/>
    </row>
    <row r="1345" spans="1:1" x14ac:dyDescent="0.35">
      <c r="A1345" s="2"/>
    </row>
    <row r="1346" spans="1:1" x14ac:dyDescent="0.35">
      <c r="A1346" s="2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2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2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  <row r="1372" spans="1:1" x14ac:dyDescent="0.35">
      <c r="A1372" s="2"/>
    </row>
    <row r="1373" spans="1:1" x14ac:dyDescent="0.35">
      <c r="A1373" s="2"/>
    </row>
    <row r="1374" spans="1:1" x14ac:dyDescent="0.35">
      <c r="A1374" s="2"/>
    </row>
    <row r="1375" spans="1:1" x14ac:dyDescent="0.35">
      <c r="A1375" s="2"/>
    </row>
    <row r="1376" spans="1:1" x14ac:dyDescent="0.35">
      <c r="A1376" s="2"/>
    </row>
    <row r="1377" spans="1:1" x14ac:dyDescent="0.35">
      <c r="A1377" s="2"/>
    </row>
    <row r="1378" spans="1:1" x14ac:dyDescent="0.35">
      <c r="A1378" s="2"/>
    </row>
    <row r="1379" spans="1:1" x14ac:dyDescent="0.35">
      <c r="A1379" s="2"/>
    </row>
    <row r="1380" spans="1:1" x14ac:dyDescent="0.35">
      <c r="A1380" s="2"/>
    </row>
    <row r="1381" spans="1:1" x14ac:dyDescent="0.35">
      <c r="A1381" s="2"/>
    </row>
    <row r="1382" spans="1:1" x14ac:dyDescent="0.35">
      <c r="A1382" s="2"/>
    </row>
    <row r="1383" spans="1:1" x14ac:dyDescent="0.35">
      <c r="A1383" s="2"/>
    </row>
    <row r="1384" spans="1:1" x14ac:dyDescent="0.35">
      <c r="A1384" s="2"/>
    </row>
    <row r="1385" spans="1:1" x14ac:dyDescent="0.35">
      <c r="A1385" s="2"/>
    </row>
    <row r="1386" spans="1:1" x14ac:dyDescent="0.35">
      <c r="A1386" s="2"/>
    </row>
    <row r="1387" spans="1:1" x14ac:dyDescent="0.35">
      <c r="A1387" s="2"/>
    </row>
    <row r="1388" spans="1:1" x14ac:dyDescent="0.35">
      <c r="A1388" s="2"/>
    </row>
    <row r="1389" spans="1:1" x14ac:dyDescent="0.35">
      <c r="A1389" s="2"/>
    </row>
    <row r="1390" spans="1:1" x14ac:dyDescent="0.35">
      <c r="A1390" s="2"/>
    </row>
    <row r="1391" spans="1:1" x14ac:dyDescent="0.35">
      <c r="A1391" s="2"/>
    </row>
    <row r="1392" spans="1:1" x14ac:dyDescent="0.35">
      <c r="A1392" s="2"/>
    </row>
    <row r="1393" spans="1:1" x14ac:dyDescent="0.35">
      <c r="A1393" s="2"/>
    </row>
    <row r="1394" spans="1:1" x14ac:dyDescent="0.35">
      <c r="A1394" s="2"/>
    </row>
    <row r="1395" spans="1:1" x14ac:dyDescent="0.35">
      <c r="A1395" s="2"/>
    </row>
    <row r="1396" spans="1:1" x14ac:dyDescent="0.35">
      <c r="A1396" s="2"/>
    </row>
    <row r="1397" spans="1:1" x14ac:dyDescent="0.35">
      <c r="A1397" s="2"/>
    </row>
    <row r="1398" spans="1:1" x14ac:dyDescent="0.35">
      <c r="A1398" s="2"/>
    </row>
    <row r="1399" spans="1:1" x14ac:dyDescent="0.35">
      <c r="A1399" s="2"/>
    </row>
    <row r="1400" spans="1:1" x14ac:dyDescent="0.35">
      <c r="A1400" s="2"/>
    </row>
    <row r="1401" spans="1:1" x14ac:dyDescent="0.35">
      <c r="A1401" s="2"/>
    </row>
    <row r="1402" spans="1:1" x14ac:dyDescent="0.35">
      <c r="A1402" s="2"/>
    </row>
    <row r="1403" spans="1:1" x14ac:dyDescent="0.35">
      <c r="A1403" s="2"/>
    </row>
    <row r="1404" spans="1:1" x14ac:dyDescent="0.35">
      <c r="A1404" s="2"/>
    </row>
    <row r="1405" spans="1:1" x14ac:dyDescent="0.35">
      <c r="A1405" s="2"/>
    </row>
    <row r="1406" spans="1:1" x14ac:dyDescent="0.35">
      <c r="A1406" s="2"/>
    </row>
    <row r="1407" spans="1:1" x14ac:dyDescent="0.35">
      <c r="A1407" s="2"/>
    </row>
    <row r="1408" spans="1:1" x14ac:dyDescent="0.35">
      <c r="A1408" s="2"/>
    </row>
    <row r="1409" spans="1:1" x14ac:dyDescent="0.35">
      <c r="A1409" s="2"/>
    </row>
    <row r="1410" spans="1:1" x14ac:dyDescent="0.35">
      <c r="A1410" s="2"/>
    </row>
    <row r="1411" spans="1:1" x14ac:dyDescent="0.35">
      <c r="A1411" s="2"/>
    </row>
    <row r="1412" spans="1:1" x14ac:dyDescent="0.35">
      <c r="A1412" s="2"/>
    </row>
    <row r="1413" spans="1:1" x14ac:dyDescent="0.35">
      <c r="A1413" s="2"/>
    </row>
    <row r="1414" spans="1:1" x14ac:dyDescent="0.35">
      <c r="A1414" s="2"/>
    </row>
    <row r="1415" spans="1:1" x14ac:dyDescent="0.35">
      <c r="A1415" s="2"/>
    </row>
    <row r="1416" spans="1:1" x14ac:dyDescent="0.35">
      <c r="A1416" s="2"/>
    </row>
    <row r="1417" spans="1:1" x14ac:dyDescent="0.35">
      <c r="A1417" s="2"/>
    </row>
    <row r="1418" spans="1:1" x14ac:dyDescent="0.35">
      <c r="A1418" s="2"/>
    </row>
    <row r="1419" spans="1:1" x14ac:dyDescent="0.35">
      <c r="A1419" s="2"/>
    </row>
    <row r="1420" spans="1:1" x14ac:dyDescent="0.35">
      <c r="A1420" s="2"/>
    </row>
    <row r="1421" spans="1:1" x14ac:dyDescent="0.35">
      <c r="A1421" s="2"/>
    </row>
    <row r="1422" spans="1:1" x14ac:dyDescent="0.35">
      <c r="A1422" s="2"/>
    </row>
    <row r="1423" spans="1:1" x14ac:dyDescent="0.35">
      <c r="A1423" s="2"/>
    </row>
    <row r="1424" spans="1:1" x14ac:dyDescent="0.35">
      <c r="A1424" s="2"/>
    </row>
    <row r="1425" spans="1:1" x14ac:dyDescent="0.35">
      <c r="A1425" s="2"/>
    </row>
    <row r="1426" spans="1:1" x14ac:dyDescent="0.35">
      <c r="A1426" s="2"/>
    </row>
    <row r="1427" spans="1:1" x14ac:dyDescent="0.35">
      <c r="A1427" s="2"/>
    </row>
    <row r="1428" spans="1:1" x14ac:dyDescent="0.35">
      <c r="A1428" s="2"/>
    </row>
    <row r="1429" spans="1:1" x14ac:dyDescent="0.35">
      <c r="A1429" s="2"/>
    </row>
    <row r="1430" spans="1:1" x14ac:dyDescent="0.35">
      <c r="A1430" s="2"/>
    </row>
    <row r="1431" spans="1:1" x14ac:dyDescent="0.35">
      <c r="A1431" s="2"/>
    </row>
    <row r="1432" spans="1:1" x14ac:dyDescent="0.35">
      <c r="A1432" s="2"/>
    </row>
    <row r="1433" spans="1:1" x14ac:dyDescent="0.35">
      <c r="A1433" s="2"/>
    </row>
    <row r="1434" spans="1:1" x14ac:dyDescent="0.35">
      <c r="A1434" s="2"/>
    </row>
    <row r="1435" spans="1:1" x14ac:dyDescent="0.35">
      <c r="A1435" s="2"/>
    </row>
    <row r="1436" spans="1:1" x14ac:dyDescent="0.35">
      <c r="A1436" s="2"/>
    </row>
    <row r="1437" spans="1:1" x14ac:dyDescent="0.35">
      <c r="A1437" s="2"/>
    </row>
    <row r="1438" spans="1:1" x14ac:dyDescent="0.35">
      <c r="A1438" s="2"/>
    </row>
    <row r="1439" spans="1:1" x14ac:dyDescent="0.35">
      <c r="A1439" s="2"/>
    </row>
    <row r="1440" spans="1:1" x14ac:dyDescent="0.35">
      <c r="A1440" s="2"/>
    </row>
    <row r="1441" spans="1:1" x14ac:dyDescent="0.35">
      <c r="A1441" s="2"/>
    </row>
    <row r="1442" spans="1:1" x14ac:dyDescent="0.35">
      <c r="A1442" s="2"/>
    </row>
    <row r="1443" spans="1:1" x14ac:dyDescent="0.35">
      <c r="A1443" s="2"/>
    </row>
    <row r="1444" spans="1:1" x14ac:dyDescent="0.35">
      <c r="A1444" s="2"/>
    </row>
    <row r="1445" spans="1:1" x14ac:dyDescent="0.35">
      <c r="A1445" s="2"/>
    </row>
    <row r="1446" spans="1:1" x14ac:dyDescent="0.35">
      <c r="A1446" s="2"/>
    </row>
    <row r="1447" spans="1:1" x14ac:dyDescent="0.35">
      <c r="A1447" s="2"/>
    </row>
    <row r="1448" spans="1:1" x14ac:dyDescent="0.35">
      <c r="A1448" s="2"/>
    </row>
    <row r="1449" spans="1:1" x14ac:dyDescent="0.35">
      <c r="A1449" s="2"/>
    </row>
    <row r="1450" spans="1:1" x14ac:dyDescent="0.35">
      <c r="A1450" s="2"/>
    </row>
    <row r="1451" spans="1:1" x14ac:dyDescent="0.35">
      <c r="A1451" s="2"/>
    </row>
    <row r="1452" spans="1:1" x14ac:dyDescent="0.35">
      <c r="A1452" s="2"/>
    </row>
    <row r="1453" spans="1:1" x14ac:dyDescent="0.35">
      <c r="A1453" s="2"/>
    </row>
    <row r="1454" spans="1:1" x14ac:dyDescent="0.35">
      <c r="A1454" s="2"/>
    </row>
    <row r="1455" spans="1:1" x14ac:dyDescent="0.35">
      <c r="A1455" s="2"/>
    </row>
    <row r="1456" spans="1:1" x14ac:dyDescent="0.35">
      <c r="A1456" s="2"/>
    </row>
    <row r="1457" spans="1:1" x14ac:dyDescent="0.35">
      <c r="A1457" s="2"/>
    </row>
    <row r="1458" spans="1:1" x14ac:dyDescent="0.35">
      <c r="A1458" s="2"/>
    </row>
    <row r="1459" spans="1:1" x14ac:dyDescent="0.35">
      <c r="A1459" s="2"/>
    </row>
    <row r="1460" spans="1:1" x14ac:dyDescent="0.35">
      <c r="A1460" s="2"/>
    </row>
    <row r="1461" spans="1:1" x14ac:dyDescent="0.35">
      <c r="A1461" s="2"/>
    </row>
    <row r="1462" spans="1:1" x14ac:dyDescent="0.35">
      <c r="A1462" s="2"/>
    </row>
    <row r="1463" spans="1:1" x14ac:dyDescent="0.35">
      <c r="A1463" s="2"/>
    </row>
    <row r="1464" spans="1:1" x14ac:dyDescent="0.35">
      <c r="A1464" s="2"/>
    </row>
    <row r="1465" spans="1:1" x14ac:dyDescent="0.35">
      <c r="A1465" s="2"/>
    </row>
    <row r="1466" spans="1:1" x14ac:dyDescent="0.35">
      <c r="A1466" s="2"/>
    </row>
    <row r="1467" spans="1:1" x14ac:dyDescent="0.35">
      <c r="A1467" s="2"/>
    </row>
    <row r="1468" spans="1:1" x14ac:dyDescent="0.35">
      <c r="A1468" s="2"/>
    </row>
    <row r="1469" spans="1:1" x14ac:dyDescent="0.35">
      <c r="A1469" s="2"/>
    </row>
    <row r="1470" spans="1:1" x14ac:dyDescent="0.35">
      <c r="A1470" s="2"/>
    </row>
    <row r="1471" spans="1:1" x14ac:dyDescent="0.35">
      <c r="A1471" s="2"/>
    </row>
    <row r="1472" spans="1:1" x14ac:dyDescent="0.35">
      <c r="A1472" s="2"/>
    </row>
    <row r="1473" spans="1:1" x14ac:dyDescent="0.35">
      <c r="A1473" s="2"/>
    </row>
    <row r="1474" spans="1:1" x14ac:dyDescent="0.35">
      <c r="A1474" s="2"/>
    </row>
    <row r="1475" spans="1:1" x14ac:dyDescent="0.35">
      <c r="A1475" s="2"/>
    </row>
    <row r="1476" spans="1:1" x14ac:dyDescent="0.35">
      <c r="A1476" s="2"/>
    </row>
    <row r="1477" spans="1:1" x14ac:dyDescent="0.35">
      <c r="A1477" s="2"/>
    </row>
    <row r="1478" spans="1:1" x14ac:dyDescent="0.35">
      <c r="A1478" s="2"/>
    </row>
    <row r="1479" spans="1:1" x14ac:dyDescent="0.35">
      <c r="A1479" s="2"/>
    </row>
    <row r="1480" spans="1:1" x14ac:dyDescent="0.35">
      <c r="A1480" s="2"/>
    </row>
    <row r="1481" spans="1:1" x14ac:dyDescent="0.35">
      <c r="A1481" s="2"/>
    </row>
    <row r="1482" spans="1:1" x14ac:dyDescent="0.35">
      <c r="A1482" s="2"/>
    </row>
    <row r="1483" spans="1:1" x14ac:dyDescent="0.35">
      <c r="A1483" s="2"/>
    </row>
    <row r="1484" spans="1:1" x14ac:dyDescent="0.35">
      <c r="A1484" s="2"/>
    </row>
    <row r="1485" spans="1:1" x14ac:dyDescent="0.35">
      <c r="A1485" s="2"/>
    </row>
    <row r="1486" spans="1:1" x14ac:dyDescent="0.35">
      <c r="A1486" s="2"/>
    </row>
    <row r="1487" spans="1:1" x14ac:dyDescent="0.35">
      <c r="A1487" s="2"/>
    </row>
    <row r="1488" spans="1:1" x14ac:dyDescent="0.35">
      <c r="A1488" s="2"/>
    </row>
    <row r="1489" spans="1:1" x14ac:dyDescent="0.35">
      <c r="A1489" s="2"/>
    </row>
    <row r="1490" spans="1:1" x14ac:dyDescent="0.35">
      <c r="A1490" s="2"/>
    </row>
    <row r="1491" spans="1:1" x14ac:dyDescent="0.35">
      <c r="A1491" s="2"/>
    </row>
    <row r="1492" spans="1:1" x14ac:dyDescent="0.35">
      <c r="A1492" s="2"/>
    </row>
    <row r="1493" spans="1:1" x14ac:dyDescent="0.35">
      <c r="A1493" s="2"/>
    </row>
    <row r="1494" spans="1:1" x14ac:dyDescent="0.35">
      <c r="A1494" s="2"/>
    </row>
    <row r="1495" spans="1:1" x14ac:dyDescent="0.35">
      <c r="A1495" s="2"/>
    </row>
    <row r="1496" spans="1:1" x14ac:dyDescent="0.35">
      <c r="A1496" s="2"/>
    </row>
    <row r="1497" spans="1:1" x14ac:dyDescent="0.35">
      <c r="A1497" s="2"/>
    </row>
    <row r="1498" spans="1:1" x14ac:dyDescent="0.35">
      <c r="A1498" s="2"/>
    </row>
    <row r="1499" spans="1:1" x14ac:dyDescent="0.35">
      <c r="A1499" s="2"/>
    </row>
    <row r="1500" spans="1:1" x14ac:dyDescent="0.35">
      <c r="A1500" s="2"/>
    </row>
    <row r="1501" spans="1:1" x14ac:dyDescent="0.35">
      <c r="A1501" s="2"/>
    </row>
    <row r="1502" spans="1:1" x14ac:dyDescent="0.35">
      <c r="A1502" s="2"/>
    </row>
    <row r="1503" spans="1:1" x14ac:dyDescent="0.35">
      <c r="A1503" s="2"/>
    </row>
    <row r="1504" spans="1:1" x14ac:dyDescent="0.35">
      <c r="A1504" s="2"/>
    </row>
    <row r="1505" spans="1:1" x14ac:dyDescent="0.35">
      <c r="A1505" s="2"/>
    </row>
    <row r="1506" spans="1:1" x14ac:dyDescent="0.35">
      <c r="A1506" s="2"/>
    </row>
    <row r="1507" spans="1:1" x14ac:dyDescent="0.35">
      <c r="A1507" s="2"/>
    </row>
    <row r="1508" spans="1:1" x14ac:dyDescent="0.35">
      <c r="A1508" s="2"/>
    </row>
    <row r="1509" spans="1:1" x14ac:dyDescent="0.35">
      <c r="A1509" s="2"/>
    </row>
    <row r="1510" spans="1:1" x14ac:dyDescent="0.35">
      <c r="A1510" s="2"/>
    </row>
    <row r="1511" spans="1:1" x14ac:dyDescent="0.35">
      <c r="A1511" s="2"/>
    </row>
    <row r="1512" spans="1:1" x14ac:dyDescent="0.35">
      <c r="A1512" s="2"/>
    </row>
    <row r="1513" spans="1:1" x14ac:dyDescent="0.35">
      <c r="A1513" s="2"/>
    </row>
    <row r="1514" spans="1:1" x14ac:dyDescent="0.35">
      <c r="A1514" s="2"/>
    </row>
    <row r="1515" spans="1:1" x14ac:dyDescent="0.35">
      <c r="A1515" s="2"/>
    </row>
    <row r="1516" spans="1:1" x14ac:dyDescent="0.35">
      <c r="A1516" s="2"/>
    </row>
    <row r="1517" spans="1:1" x14ac:dyDescent="0.35">
      <c r="A1517" s="2"/>
    </row>
    <row r="1518" spans="1:1" x14ac:dyDescent="0.35">
      <c r="A1518" s="2"/>
    </row>
    <row r="1519" spans="1:1" x14ac:dyDescent="0.35">
      <c r="A1519" s="2"/>
    </row>
    <row r="1520" spans="1:1" x14ac:dyDescent="0.35">
      <c r="A1520" s="2"/>
    </row>
    <row r="1521" spans="1:1" x14ac:dyDescent="0.35">
      <c r="A1521" s="2"/>
    </row>
    <row r="1522" spans="1:1" x14ac:dyDescent="0.35">
      <c r="A1522" s="2"/>
    </row>
    <row r="1523" spans="1:1" x14ac:dyDescent="0.35">
      <c r="A1523" s="2"/>
    </row>
    <row r="1524" spans="1:1" x14ac:dyDescent="0.35">
      <c r="A1524" s="2"/>
    </row>
    <row r="1525" spans="1:1" x14ac:dyDescent="0.35">
      <c r="A1525" s="2"/>
    </row>
    <row r="1526" spans="1:1" x14ac:dyDescent="0.35">
      <c r="A1526" s="2"/>
    </row>
    <row r="1527" spans="1:1" x14ac:dyDescent="0.35">
      <c r="A1527" s="2"/>
    </row>
    <row r="1528" spans="1:1" x14ac:dyDescent="0.35">
      <c r="A1528" s="2"/>
    </row>
    <row r="1529" spans="1:1" x14ac:dyDescent="0.35">
      <c r="A1529" s="2"/>
    </row>
    <row r="1530" spans="1:1" x14ac:dyDescent="0.35">
      <c r="A1530" s="2"/>
    </row>
    <row r="1531" spans="1:1" x14ac:dyDescent="0.35">
      <c r="A1531" s="2"/>
    </row>
    <row r="1532" spans="1:1" x14ac:dyDescent="0.35">
      <c r="A1532" s="2"/>
    </row>
    <row r="1533" spans="1:1" x14ac:dyDescent="0.35">
      <c r="A1533" s="2"/>
    </row>
    <row r="1534" spans="1:1" x14ac:dyDescent="0.35">
      <c r="A1534" s="2"/>
    </row>
    <row r="1535" spans="1:1" x14ac:dyDescent="0.35">
      <c r="A1535" s="2"/>
    </row>
    <row r="1536" spans="1:1" x14ac:dyDescent="0.35">
      <c r="A1536" s="2"/>
    </row>
    <row r="1537" spans="1:1" x14ac:dyDescent="0.35">
      <c r="A1537" s="2"/>
    </row>
    <row r="1538" spans="1:1" x14ac:dyDescent="0.35">
      <c r="A1538" s="2"/>
    </row>
    <row r="1539" spans="1:1" x14ac:dyDescent="0.35">
      <c r="A1539" s="2"/>
    </row>
    <row r="1540" spans="1:1" x14ac:dyDescent="0.35">
      <c r="A1540" s="2"/>
    </row>
    <row r="1541" spans="1:1" x14ac:dyDescent="0.35">
      <c r="A1541" s="2"/>
    </row>
    <row r="1542" spans="1:1" x14ac:dyDescent="0.35">
      <c r="A1542" s="2"/>
    </row>
    <row r="1543" spans="1:1" x14ac:dyDescent="0.35">
      <c r="A1543" s="2"/>
    </row>
    <row r="1544" spans="1:1" x14ac:dyDescent="0.35">
      <c r="A1544" s="2"/>
    </row>
    <row r="1545" spans="1:1" x14ac:dyDescent="0.35">
      <c r="A1545" s="2"/>
    </row>
    <row r="1546" spans="1:1" x14ac:dyDescent="0.35">
      <c r="A1546" s="2"/>
    </row>
    <row r="1547" spans="1:1" x14ac:dyDescent="0.35">
      <c r="A1547" s="2"/>
    </row>
    <row r="1548" spans="1:1" x14ac:dyDescent="0.35">
      <c r="A1548" s="2"/>
    </row>
    <row r="1549" spans="1:1" x14ac:dyDescent="0.35">
      <c r="A1549" s="2"/>
    </row>
    <row r="1550" spans="1:1" x14ac:dyDescent="0.35">
      <c r="A1550" s="2"/>
    </row>
    <row r="1551" spans="1:1" x14ac:dyDescent="0.35">
      <c r="A1551" s="2"/>
    </row>
    <row r="1552" spans="1:1" x14ac:dyDescent="0.35">
      <c r="A1552" s="2"/>
    </row>
    <row r="1553" spans="1:1" x14ac:dyDescent="0.35">
      <c r="A1553" s="2"/>
    </row>
    <row r="1554" spans="1:1" x14ac:dyDescent="0.35">
      <c r="A1554" s="2"/>
    </row>
    <row r="1555" spans="1:1" x14ac:dyDescent="0.35">
      <c r="A1555" s="2"/>
    </row>
    <row r="1556" spans="1:1" x14ac:dyDescent="0.35">
      <c r="A1556" s="2"/>
    </row>
    <row r="1557" spans="1:1" x14ac:dyDescent="0.35">
      <c r="A1557" s="2"/>
    </row>
    <row r="1558" spans="1:1" x14ac:dyDescent="0.35">
      <c r="A1558" s="2"/>
    </row>
    <row r="1559" spans="1:1" x14ac:dyDescent="0.35">
      <c r="A1559" s="2"/>
    </row>
    <row r="1560" spans="1:1" x14ac:dyDescent="0.35">
      <c r="A1560" s="2"/>
    </row>
    <row r="1561" spans="1:1" x14ac:dyDescent="0.35">
      <c r="A1561" s="2"/>
    </row>
    <row r="1562" spans="1:1" x14ac:dyDescent="0.35">
      <c r="A1562" s="2"/>
    </row>
    <row r="1563" spans="1:1" x14ac:dyDescent="0.35">
      <c r="A1563" s="2"/>
    </row>
    <row r="1564" spans="1:1" x14ac:dyDescent="0.35">
      <c r="A1564" s="2"/>
    </row>
    <row r="1565" spans="1:1" x14ac:dyDescent="0.35">
      <c r="A1565" s="2"/>
    </row>
    <row r="1566" spans="1:1" x14ac:dyDescent="0.35">
      <c r="A1566" s="2"/>
    </row>
    <row r="1567" spans="1:1" x14ac:dyDescent="0.35">
      <c r="A1567" s="2"/>
    </row>
    <row r="1568" spans="1:1" x14ac:dyDescent="0.35">
      <c r="A1568" s="2"/>
    </row>
    <row r="1569" spans="1:1" x14ac:dyDescent="0.35">
      <c r="A1569" s="2"/>
    </row>
    <row r="1570" spans="1:1" x14ac:dyDescent="0.35">
      <c r="A1570" s="2"/>
    </row>
    <row r="1571" spans="1:1" x14ac:dyDescent="0.35">
      <c r="A1571" s="2"/>
    </row>
    <row r="1572" spans="1:1" x14ac:dyDescent="0.35">
      <c r="A1572" s="2"/>
    </row>
    <row r="1573" spans="1:1" x14ac:dyDescent="0.35">
      <c r="A1573" s="2"/>
    </row>
    <row r="1574" spans="1:1" x14ac:dyDescent="0.35">
      <c r="A1574" s="2"/>
    </row>
    <row r="1575" spans="1:1" x14ac:dyDescent="0.35">
      <c r="A1575" s="2"/>
    </row>
    <row r="1576" spans="1:1" x14ac:dyDescent="0.35">
      <c r="A1576" s="2"/>
    </row>
    <row r="1577" spans="1:1" x14ac:dyDescent="0.35">
      <c r="A1577" s="2"/>
    </row>
    <row r="1578" spans="1:1" x14ac:dyDescent="0.35">
      <c r="A1578" s="2"/>
    </row>
    <row r="1579" spans="1:1" x14ac:dyDescent="0.35">
      <c r="A1579" s="2"/>
    </row>
    <row r="1580" spans="1:1" x14ac:dyDescent="0.35">
      <c r="A1580" s="2"/>
    </row>
    <row r="1581" spans="1:1" x14ac:dyDescent="0.35">
      <c r="A1581" s="2"/>
    </row>
    <row r="1582" spans="1:1" x14ac:dyDescent="0.35">
      <c r="A1582" s="2"/>
    </row>
    <row r="1583" spans="1:1" x14ac:dyDescent="0.35">
      <c r="A1583" s="2"/>
    </row>
    <row r="1584" spans="1:1" x14ac:dyDescent="0.35">
      <c r="A1584" s="2"/>
    </row>
    <row r="1585" spans="1:1" x14ac:dyDescent="0.35">
      <c r="A1585" s="2"/>
    </row>
    <row r="1586" spans="1:1" x14ac:dyDescent="0.35">
      <c r="A1586" s="2"/>
    </row>
    <row r="1587" spans="1:1" x14ac:dyDescent="0.35">
      <c r="A1587" s="2"/>
    </row>
    <row r="1588" spans="1:1" x14ac:dyDescent="0.35">
      <c r="A1588" s="2"/>
    </row>
    <row r="1589" spans="1:1" x14ac:dyDescent="0.35">
      <c r="A1589" s="2"/>
    </row>
    <row r="1590" spans="1:1" x14ac:dyDescent="0.35">
      <c r="A1590" s="2"/>
    </row>
    <row r="1591" spans="1:1" x14ac:dyDescent="0.35">
      <c r="A1591" s="2"/>
    </row>
    <row r="1592" spans="1:1" x14ac:dyDescent="0.35">
      <c r="A1592" s="2"/>
    </row>
    <row r="1593" spans="1:1" x14ac:dyDescent="0.35">
      <c r="A1593" s="2"/>
    </row>
    <row r="1594" spans="1:1" x14ac:dyDescent="0.35">
      <c r="A1594" s="2"/>
    </row>
    <row r="1595" spans="1:1" x14ac:dyDescent="0.35">
      <c r="A1595" s="2"/>
    </row>
    <row r="1596" spans="1:1" x14ac:dyDescent="0.35">
      <c r="A1596" s="2"/>
    </row>
    <row r="1597" spans="1:1" x14ac:dyDescent="0.35">
      <c r="A1597" s="2"/>
    </row>
    <row r="1598" spans="1:1" x14ac:dyDescent="0.35">
      <c r="A1598" s="2"/>
    </row>
    <row r="1599" spans="1:1" x14ac:dyDescent="0.35">
      <c r="A1599" s="2"/>
    </row>
    <row r="1600" spans="1:1" x14ac:dyDescent="0.35">
      <c r="A1600" s="2"/>
    </row>
    <row r="1601" spans="1:1" x14ac:dyDescent="0.35">
      <c r="A1601" s="2"/>
    </row>
    <row r="1602" spans="1:1" x14ac:dyDescent="0.35">
      <c r="A1602" s="2"/>
    </row>
    <row r="1603" spans="1:1" x14ac:dyDescent="0.35">
      <c r="A1603" s="2"/>
    </row>
    <row r="1604" spans="1:1" x14ac:dyDescent="0.35">
      <c r="A1604" s="2"/>
    </row>
    <row r="1605" spans="1:1" x14ac:dyDescent="0.35">
      <c r="A1605" s="2"/>
    </row>
    <row r="1606" spans="1:1" x14ac:dyDescent="0.35">
      <c r="A1606" s="2"/>
    </row>
    <row r="1607" spans="1:1" x14ac:dyDescent="0.35">
      <c r="A1607" s="2"/>
    </row>
    <row r="1608" spans="1:1" x14ac:dyDescent="0.35">
      <c r="A1608" s="2"/>
    </row>
    <row r="1609" spans="1:1" x14ac:dyDescent="0.35">
      <c r="A1609" s="2"/>
    </row>
    <row r="1610" spans="1:1" x14ac:dyDescent="0.35">
      <c r="A1610" s="2"/>
    </row>
    <row r="1611" spans="1:1" x14ac:dyDescent="0.35">
      <c r="A1611" s="2"/>
    </row>
    <row r="1612" spans="1:1" x14ac:dyDescent="0.35">
      <c r="A1612" s="2"/>
    </row>
    <row r="1613" spans="1:1" x14ac:dyDescent="0.35">
      <c r="A1613" s="2"/>
    </row>
    <row r="1614" spans="1:1" x14ac:dyDescent="0.35">
      <c r="A1614" s="2"/>
    </row>
    <row r="1615" spans="1:1" x14ac:dyDescent="0.35">
      <c r="A1615" s="2"/>
    </row>
    <row r="1616" spans="1:1" x14ac:dyDescent="0.35">
      <c r="A1616" s="2"/>
    </row>
    <row r="1617" spans="1:1" x14ac:dyDescent="0.35">
      <c r="A1617" s="2"/>
    </row>
    <row r="1618" spans="1:1" x14ac:dyDescent="0.35">
      <c r="A1618" s="2"/>
    </row>
    <row r="1619" spans="1:1" x14ac:dyDescent="0.35">
      <c r="A1619" s="2"/>
    </row>
    <row r="1620" spans="1:1" x14ac:dyDescent="0.35">
      <c r="A1620" s="2"/>
    </row>
    <row r="1621" spans="1:1" x14ac:dyDescent="0.35">
      <c r="A1621" s="2"/>
    </row>
    <row r="1622" spans="1:1" x14ac:dyDescent="0.35">
      <c r="A1622" s="2"/>
    </row>
    <row r="1623" spans="1:1" x14ac:dyDescent="0.35">
      <c r="A1623" s="2"/>
    </row>
    <row r="1624" spans="1:1" x14ac:dyDescent="0.35">
      <c r="A1624" s="2"/>
    </row>
    <row r="1625" spans="1:1" x14ac:dyDescent="0.35">
      <c r="A1625" s="2"/>
    </row>
    <row r="1626" spans="1:1" x14ac:dyDescent="0.35">
      <c r="A1626" s="2"/>
    </row>
    <row r="1627" spans="1:1" x14ac:dyDescent="0.35">
      <c r="A1627" s="2"/>
    </row>
    <row r="1628" spans="1:1" x14ac:dyDescent="0.35">
      <c r="A1628" s="2"/>
    </row>
    <row r="1629" spans="1:1" x14ac:dyDescent="0.35">
      <c r="A1629" s="2"/>
    </row>
    <row r="1630" spans="1:1" x14ac:dyDescent="0.35">
      <c r="A1630" s="2"/>
    </row>
    <row r="1631" spans="1:1" x14ac:dyDescent="0.35">
      <c r="A1631" s="2"/>
    </row>
    <row r="1632" spans="1:1" x14ac:dyDescent="0.35">
      <c r="A1632" s="2"/>
    </row>
    <row r="1633" spans="1:1" x14ac:dyDescent="0.35">
      <c r="A1633" s="2"/>
    </row>
    <row r="1634" spans="1:1" x14ac:dyDescent="0.35">
      <c r="A1634" s="2"/>
    </row>
    <row r="1635" spans="1:1" x14ac:dyDescent="0.35">
      <c r="A1635" s="2"/>
    </row>
    <row r="1636" spans="1:1" x14ac:dyDescent="0.35">
      <c r="A1636" s="2"/>
    </row>
    <row r="1637" spans="1:1" x14ac:dyDescent="0.35">
      <c r="A1637" s="2"/>
    </row>
    <row r="1638" spans="1:1" x14ac:dyDescent="0.35">
      <c r="A1638" s="2"/>
    </row>
    <row r="1639" spans="1:1" x14ac:dyDescent="0.35">
      <c r="A1639" s="2"/>
    </row>
    <row r="1640" spans="1:1" x14ac:dyDescent="0.35">
      <c r="A1640" s="2"/>
    </row>
    <row r="1641" spans="1:1" x14ac:dyDescent="0.35">
      <c r="A1641" s="2"/>
    </row>
    <row r="1642" spans="1:1" x14ac:dyDescent="0.35">
      <c r="A1642" s="2"/>
    </row>
    <row r="1643" spans="1:1" x14ac:dyDescent="0.35">
      <c r="A1643" s="2"/>
    </row>
    <row r="1644" spans="1:1" x14ac:dyDescent="0.35">
      <c r="A1644" s="2"/>
    </row>
    <row r="1645" spans="1:1" x14ac:dyDescent="0.35">
      <c r="A1645" s="2"/>
    </row>
    <row r="1646" spans="1:1" x14ac:dyDescent="0.35">
      <c r="A1646" s="2"/>
    </row>
    <row r="1647" spans="1:1" x14ac:dyDescent="0.35">
      <c r="A1647" s="2"/>
    </row>
    <row r="1648" spans="1:1" x14ac:dyDescent="0.35">
      <c r="A1648" s="2"/>
    </row>
    <row r="1649" spans="1:1" x14ac:dyDescent="0.35">
      <c r="A1649" s="2"/>
    </row>
    <row r="1650" spans="1:1" x14ac:dyDescent="0.35">
      <c r="A1650" s="2"/>
    </row>
    <row r="1651" spans="1:1" x14ac:dyDescent="0.35">
      <c r="A1651" s="2"/>
    </row>
    <row r="1652" spans="1:1" x14ac:dyDescent="0.35">
      <c r="A1652" s="2"/>
    </row>
    <row r="1653" spans="1:1" x14ac:dyDescent="0.35">
      <c r="A1653" s="2"/>
    </row>
    <row r="1654" spans="1:1" x14ac:dyDescent="0.35">
      <c r="A1654" s="2"/>
    </row>
    <row r="1655" spans="1:1" x14ac:dyDescent="0.35">
      <c r="A1655" s="2"/>
    </row>
    <row r="1656" spans="1:1" x14ac:dyDescent="0.35">
      <c r="A1656" s="2"/>
    </row>
    <row r="1657" spans="1:1" x14ac:dyDescent="0.35">
      <c r="A1657" s="2"/>
    </row>
    <row r="1658" spans="1:1" x14ac:dyDescent="0.35">
      <c r="A1658" s="2"/>
    </row>
    <row r="1659" spans="1:1" x14ac:dyDescent="0.35">
      <c r="A1659" s="2"/>
    </row>
    <row r="1660" spans="1:1" x14ac:dyDescent="0.35">
      <c r="A1660" s="2"/>
    </row>
    <row r="1661" spans="1:1" x14ac:dyDescent="0.35">
      <c r="A1661" s="2"/>
    </row>
    <row r="1662" spans="1:1" x14ac:dyDescent="0.35">
      <c r="A1662" s="2"/>
    </row>
    <row r="1663" spans="1:1" x14ac:dyDescent="0.35">
      <c r="A1663" s="2"/>
    </row>
    <row r="1664" spans="1:1" x14ac:dyDescent="0.35">
      <c r="A1664" s="2"/>
    </row>
    <row r="1665" spans="1:1" x14ac:dyDescent="0.35">
      <c r="A1665" s="2"/>
    </row>
    <row r="1666" spans="1:1" x14ac:dyDescent="0.35">
      <c r="A1666" s="2"/>
    </row>
    <row r="1667" spans="1:1" x14ac:dyDescent="0.35">
      <c r="A1667" s="2"/>
    </row>
    <row r="1668" spans="1:1" x14ac:dyDescent="0.35">
      <c r="A1668" s="2"/>
    </row>
    <row r="1669" spans="1:1" x14ac:dyDescent="0.35">
      <c r="A1669" s="2"/>
    </row>
    <row r="1670" spans="1:1" x14ac:dyDescent="0.35">
      <c r="A1670" s="2"/>
    </row>
    <row r="1671" spans="1:1" x14ac:dyDescent="0.35">
      <c r="A1671" s="2"/>
    </row>
    <row r="1672" spans="1:1" x14ac:dyDescent="0.35">
      <c r="A1672" s="2"/>
    </row>
    <row r="1673" spans="1:1" x14ac:dyDescent="0.35">
      <c r="A1673" s="2"/>
    </row>
    <row r="1674" spans="1:1" x14ac:dyDescent="0.35">
      <c r="A1674" s="2"/>
    </row>
    <row r="1675" spans="1:1" x14ac:dyDescent="0.35">
      <c r="A1675" s="2"/>
    </row>
    <row r="1676" spans="1:1" x14ac:dyDescent="0.35">
      <c r="A1676" s="2"/>
    </row>
    <row r="1677" spans="1:1" x14ac:dyDescent="0.35">
      <c r="A1677" s="2"/>
    </row>
    <row r="1678" spans="1:1" x14ac:dyDescent="0.35">
      <c r="A1678" s="2"/>
    </row>
    <row r="1679" spans="1:1" x14ac:dyDescent="0.35">
      <c r="A1679" s="2"/>
    </row>
    <row r="1680" spans="1:1" x14ac:dyDescent="0.35">
      <c r="A1680" s="2"/>
    </row>
    <row r="1681" spans="1:1" x14ac:dyDescent="0.35">
      <c r="A1681" s="2"/>
    </row>
    <row r="1682" spans="1:1" x14ac:dyDescent="0.35">
      <c r="A1682" s="2"/>
    </row>
    <row r="1683" spans="1:1" x14ac:dyDescent="0.35">
      <c r="A1683" s="2"/>
    </row>
    <row r="1684" spans="1:1" x14ac:dyDescent="0.35">
      <c r="A1684" s="2"/>
    </row>
    <row r="1685" spans="1:1" x14ac:dyDescent="0.35">
      <c r="A1685" s="2"/>
    </row>
    <row r="1686" spans="1:1" x14ac:dyDescent="0.35">
      <c r="A1686" s="2"/>
    </row>
    <row r="1687" spans="1:1" x14ac:dyDescent="0.35">
      <c r="A1687" s="2"/>
    </row>
    <row r="1688" spans="1:1" x14ac:dyDescent="0.35">
      <c r="A1688" s="2"/>
    </row>
    <row r="1689" spans="1:1" x14ac:dyDescent="0.35">
      <c r="A1689" s="2"/>
    </row>
    <row r="1690" spans="1:1" x14ac:dyDescent="0.35">
      <c r="A1690" s="2"/>
    </row>
    <row r="1691" spans="1:1" x14ac:dyDescent="0.35">
      <c r="A1691" s="2"/>
    </row>
    <row r="1692" spans="1:1" x14ac:dyDescent="0.35">
      <c r="A1692" s="2"/>
    </row>
    <row r="1693" spans="1:1" x14ac:dyDescent="0.35">
      <c r="A1693" s="2"/>
    </row>
    <row r="1694" spans="1:1" x14ac:dyDescent="0.35">
      <c r="A1694" s="2"/>
    </row>
    <row r="1695" spans="1:1" x14ac:dyDescent="0.35">
      <c r="A1695" s="2"/>
    </row>
    <row r="1696" spans="1:1" x14ac:dyDescent="0.35">
      <c r="A1696" s="2"/>
    </row>
    <row r="1697" spans="1:1" x14ac:dyDescent="0.35">
      <c r="A1697" s="2"/>
    </row>
    <row r="1698" spans="1:1" x14ac:dyDescent="0.35">
      <c r="A1698" s="2"/>
    </row>
    <row r="1699" spans="1:1" x14ac:dyDescent="0.35">
      <c r="A1699" s="2"/>
    </row>
    <row r="1700" spans="1:1" x14ac:dyDescent="0.35">
      <c r="A1700" s="2"/>
    </row>
    <row r="1701" spans="1:1" x14ac:dyDescent="0.35">
      <c r="A1701" s="2"/>
    </row>
    <row r="1702" spans="1:1" x14ac:dyDescent="0.35">
      <c r="A1702" s="2"/>
    </row>
    <row r="1703" spans="1:1" x14ac:dyDescent="0.35">
      <c r="A1703" s="2"/>
    </row>
    <row r="1704" spans="1:1" x14ac:dyDescent="0.35">
      <c r="A1704" s="2"/>
    </row>
    <row r="1705" spans="1:1" x14ac:dyDescent="0.35">
      <c r="A1705" s="2"/>
    </row>
    <row r="1706" spans="1:1" x14ac:dyDescent="0.35">
      <c r="A1706" s="2"/>
    </row>
    <row r="1707" spans="1:1" x14ac:dyDescent="0.35">
      <c r="A1707" s="2"/>
    </row>
    <row r="1708" spans="1:1" x14ac:dyDescent="0.35">
      <c r="A1708" s="2"/>
    </row>
    <row r="1709" spans="1:1" x14ac:dyDescent="0.35">
      <c r="A1709" s="2"/>
    </row>
    <row r="1710" spans="1:1" x14ac:dyDescent="0.35">
      <c r="A1710" s="2"/>
    </row>
    <row r="1711" spans="1:1" x14ac:dyDescent="0.35">
      <c r="A1711" s="2"/>
    </row>
    <row r="1712" spans="1:1" x14ac:dyDescent="0.35">
      <c r="A1712" s="2"/>
    </row>
    <row r="1713" spans="1:1" x14ac:dyDescent="0.35">
      <c r="A1713" s="2"/>
    </row>
    <row r="1714" spans="1:1" x14ac:dyDescent="0.35">
      <c r="A1714" s="2"/>
    </row>
    <row r="1715" spans="1:1" x14ac:dyDescent="0.35">
      <c r="A1715" s="2"/>
    </row>
    <row r="1716" spans="1:1" x14ac:dyDescent="0.35">
      <c r="A1716" s="2"/>
    </row>
    <row r="1717" spans="1:1" x14ac:dyDescent="0.35">
      <c r="A1717" s="2"/>
    </row>
    <row r="1718" spans="1:1" x14ac:dyDescent="0.35">
      <c r="A1718" s="2"/>
    </row>
    <row r="1719" spans="1:1" x14ac:dyDescent="0.35">
      <c r="A1719" s="2"/>
    </row>
    <row r="1720" spans="1:1" x14ac:dyDescent="0.35">
      <c r="A1720" s="2"/>
    </row>
    <row r="1721" spans="1:1" x14ac:dyDescent="0.35">
      <c r="A1721" s="2"/>
    </row>
    <row r="1722" spans="1:1" x14ac:dyDescent="0.35">
      <c r="A1722" s="2"/>
    </row>
    <row r="1723" spans="1:1" x14ac:dyDescent="0.35">
      <c r="A1723" s="2"/>
    </row>
    <row r="1724" spans="1:1" x14ac:dyDescent="0.35">
      <c r="A1724" s="2"/>
    </row>
    <row r="1725" spans="1:1" x14ac:dyDescent="0.35">
      <c r="A1725" s="2"/>
    </row>
    <row r="1726" spans="1:1" x14ac:dyDescent="0.35">
      <c r="A1726" s="2"/>
    </row>
    <row r="1727" spans="1:1" x14ac:dyDescent="0.35">
      <c r="A1727" s="2"/>
    </row>
    <row r="1728" spans="1:1" x14ac:dyDescent="0.35">
      <c r="A1728" s="2"/>
    </row>
    <row r="1729" spans="1:1" x14ac:dyDescent="0.35">
      <c r="A1729" s="2"/>
    </row>
    <row r="1730" spans="1:1" x14ac:dyDescent="0.35">
      <c r="A1730" s="2"/>
    </row>
    <row r="1731" spans="1:1" x14ac:dyDescent="0.35">
      <c r="A1731" s="2"/>
    </row>
    <row r="1732" spans="1:1" x14ac:dyDescent="0.35">
      <c r="A1732" s="2"/>
    </row>
    <row r="1733" spans="1:1" x14ac:dyDescent="0.35">
      <c r="A1733" s="2"/>
    </row>
    <row r="1734" spans="1:1" x14ac:dyDescent="0.35">
      <c r="A1734" s="2"/>
    </row>
    <row r="1735" spans="1:1" x14ac:dyDescent="0.35">
      <c r="A1735" s="2"/>
    </row>
    <row r="1736" spans="1:1" x14ac:dyDescent="0.35">
      <c r="A1736" s="2"/>
    </row>
    <row r="1737" spans="1:1" x14ac:dyDescent="0.35">
      <c r="A1737" s="2"/>
    </row>
    <row r="1738" spans="1:1" x14ac:dyDescent="0.35">
      <c r="A1738" s="2"/>
    </row>
    <row r="1739" spans="1:1" x14ac:dyDescent="0.35">
      <c r="A1739" s="2"/>
    </row>
    <row r="1740" spans="1:1" x14ac:dyDescent="0.35">
      <c r="A1740" s="2"/>
    </row>
    <row r="1741" spans="1:1" x14ac:dyDescent="0.35">
      <c r="A1741" s="2"/>
    </row>
    <row r="1742" spans="1:1" x14ac:dyDescent="0.35">
      <c r="A1742" s="2"/>
    </row>
    <row r="1743" spans="1:1" x14ac:dyDescent="0.35">
      <c r="A1743" s="2"/>
    </row>
    <row r="1744" spans="1:1" x14ac:dyDescent="0.35">
      <c r="A1744" s="2"/>
    </row>
    <row r="1745" spans="1:1" x14ac:dyDescent="0.35">
      <c r="A1745" s="2"/>
    </row>
    <row r="1746" spans="1:1" x14ac:dyDescent="0.35">
      <c r="A1746" s="2"/>
    </row>
    <row r="1747" spans="1:1" x14ac:dyDescent="0.35">
      <c r="A1747" s="2"/>
    </row>
    <row r="1748" spans="1:1" x14ac:dyDescent="0.35">
      <c r="A1748" s="2"/>
    </row>
    <row r="1749" spans="1:1" x14ac:dyDescent="0.35">
      <c r="A1749" s="2"/>
    </row>
    <row r="1750" spans="1:1" x14ac:dyDescent="0.35">
      <c r="A1750" s="2"/>
    </row>
    <row r="1751" spans="1:1" x14ac:dyDescent="0.35">
      <c r="A1751" s="2"/>
    </row>
    <row r="1752" spans="1:1" x14ac:dyDescent="0.35">
      <c r="A1752" s="2"/>
    </row>
    <row r="1753" spans="1:1" x14ac:dyDescent="0.35">
      <c r="A1753" s="2"/>
    </row>
    <row r="1754" spans="1:1" x14ac:dyDescent="0.35">
      <c r="A1754" s="2"/>
    </row>
    <row r="1755" spans="1:1" x14ac:dyDescent="0.35">
      <c r="A1755" s="2"/>
    </row>
    <row r="1756" spans="1:1" x14ac:dyDescent="0.35">
      <c r="A1756" s="2"/>
    </row>
    <row r="1757" spans="1:1" x14ac:dyDescent="0.35">
      <c r="A1757" s="2"/>
    </row>
    <row r="1758" spans="1:1" x14ac:dyDescent="0.35">
      <c r="A1758" s="2"/>
    </row>
    <row r="1759" spans="1:1" x14ac:dyDescent="0.35">
      <c r="A1759" s="2"/>
    </row>
    <row r="1760" spans="1:1" x14ac:dyDescent="0.35">
      <c r="A1760" s="2"/>
    </row>
    <row r="1761" spans="1:1" x14ac:dyDescent="0.35">
      <c r="A1761" s="2"/>
    </row>
    <row r="1762" spans="1:1" x14ac:dyDescent="0.35">
      <c r="A1762" s="2"/>
    </row>
    <row r="1763" spans="1:1" x14ac:dyDescent="0.35">
      <c r="A1763" s="2"/>
    </row>
    <row r="1764" spans="1:1" x14ac:dyDescent="0.35">
      <c r="A1764" s="2"/>
    </row>
    <row r="1765" spans="1:1" x14ac:dyDescent="0.35">
      <c r="A1765" s="2"/>
    </row>
    <row r="1766" spans="1:1" x14ac:dyDescent="0.35">
      <c r="A1766" s="2"/>
    </row>
    <row r="1767" spans="1:1" x14ac:dyDescent="0.35">
      <c r="A1767" s="2"/>
    </row>
    <row r="1768" spans="1:1" x14ac:dyDescent="0.35">
      <c r="A1768" s="2"/>
    </row>
    <row r="1769" spans="1:1" x14ac:dyDescent="0.35">
      <c r="A1769" s="2"/>
    </row>
    <row r="1770" spans="1:1" x14ac:dyDescent="0.35">
      <c r="A1770" s="2"/>
    </row>
    <row r="1771" spans="1:1" x14ac:dyDescent="0.35">
      <c r="A1771" s="2"/>
    </row>
    <row r="1772" spans="1:1" x14ac:dyDescent="0.35">
      <c r="A1772" s="2"/>
    </row>
    <row r="1773" spans="1:1" x14ac:dyDescent="0.35">
      <c r="A1773" s="2"/>
    </row>
    <row r="1774" spans="1:1" x14ac:dyDescent="0.35">
      <c r="A1774" s="2"/>
    </row>
    <row r="1775" spans="1:1" x14ac:dyDescent="0.35">
      <c r="A1775" s="2"/>
    </row>
    <row r="1776" spans="1:1" x14ac:dyDescent="0.35">
      <c r="A1776" s="2"/>
    </row>
    <row r="1777" spans="1:1" x14ac:dyDescent="0.35">
      <c r="A1777" s="2"/>
    </row>
    <row r="1778" spans="1:1" x14ac:dyDescent="0.35">
      <c r="A1778" s="2"/>
    </row>
    <row r="1779" spans="1:1" x14ac:dyDescent="0.35">
      <c r="A1779" s="2"/>
    </row>
    <row r="1780" spans="1:1" x14ac:dyDescent="0.35">
      <c r="A1780" s="2"/>
    </row>
    <row r="1781" spans="1:1" x14ac:dyDescent="0.35">
      <c r="A1781" s="2"/>
    </row>
    <row r="1782" spans="1:1" x14ac:dyDescent="0.35">
      <c r="A1782" s="2"/>
    </row>
    <row r="1783" spans="1:1" x14ac:dyDescent="0.35">
      <c r="A1783" s="2"/>
    </row>
    <row r="1784" spans="1:1" x14ac:dyDescent="0.35">
      <c r="A1784" s="2"/>
    </row>
    <row r="1785" spans="1:1" x14ac:dyDescent="0.35">
      <c r="A1785" s="2"/>
    </row>
    <row r="1786" spans="1:1" x14ac:dyDescent="0.35">
      <c r="A1786" s="2"/>
    </row>
    <row r="1787" spans="1:1" x14ac:dyDescent="0.35">
      <c r="A1787" s="2"/>
    </row>
    <row r="1788" spans="1:1" x14ac:dyDescent="0.35">
      <c r="A1788" s="2"/>
    </row>
    <row r="1789" spans="1:1" x14ac:dyDescent="0.35">
      <c r="A1789" s="2"/>
    </row>
    <row r="1790" spans="1:1" x14ac:dyDescent="0.35">
      <c r="A1790" s="2"/>
    </row>
    <row r="1791" spans="1:1" x14ac:dyDescent="0.35">
      <c r="A1791" s="2"/>
    </row>
    <row r="1792" spans="1:1" x14ac:dyDescent="0.35">
      <c r="A1792" s="2"/>
    </row>
    <row r="1793" spans="1:1" x14ac:dyDescent="0.35">
      <c r="A1793" s="2"/>
    </row>
    <row r="1794" spans="1:1" x14ac:dyDescent="0.35">
      <c r="A1794" s="2"/>
    </row>
    <row r="1795" spans="1:1" x14ac:dyDescent="0.35">
      <c r="A1795" s="2"/>
    </row>
    <row r="1796" spans="1:1" x14ac:dyDescent="0.35">
      <c r="A1796" s="2"/>
    </row>
    <row r="1797" spans="1:1" x14ac:dyDescent="0.35">
      <c r="A1797" s="2"/>
    </row>
    <row r="1798" spans="1:1" x14ac:dyDescent="0.35">
      <c r="A1798" s="2"/>
    </row>
    <row r="1799" spans="1:1" x14ac:dyDescent="0.35">
      <c r="A1799" s="2"/>
    </row>
    <row r="1800" spans="1:1" x14ac:dyDescent="0.35">
      <c r="A1800" s="2"/>
    </row>
    <row r="1801" spans="1:1" x14ac:dyDescent="0.35">
      <c r="A1801" s="2"/>
    </row>
    <row r="1802" spans="1:1" x14ac:dyDescent="0.35">
      <c r="A1802" s="2"/>
    </row>
    <row r="1803" spans="1:1" x14ac:dyDescent="0.35">
      <c r="A1803" s="2"/>
    </row>
    <row r="1804" spans="1:1" x14ac:dyDescent="0.35">
      <c r="A1804" s="2"/>
    </row>
    <row r="1805" spans="1:1" x14ac:dyDescent="0.35">
      <c r="A1805" s="2"/>
    </row>
    <row r="1806" spans="1:1" x14ac:dyDescent="0.35">
      <c r="A1806" s="2"/>
    </row>
    <row r="1807" spans="1:1" x14ac:dyDescent="0.35">
      <c r="A1807" s="2"/>
    </row>
    <row r="1808" spans="1:1" x14ac:dyDescent="0.35">
      <c r="A1808" s="2"/>
    </row>
    <row r="1809" spans="1:1" x14ac:dyDescent="0.35">
      <c r="A1809" s="2"/>
    </row>
    <row r="1810" spans="1:1" x14ac:dyDescent="0.35">
      <c r="A1810" s="2"/>
    </row>
    <row r="1811" spans="1:1" x14ac:dyDescent="0.35">
      <c r="A1811" s="2"/>
    </row>
    <row r="1812" spans="1:1" x14ac:dyDescent="0.35">
      <c r="A1812" s="2"/>
    </row>
    <row r="1813" spans="1:1" x14ac:dyDescent="0.35">
      <c r="A1813" s="2"/>
    </row>
    <row r="1814" spans="1:1" x14ac:dyDescent="0.35">
      <c r="A1814" s="2"/>
    </row>
    <row r="1815" spans="1:1" x14ac:dyDescent="0.35">
      <c r="A1815" s="2"/>
    </row>
    <row r="1816" spans="1:1" x14ac:dyDescent="0.35">
      <c r="A1816" s="2"/>
    </row>
    <row r="1817" spans="1:1" x14ac:dyDescent="0.35">
      <c r="A1817" s="2"/>
    </row>
    <row r="1818" spans="1:1" x14ac:dyDescent="0.35">
      <c r="A1818" s="2"/>
    </row>
    <row r="1819" spans="1:1" x14ac:dyDescent="0.35">
      <c r="A1819" s="2"/>
    </row>
    <row r="1820" spans="1:1" x14ac:dyDescent="0.35">
      <c r="A1820" s="2"/>
    </row>
    <row r="1821" spans="1:1" x14ac:dyDescent="0.35">
      <c r="A1821" s="2"/>
    </row>
    <row r="1822" spans="1:1" x14ac:dyDescent="0.35">
      <c r="A1822" s="2"/>
    </row>
    <row r="1823" spans="1:1" x14ac:dyDescent="0.35">
      <c r="A1823" s="2"/>
    </row>
    <row r="1824" spans="1:1" x14ac:dyDescent="0.35">
      <c r="A1824" s="2"/>
    </row>
    <row r="1825" spans="1:1" x14ac:dyDescent="0.35">
      <c r="A1825" s="2"/>
    </row>
    <row r="1826" spans="1:1" x14ac:dyDescent="0.35">
      <c r="A1826" s="2"/>
    </row>
    <row r="1827" spans="1:1" x14ac:dyDescent="0.35">
      <c r="A1827" s="2"/>
    </row>
    <row r="1828" spans="1:1" x14ac:dyDescent="0.35">
      <c r="A1828" s="2"/>
    </row>
    <row r="1829" spans="1:1" x14ac:dyDescent="0.35">
      <c r="A1829" s="2"/>
    </row>
    <row r="1830" spans="1:1" x14ac:dyDescent="0.35">
      <c r="A1830" s="2"/>
    </row>
    <row r="1831" spans="1:1" x14ac:dyDescent="0.35">
      <c r="A1831" s="2"/>
    </row>
    <row r="1832" spans="1:1" x14ac:dyDescent="0.35">
      <c r="A1832" s="2"/>
    </row>
    <row r="1833" spans="1:1" x14ac:dyDescent="0.35">
      <c r="A1833" s="2"/>
    </row>
    <row r="1834" spans="1:1" x14ac:dyDescent="0.35">
      <c r="A1834" s="2"/>
    </row>
    <row r="1835" spans="1:1" x14ac:dyDescent="0.35">
      <c r="A1835" s="2"/>
    </row>
    <row r="1836" spans="1:1" x14ac:dyDescent="0.35">
      <c r="A1836" s="2"/>
    </row>
    <row r="1837" spans="1:1" x14ac:dyDescent="0.35">
      <c r="A1837" s="2"/>
    </row>
    <row r="1838" spans="1:1" x14ac:dyDescent="0.35">
      <c r="A1838" s="2"/>
    </row>
    <row r="1839" spans="1:1" x14ac:dyDescent="0.35">
      <c r="A1839" s="2"/>
    </row>
    <row r="1840" spans="1:1" x14ac:dyDescent="0.35">
      <c r="A1840" s="2"/>
    </row>
    <row r="1841" spans="1:1" x14ac:dyDescent="0.35">
      <c r="A1841" s="2"/>
    </row>
    <row r="1842" spans="1:1" x14ac:dyDescent="0.35">
      <c r="A1842" s="2"/>
    </row>
    <row r="1843" spans="1:1" x14ac:dyDescent="0.35">
      <c r="A1843" s="2"/>
    </row>
    <row r="1844" spans="1:1" x14ac:dyDescent="0.35">
      <c r="A1844" s="2"/>
    </row>
    <row r="1845" spans="1:1" x14ac:dyDescent="0.35">
      <c r="A1845" s="2"/>
    </row>
    <row r="1846" spans="1:1" x14ac:dyDescent="0.35">
      <c r="A1846" s="2"/>
    </row>
    <row r="1847" spans="1:1" x14ac:dyDescent="0.35">
      <c r="A1847" s="2"/>
    </row>
    <row r="1848" spans="1:1" x14ac:dyDescent="0.35">
      <c r="A1848" s="2"/>
    </row>
    <row r="1849" spans="1:1" x14ac:dyDescent="0.35">
      <c r="A1849" s="2"/>
    </row>
    <row r="1850" spans="1:1" x14ac:dyDescent="0.35">
      <c r="A1850" s="2"/>
    </row>
    <row r="1851" spans="1:1" x14ac:dyDescent="0.35">
      <c r="A1851" s="2"/>
    </row>
    <row r="1852" spans="1:1" x14ac:dyDescent="0.35">
      <c r="A1852" s="2"/>
    </row>
    <row r="1853" spans="1:1" x14ac:dyDescent="0.35">
      <c r="A1853" s="2"/>
    </row>
    <row r="1854" spans="1:1" x14ac:dyDescent="0.35">
      <c r="A1854" s="2"/>
    </row>
    <row r="1855" spans="1:1" x14ac:dyDescent="0.35">
      <c r="A1855" s="2"/>
    </row>
    <row r="1856" spans="1:1" x14ac:dyDescent="0.35">
      <c r="A1856" s="2"/>
    </row>
    <row r="1857" spans="1:1" x14ac:dyDescent="0.35">
      <c r="A1857" s="2"/>
    </row>
    <row r="1858" spans="1:1" x14ac:dyDescent="0.35">
      <c r="A1858" s="2"/>
    </row>
    <row r="1859" spans="1:1" x14ac:dyDescent="0.35">
      <c r="A1859" s="2"/>
    </row>
    <row r="1860" spans="1:1" x14ac:dyDescent="0.35">
      <c r="A1860" s="2"/>
    </row>
    <row r="1861" spans="1:1" x14ac:dyDescent="0.35">
      <c r="A1861" s="2"/>
    </row>
    <row r="1862" spans="1:1" x14ac:dyDescent="0.35">
      <c r="A1862" s="2"/>
    </row>
    <row r="1863" spans="1:1" x14ac:dyDescent="0.35">
      <c r="A1863" s="2"/>
    </row>
    <row r="1864" spans="1:1" x14ac:dyDescent="0.35">
      <c r="A1864" s="2"/>
    </row>
    <row r="1865" spans="1:1" x14ac:dyDescent="0.35">
      <c r="A1865" s="2"/>
    </row>
    <row r="1866" spans="1:1" x14ac:dyDescent="0.35">
      <c r="A1866" s="2"/>
    </row>
    <row r="1867" spans="1:1" x14ac:dyDescent="0.35">
      <c r="A1867" s="2"/>
    </row>
    <row r="1868" spans="1:1" x14ac:dyDescent="0.35">
      <c r="A1868" s="2"/>
    </row>
    <row r="1869" spans="1:1" x14ac:dyDescent="0.35">
      <c r="A1869" s="2"/>
    </row>
    <row r="1870" spans="1:1" x14ac:dyDescent="0.35">
      <c r="A1870" s="2"/>
    </row>
    <row r="1871" spans="1:1" x14ac:dyDescent="0.35">
      <c r="A1871" s="2"/>
    </row>
    <row r="1872" spans="1:1" x14ac:dyDescent="0.35">
      <c r="A1872" s="2"/>
    </row>
    <row r="1873" spans="1:1" x14ac:dyDescent="0.35">
      <c r="A1873" s="2"/>
    </row>
    <row r="1874" spans="1:1" x14ac:dyDescent="0.35">
      <c r="A1874" s="2"/>
    </row>
    <row r="1875" spans="1:1" x14ac:dyDescent="0.35">
      <c r="A1875" s="2"/>
    </row>
    <row r="1876" spans="1:1" x14ac:dyDescent="0.35">
      <c r="A1876" s="2"/>
    </row>
    <row r="1877" spans="1:1" x14ac:dyDescent="0.35">
      <c r="A1877" s="2"/>
    </row>
    <row r="1878" spans="1:1" x14ac:dyDescent="0.35">
      <c r="A1878" s="2"/>
    </row>
    <row r="1879" spans="1:1" x14ac:dyDescent="0.35">
      <c r="A1879" s="2"/>
    </row>
    <row r="1880" spans="1:1" x14ac:dyDescent="0.35">
      <c r="A1880" s="2"/>
    </row>
    <row r="1881" spans="1:1" x14ac:dyDescent="0.35">
      <c r="A1881" s="2"/>
    </row>
    <row r="1882" spans="1:1" x14ac:dyDescent="0.35">
      <c r="A1882" s="2"/>
    </row>
    <row r="1883" spans="1:1" x14ac:dyDescent="0.35">
      <c r="A1883" s="2"/>
    </row>
    <row r="1884" spans="1:1" x14ac:dyDescent="0.35">
      <c r="A1884" s="2"/>
    </row>
    <row r="1885" spans="1:1" x14ac:dyDescent="0.35">
      <c r="A1885" s="2"/>
    </row>
    <row r="1886" spans="1:1" x14ac:dyDescent="0.35">
      <c r="A1886" s="2"/>
    </row>
    <row r="1887" spans="1:1" x14ac:dyDescent="0.35">
      <c r="A1887" s="2"/>
    </row>
    <row r="1888" spans="1:1" x14ac:dyDescent="0.35">
      <c r="A1888" s="2"/>
    </row>
    <row r="1889" spans="1:1" x14ac:dyDescent="0.35">
      <c r="A1889" s="2"/>
    </row>
    <row r="1890" spans="1:1" x14ac:dyDescent="0.35">
      <c r="A1890" s="2"/>
    </row>
    <row r="1891" spans="1:1" x14ac:dyDescent="0.35">
      <c r="A1891" s="2"/>
    </row>
    <row r="1892" spans="1:1" x14ac:dyDescent="0.35">
      <c r="A1892" s="2"/>
    </row>
    <row r="1893" spans="1:1" x14ac:dyDescent="0.35">
      <c r="A1893" s="2"/>
    </row>
    <row r="1894" spans="1:1" x14ac:dyDescent="0.35">
      <c r="A1894" s="2"/>
    </row>
    <row r="1895" spans="1:1" x14ac:dyDescent="0.35">
      <c r="A1895" s="2"/>
    </row>
    <row r="1896" spans="1:1" x14ac:dyDescent="0.35">
      <c r="A1896" s="2"/>
    </row>
    <row r="1897" spans="1:1" x14ac:dyDescent="0.35">
      <c r="A1897" s="2"/>
    </row>
    <row r="1898" spans="1:1" x14ac:dyDescent="0.35">
      <c r="A1898" s="2"/>
    </row>
    <row r="1899" spans="1:1" x14ac:dyDescent="0.35">
      <c r="A1899" s="2"/>
    </row>
    <row r="1900" spans="1:1" x14ac:dyDescent="0.35">
      <c r="A1900" s="2"/>
    </row>
    <row r="1901" spans="1:1" x14ac:dyDescent="0.35">
      <c r="A1901" s="2"/>
    </row>
    <row r="1902" spans="1:1" x14ac:dyDescent="0.35">
      <c r="A1902" s="2"/>
    </row>
    <row r="1903" spans="1:1" x14ac:dyDescent="0.35">
      <c r="A1903" s="2"/>
    </row>
    <row r="1904" spans="1:1" x14ac:dyDescent="0.35">
      <c r="A1904" s="2"/>
    </row>
    <row r="1905" spans="1:1" x14ac:dyDescent="0.35">
      <c r="A1905" s="2"/>
    </row>
    <row r="1906" spans="1:1" x14ac:dyDescent="0.35">
      <c r="A1906" s="2"/>
    </row>
    <row r="1907" spans="1:1" x14ac:dyDescent="0.35">
      <c r="A1907" s="2"/>
    </row>
    <row r="1908" spans="1:1" x14ac:dyDescent="0.35">
      <c r="A1908" s="2"/>
    </row>
    <row r="1909" spans="1:1" x14ac:dyDescent="0.35">
      <c r="A1909" s="2"/>
    </row>
    <row r="1910" spans="1:1" x14ac:dyDescent="0.35">
      <c r="A1910" s="2"/>
    </row>
    <row r="1911" spans="1:1" x14ac:dyDescent="0.35">
      <c r="A1911" s="2"/>
    </row>
    <row r="1912" spans="1:1" x14ac:dyDescent="0.35">
      <c r="A1912" s="2"/>
    </row>
    <row r="1913" spans="1:1" x14ac:dyDescent="0.35">
      <c r="A1913" s="2"/>
    </row>
    <row r="1914" spans="1:1" x14ac:dyDescent="0.35">
      <c r="A1914" s="2"/>
    </row>
    <row r="1915" spans="1:1" x14ac:dyDescent="0.35">
      <c r="A1915" s="2"/>
    </row>
    <row r="1916" spans="1:1" x14ac:dyDescent="0.35">
      <c r="A1916" s="2"/>
    </row>
    <row r="1917" spans="1:1" x14ac:dyDescent="0.35">
      <c r="A1917" s="2"/>
    </row>
    <row r="1918" spans="1:1" x14ac:dyDescent="0.35">
      <c r="A1918" s="2"/>
    </row>
    <row r="1919" spans="1:1" x14ac:dyDescent="0.35">
      <c r="A1919" s="2"/>
    </row>
    <row r="1920" spans="1:1" x14ac:dyDescent="0.35">
      <c r="A1920" s="2"/>
    </row>
    <row r="1921" spans="1:1" x14ac:dyDescent="0.35">
      <c r="A1921" s="2"/>
    </row>
    <row r="1922" spans="1:1" x14ac:dyDescent="0.35">
      <c r="A1922" s="2"/>
    </row>
    <row r="1923" spans="1:1" x14ac:dyDescent="0.35">
      <c r="A1923" s="2"/>
    </row>
    <row r="1924" spans="1:1" x14ac:dyDescent="0.35">
      <c r="A1924" s="2"/>
    </row>
    <row r="1925" spans="1:1" x14ac:dyDescent="0.35">
      <c r="A1925" s="2"/>
    </row>
    <row r="1926" spans="1:1" x14ac:dyDescent="0.35">
      <c r="A1926" s="2"/>
    </row>
    <row r="1927" spans="1:1" x14ac:dyDescent="0.35">
      <c r="A1927" s="2"/>
    </row>
    <row r="1928" spans="1:1" x14ac:dyDescent="0.35">
      <c r="A1928" s="2"/>
    </row>
    <row r="1929" spans="1:1" x14ac:dyDescent="0.35">
      <c r="A1929" s="2"/>
    </row>
    <row r="1930" spans="1:1" x14ac:dyDescent="0.35">
      <c r="A1930" s="2"/>
    </row>
    <row r="1931" spans="1:1" x14ac:dyDescent="0.35">
      <c r="A1931" s="2"/>
    </row>
    <row r="1932" spans="1:1" x14ac:dyDescent="0.35">
      <c r="A1932" s="2"/>
    </row>
    <row r="1933" spans="1:1" x14ac:dyDescent="0.35">
      <c r="A1933" s="2"/>
    </row>
    <row r="1934" spans="1:1" x14ac:dyDescent="0.35">
      <c r="A1934" s="2"/>
    </row>
    <row r="1935" spans="1:1" x14ac:dyDescent="0.35">
      <c r="A1935" s="2"/>
    </row>
    <row r="1936" spans="1:1" x14ac:dyDescent="0.35">
      <c r="A1936" s="2"/>
    </row>
    <row r="1937" spans="1:1" x14ac:dyDescent="0.35">
      <c r="A1937" s="2"/>
    </row>
    <row r="1938" spans="1:1" x14ac:dyDescent="0.35">
      <c r="A1938" s="2"/>
    </row>
    <row r="1939" spans="1:1" x14ac:dyDescent="0.35">
      <c r="A1939" s="2"/>
    </row>
    <row r="1940" spans="1:1" x14ac:dyDescent="0.35">
      <c r="A1940" s="2"/>
    </row>
    <row r="1941" spans="1:1" x14ac:dyDescent="0.35">
      <c r="A1941" s="2"/>
    </row>
    <row r="1942" spans="1:1" x14ac:dyDescent="0.35">
      <c r="A1942" s="2"/>
    </row>
    <row r="1943" spans="1:1" x14ac:dyDescent="0.35">
      <c r="A1943" s="2"/>
    </row>
    <row r="1944" spans="1:1" x14ac:dyDescent="0.35">
      <c r="A1944" s="2"/>
    </row>
    <row r="1945" spans="1:1" x14ac:dyDescent="0.35">
      <c r="A1945" s="2"/>
    </row>
    <row r="1946" spans="1:1" x14ac:dyDescent="0.35">
      <c r="A1946" s="2"/>
    </row>
    <row r="1947" spans="1:1" x14ac:dyDescent="0.35">
      <c r="A1947" s="2"/>
    </row>
    <row r="1948" spans="1:1" x14ac:dyDescent="0.35">
      <c r="A1948" s="2"/>
    </row>
    <row r="1949" spans="1:1" x14ac:dyDescent="0.35">
      <c r="A1949" s="2"/>
    </row>
    <row r="1950" spans="1:1" x14ac:dyDescent="0.35">
      <c r="A1950" s="2"/>
    </row>
    <row r="1951" spans="1:1" x14ac:dyDescent="0.35">
      <c r="A1951" s="2"/>
    </row>
    <row r="1952" spans="1:1" x14ac:dyDescent="0.35">
      <c r="A1952" s="2"/>
    </row>
    <row r="1953" spans="1:1" x14ac:dyDescent="0.35">
      <c r="A1953" s="2"/>
    </row>
    <row r="1954" spans="1:1" x14ac:dyDescent="0.35">
      <c r="A1954" s="2"/>
    </row>
    <row r="1955" spans="1:1" x14ac:dyDescent="0.35">
      <c r="A1955" s="2"/>
    </row>
    <row r="1956" spans="1:1" x14ac:dyDescent="0.35">
      <c r="A1956" s="2"/>
    </row>
    <row r="1957" spans="1:1" x14ac:dyDescent="0.35">
      <c r="A1957" s="2"/>
    </row>
    <row r="1958" spans="1:1" x14ac:dyDescent="0.35">
      <c r="A1958" s="2"/>
    </row>
    <row r="1959" spans="1:1" x14ac:dyDescent="0.35">
      <c r="A1959" s="2"/>
    </row>
    <row r="1960" spans="1:1" x14ac:dyDescent="0.35">
      <c r="A1960" s="2"/>
    </row>
    <row r="1961" spans="1:1" x14ac:dyDescent="0.35">
      <c r="A1961" s="2"/>
    </row>
    <row r="1962" spans="1:1" x14ac:dyDescent="0.35">
      <c r="A1962" s="2"/>
    </row>
    <row r="1963" spans="1:1" x14ac:dyDescent="0.35">
      <c r="A1963" s="2"/>
    </row>
    <row r="1964" spans="1:1" x14ac:dyDescent="0.35">
      <c r="A1964" s="2"/>
    </row>
    <row r="1965" spans="1:1" x14ac:dyDescent="0.35">
      <c r="A1965" s="2"/>
    </row>
    <row r="1966" spans="1:1" x14ac:dyDescent="0.35">
      <c r="A1966" s="2"/>
    </row>
    <row r="1967" spans="1:1" x14ac:dyDescent="0.35">
      <c r="A1967" s="2"/>
    </row>
    <row r="1968" spans="1:1" x14ac:dyDescent="0.35">
      <c r="A1968" s="2"/>
    </row>
    <row r="1969" spans="1:1" x14ac:dyDescent="0.35">
      <c r="A1969" s="2"/>
    </row>
    <row r="1970" spans="1:1" x14ac:dyDescent="0.35">
      <c r="A1970" s="2"/>
    </row>
    <row r="1971" spans="1:1" x14ac:dyDescent="0.35">
      <c r="A1971" s="2"/>
    </row>
    <row r="1972" spans="1:1" x14ac:dyDescent="0.35">
      <c r="A1972" s="2"/>
    </row>
    <row r="1973" spans="1:1" x14ac:dyDescent="0.35">
      <c r="A1973" s="2"/>
    </row>
    <row r="1974" spans="1:1" x14ac:dyDescent="0.35">
      <c r="A1974" s="2"/>
    </row>
    <row r="1975" spans="1:1" x14ac:dyDescent="0.35">
      <c r="A1975" s="2"/>
    </row>
    <row r="1976" spans="1:1" x14ac:dyDescent="0.35">
      <c r="A1976" s="2"/>
    </row>
    <row r="1977" spans="1:1" x14ac:dyDescent="0.35">
      <c r="A1977" s="2"/>
    </row>
    <row r="1978" spans="1:1" x14ac:dyDescent="0.35">
      <c r="A1978" s="2"/>
    </row>
    <row r="1979" spans="1:1" x14ac:dyDescent="0.35">
      <c r="A1979" s="2"/>
    </row>
    <row r="1980" spans="1:1" x14ac:dyDescent="0.35">
      <c r="A1980" s="2"/>
    </row>
    <row r="1981" spans="1:1" x14ac:dyDescent="0.35">
      <c r="A1981" s="2"/>
    </row>
    <row r="1982" spans="1:1" x14ac:dyDescent="0.35">
      <c r="A1982" s="2"/>
    </row>
    <row r="1983" spans="1:1" x14ac:dyDescent="0.35">
      <c r="A1983" s="2"/>
    </row>
    <row r="1984" spans="1:1" x14ac:dyDescent="0.35">
      <c r="A1984" s="2"/>
    </row>
    <row r="1985" spans="1:1" x14ac:dyDescent="0.35">
      <c r="A1985" s="2"/>
    </row>
    <row r="1986" spans="1:1" x14ac:dyDescent="0.35">
      <c r="A1986" s="2"/>
    </row>
    <row r="1987" spans="1:1" x14ac:dyDescent="0.35">
      <c r="A1987" s="2"/>
    </row>
    <row r="1988" spans="1:1" x14ac:dyDescent="0.35">
      <c r="A1988" s="2"/>
    </row>
    <row r="1989" spans="1:1" x14ac:dyDescent="0.35">
      <c r="A1989" s="2"/>
    </row>
    <row r="1990" spans="1:1" x14ac:dyDescent="0.35">
      <c r="A1990" s="2"/>
    </row>
    <row r="1991" spans="1:1" x14ac:dyDescent="0.35">
      <c r="A1991" s="2"/>
    </row>
    <row r="1992" spans="1:1" x14ac:dyDescent="0.35">
      <c r="A1992" s="2"/>
    </row>
    <row r="1993" spans="1:1" x14ac:dyDescent="0.35">
      <c r="A1993" s="2"/>
    </row>
    <row r="1994" spans="1:1" x14ac:dyDescent="0.35">
      <c r="A1994" s="2"/>
    </row>
    <row r="1995" spans="1:1" x14ac:dyDescent="0.35">
      <c r="A1995" s="2"/>
    </row>
    <row r="1996" spans="1:1" x14ac:dyDescent="0.35">
      <c r="A1996" s="2"/>
    </row>
    <row r="1997" spans="1:1" x14ac:dyDescent="0.35">
      <c r="A1997" s="2"/>
    </row>
    <row r="1998" spans="1:1" x14ac:dyDescent="0.35">
      <c r="A1998" s="2"/>
    </row>
    <row r="1999" spans="1:1" x14ac:dyDescent="0.35">
      <c r="A1999" s="2"/>
    </row>
    <row r="2000" spans="1:1" x14ac:dyDescent="0.35">
      <c r="A2000" s="2"/>
    </row>
    <row r="2001" spans="1:1" x14ac:dyDescent="0.35">
      <c r="A2001" s="2"/>
    </row>
    <row r="2002" spans="1:1" x14ac:dyDescent="0.35">
      <c r="A2002" s="2"/>
    </row>
    <row r="2003" spans="1:1" x14ac:dyDescent="0.35">
      <c r="A2003" s="2"/>
    </row>
    <row r="2004" spans="1:1" x14ac:dyDescent="0.35">
      <c r="A2004" s="2"/>
    </row>
    <row r="2005" spans="1:1" x14ac:dyDescent="0.35">
      <c r="A2005" s="2"/>
    </row>
    <row r="2006" spans="1:1" x14ac:dyDescent="0.35">
      <c r="A2006" s="2"/>
    </row>
    <row r="2007" spans="1:1" x14ac:dyDescent="0.35">
      <c r="A2007" s="2"/>
    </row>
    <row r="2008" spans="1:1" x14ac:dyDescent="0.35">
      <c r="A2008" s="2"/>
    </row>
    <row r="2009" spans="1:1" x14ac:dyDescent="0.35">
      <c r="A2009" s="2"/>
    </row>
    <row r="2010" spans="1:1" x14ac:dyDescent="0.35">
      <c r="A2010" s="2"/>
    </row>
    <row r="2011" spans="1:1" x14ac:dyDescent="0.35">
      <c r="A2011" s="2"/>
    </row>
    <row r="2012" spans="1:1" x14ac:dyDescent="0.35">
      <c r="A2012" s="2"/>
    </row>
    <row r="2013" spans="1:1" x14ac:dyDescent="0.35">
      <c r="A2013" s="2"/>
    </row>
    <row r="2014" spans="1:1" x14ac:dyDescent="0.35">
      <c r="A2014" s="2"/>
    </row>
    <row r="2015" spans="1:1" x14ac:dyDescent="0.35">
      <c r="A2015" s="2"/>
    </row>
    <row r="2016" spans="1:1" x14ac:dyDescent="0.35">
      <c r="A2016" s="2"/>
    </row>
    <row r="2017" spans="1:1" x14ac:dyDescent="0.35">
      <c r="A2017" s="2"/>
    </row>
    <row r="2018" spans="1:1" x14ac:dyDescent="0.35">
      <c r="A2018" s="2"/>
    </row>
    <row r="2019" spans="1:1" x14ac:dyDescent="0.35">
      <c r="A2019" s="2"/>
    </row>
    <row r="2020" spans="1:1" x14ac:dyDescent="0.35">
      <c r="A2020" s="2"/>
    </row>
    <row r="2021" spans="1:1" x14ac:dyDescent="0.35">
      <c r="A2021" s="2"/>
    </row>
    <row r="2022" spans="1:1" x14ac:dyDescent="0.35">
      <c r="A2022" s="2"/>
    </row>
    <row r="2023" spans="1:1" x14ac:dyDescent="0.35">
      <c r="A2023" s="2"/>
    </row>
    <row r="2024" spans="1:1" x14ac:dyDescent="0.35">
      <c r="A2024" s="2"/>
    </row>
    <row r="2025" spans="1:1" x14ac:dyDescent="0.35">
      <c r="A2025" s="2"/>
    </row>
    <row r="2026" spans="1:1" x14ac:dyDescent="0.35">
      <c r="A2026" s="2"/>
    </row>
    <row r="2027" spans="1:1" x14ac:dyDescent="0.35">
      <c r="A2027" s="2"/>
    </row>
    <row r="2028" spans="1:1" x14ac:dyDescent="0.35">
      <c r="A2028" s="2"/>
    </row>
    <row r="2029" spans="1:1" x14ac:dyDescent="0.35">
      <c r="A2029" s="2"/>
    </row>
    <row r="2030" spans="1:1" x14ac:dyDescent="0.35">
      <c r="A2030" s="2"/>
    </row>
    <row r="2031" spans="1:1" x14ac:dyDescent="0.35">
      <c r="A2031" s="2"/>
    </row>
    <row r="2032" spans="1:1" x14ac:dyDescent="0.35">
      <c r="A2032" s="2"/>
    </row>
    <row r="2033" spans="1:1" x14ac:dyDescent="0.35">
      <c r="A2033" s="2"/>
    </row>
    <row r="2034" spans="1:1" x14ac:dyDescent="0.35">
      <c r="A2034" s="2"/>
    </row>
    <row r="2035" spans="1:1" x14ac:dyDescent="0.35">
      <c r="A2035" s="2"/>
    </row>
    <row r="2036" spans="1:1" x14ac:dyDescent="0.35">
      <c r="A2036" s="2"/>
    </row>
    <row r="2037" spans="1:1" x14ac:dyDescent="0.35">
      <c r="A2037" s="2"/>
    </row>
    <row r="2038" spans="1:1" x14ac:dyDescent="0.35">
      <c r="A2038" s="2"/>
    </row>
    <row r="2039" spans="1:1" x14ac:dyDescent="0.35">
      <c r="A2039" s="2"/>
    </row>
    <row r="2040" spans="1:1" x14ac:dyDescent="0.35">
      <c r="A2040" s="2"/>
    </row>
    <row r="2041" spans="1:1" x14ac:dyDescent="0.35">
      <c r="A2041" s="2"/>
    </row>
    <row r="2042" spans="1:1" x14ac:dyDescent="0.35">
      <c r="A2042" s="2"/>
    </row>
    <row r="2043" spans="1:1" x14ac:dyDescent="0.35">
      <c r="A2043" s="2"/>
    </row>
    <row r="2044" spans="1:1" x14ac:dyDescent="0.35">
      <c r="A2044" s="2"/>
    </row>
    <row r="2045" spans="1:1" x14ac:dyDescent="0.35">
      <c r="A2045" s="2"/>
    </row>
    <row r="2046" spans="1:1" x14ac:dyDescent="0.35">
      <c r="A2046" s="2"/>
    </row>
    <row r="2047" spans="1:1" x14ac:dyDescent="0.35">
      <c r="A2047" s="2"/>
    </row>
    <row r="2048" spans="1:1" x14ac:dyDescent="0.35">
      <c r="A2048" s="2"/>
    </row>
    <row r="2049" spans="1:1" x14ac:dyDescent="0.35">
      <c r="A2049" s="2"/>
    </row>
    <row r="2050" spans="1:1" x14ac:dyDescent="0.35">
      <c r="A2050" s="2"/>
    </row>
    <row r="2051" spans="1:1" x14ac:dyDescent="0.35">
      <c r="A2051" s="2"/>
    </row>
    <row r="2052" spans="1:1" x14ac:dyDescent="0.35">
      <c r="A2052" s="2"/>
    </row>
    <row r="2053" spans="1:1" x14ac:dyDescent="0.35">
      <c r="A2053" s="2"/>
    </row>
    <row r="2054" spans="1:1" x14ac:dyDescent="0.35">
      <c r="A2054" s="2"/>
    </row>
    <row r="2055" spans="1:1" x14ac:dyDescent="0.35">
      <c r="A2055" s="2"/>
    </row>
    <row r="2056" spans="1:1" x14ac:dyDescent="0.35">
      <c r="A2056" s="2"/>
    </row>
    <row r="2057" spans="1:1" x14ac:dyDescent="0.35">
      <c r="A2057" s="2"/>
    </row>
    <row r="2058" spans="1:1" x14ac:dyDescent="0.35">
      <c r="A2058" s="2"/>
    </row>
    <row r="2059" spans="1:1" x14ac:dyDescent="0.35">
      <c r="A2059" s="2"/>
    </row>
    <row r="2060" spans="1:1" x14ac:dyDescent="0.35">
      <c r="A2060" s="2"/>
    </row>
    <row r="2061" spans="1:1" x14ac:dyDescent="0.35">
      <c r="A2061" s="2"/>
    </row>
    <row r="2062" spans="1:1" x14ac:dyDescent="0.35">
      <c r="A2062" s="2"/>
    </row>
    <row r="2063" spans="1:1" x14ac:dyDescent="0.35">
      <c r="A2063" s="2"/>
    </row>
    <row r="2064" spans="1:1" x14ac:dyDescent="0.35">
      <c r="A2064" s="2"/>
    </row>
    <row r="2065" spans="1:1" x14ac:dyDescent="0.35">
      <c r="A2065" s="2"/>
    </row>
    <row r="2066" spans="1:1" x14ac:dyDescent="0.35">
      <c r="A2066" s="2"/>
    </row>
    <row r="2067" spans="1:1" x14ac:dyDescent="0.35">
      <c r="A2067" s="2"/>
    </row>
    <row r="2068" spans="1:1" x14ac:dyDescent="0.35">
      <c r="A2068" s="2"/>
    </row>
    <row r="2069" spans="1:1" x14ac:dyDescent="0.35">
      <c r="A2069" s="2"/>
    </row>
    <row r="2070" spans="1:1" x14ac:dyDescent="0.35">
      <c r="A2070" s="2"/>
    </row>
    <row r="2071" spans="1:1" x14ac:dyDescent="0.35">
      <c r="A2071" s="2"/>
    </row>
    <row r="2072" spans="1:1" x14ac:dyDescent="0.35">
      <c r="A2072" s="2"/>
    </row>
    <row r="2073" spans="1:1" x14ac:dyDescent="0.35">
      <c r="A2073" s="2"/>
    </row>
    <row r="2074" spans="1:1" x14ac:dyDescent="0.35">
      <c r="A2074" s="2"/>
    </row>
    <row r="2075" spans="1:1" x14ac:dyDescent="0.35">
      <c r="A2075" s="2"/>
    </row>
    <row r="2076" spans="1:1" x14ac:dyDescent="0.35">
      <c r="A2076" s="2"/>
    </row>
    <row r="2077" spans="1:1" x14ac:dyDescent="0.35">
      <c r="A2077" s="2"/>
    </row>
    <row r="2078" spans="1:1" x14ac:dyDescent="0.35">
      <c r="A2078" s="2"/>
    </row>
    <row r="2079" spans="1:1" x14ac:dyDescent="0.35">
      <c r="A2079" s="2"/>
    </row>
    <row r="2080" spans="1:1" x14ac:dyDescent="0.35">
      <c r="A2080" s="2"/>
    </row>
    <row r="2081" spans="1:1" x14ac:dyDescent="0.35">
      <c r="A2081" s="2"/>
    </row>
    <row r="2082" spans="1:1" x14ac:dyDescent="0.35">
      <c r="A2082" s="2"/>
    </row>
    <row r="2083" spans="1:1" x14ac:dyDescent="0.35">
      <c r="A2083" s="2"/>
    </row>
    <row r="2084" spans="1:1" x14ac:dyDescent="0.35">
      <c r="A2084" s="2"/>
    </row>
    <row r="2085" spans="1:1" x14ac:dyDescent="0.35">
      <c r="A2085" s="2"/>
    </row>
    <row r="2086" spans="1:1" x14ac:dyDescent="0.35">
      <c r="A2086" s="2"/>
    </row>
    <row r="2087" spans="1:1" x14ac:dyDescent="0.35">
      <c r="A2087" s="2"/>
    </row>
    <row r="2088" spans="1:1" x14ac:dyDescent="0.35">
      <c r="A2088" s="2"/>
    </row>
    <row r="2089" spans="1:1" x14ac:dyDescent="0.35">
      <c r="A2089" s="2"/>
    </row>
    <row r="2090" spans="1:1" x14ac:dyDescent="0.35">
      <c r="A2090" s="2"/>
    </row>
    <row r="2091" spans="1:1" x14ac:dyDescent="0.35">
      <c r="A2091" s="2"/>
    </row>
    <row r="2092" spans="1:1" x14ac:dyDescent="0.35">
      <c r="A2092" s="2"/>
    </row>
    <row r="2093" spans="1:1" x14ac:dyDescent="0.35">
      <c r="A2093" s="2"/>
    </row>
    <row r="2094" spans="1:1" x14ac:dyDescent="0.35">
      <c r="A2094" s="2"/>
    </row>
    <row r="2095" spans="1:1" x14ac:dyDescent="0.35">
      <c r="A2095" s="2"/>
    </row>
    <row r="2096" spans="1:1" x14ac:dyDescent="0.35">
      <c r="A2096" s="2"/>
    </row>
    <row r="2097" spans="1:1" x14ac:dyDescent="0.35">
      <c r="A2097" s="2"/>
    </row>
    <row r="2098" spans="1:1" x14ac:dyDescent="0.35">
      <c r="A2098" s="2"/>
    </row>
    <row r="2099" spans="1:1" x14ac:dyDescent="0.35">
      <c r="A2099" s="2"/>
    </row>
    <row r="2100" spans="1:1" x14ac:dyDescent="0.35">
      <c r="A2100" s="2"/>
    </row>
    <row r="2101" spans="1:1" x14ac:dyDescent="0.35">
      <c r="A2101" s="2"/>
    </row>
    <row r="2102" spans="1:1" x14ac:dyDescent="0.35">
      <c r="A2102" s="2"/>
    </row>
    <row r="2103" spans="1:1" x14ac:dyDescent="0.35">
      <c r="A2103" s="2"/>
    </row>
    <row r="2104" spans="1:1" x14ac:dyDescent="0.35">
      <c r="A2104" s="2"/>
    </row>
    <row r="2105" spans="1:1" x14ac:dyDescent="0.35">
      <c r="A2105" s="2"/>
    </row>
    <row r="2106" spans="1:1" x14ac:dyDescent="0.35">
      <c r="A2106" s="2"/>
    </row>
    <row r="2107" spans="1:1" x14ac:dyDescent="0.35">
      <c r="A2107" s="2"/>
    </row>
    <row r="2108" spans="1:1" x14ac:dyDescent="0.35">
      <c r="A2108" s="2"/>
    </row>
    <row r="2109" spans="1:1" x14ac:dyDescent="0.35">
      <c r="A2109" s="2"/>
    </row>
    <row r="2110" spans="1:1" x14ac:dyDescent="0.35">
      <c r="A2110" s="2"/>
    </row>
    <row r="2111" spans="1:1" x14ac:dyDescent="0.35">
      <c r="A2111" s="2"/>
    </row>
    <row r="2112" spans="1:1" x14ac:dyDescent="0.35">
      <c r="A2112" s="2"/>
    </row>
    <row r="2113" spans="1:1" x14ac:dyDescent="0.35">
      <c r="A2113" s="2"/>
    </row>
    <row r="2114" spans="1:1" x14ac:dyDescent="0.35">
      <c r="A2114" s="2"/>
    </row>
    <row r="2115" spans="1:1" x14ac:dyDescent="0.35">
      <c r="A2115" s="2"/>
    </row>
    <row r="2116" spans="1:1" x14ac:dyDescent="0.35">
      <c r="A2116" s="2"/>
    </row>
    <row r="2117" spans="1:1" x14ac:dyDescent="0.35">
      <c r="A2117" s="2"/>
    </row>
    <row r="2118" spans="1:1" x14ac:dyDescent="0.35">
      <c r="A2118" s="2"/>
    </row>
    <row r="2119" spans="1:1" x14ac:dyDescent="0.35">
      <c r="A2119" s="2"/>
    </row>
    <row r="2120" spans="1:1" x14ac:dyDescent="0.35">
      <c r="A2120" s="2"/>
    </row>
    <row r="2121" spans="1:1" x14ac:dyDescent="0.35">
      <c r="A2121" s="2"/>
    </row>
    <row r="2122" spans="1:1" x14ac:dyDescent="0.35">
      <c r="A2122" s="2"/>
    </row>
    <row r="2123" spans="1:1" x14ac:dyDescent="0.35">
      <c r="A2123" s="2"/>
    </row>
    <row r="2124" spans="1:1" x14ac:dyDescent="0.35">
      <c r="A2124" s="2"/>
    </row>
    <row r="2125" spans="1:1" x14ac:dyDescent="0.35">
      <c r="A2125" s="2"/>
    </row>
    <row r="2126" spans="1:1" x14ac:dyDescent="0.35">
      <c r="A2126" s="2"/>
    </row>
    <row r="2127" spans="1:1" x14ac:dyDescent="0.35">
      <c r="A2127" s="2"/>
    </row>
    <row r="2128" spans="1:1" x14ac:dyDescent="0.35">
      <c r="A2128" s="2"/>
    </row>
    <row r="2129" spans="1:1" x14ac:dyDescent="0.35">
      <c r="A2129" s="2"/>
    </row>
    <row r="2130" spans="1:1" x14ac:dyDescent="0.35">
      <c r="A2130" s="2"/>
    </row>
    <row r="2131" spans="1:1" x14ac:dyDescent="0.35">
      <c r="A2131" s="2"/>
    </row>
    <row r="2132" spans="1:1" x14ac:dyDescent="0.35">
      <c r="A2132" s="2"/>
    </row>
    <row r="2133" spans="1:1" x14ac:dyDescent="0.35">
      <c r="A2133" s="2"/>
    </row>
    <row r="2134" spans="1:1" x14ac:dyDescent="0.35">
      <c r="A2134" s="2"/>
    </row>
    <row r="2135" spans="1:1" x14ac:dyDescent="0.35">
      <c r="A2135" s="2"/>
    </row>
    <row r="2136" spans="1:1" x14ac:dyDescent="0.35">
      <c r="A2136" s="2"/>
    </row>
    <row r="2137" spans="1:1" x14ac:dyDescent="0.35">
      <c r="A2137" s="2"/>
    </row>
    <row r="2138" spans="1:1" x14ac:dyDescent="0.35">
      <c r="A2138" s="2"/>
    </row>
    <row r="2139" spans="1:1" x14ac:dyDescent="0.35">
      <c r="A2139" s="2"/>
    </row>
    <row r="2140" spans="1:1" x14ac:dyDescent="0.35">
      <c r="A2140" s="2"/>
    </row>
    <row r="2141" spans="1:1" x14ac:dyDescent="0.35">
      <c r="A2141" s="2"/>
    </row>
    <row r="2142" spans="1:1" x14ac:dyDescent="0.35">
      <c r="A2142" s="2"/>
    </row>
    <row r="2143" spans="1:1" x14ac:dyDescent="0.35">
      <c r="A2143" s="2"/>
    </row>
    <row r="2144" spans="1:1" x14ac:dyDescent="0.35">
      <c r="A2144" s="2"/>
    </row>
    <row r="2145" spans="1:1" x14ac:dyDescent="0.35">
      <c r="A2145" s="2"/>
    </row>
    <row r="2146" spans="1:1" x14ac:dyDescent="0.35">
      <c r="A2146" s="2"/>
    </row>
    <row r="2147" spans="1:1" x14ac:dyDescent="0.35">
      <c r="A2147" s="2"/>
    </row>
    <row r="2148" spans="1:1" x14ac:dyDescent="0.35">
      <c r="A2148" s="2"/>
    </row>
    <row r="2149" spans="1:1" x14ac:dyDescent="0.35">
      <c r="A2149" s="2"/>
    </row>
    <row r="2150" spans="1:1" x14ac:dyDescent="0.35">
      <c r="A2150" s="2"/>
    </row>
    <row r="2151" spans="1:1" x14ac:dyDescent="0.35">
      <c r="A2151" s="2"/>
    </row>
    <row r="2152" spans="1:1" x14ac:dyDescent="0.35">
      <c r="A2152" s="2"/>
    </row>
    <row r="2153" spans="1:1" x14ac:dyDescent="0.35">
      <c r="A2153" s="2"/>
    </row>
    <row r="2154" spans="1:1" x14ac:dyDescent="0.35">
      <c r="A2154" s="2"/>
    </row>
    <row r="2155" spans="1:1" x14ac:dyDescent="0.35">
      <c r="A2155" s="2"/>
    </row>
    <row r="2156" spans="1:1" x14ac:dyDescent="0.35">
      <c r="A2156" s="2"/>
    </row>
    <row r="2157" spans="1:1" x14ac:dyDescent="0.35">
      <c r="A2157" s="2"/>
    </row>
    <row r="2158" spans="1:1" x14ac:dyDescent="0.35">
      <c r="A2158" s="2"/>
    </row>
    <row r="2159" spans="1:1" x14ac:dyDescent="0.35">
      <c r="A2159" s="2"/>
    </row>
    <row r="2160" spans="1:1" x14ac:dyDescent="0.35">
      <c r="A2160" s="2"/>
    </row>
    <row r="2161" spans="1:1" x14ac:dyDescent="0.35">
      <c r="A2161" s="2"/>
    </row>
    <row r="2162" spans="1:1" x14ac:dyDescent="0.35">
      <c r="A2162" s="2"/>
    </row>
    <row r="2163" spans="1:1" x14ac:dyDescent="0.35">
      <c r="A2163" s="2"/>
    </row>
    <row r="2164" spans="1:1" x14ac:dyDescent="0.35">
      <c r="A2164" s="2"/>
    </row>
    <row r="2165" spans="1:1" x14ac:dyDescent="0.35">
      <c r="A2165" s="2"/>
    </row>
    <row r="2166" spans="1:1" x14ac:dyDescent="0.35">
      <c r="A2166" s="2"/>
    </row>
    <row r="2167" spans="1:1" x14ac:dyDescent="0.35">
      <c r="A2167" s="2"/>
    </row>
    <row r="2168" spans="1:1" x14ac:dyDescent="0.35">
      <c r="A2168" s="2"/>
    </row>
    <row r="2169" spans="1:1" x14ac:dyDescent="0.35">
      <c r="A2169" s="2"/>
    </row>
    <row r="2170" spans="1:1" x14ac:dyDescent="0.35">
      <c r="A2170" s="2"/>
    </row>
    <row r="2171" spans="1:1" x14ac:dyDescent="0.35">
      <c r="A2171" s="2"/>
    </row>
    <row r="2172" spans="1:1" x14ac:dyDescent="0.35">
      <c r="A2172" s="2"/>
    </row>
    <row r="2173" spans="1:1" x14ac:dyDescent="0.35">
      <c r="A2173" s="2"/>
    </row>
    <row r="2174" spans="1:1" x14ac:dyDescent="0.35">
      <c r="A2174" s="2"/>
    </row>
    <row r="2175" spans="1:1" x14ac:dyDescent="0.35">
      <c r="A2175" s="2"/>
    </row>
    <row r="2176" spans="1:1" x14ac:dyDescent="0.35">
      <c r="A2176" s="2"/>
    </row>
    <row r="2177" spans="1:1" x14ac:dyDescent="0.35">
      <c r="A2177" s="2"/>
    </row>
    <row r="2178" spans="1:1" x14ac:dyDescent="0.35">
      <c r="A2178" s="2"/>
    </row>
    <row r="2179" spans="1:1" x14ac:dyDescent="0.35">
      <c r="A2179" s="2"/>
    </row>
    <row r="2180" spans="1:1" x14ac:dyDescent="0.35">
      <c r="A2180" s="2"/>
    </row>
    <row r="2181" spans="1:1" x14ac:dyDescent="0.35">
      <c r="A2181" s="2"/>
    </row>
    <row r="2182" spans="1:1" x14ac:dyDescent="0.35">
      <c r="A2182" s="2"/>
    </row>
    <row r="2183" spans="1:1" x14ac:dyDescent="0.35">
      <c r="A2183" s="2"/>
    </row>
    <row r="2184" spans="1:1" x14ac:dyDescent="0.35">
      <c r="A2184" s="2"/>
    </row>
    <row r="2185" spans="1:1" x14ac:dyDescent="0.35">
      <c r="A2185" s="2"/>
    </row>
    <row r="2186" spans="1:1" x14ac:dyDescent="0.35">
      <c r="A2186" s="2"/>
    </row>
    <row r="2187" spans="1:1" x14ac:dyDescent="0.35">
      <c r="A2187" s="2"/>
    </row>
    <row r="2188" spans="1:1" x14ac:dyDescent="0.35">
      <c r="A2188" s="2"/>
    </row>
    <row r="2189" spans="1:1" x14ac:dyDescent="0.35">
      <c r="A2189" s="2"/>
    </row>
    <row r="2190" spans="1:1" x14ac:dyDescent="0.35">
      <c r="A2190" s="2"/>
    </row>
    <row r="2191" spans="1:1" x14ac:dyDescent="0.35">
      <c r="A2191" s="2"/>
    </row>
    <row r="2192" spans="1:1" x14ac:dyDescent="0.35">
      <c r="A2192" s="2"/>
    </row>
    <row r="2193" spans="1:1" x14ac:dyDescent="0.35">
      <c r="A2193" s="2"/>
    </row>
    <row r="2194" spans="1:1" x14ac:dyDescent="0.35">
      <c r="A2194" s="2"/>
    </row>
    <row r="2195" spans="1:1" x14ac:dyDescent="0.35">
      <c r="A2195" s="2"/>
    </row>
    <row r="2196" spans="1:1" x14ac:dyDescent="0.35">
      <c r="A2196" s="2"/>
    </row>
    <row r="2197" spans="1:1" x14ac:dyDescent="0.35">
      <c r="A2197" s="2"/>
    </row>
    <row r="2198" spans="1:1" x14ac:dyDescent="0.35">
      <c r="A2198" s="2"/>
    </row>
    <row r="2199" spans="1:1" x14ac:dyDescent="0.35">
      <c r="A2199" s="2"/>
    </row>
    <row r="2200" spans="1:1" x14ac:dyDescent="0.35">
      <c r="A2200" s="2"/>
    </row>
    <row r="2201" spans="1:1" x14ac:dyDescent="0.35">
      <c r="A2201" s="2"/>
    </row>
    <row r="2202" spans="1:1" x14ac:dyDescent="0.35">
      <c r="A2202" s="2"/>
    </row>
    <row r="2203" spans="1:1" x14ac:dyDescent="0.35">
      <c r="A2203" s="2"/>
    </row>
    <row r="2204" spans="1:1" x14ac:dyDescent="0.35">
      <c r="A2204" s="2"/>
    </row>
    <row r="2205" spans="1:1" x14ac:dyDescent="0.35">
      <c r="A2205" s="2"/>
    </row>
    <row r="2206" spans="1:1" x14ac:dyDescent="0.35">
      <c r="A2206" s="2"/>
    </row>
    <row r="2207" spans="1:1" x14ac:dyDescent="0.35">
      <c r="A2207" s="2"/>
    </row>
    <row r="2208" spans="1:1" x14ac:dyDescent="0.35">
      <c r="A2208" s="2"/>
    </row>
    <row r="2209" spans="1:1" x14ac:dyDescent="0.35">
      <c r="A2209" s="2"/>
    </row>
    <row r="2210" spans="1:1" x14ac:dyDescent="0.35">
      <c r="A2210" s="2"/>
    </row>
    <row r="2211" spans="1:1" x14ac:dyDescent="0.35">
      <c r="A2211" s="2"/>
    </row>
    <row r="2212" spans="1:1" x14ac:dyDescent="0.35">
      <c r="A2212" s="2"/>
    </row>
    <row r="2213" spans="1:1" x14ac:dyDescent="0.35">
      <c r="A2213" s="2"/>
    </row>
    <row r="2214" spans="1:1" x14ac:dyDescent="0.35">
      <c r="A2214" s="2"/>
    </row>
    <row r="2215" spans="1:1" x14ac:dyDescent="0.35">
      <c r="A2215" s="2"/>
    </row>
    <row r="2216" spans="1:1" x14ac:dyDescent="0.35">
      <c r="A2216" s="2"/>
    </row>
    <row r="2217" spans="1:1" x14ac:dyDescent="0.35">
      <c r="A2217" s="2"/>
    </row>
    <row r="2218" spans="1:1" x14ac:dyDescent="0.35">
      <c r="A2218" s="2"/>
    </row>
    <row r="2219" spans="1:1" x14ac:dyDescent="0.35">
      <c r="A2219" s="2"/>
    </row>
    <row r="2220" spans="1:1" x14ac:dyDescent="0.35">
      <c r="A2220" s="2"/>
    </row>
    <row r="2221" spans="1:1" x14ac:dyDescent="0.35">
      <c r="A2221" s="2"/>
    </row>
    <row r="2222" spans="1:1" x14ac:dyDescent="0.35">
      <c r="A2222" s="2"/>
    </row>
    <row r="2223" spans="1:1" x14ac:dyDescent="0.35">
      <c r="A2223" s="2"/>
    </row>
    <row r="2224" spans="1:1" x14ac:dyDescent="0.35">
      <c r="A2224" s="2"/>
    </row>
    <row r="2225" spans="1:1" x14ac:dyDescent="0.35">
      <c r="A2225" s="2"/>
    </row>
    <row r="2226" spans="1:1" x14ac:dyDescent="0.35">
      <c r="A2226" s="2"/>
    </row>
    <row r="2227" spans="1:1" x14ac:dyDescent="0.35">
      <c r="A2227" s="2"/>
    </row>
    <row r="2228" spans="1:1" x14ac:dyDescent="0.35">
      <c r="A2228" s="2"/>
    </row>
    <row r="2229" spans="1:1" x14ac:dyDescent="0.35">
      <c r="A2229" s="2"/>
    </row>
    <row r="2230" spans="1:1" x14ac:dyDescent="0.35">
      <c r="A2230" s="2"/>
    </row>
    <row r="2231" spans="1:1" x14ac:dyDescent="0.35">
      <c r="A2231" s="2"/>
    </row>
    <row r="2232" spans="1:1" x14ac:dyDescent="0.35">
      <c r="A2232" s="2"/>
    </row>
    <row r="2233" spans="1:1" x14ac:dyDescent="0.35">
      <c r="A2233" s="2"/>
    </row>
    <row r="2234" spans="1:1" x14ac:dyDescent="0.35">
      <c r="A2234" s="2"/>
    </row>
    <row r="2235" spans="1:1" x14ac:dyDescent="0.35">
      <c r="A2235" s="2"/>
    </row>
    <row r="2236" spans="1:1" x14ac:dyDescent="0.35">
      <c r="A2236" s="2"/>
    </row>
    <row r="2237" spans="1:1" x14ac:dyDescent="0.35">
      <c r="A2237" s="2"/>
    </row>
    <row r="2238" spans="1:1" x14ac:dyDescent="0.35">
      <c r="A2238" s="2"/>
    </row>
    <row r="2239" spans="1:1" x14ac:dyDescent="0.35">
      <c r="A2239" s="2"/>
    </row>
    <row r="2240" spans="1:1" x14ac:dyDescent="0.35">
      <c r="A2240" s="2"/>
    </row>
    <row r="2241" spans="1:1" x14ac:dyDescent="0.35">
      <c r="A2241" s="2"/>
    </row>
    <row r="2242" spans="1:1" x14ac:dyDescent="0.35">
      <c r="A2242" s="2"/>
    </row>
    <row r="2243" spans="1:1" x14ac:dyDescent="0.35">
      <c r="A2243" s="2"/>
    </row>
    <row r="2244" spans="1:1" x14ac:dyDescent="0.35">
      <c r="A2244" s="2"/>
    </row>
    <row r="2245" spans="1:1" x14ac:dyDescent="0.35">
      <c r="A2245" s="2"/>
    </row>
    <row r="2246" spans="1:1" x14ac:dyDescent="0.35">
      <c r="A2246" s="2"/>
    </row>
    <row r="2247" spans="1:1" x14ac:dyDescent="0.35">
      <c r="A2247" s="2"/>
    </row>
    <row r="2248" spans="1:1" x14ac:dyDescent="0.35">
      <c r="A2248" s="2"/>
    </row>
    <row r="2249" spans="1:1" x14ac:dyDescent="0.35">
      <c r="A2249" s="2"/>
    </row>
    <row r="2250" spans="1:1" x14ac:dyDescent="0.35">
      <c r="A2250" s="2"/>
    </row>
    <row r="2251" spans="1:1" x14ac:dyDescent="0.35">
      <c r="A2251" s="2"/>
    </row>
    <row r="2252" spans="1:1" x14ac:dyDescent="0.35">
      <c r="A2252" s="2"/>
    </row>
    <row r="2253" spans="1:1" x14ac:dyDescent="0.35">
      <c r="A2253" s="2"/>
    </row>
    <row r="2254" spans="1:1" x14ac:dyDescent="0.35">
      <c r="A2254" s="2"/>
    </row>
    <row r="2255" spans="1:1" x14ac:dyDescent="0.35">
      <c r="A2255" s="2"/>
    </row>
    <row r="2256" spans="1:1" x14ac:dyDescent="0.35">
      <c r="A2256" s="2"/>
    </row>
    <row r="2257" spans="1:1" x14ac:dyDescent="0.35">
      <c r="A2257" s="2"/>
    </row>
    <row r="2258" spans="1:1" x14ac:dyDescent="0.35">
      <c r="A2258" s="2"/>
    </row>
    <row r="2259" spans="1:1" x14ac:dyDescent="0.35">
      <c r="A2259" s="2"/>
    </row>
    <row r="2260" spans="1:1" x14ac:dyDescent="0.35">
      <c r="A2260" s="2"/>
    </row>
    <row r="2261" spans="1:1" x14ac:dyDescent="0.35">
      <c r="A2261" s="2"/>
    </row>
    <row r="2262" spans="1:1" x14ac:dyDescent="0.35">
      <c r="A2262" s="2"/>
    </row>
    <row r="2263" spans="1:1" x14ac:dyDescent="0.35">
      <c r="A2263" s="2"/>
    </row>
    <row r="2264" spans="1:1" x14ac:dyDescent="0.35">
      <c r="A2264" s="2"/>
    </row>
    <row r="2265" spans="1:1" x14ac:dyDescent="0.35">
      <c r="A2265" s="2"/>
    </row>
    <row r="2266" spans="1:1" x14ac:dyDescent="0.35">
      <c r="A2266" s="2"/>
    </row>
    <row r="2267" spans="1:1" x14ac:dyDescent="0.35">
      <c r="A2267" s="2"/>
    </row>
    <row r="2268" spans="1:1" x14ac:dyDescent="0.35">
      <c r="A2268" s="2"/>
    </row>
    <row r="2269" spans="1:1" x14ac:dyDescent="0.35">
      <c r="A2269" s="2"/>
    </row>
    <row r="2270" spans="1:1" x14ac:dyDescent="0.35">
      <c r="A2270" s="2"/>
    </row>
    <row r="2271" spans="1:1" x14ac:dyDescent="0.35">
      <c r="A2271" s="2"/>
    </row>
    <row r="2272" spans="1:1" x14ac:dyDescent="0.35">
      <c r="A2272" s="2"/>
    </row>
    <row r="2273" spans="1:1" x14ac:dyDescent="0.35">
      <c r="A2273" s="2"/>
    </row>
    <row r="2274" spans="1:1" x14ac:dyDescent="0.35">
      <c r="A2274" s="2"/>
    </row>
    <row r="2275" spans="1:1" x14ac:dyDescent="0.35">
      <c r="A2275" s="2"/>
    </row>
    <row r="2276" spans="1:1" x14ac:dyDescent="0.35">
      <c r="A2276" s="2"/>
    </row>
    <row r="2277" spans="1:1" x14ac:dyDescent="0.35">
      <c r="A2277" s="2"/>
    </row>
    <row r="2278" spans="1:1" x14ac:dyDescent="0.35">
      <c r="A2278" s="2"/>
    </row>
    <row r="2279" spans="1:1" x14ac:dyDescent="0.35">
      <c r="A2279" s="2"/>
    </row>
    <row r="2280" spans="1:1" x14ac:dyDescent="0.35">
      <c r="A2280" s="2"/>
    </row>
    <row r="2281" spans="1:1" x14ac:dyDescent="0.35">
      <c r="A2281" s="2"/>
    </row>
    <row r="2282" spans="1:1" x14ac:dyDescent="0.35">
      <c r="A2282" s="2"/>
    </row>
    <row r="2283" spans="1:1" x14ac:dyDescent="0.35">
      <c r="A2283" s="2"/>
    </row>
    <row r="2284" spans="1:1" x14ac:dyDescent="0.35">
      <c r="A2284" s="2"/>
    </row>
    <row r="2285" spans="1:1" x14ac:dyDescent="0.35">
      <c r="A2285" s="2"/>
    </row>
    <row r="2286" spans="1:1" x14ac:dyDescent="0.35">
      <c r="A2286" s="2"/>
    </row>
    <row r="2287" spans="1:1" x14ac:dyDescent="0.35">
      <c r="A2287" s="2"/>
    </row>
    <row r="2288" spans="1:1" x14ac:dyDescent="0.35">
      <c r="A2288" s="2"/>
    </row>
    <row r="2289" spans="1:1" x14ac:dyDescent="0.35">
      <c r="A2289" s="2"/>
    </row>
    <row r="2290" spans="1:1" x14ac:dyDescent="0.35">
      <c r="A2290" s="2"/>
    </row>
    <row r="2291" spans="1:1" x14ac:dyDescent="0.35">
      <c r="A2291" s="2"/>
    </row>
    <row r="2292" spans="1:1" x14ac:dyDescent="0.35">
      <c r="A2292" s="2"/>
    </row>
    <row r="2293" spans="1:1" x14ac:dyDescent="0.35">
      <c r="A2293" s="2"/>
    </row>
    <row r="2294" spans="1:1" x14ac:dyDescent="0.35">
      <c r="A2294" s="2"/>
    </row>
    <row r="2295" spans="1:1" x14ac:dyDescent="0.35">
      <c r="A2295" s="2"/>
    </row>
    <row r="2296" spans="1:1" x14ac:dyDescent="0.35">
      <c r="A2296" s="2"/>
    </row>
    <row r="2297" spans="1:1" x14ac:dyDescent="0.35">
      <c r="A2297" s="2"/>
    </row>
    <row r="2298" spans="1:1" x14ac:dyDescent="0.35">
      <c r="A2298" s="2"/>
    </row>
    <row r="2299" spans="1:1" x14ac:dyDescent="0.35">
      <c r="A2299" s="2"/>
    </row>
    <row r="2300" spans="1:1" x14ac:dyDescent="0.35">
      <c r="A2300" s="2"/>
    </row>
    <row r="2301" spans="1:1" x14ac:dyDescent="0.35">
      <c r="A2301" s="2"/>
    </row>
    <row r="2302" spans="1:1" x14ac:dyDescent="0.35">
      <c r="A2302" s="2"/>
    </row>
    <row r="2303" spans="1:1" x14ac:dyDescent="0.35">
      <c r="A2303" s="2"/>
    </row>
    <row r="2304" spans="1:1" x14ac:dyDescent="0.35">
      <c r="A2304" s="2"/>
    </row>
    <row r="2305" spans="1:1" x14ac:dyDescent="0.35">
      <c r="A2305" s="2"/>
    </row>
    <row r="2306" spans="1:1" x14ac:dyDescent="0.35">
      <c r="A2306" s="2"/>
    </row>
    <row r="2307" spans="1:1" x14ac:dyDescent="0.35">
      <c r="A2307" s="2"/>
    </row>
    <row r="2308" spans="1:1" x14ac:dyDescent="0.35">
      <c r="A2308" s="2"/>
    </row>
    <row r="2309" spans="1:1" x14ac:dyDescent="0.35">
      <c r="A2309" s="2"/>
    </row>
    <row r="2310" spans="1:1" x14ac:dyDescent="0.35">
      <c r="A2310" s="2"/>
    </row>
    <row r="2311" spans="1:1" x14ac:dyDescent="0.35">
      <c r="A2311" s="2"/>
    </row>
    <row r="2312" spans="1:1" x14ac:dyDescent="0.35">
      <c r="A2312" s="2"/>
    </row>
    <row r="2313" spans="1:1" x14ac:dyDescent="0.35">
      <c r="A2313" s="2"/>
    </row>
    <row r="2314" spans="1:1" x14ac:dyDescent="0.35">
      <c r="A2314" s="2"/>
    </row>
    <row r="2315" spans="1:1" x14ac:dyDescent="0.35">
      <c r="A2315" s="2"/>
    </row>
    <row r="2316" spans="1:1" x14ac:dyDescent="0.35">
      <c r="A2316" s="2"/>
    </row>
    <row r="2317" spans="1:1" x14ac:dyDescent="0.35">
      <c r="A2317" s="2"/>
    </row>
    <row r="2318" spans="1:1" x14ac:dyDescent="0.35">
      <c r="A2318" s="2"/>
    </row>
    <row r="2319" spans="1:1" x14ac:dyDescent="0.35">
      <c r="A2319" s="2"/>
    </row>
    <row r="2320" spans="1:1" x14ac:dyDescent="0.35">
      <c r="A2320" s="2"/>
    </row>
    <row r="2321" spans="1:1" x14ac:dyDescent="0.35">
      <c r="A2321" s="2"/>
    </row>
    <row r="2322" spans="1:1" x14ac:dyDescent="0.35">
      <c r="A2322" s="2"/>
    </row>
    <row r="2323" spans="1:1" x14ac:dyDescent="0.35">
      <c r="A2323" s="2"/>
    </row>
    <row r="2324" spans="1:1" x14ac:dyDescent="0.35">
      <c r="A2324" s="2"/>
    </row>
    <row r="2325" spans="1:1" x14ac:dyDescent="0.35">
      <c r="A2325" s="2"/>
    </row>
    <row r="2326" spans="1:1" x14ac:dyDescent="0.35">
      <c r="A2326" s="2"/>
    </row>
    <row r="2327" spans="1:1" x14ac:dyDescent="0.35">
      <c r="A2327" s="2"/>
    </row>
    <row r="2328" spans="1:1" x14ac:dyDescent="0.35">
      <c r="A2328" s="2"/>
    </row>
    <row r="2329" spans="1:1" x14ac:dyDescent="0.35">
      <c r="A2329" s="2"/>
    </row>
    <row r="2330" spans="1:1" x14ac:dyDescent="0.35">
      <c r="A2330" s="2"/>
    </row>
    <row r="2331" spans="1:1" x14ac:dyDescent="0.35">
      <c r="A2331" s="2"/>
    </row>
    <row r="2332" spans="1:1" x14ac:dyDescent="0.35">
      <c r="A2332" s="2"/>
    </row>
    <row r="2333" spans="1:1" x14ac:dyDescent="0.35">
      <c r="A2333" s="2"/>
    </row>
    <row r="2334" spans="1:1" x14ac:dyDescent="0.35">
      <c r="A2334" s="2"/>
    </row>
    <row r="2335" spans="1:1" x14ac:dyDescent="0.35">
      <c r="A2335" s="2"/>
    </row>
    <row r="2336" spans="1:1" x14ac:dyDescent="0.35">
      <c r="A2336" s="2"/>
    </row>
    <row r="2337" spans="1:1" x14ac:dyDescent="0.35">
      <c r="A2337" s="2"/>
    </row>
    <row r="2338" spans="1:1" x14ac:dyDescent="0.35">
      <c r="A2338" s="2"/>
    </row>
    <row r="2339" spans="1:1" x14ac:dyDescent="0.35">
      <c r="A2339" s="2"/>
    </row>
    <row r="2340" spans="1:1" x14ac:dyDescent="0.35">
      <c r="A2340" s="2"/>
    </row>
    <row r="2341" spans="1:1" x14ac:dyDescent="0.35">
      <c r="A2341" s="2"/>
    </row>
    <row r="2342" spans="1:1" x14ac:dyDescent="0.35">
      <c r="A2342" s="2"/>
    </row>
    <row r="2343" spans="1:1" x14ac:dyDescent="0.35">
      <c r="A2343" s="2"/>
    </row>
    <row r="2344" spans="1:1" x14ac:dyDescent="0.35">
      <c r="A2344" s="2"/>
    </row>
    <row r="2345" spans="1:1" x14ac:dyDescent="0.35">
      <c r="A2345" s="2"/>
    </row>
    <row r="2346" spans="1:1" x14ac:dyDescent="0.35">
      <c r="A2346" s="2"/>
    </row>
    <row r="2347" spans="1:1" x14ac:dyDescent="0.35">
      <c r="A2347" s="2"/>
    </row>
    <row r="2348" spans="1:1" x14ac:dyDescent="0.35">
      <c r="A2348" s="2"/>
    </row>
    <row r="2349" spans="1:1" x14ac:dyDescent="0.35">
      <c r="A2349" s="2"/>
    </row>
    <row r="2350" spans="1:1" x14ac:dyDescent="0.35">
      <c r="A2350" s="2"/>
    </row>
    <row r="2351" spans="1:1" x14ac:dyDescent="0.35">
      <c r="A2351" s="2"/>
    </row>
    <row r="2352" spans="1:1" x14ac:dyDescent="0.35">
      <c r="A2352" s="2"/>
    </row>
    <row r="2353" spans="1:1" x14ac:dyDescent="0.35">
      <c r="A2353" s="2"/>
    </row>
    <row r="2354" spans="1:1" x14ac:dyDescent="0.35">
      <c r="A2354" s="2"/>
    </row>
    <row r="2355" spans="1:1" x14ac:dyDescent="0.35">
      <c r="A2355" s="2"/>
    </row>
    <row r="2356" spans="1:1" x14ac:dyDescent="0.35">
      <c r="A2356" s="2"/>
    </row>
    <row r="2357" spans="1:1" x14ac:dyDescent="0.35">
      <c r="A2357" s="2"/>
    </row>
    <row r="2358" spans="1:1" x14ac:dyDescent="0.35">
      <c r="A2358" s="2"/>
    </row>
    <row r="2359" spans="1:1" x14ac:dyDescent="0.35">
      <c r="A2359" s="2"/>
    </row>
    <row r="2360" spans="1:1" x14ac:dyDescent="0.35">
      <c r="A2360" s="2"/>
    </row>
    <row r="2361" spans="1:1" x14ac:dyDescent="0.35">
      <c r="A2361" s="2"/>
    </row>
    <row r="2362" spans="1:1" x14ac:dyDescent="0.35">
      <c r="A2362" s="2"/>
    </row>
    <row r="2363" spans="1:1" x14ac:dyDescent="0.35">
      <c r="A2363" s="2"/>
    </row>
    <row r="2364" spans="1:1" x14ac:dyDescent="0.35">
      <c r="A2364" s="2"/>
    </row>
    <row r="2365" spans="1:1" x14ac:dyDescent="0.35">
      <c r="A2365" s="2"/>
    </row>
    <row r="2366" spans="1:1" x14ac:dyDescent="0.35">
      <c r="A2366" s="2"/>
    </row>
    <row r="2367" spans="1:1" x14ac:dyDescent="0.35">
      <c r="A2367" s="2"/>
    </row>
    <row r="2368" spans="1:1" x14ac:dyDescent="0.35">
      <c r="A2368" s="2"/>
    </row>
    <row r="2369" spans="1:1" x14ac:dyDescent="0.35">
      <c r="A2369" s="2"/>
    </row>
    <row r="2370" spans="1:1" x14ac:dyDescent="0.35">
      <c r="A2370" s="2"/>
    </row>
    <row r="2371" spans="1:1" x14ac:dyDescent="0.35">
      <c r="A2371" s="2"/>
    </row>
    <row r="2372" spans="1:1" x14ac:dyDescent="0.35">
      <c r="A2372" s="2"/>
    </row>
    <row r="2373" spans="1:1" x14ac:dyDescent="0.35">
      <c r="A2373" s="2"/>
    </row>
    <row r="2374" spans="1:1" x14ac:dyDescent="0.35">
      <c r="A2374" s="2"/>
    </row>
    <row r="2375" spans="1:1" x14ac:dyDescent="0.35">
      <c r="A2375" s="2"/>
    </row>
    <row r="2376" spans="1:1" x14ac:dyDescent="0.35">
      <c r="A2376" s="2"/>
    </row>
    <row r="2377" spans="1:1" x14ac:dyDescent="0.35">
      <c r="A2377" s="2"/>
    </row>
    <row r="2378" spans="1:1" x14ac:dyDescent="0.35">
      <c r="A2378" s="2"/>
    </row>
    <row r="2379" spans="1:1" x14ac:dyDescent="0.35">
      <c r="A2379" s="2"/>
    </row>
    <row r="2380" spans="1:1" x14ac:dyDescent="0.35">
      <c r="A2380" s="2"/>
    </row>
    <row r="2381" spans="1:1" x14ac:dyDescent="0.35">
      <c r="A2381" s="2"/>
    </row>
    <row r="2382" spans="1:1" x14ac:dyDescent="0.35">
      <c r="A2382" s="2"/>
    </row>
    <row r="2383" spans="1:1" x14ac:dyDescent="0.35">
      <c r="A2383" s="2"/>
    </row>
    <row r="2384" spans="1:1" x14ac:dyDescent="0.35">
      <c r="A2384" s="2"/>
    </row>
    <row r="2385" spans="1:1" x14ac:dyDescent="0.35">
      <c r="A2385" s="2"/>
    </row>
    <row r="2386" spans="1:1" x14ac:dyDescent="0.35">
      <c r="A2386" s="2"/>
    </row>
    <row r="2387" spans="1:1" x14ac:dyDescent="0.35">
      <c r="A2387" s="2"/>
    </row>
    <row r="2388" spans="1:1" x14ac:dyDescent="0.35">
      <c r="A2388" s="2"/>
    </row>
    <row r="2389" spans="1:1" x14ac:dyDescent="0.35">
      <c r="A2389" s="2"/>
    </row>
    <row r="2390" spans="1:1" x14ac:dyDescent="0.35">
      <c r="A2390" s="2"/>
    </row>
    <row r="2391" spans="1:1" x14ac:dyDescent="0.35">
      <c r="A2391" s="2"/>
    </row>
    <row r="2392" spans="1:1" x14ac:dyDescent="0.35">
      <c r="A2392" s="2"/>
    </row>
    <row r="2393" spans="1:1" x14ac:dyDescent="0.35">
      <c r="A2393" s="2"/>
    </row>
    <row r="2394" spans="1:1" x14ac:dyDescent="0.35">
      <c r="A2394" s="2"/>
    </row>
    <row r="2395" spans="1:1" x14ac:dyDescent="0.35">
      <c r="A2395" s="2"/>
    </row>
    <row r="2396" spans="1:1" x14ac:dyDescent="0.35">
      <c r="A2396" s="2"/>
    </row>
    <row r="2397" spans="1:1" x14ac:dyDescent="0.35">
      <c r="A2397" s="2"/>
    </row>
    <row r="2398" spans="1:1" x14ac:dyDescent="0.35">
      <c r="A2398" s="2"/>
    </row>
    <row r="2399" spans="1:1" x14ac:dyDescent="0.35">
      <c r="A2399" s="2"/>
    </row>
    <row r="2400" spans="1:1" x14ac:dyDescent="0.35">
      <c r="A2400" s="2"/>
    </row>
    <row r="2401" spans="1:1" x14ac:dyDescent="0.35">
      <c r="A2401" s="2"/>
    </row>
    <row r="2402" spans="1:1" x14ac:dyDescent="0.35">
      <c r="A2402" s="2"/>
    </row>
    <row r="2403" spans="1:1" x14ac:dyDescent="0.35">
      <c r="A2403" s="2"/>
    </row>
    <row r="2404" spans="1:1" x14ac:dyDescent="0.35">
      <c r="A2404" s="2"/>
    </row>
    <row r="2405" spans="1:1" x14ac:dyDescent="0.35">
      <c r="A2405" s="2"/>
    </row>
    <row r="2406" spans="1:1" x14ac:dyDescent="0.35">
      <c r="A2406" s="2"/>
    </row>
    <row r="2407" spans="1:1" x14ac:dyDescent="0.35">
      <c r="A2407" s="2"/>
    </row>
    <row r="2408" spans="1:1" x14ac:dyDescent="0.35">
      <c r="A2408" s="2"/>
    </row>
    <row r="2409" spans="1:1" x14ac:dyDescent="0.35">
      <c r="A2409" s="2"/>
    </row>
    <row r="2410" spans="1:1" x14ac:dyDescent="0.35">
      <c r="A2410" s="2"/>
    </row>
    <row r="2411" spans="1:1" x14ac:dyDescent="0.35">
      <c r="A2411" s="2"/>
    </row>
    <row r="2412" spans="1:1" x14ac:dyDescent="0.35">
      <c r="A2412" s="2"/>
    </row>
    <row r="2413" spans="1:1" x14ac:dyDescent="0.35">
      <c r="A2413" s="2"/>
    </row>
    <row r="2414" spans="1:1" x14ac:dyDescent="0.35">
      <c r="A2414" s="2"/>
    </row>
    <row r="2415" spans="1:1" x14ac:dyDescent="0.35">
      <c r="A2415" s="2"/>
    </row>
    <row r="2416" spans="1:1" x14ac:dyDescent="0.35">
      <c r="A2416" s="2"/>
    </row>
    <row r="2417" spans="1:1" x14ac:dyDescent="0.35">
      <c r="A2417" s="2"/>
    </row>
    <row r="2418" spans="1:1" x14ac:dyDescent="0.35">
      <c r="A2418" s="2"/>
    </row>
    <row r="2419" spans="1:1" x14ac:dyDescent="0.35">
      <c r="A2419" s="2"/>
    </row>
    <row r="2420" spans="1:1" x14ac:dyDescent="0.35">
      <c r="A2420" s="2"/>
    </row>
    <row r="2421" spans="1:1" x14ac:dyDescent="0.35">
      <c r="A2421" s="2"/>
    </row>
    <row r="2422" spans="1:1" x14ac:dyDescent="0.35">
      <c r="A2422" s="2"/>
    </row>
    <row r="2423" spans="1:1" x14ac:dyDescent="0.35">
      <c r="A2423" s="2"/>
    </row>
    <row r="2424" spans="1:1" x14ac:dyDescent="0.35">
      <c r="A2424" s="2"/>
    </row>
    <row r="2425" spans="1:1" x14ac:dyDescent="0.35">
      <c r="A2425" s="2"/>
    </row>
    <row r="2426" spans="1:1" x14ac:dyDescent="0.35">
      <c r="A2426" s="2"/>
    </row>
    <row r="2427" spans="1:1" x14ac:dyDescent="0.35">
      <c r="A2427" s="2"/>
    </row>
    <row r="2428" spans="1:1" x14ac:dyDescent="0.35">
      <c r="A2428" s="2"/>
    </row>
    <row r="2429" spans="1:1" x14ac:dyDescent="0.35">
      <c r="A2429" s="2"/>
    </row>
    <row r="2430" spans="1:1" x14ac:dyDescent="0.35">
      <c r="A2430" s="2"/>
    </row>
    <row r="2431" spans="1:1" x14ac:dyDescent="0.35">
      <c r="A2431" s="2"/>
    </row>
    <row r="2432" spans="1:1" x14ac:dyDescent="0.35">
      <c r="A2432" s="2"/>
    </row>
    <row r="2433" spans="1:1" x14ac:dyDescent="0.35">
      <c r="A2433" s="2"/>
    </row>
    <row r="2434" spans="1:1" x14ac:dyDescent="0.35">
      <c r="A2434" s="2"/>
    </row>
    <row r="2435" spans="1:1" x14ac:dyDescent="0.35">
      <c r="A2435" s="2"/>
    </row>
    <row r="2436" spans="1:1" x14ac:dyDescent="0.35">
      <c r="A2436" s="2"/>
    </row>
    <row r="2437" spans="1:1" x14ac:dyDescent="0.35">
      <c r="A2437" s="2"/>
    </row>
    <row r="2438" spans="1:1" x14ac:dyDescent="0.35">
      <c r="A2438" s="2"/>
    </row>
    <row r="2439" spans="1:1" x14ac:dyDescent="0.35">
      <c r="A2439" s="2"/>
    </row>
    <row r="2440" spans="1:1" x14ac:dyDescent="0.35">
      <c r="A2440" s="2"/>
    </row>
    <row r="2441" spans="1:1" x14ac:dyDescent="0.35">
      <c r="A2441" s="2"/>
    </row>
    <row r="2442" spans="1:1" x14ac:dyDescent="0.35">
      <c r="A2442" s="2"/>
    </row>
    <row r="2443" spans="1:1" x14ac:dyDescent="0.35">
      <c r="A2443" s="2"/>
    </row>
    <row r="2444" spans="1:1" x14ac:dyDescent="0.35">
      <c r="A2444" s="2"/>
    </row>
    <row r="2445" spans="1:1" x14ac:dyDescent="0.35">
      <c r="A2445" s="2"/>
    </row>
    <row r="2446" spans="1:1" x14ac:dyDescent="0.35">
      <c r="A2446" s="2"/>
    </row>
    <row r="2447" spans="1:1" x14ac:dyDescent="0.35">
      <c r="A2447" s="2"/>
    </row>
    <row r="2448" spans="1:1" x14ac:dyDescent="0.35">
      <c r="A2448" s="2"/>
    </row>
    <row r="2449" spans="1:1" x14ac:dyDescent="0.35">
      <c r="A2449" s="2"/>
    </row>
    <row r="2450" spans="1:1" x14ac:dyDescent="0.35">
      <c r="A2450" s="2"/>
    </row>
    <row r="2451" spans="1:1" x14ac:dyDescent="0.35">
      <c r="A2451" s="2"/>
    </row>
    <row r="2452" spans="1:1" x14ac:dyDescent="0.35">
      <c r="A2452" s="2"/>
    </row>
    <row r="2453" spans="1:1" x14ac:dyDescent="0.35">
      <c r="A2453" s="2"/>
    </row>
    <row r="2454" spans="1:1" x14ac:dyDescent="0.35">
      <c r="A2454" s="2"/>
    </row>
    <row r="2455" spans="1:1" x14ac:dyDescent="0.35">
      <c r="A2455" s="2"/>
    </row>
    <row r="2456" spans="1:1" x14ac:dyDescent="0.35">
      <c r="A2456" s="2"/>
    </row>
    <row r="2457" spans="1:1" x14ac:dyDescent="0.35">
      <c r="A2457" s="2"/>
    </row>
    <row r="2458" spans="1:1" x14ac:dyDescent="0.35">
      <c r="A2458" s="2"/>
    </row>
    <row r="2459" spans="1:1" x14ac:dyDescent="0.35">
      <c r="A2459" s="2"/>
    </row>
    <row r="2460" spans="1:1" x14ac:dyDescent="0.35">
      <c r="A2460" s="2"/>
    </row>
    <row r="2461" spans="1:1" x14ac:dyDescent="0.35">
      <c r="A2461" s="2"/>
    </row>
    <row r="2462" spans="1:1" x14ac:dyDescent="0.35">
      <c r="A2462" s="2"/>
    </row>
    <row r="2463" spans="1:1" x14ac:dyDescent="0.35">
      <c r="A2463" s="2"/>
    </row>
    <row r="2464" spans="1:1" x14ac:dyDescent="0.35">
      <c r="A2464" s="2"/>
    </row>
    <row r="2465" spans="1:1" x14ac:dyDescent="0.35">
      <c r="A2465" s="2"/>
    </row>
    <row r="2466" spans="1:1" x14ac:dyDescent="0.35">
      <c r="A2466" s="2"/>
    </row>
    <row r="2467" spans="1:1" x14ac:dyDescent="0.35">
      <c r="A2467" s="2"/>
    </row>
    <row r="2468" spans="1:1" x14ac:dyDescent="0.35">
      <c r="A2468" s="2"/>
    </row>
    <row r="2469" spans="1:1" x14ac:dyDescent="0.35">
      <c r="A2469" s="2"/>
    </row>
    <row r="2470" spans="1:1" x14ac:dyDescent="0.35">
      <c r="A2470" s="2"/>
    </row>
    <row r="2471" spans="1:1" x14ac:dyDescent="0.35">
      <c r="A2471" s="2"/>
    </row>
    <row r="2472" spans="1:1" x14ac:dyDescent="0.35">
      <c r="A2472" s="2"/>
    </row>
    <row r="2473" spans="1:1" x14ac:dyDescent="0.35">
      <c r="A2473" s="2"/>
    </row>
    <row r="2474" spans="1:1" x14ac:dyDescent="0.35">
      <c r="A2474" s="2"/>
    </row>
    <row r="2475" spans="1:1" x14ac:dyDescent="0.35">
      <c r="A2475" s="2"/>
    </row>
    <row r="2476" spans="1:1" x14ac:dyDescent="0.35">
      <c r="A2476" s="2"/>
    </row>
    <row r="2477" spans="1:1" x14ac:dyDescent="0.35">
      <c r="A2477" s="2"/>
    </row>
    <row r="2478" spans="1:1" x14ac:dyDescent="0.35">
      <c r="A2478" s="2"/>
    </row>
    <row r="2479" spans="1:1" x14ac:dyDescent="0.35">
      <c r="A2479" s="2"/>
    </row>
    <row r="2480" spans="1:1" x14ac:dyDescent="0.35">
      <c r="A2480" s="2"/>
    </row>
    <row r="2481" spans="1:1" x14ac:dyDescent="0.35">
      <c r="A2481" s="2"/>
    </row>
    <row r="2482" spans="1:1" x14ac:dyDescent="0.35">
      <c r="A2482" s="2"/>
    </row>
    <row r="2483" spans="1:1" x14ac:dyDescent="0.35">
      <c r="A2483" s="2"/>
    </row>
    <row r="2484" spans="1:1" x14ac:dyDescent="0.35">
      <c r="A2484" s="2"/>
    </row>
    <row r="2485" spans="1:1" x14ac:dyDescent="0.35">
      <c r="A2485" s="2"/>
    </row>
    <row r="2486" spans="1:1" x14ac:dyDescent="0.35">
      <c r="A2486" s="2"/>
    </row>
    <row r="2487" spans="1:1" x14ac:dyDescent="0.35">
      <c r="A2487" s="2"/>
    </row>
    <row r="2488" spans="1:1" x14ac:dyDescent="0.35">
      <c r="A2488" s="2"/>
    </row>
    <row r="2489" spans="1:1" x14ac:dyDescent="0.35">
      <c r="A2489" s="2"/>
    </row>
    <row r="2490" spans="1:1" x14ac:dyDescent="0.35">
      <c r="A2490" s="2"/>
    </row>
    <row r="2491" spans="1:1" x14ac:dyDescent="0.35">
      <c r="A2491" s="2"/>
    </row>
    <row r="2492" spans="1:1" x14ac:dyDescent="0.35">
      <c r="A2492" s="2"/>
    </row>
    <row r="2493" spans="1:1" x14ac:dyDescent="0.35">
      <c r="A2493" s="2"/>
    </row>
    <row r="2494" spans="1:1" x14ac:dyDescent="0.35">
      <c r="A2494" s="2"/>
    </row>
    <row r="2495" spans="1:1" x14ac:dyDescent="0.35">
      <c r="A2495" s="2"/>
    </row>
    <row r="2496" spans="1:1" x14ac:dyDescent="0.35">
      <c r="A2496" s="2"/>
    </row>
    <row r="2497" spans="1:1" x14ac:dyDescent="0.35">
      <c r="A2497" s="2"/>
    </row>
    <row r="2498" spans="1:1" x14ac:dyDescent="0.35">
      <c r="A2498" s="2"/>
    </row>
    <row r="2499" spans="1:1" x14ac:dyDescent="0.35">
      <c r="A2499" s="2"/>
    </row>
    <row r="2500" spans="1:1" x14ac:dyDescent="0.35">
      <c r="A2500" s="2"/>
    </row>
    <row r="2501" spans="1:1" x14ac:dyDescent="0.35">
      <c r="A2501" s="2"/>
    </row>
    <row r="2502" spans="1:1" x14ac:dyDescent="0.35">
      <c r="A2502" s="2"/>
    </row>
    <row r="2503" spans="1:1" x14ac:dyDescent="0.35">
      <c r="A2503" s="2"/>
    </row>
    <row r="2504" spans="1:1" x14ac:dyDescent="0.35">
      <c r="A2504" s="2"/>
    </row>
    <row r="2505" spans="1:1" x14ac:dyDescent="0.35">
      <c r="A2505" s="2"/>
    </row>
    <row r="2506" spans="1:1" x14ac:dyDescent="0.35">
      <c r="A2506" s="2"/>
    </row>
    <row r="2507" spans="1:1" x14ac:dyDescent="0.35">
      <c r="A2507" s="2"/>
    </row>
    <row r="2508" spans="1:1" x14ac:dyDescent="0.35">
      <c r="A2508" s="2"/>
    </row>
    <row r="2509" spans="1:1" x14ac:dyDescent="0.35">
      <c r="A2509" s="2"/>
    </row>
    <row r="2510" spans="1:1" x14ac:dyDescent="0.35">
      <c r="A2510" s="2"/>
    </row>
    <row r="2511" spans="1:1" x14ac:dyDescent="0.35">
      <c r="A2511" s="2"/>
    </row>
    <row r="2512" spans="1:1" x14ac:dyDescent="0.35">
      <c r="A2512" s="2"/>
    </row>
    <row r="2513" spans="1:1" x14ac:dyDescent="0.35">
      <c r="A2513" s="2"/>
    </row>
    <row r="2514" spans="1:1" x14ac:dyDescent="0.35">
      <c r="A2514" s="2"/>
    </row>
    <row r="2515" spans="1:1" x14ac:dyDescent="0.35">
      <c r="A2515" s="2"/>
    </row>
    <row r="2516" spans="1:1" x14ac:dyDescent="0.35">
      <c r="A2516" s="2"/>
    </row>
    <row r="2517" spans="1:1" x14ac:dyDescent="0.35">
      <c r="A2517" s="2"/>
    </row>
    <row r="2518" spans="1:1" x14ac:dyDescent="0.35">
      <c r="A2518" s="2"/>
    </row>
    <row r="2519" spans="1:1" x14ac:dyDescent="0.35">
      <c r="A2519" s="2"/>
    </row>
    <row r="2520" spans="1:1" x14ac:dyDescent="0.35">
      <c r="A2520" s="2"/>
    </row>
    <row r="2521" spans="1:1" x14ac:dyDescent="0.35">
      <c r="A2521" s="2"/>
    </row>
    <row r="2522" spans="1:1" x14ac:dyDescent="0.35">
      <c r="A2522" s="2"/>
    </row>
    <row r="2523" spans="1:1" x14ac:dyDescent="0.35">
      <c r="A2523" s="2"/>
    </row>
    <row r="2524" spans="1:1" x14ac:dyDescent="0.35">
      <c r="A2524" s="2"/>
    </row>
    <row r="2525" spans="1:1" x14ac:dyDescent="0.35">
      <c r="A2525" s="2"/>
    </row>
    <row r="2526" spans="1:1" x14ac:dyDescent="0.35">
      <c r="A2526" s="2"/>
    </row>
    <row r="2527" spans="1:1" x14ac:dyDescent="0.35">
      <c r="A2527" s="2"/>
    </row>
    <row r="2528" spans="1:1" x14ac:dyDescent="0.35">
      <c r="A2528" s="2"/>
    </row>
    <row r="2529" spans="1:1" x14ac:dyDescent="0.35">
      <c r="A2529" s="2"/>
    </row>
    <row r="2530" spans="1:1" x14ac:dyDescent="0.35">
      <c r="A2530" s="2"/>
    </row>
    <row r="2531" spans="1:1" x14ac:dyDescent="0.35">
      <c r="A2531" s="2"/>
    </row>
    <row r="2532" spans="1:1" x14ac:dyDescent="0.35">
      <c r="A2532" s="2"/>
    </row>
    <row r="2533" spans="1:1" x14ac:dyDescent="0.35">
      <c r="A2533" s="2"/>
    </row>
    <row r="2534" spans="1:1" x14ac:dyDescent="0.35">
      <c r="A2534" s="2"/>
    </row>
    <row r="2535" spans="1:1" x14ac:dyDescent="0.35">
      <c r="A2535" s="2"/>
    </row>
    <row r="2536" spans="1:1" x14ac:dyDescent="0.35">
      <c r="A2536" s="2"/>
    </row>
    <row r="2537" spans="1:1" x14ac:dyDescent="0.35">
      <c r="A2537" s="2"/>
    </row>
    <row r="2538" spans="1:1" x14ac:dyDescent="0.35">
      <c r="A2538" s="2"/>
    </row>
    <row r="2539" spans="1:1" x14ac:dyDescent="0.35">
      <c r="A2539" s="2"/>
    </row>
    <row r="2540" spans="1:1" x14ac:dyDescent="0.35">
      <c r="A2540" s="2"/>
    </row>
    <row r="2541" spans="1:1" x14ac:dyDescent="0.35">
      <c r="A2541" s="2"/>
    </row>
    <row r="2542" spans="1:1" x14ac:dyDescent="0.35">
      <c r="A2542" s="2"/>
    </row>
    <row r="2543" spans="1:1" x14ac:dyDescent="0.35">
      <c r="A2543" s="2"/>
    </row>
    <row r="2544" spans="1:1" x14ac:dyDescent="0.35">
      <c r="A2544" s="2"/>
    </row>
    <row r="2545" spans="1:1" x14ac:dyDescent="0.35">
      <c r="A2545" s="2"/>
    </row>
    <row r="2546" spans="1:1" x14ac:dyDescent="0.35">
      <c r="A2546" s="2"/>
    </row>
    <row r="2547" spans="1:1" x14ac:dyDescent="0.35">
      <c r="A2547" s="2"/>
    </row>
    <row r="2548" spans="1:1" x14ac:dyDescent="0.35">
      <c r="A2548" s="2"/>
    </row>
    <row r="2549" spans="1:1" x14ac:dyDescent="0.35">
      <c r="A2549" s="2"/>
    </row>
    <row r="2550" spans="1:1" x14ac:dyDescent="0.35">
      <c r="A2550" s="2"/>
    </row>
    <row r="2551" spans="1:1" x14ac:dyDescent="0.35">
      <c r="A2551" s="2"/>
    </row>
    <row r="2552" spans="1:1" x14ac:dyDescent="0.35">
      <c r="A2552" s="2"/>
    </row>
    <row r="2553" spans="1:1" x14ac:dyDescent="0.35">
      <c r="A2553" s="2"/>
    </row>
    <row r="2554" spans="1:1" x14ac:dyDescent="0.35">
      <c r="A2554" s="2"/>
    </row>
    <row r="2555" spans="1:1" x14ac:dyDescent="0.35">
      <c r="A2555" s="2"/>
    </row>
    <row r="2556" spans="1:1" x14ac:dyDescent="0.35">
      <c r="A2556" s="2"/>
    </row>
    <row r="2557" spans="1:1" x14ac:dyDescent="0.35">
      <c r="A2557" s="2"/>
    </row>
    <row r="2558" spans="1:1" x14ac:dyDescent="0.35">
      <c r="A2558" s="2"/>
    </row>
    <row r="2559" spans="1:1" x14ac:dyDescent="0.35">
      <c r="A2559" s="2"/>
    </row>
    <row r="2560" spans="1:1" x14ac:dyDescent="0.35">
      <c r="A2560" s="2"/>
    </row>
    <row r="2561" spans="1:1" x14ac:dyDescent="0.35">
      <c r="A2561" s="2"/>
    </row>
    <row r="2562" spans="1:1" x14ac:dyDescent="0.35">
      <c r="A2562" s="2"/>
    </row>
    <row r="2563" spans="1:1" x14ac:dyDescent="0.35">
      <c r="A2563" s="2"/>
    </row>
    <row r="2564" spans="1:1" x14ac:dyDescent="0.35">
      <c r="A2564" s="2"/>
    </row>
    <row r="2565" spans="1:1" x14ac:dyDescent="0.35">
      <c r="A2565" s="2"/>
    </row>
    <row r="2566" spans="1:1" x14ac:dyDescent="0.35">
      <c r="A2566" s="2"/>
    </row>
    <row r="2567" spans="1:1" x14ac:dyDescent="0.35">
      <c r="A2567" s="2"/>
    </row>
    <row r="2568" spans="1:1" x14ac:dyDescent="0.35">
      <c r="A2568" s="2"/>
    </row>
    <row r="2569" spans="1:1" x14ac:dyDescent="0.35">
      <c r="A2569" s="2"/>
    </row>
    <row r="2570" spans="1:1" x14ac:dyDescent="0.35">
      <c r="A2570" s="2"/>
    </row>
    <row r="2571" spans="1:1" x14ac:dyDescent="0.35">
      <c r="A2571" s="2"/>
    </row>
    <row r="2572" spans="1:1" x14ac:dyDescent="0.35">
      <c r="A2572" s="2"/>
    </row>
    <row r="2573" spans="1:1" x14ac:dyDescent="0.35">
      <c r="A2573" s="2"/>
    </row>
    <row r="2574" spans="1:1" x14ac:dyDescent="0.35">
      <c r="A2574" s="2"/>
    </row>
    <row r="2575" spans="1:1" x14ac:dyDescent="0.35">
      <c r="A2575" s="2"/>
    </row>
    <row r="2576" spans="1:1" x14ac:dyDescent="0.35">
      <c r="A2576" s="2"/>
    </row>
    <row r="2577" spans="1:1" x14ac:dyDescent="0.35">
      <c r="A2577" s="2"/>
    </row>
    <row r="2578" spans="1:1" x14ac:dyDescent="0.35">
      <c r="A2578" s="2"/>
    </row>
    <row r="2579" spans="1:1" x14ac:dyDescent="0.35">
      <c r="A2579" s="2"/>
    </row>
    <row r="2580" spans="1:1" x14ac:dyDescent="0.35">
      <c r="A2580" s="2"/>
    </row>
    <row r="2581" spans="1:1" x14ac:dyDescent="0.35">
      <c r="A2581" s="2"/>
    </row>
    <row r="2582" spans="1:1" x14ac:dyDescent="0.35">
      <c r="A2582" s="2"/>
    </row>
    <row r="2583" spans="1:1" x14ac:dyDescent="0.35">
      <c r="A2583" s="2"/>
    </row>
    <row r="2584" spans="1:1" x14ac:dyDescent="0.35">
      <c r="A2584" s="2"/>
    </row>
    <row r="2585" spans="1:1" x14ac:dyDescent="0.35">
      <c r="A2585" s="2"/>
    </row>
    <row r="2586" spans="1:1" x14ac:dyDescent="0.35">
      <c r="A2586" s="2"/>
    </row>
    <row r="2587" spans="1:1" x14ac:dyDescent="0.35">
      <c r="A2587" s="2"/>
    </row>
    <row r="2588" spans="1:1" x14ac:dyDescent="0.35">
      <c r="A2588" s="2"/>
    </row>
    <row r="2589" spans="1:1" x14ac:dyDescent="0.35">
      <c r="A2589" s="2"/>
    </row>
    <row r="2590" spans="1:1" x14ac:dyDescent="0.35">
      <c r="A2590" s="2"/>
    </row>
    <row r="2591" spans="1:1" x14ac:dyDescent="0.35">
      <c r="A2591" s="2"/>
    </row>
    <row r="2592" spans="1:1" x14ac:dyDescent="0.35">
      <c r="A2592" s="2"/>
    </row>
    <row r="2593" spans="1:1" x14ac:dyDescent="0.35">
      <c r="A2593" s="2"/>
    </row>
    <row r="2594" spans="1:1" x14ac:dyDescent="0.35">
      <c r="A2594" s="2"/>
    </row>
    <row r="2595" spans="1:1" x14ac:dyDescent="0.35">
      <c r="A2595" s="2"/>
    </row>
    <row r="2596" spans="1:1" x14ac:dyDescent="0.35">
      <c r="A2596" s="2"/>
    </row>
    <row r="2597" spans="1:1" x14ac:dyDescent="0.35">
      <c r="A2597" s="2"/>
    </row>
    <row r="2598" spans="1:1" x14ac:dyDescent="0.35">
      <c r="A2598" s="2"/>
    </row>
    <row r="2599" spans="1:1" x14ac:dyDescent="0.35">
      <c r="A2599" s="2"/>
    </row>
    <row r="2600" spans="1:1" x14ac:dyDescent="0.35">
      <c r="A2600" s="2"/>
    </row>
    <row r="2601" spans="1:1" x14ac:dyDescent="0.35">
      <c r="A2601" s="2"/>
    </row>
    <row r="2602" spans="1:1" x14ac:dyDescent="0.35">
      <c r="A2602" s="2"/>
    </row>
    <row r="2603" spans="1:1" x14ac:dyDescent="0.35">
      <c r="A2603" s="2"/>
    </row>
    <row r="2604" spans="1:1" x14ac:dyDescent="0.35">
      <c r="A2604" s="2"/>
    </row>
    <row r="2605" spans="1:1" x14ac:dyDescent="0.35">
      <c r="A2605" s="2"/>
    </row>
    <row r="2606" spans="1:1" x14ac:dyDescent="0.35">
      <c r="A2606" s="2"/>
    </row>
    <row r="2607" spans="1:1" x14ac:dyDescent="0.35">
      <c r="A2607" s="2"/>
    </row>
    <row r="2608" spans="1:1" x14ac:dyDescent="0.35">
      <c r="A2608" s="2"/>
    </row>
    <row r="2609" spans="1:1" x14ac:dyDescent="0.35">
      <c r="A2609" s="2"/>
    </row>
    <row r="2610" spans="1:1" x14ac:dyDescent="0.35">
      <c r="A2610" s="2"/>
    </row>
    <row r="2611" spans="1:1" x14ac:dyDescent="0.35">
      <c r="A2611" s="2"/>
    </row>
    <row r="2612" spans="1:1" x14ac:dyDescent="0.35">
      <c r="A2612" s="2"/>
    </row>
    <row r="2613" spans="1:1" x14ac:dyDescent="0.35">
      <c r="A2613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5"/>
  <sheetViews>
    <sheetView topLeftCell="A16" workbookViewId="0">
      <selection activeCell="N27" sqref="N27"/>
    </sheetView>
  </sheetViews>
  <sheetFormatPr defaultRowHeight="14.5" x14ac:dyDescent="0.35"/>
  <cols>
    <col min="1" max="1" width="10.54296875" customWidth="1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21">_xll.FDSB(C1,"JULIAN(FMA_EPS(NTMA,-20AY,0,CY,,""PORTAGG"",""MEANR"").dates)")</f>
        <v>38352</v>
      </c>
      <c r="B2" t="str" cm="1">
        <f t="array" ref="B2:B21">_xll.FDSB(B1,"FMA_EPS(NTMA,-20AY,0,CY,,""PORTAGG"",""MEANR"")")</f>
        <v/>
      </c>
      <c r="C2" cm="1">
        <f t="array" ref="C2:C21">_xll.FDSB(C1,"FMA_EPS(NTMA,-20AY,0,CY,,""PORTAGG"",""MEANR"")")</f>
        <v>1.18421421757289</v>
      </c>
      <c r="D2" cm="1">
        <f t="array" ref="D2:D21">_xll.FDSB(D1,"FMA_EPS(NTMA,-20AY,0,CY,,""PORTAGG"",""MEANR"")")</f>
        <v>1.2030920356358299</v>
      </c>
      <c r="E2" cm="1">
        <f t="array" ref="E2:E21">_xll.FDSB(E1,"FMA_EPS(NTMA,-20AY,0,CY,,""PORTAGG"",""MEANR"")")</f>
        <v>1.5206641104358301</v>
      </c>
      <c r="F2" cm="1">
        <f t="array" ref="F2:F21">_xll.FDSB(F1,"FMA_EPS(NTMA,-20AY,0,CY,,""PORTAGG"",""MEANR"")")</f>
        <v>2.8357200583240298</v>
      </c>
      <c r="G2" cm="1">
        <f t="array" ref="G2:G21">_xll.FDSB(G1,"FMA_EPS(NTMA,-20AY,0,CY,,""PORTAGG"",""MEANR"")")</f>
        <v>1.1516797861463699</v>
      </c>
      <c r="H2" cm="1">
        <f t="array" ref="H2:H21">_xll.FDSB(H1,"FMA_EPS(NTMA,-20AY,0,CY,,""PORTAGG"",""MEANR"")")</f>
        <v>2.78829402631307</v>
      </c>
      <c r="I2" cm="1">
        <f t="array" ref="I2:I21">_xll.FDSB(I1,"FMA_EPS(NTMA,-20AY,0,CY,,""PORTAGG"",""MEANR"")")</f>
        <v>1.4194312135232301</v>
      </c>
      <c r="J2" cm="1">
        <f t="array" ref="J2:J21">_xll.FDSB(J1,"FMA_EPS(NTMA,-20AY,0,CY,,""PORTAGG"",""MEANR"")")</f>
        <v>7.6074243913976698</v>
      </c>
      <c r="K2" cm="1">
        <f t="array" ref="K2:K21">_xll.FDSB(K1,"FMA_EPS(NTMA,-20AY,0,CY,,""PORTAGG"",""MEANR"")")</f>
        <v>2.0229379462087902</v>
      </c>
      <c r="L2" cm="1">
        <f t="array" ref="L2:L21">_xll.FDSB(L1,"FMA_EPS(NTMA,-20AY,0,CY,,""PORTAGG"",""MEANR"")")</f>
        <v>1.49109929215903</v>
      </c>
      <c r="M2" cm="1">
        <f t="array" ref="M2:M21">_xll.FDSB(M1,"FMA_EPS(NTMA,-20AY,0,CY,,""PORTAGG"",""MEANR"")")</f>
        <v>1.55275820794805</v>
      </c>
      <c r="N2" cm="1">
        <f t="array" ref="N2:N21">_xll.FDSB(N1,"FMA_EPS(NTMA,-20AY,0,CY,,""PORTAGG"",""MEANR"")")</f>
        <v>3.1691683391169998</v>
      </c>
    </row>
    <row r="3" spans="1:14" x14ac:dyDescent="0.35">
      <c r="A3" s="2">
        <v>38716</v>
      </c>
      <c r="B3" t="str">
        <v/>
      </c>
      <c r="C3">
        <v>1.3562293603437101</v>
      </c>
      <c r="D3">
        <v>1.5111635725994299</v>
      </c>
      <c r="E3">
        <v>1.60643474084628</v>
      </c>
      <c r="F3">
        <v>2.8483033593434901</v>
      </c>
      <c r="G3">
        <v>1.184604896687</v>
      </c>
      <c r="H3">
        <v>2.9493248466797501</v>
      </c>
      <c r="I3">
        <v>1.68578719870209</v>
      </c>
      <c r="J3">
        <v>8.8394289215288495</v>
      </c>
      <c r="K3">
        <v>2.0933820421534701</v>
      </c>
      <c r="L3">
        <v>1.5900517234347999</v>
      </c>
      <c r="M3">
        <v>1.5458174452232101</v>
      </c>
      <c r="N3">
        <v>3.1240599327945802</v>
      </c>
    </row>
    <row r="4" spans="1:14" x14ac:dyDescent="0.35">
      <c r="A4" s="2">
        <v>39080</v>
      </c>
      <c r="B4" t="str">
        <v/>
      </c>
      <c r="C4">
        <v>1.6822321953850301</v>
      </c>
      <c r="D4">
        <v>1.75142389864603</v>
      </c>
      <c r="E4">
        <v>2.1190990076223799</v>
      </c>
      <c r="F4">
        <v>3.2915693248682101</v>
      </c>
      <c r="G4">
        <v>1.51903625271091</v>
      </c>
      <c r="H4">
        <v>3.75488864741091</v>
      </c>
      <c r="I4">
        <v>1.9402737172403599</v>
      </c>
      <c r="J4">
        <v>9.8457810486035093</v>
      </c>
      <c r="K4">
        <v>2.6974001835861601</v>
      </c>
      <c r="L4">
        <v>2.1562573900311501</v>
      </c>
      <c r="M4">
        <v>2.1888616104008198</v>
      </c>
      <c r="N4">
        <v>5.0498128206668396</v>
      </c>
    </row>
    <row r="5" spans="1:14" x14ac:dyDescent="0.35">
      <c r="A5" s="2">
        <v>39447</v>
      </c>
      <c r="B5" t="str">
        <v/>
      </c>
      <c r="C5">
        <v>2.0121821176223702</v>
      </c>
      <c r="D5">
        <v>2.1316745003828599</v>
      </c>
      <c r="E5">
        <v>2.8066160833919702</v>
      </c>
      <c r="F5">
        <v>3.6677851567473598</v>
      </c>
      <c r="G5">
        <v>1.8333506194415199</v>
      </c>
      <c r="H5">
        <v>4.07523919059458</v>
      </c>
      <c r="I5">
        <v>2.3766956310061902</v>
      </c>
      <c r="J5">
        <v>10.5833561911057</v>
      </c>
      <c r="K5">
        <v>3.1669085058650999</v>
      </c>
      <c r="L5">
        <v>2.6269706848040699</v>
      </c>
      <c r="M5">
        <v>2.5443961056503102</v>
      </c>
      <c r="N5">
        <v>5.5622478487538798</v>
      </c>
    </row>
    <row r="6" spans="1:14" x14ac:dyDescent="0.35">
      <c r="A6" s="2">
        <v>39813</v>
      </c>
      <c r="B6" t="str">
        <v/>
      </c>
      <c r="C6">
        <v>1.47822239950882</v>
      </c>
      <c r="D6">
        <v>1.7197421838740601</v>
      </c>
      <c r="E6">
        <v>1.99715132688841</v>
      </c>
      <c r="F6">
        <v>2.7439300910939699</v>
      </c>
      <c r="G6">
        <v>1.66417500457453</v>
      </c>
      <c r="H6">
        <v>2.8187073838579999</v>
      </c>
      <c r="I6">
        <v>2.1704263725021899</v>
      </c>
      <c r="J6">
        <v>8.05373941846298</v>
      </c>
      <c r="K6">
        <v>2.36664992614361</v>
      </c>
      <c r="L6">
        <v>1.79921066251297</v>
      </c>
      <c r="M6">
        <v>1.5502793356884601</v>
      </c>
      <c r="N6">
        <v>4.1762479088087296</v>
      </c>
    </row>
    <row r="7" spans="1:14" x14ac:dyDescent="0.35">
      <c r="A7" s="2">
        <v>40178</v>
      </c>
      <c r="B7" t="str">
        <v/>
      </c>
      <c r="C7">
        <v>1.49861477471222</v>
      </c>
      <c r="D7">
        <v>1.7955182742496401</v>
      </c>
      <c r="E7">
        <v>1.7430087032969499</v>
      </c>
      <c r="F7">
        <v>1.93733358061505</v>
      </c>
      <c r="G7">
        <v>1.62932904763549</v>
      </c>
      <c r="H7">
        <v>2.6972177795125001</v>
      </c>
      <c r="I7">
        <v>2.6068713006048601</v>
      </c>
      <c r="J7">
        <v>8.0229753288056198</v>
      </c>
      <c r="K7">
        <v>2.07401175960449</v>
      </c>
      <c r="L7">
        <v>1.65442974417331</v>
      </c>
      <c r="M7">
        <v>1.3636179959986701</v>
      </c>
      <c r="N7">
        <v>3.0889280805206698</v>
      </c>
    </row>
    <row r="8" spans="1:14" x14ac:dyDescent="0.35">
      <c r="A8" s="2">
        <v>40543</v>
      </c>
      <c r="B8">
        <v>2.40890596176463</v>
      </c>
      <c r="C8">
        <v>2.0483223094466698</v>
      </c>
      <c r="D8">
        <v>2.0975427600624101</v>
      </c>
      <c r="E8">
        <v>2.1739080898383101</v>
      </c>
      <c r="F8">
        <v>3.1772932255046702</v>
      </c>
      <c r="G8">
        <v>1.9678735381535299</v>
      </c>
      <c r="H8">
        <v>3.3649566588267601</v>
      </c>
      <c r="I8">
        <v>3.6076350541358502</v>
      </c>
      <c r="J8">
        <v>9.85143912569227</v>
      </c>
      <c r="K8">
        <v>2.3625891780050199</v>
      </c>
      <c r="L8">
        <v>2.1135843669068999</v>
      </c>
      <c r="M8">
        <v>2.2720793258351502</v>
      </c>
      <c r="N8">
        <v>3.3235934809766499</v>
      </c>
    </row>
    <row r="9" spans="1:14" x14ac:dyDescent="0.35">
      <c r="A9" s="2">
        <v>40907</v>
      </c>
      <c r="B9">
        <v>2.2411742980394602</v>
      </c>
      <c r="C9">
        <v>2.08841813329258</v>
      </c>
      <c r="D9">
        <v>2.2894893869441</v>
      </c>
      <c r="E9">
        <v>2.1750966873773998</v>
      </c>
      <c r="F9">
        <v>3.0945812419319201</v>
      </c>
      <c r="G9">
        <v>1.8666865904430201</v>
      </c>
      <c r="H9">
        <v>3.4346817054560899</v>
      </c>
      <c r="I9">
        <v>4.63179037237028</v>
      </c>
      <c r="J9">
        <v>10.933615493869301</v>
      </c>
      <c r="K9">
        <v>2.15605314606315</v>
      </c>
      <c r="L9">
        <v>1.8405065939071099</v>
      </c>
      <c r="M9">
        <v>2.1825351702399201</v>
      </c>
      <c r="N9">
        <v>2.9871276586162501</v>
      </c>
    </row>
    <row r="10" spans="1:14" x14ac:dyDescent="0.35">
      <c r="A10" s="2">
        <v>41274</v>
      </c>
      <c r="B10">
        <v>2.40285148565594</v>
      </c>
      <c r="C10">
        <v>1.8915836506348001</v>
      </c>
      <c r="D10">
        <v>2.2176153002393399</v>
      </c>
      <c r="E10">
        <v>2.2735850086051101</v>
      </c>
      <c r="F10">
        <v>2.8747287105460999</v>
      </c>
      <c r="G10">
        <v>1.99956682614325</v>
      </c>
      <c r="H10">
        <v>3.30605625416888</v>
      </c>
      <c r="I10">
        <v>4.9723936001799096</v>
      </c>
      <c r="J10">
        <v>11.5093609233453</v>
      </c>
      <c r="K10">
        <v>2.1576437709053802</v>
      </c>
      <c r="L10">
        <v>1.84155905202006</v>
      </c>
      <c r="M10">
        <v>2.32063293486455</v>
      </c>
      <c r="N10">
        <v>2.8309927567607298</v>
      </c>
    </row>
    <row r="11" spans="1:14" x14ac:dyDescent="0.35">
      <c r="A11" s="2">
        <v>41639</v>
      </c>
      <c r="B11">
        <v>2.3121080896186399</v>
      </c>
      <c r="C11">
        <v>1.7190934434154901</v>
      </c>
      <c r="D11">
        <v>2.0201754576244202</v>
      </c>
      <c r="E11">
        <v>2.4061601417357799</v>
      </c>
      <c r="F11">
        <v>3.2749607108541601</v>
      </c>
      <c r="G11">
        <v>2.1608376401624301</v>
      </c>
      <c r="H11">
        <v>3.2321816852227601</v>
      </c>
      <c r="I11">
        <v>5.0145346891852203</v>
      </c>
      <c r="J11">
        <v>12.296272619920099</v>
      </c>
      <c r="K11">
        <v>2.1576872496622901</v>
      </c>
      <c r="L11">
        <v>1.8569478460726301</v>
      </c>
      <c r="M11">
        <v>2.3154506600636799</v>
      </c>
      <c r="N11">
        <v>2.5170904257716198</v>
      </c>
    </row>
    <row r="12" spans="1:14" x14ac:dyDescent="0.35">
      <c r="A12" s="2">
        <v>42004</v>
      </c>
      <c r="B12">
        <v>2.1949219382035401</v>
      </c>
      <c r="C12">
        <v>1.5192022293630101</v>
      </c>
      <c r="D12">
        <v>1.8613047681228401</v>
      </c>
      <c r="E12">
        <v>2.1341589481486198</v>
      </c>
      <c r="F12">
        <v>3.1445630178853601</v>
      </c>
      <c r="G12">
        <v>2.0213760812425501</v>
      </c>
      <c r="H12">
        <v>2.6058975174152499</v>
      </c>
      <c r="I12">
        <v>5.9189477139169897</v>
      </c>
      <c r="J12">
        <v>12.8692035676989</v>
      </c>
      <c r="K12">
        <v>1.78907537429816</v>
      </c>
      <c r="L12">
        <v>1.61003576125895</v>
      </c>
      <c r="M12">
        <v>2.0287242581820202</v>
      </c>
      <c r="N12">
        <v>2.2045107232016301</v>
      </c>
    </row>
    <row r="13" spans="1:14" x14ac:dyDescent="0.35">
      <c r="A13" s="2">
        <v>42369</v>
      </c>
      <c r="B13">
        <v>2.0494367160174898</v>
      </c>
      <c r="C13">
        <v>1.2032144758029399</v>
      </c>
      <c r="D13">
        <v>1.52246252495242</v>
      </c>
      <c r="E13">
        <v>1.9616560154156799</v>
      </c>
      <c r="F13">
        <v>3.4482751508906899</v>
      </c>
      <c r="G13">
        <v>1.8389835562691099</v>
      </c>
      <c r="H13">
        <v>2.1229420291538199</v>
      </c>
      <c r="I13">
        <v>6.0599751605653802</v>
      </c>
      <c r="J13">
        <v>12.748703211791501</v>
      </c>
      <c r="K13">
        <v>1.6636313733196599</v>
      </c>
      <c r="L13">
        <v>1.5506283745409</v>
      </c>
      <c r="M13">
        <v>1.9485788892231399</v>
      </c>
      <c r="N13">
        <v>1.95489186317479</v>
      </c>
    </row>
    <row r="14" spans="1:14" x14ac:dyDescent="0.35">
      <c r="A14" s="2">
        <v>42734</v>
      </c>
      <c r="B14">
        <v>2.1496284508732901</v>
      </c>
      <c r="C14">
        <v>1.2820159486904501</v>
      </c>
      <c r="D14">
        <v>1.6615707453978601</v>
      </c>
      <c r="E14">
        <v>1.94158660997406</v>
      </c>
      <c r="F14">
        <v>3.3316070942703102</v>
      </c>
      <c r="G14">
        <v>1.75546716180555</v>
      </c>
      <c r="H14">
        <v>2.123898319152</v>
      </c>
      <c r="I14">
        <v>6.56529580140728</v>
      </c>
      <c r="J14">
        <v>13.3024280719142</v>
      </c>
      <c r="K14">
        <v>1.6931958240998899</v>
      </c>
      <c r="L14">
        <v>1.60511092021475</v>
      </c>
      <c r="M14">
        <v>1.75138174890933</v>
      </c>
      <c r="N14">
        <v>1.78844259381098</v>
      </c>
    </row>
    <row r="15" spans="1:14" x14ac:dyDescent="0.35">
      <c r="A15" s="2">
        <v>43098</v>
      </c>
      <c r="B15">
        <v>2.2670681016107199</v>
      </c>
      <c r="C15">
        <v>1.4458070152700899</v>
      </c>
      <c r="D15">
        <v>1.86172454535832</v>
      </c>
      <c r="E15">
        <v>2.4036287780635099</v>
      </c>
      <c r="F15">
        <v>4.07233312791291</v>
      </c>
      <c r="G15">
        <v>2.01138269666406</v>
      </c>
      <c r="H15">
        <v>2.42405089418043</v>
      </c>
      <c r="I15">
        <v>7.4909851965595502</v>
      </c>
      <c r="J15">
        <v>14.724037692001801</v>
      </c>
      <c r="K15">
        <v>2.10907755629154</v>
      </c>
      <c r="L15">
        <v>1.99467947715871</v>
      </c>
      <c r="M15">
        <v>2.1039018689376099</v>
      </c>
      <c r="N15">
        <v>2.3512953608173301</v>
      </c>
    </row>
    <row r="16" spans="1:14" x14ac:dyDescent="0.35">
      <c r="A16" s="2">
        <v>43465</v>
      </c>
      <c r="B16">
        <v>2.29721148308571</v>
      </c>
      <c r="C16">
        <v>1.3789495760516599</v>
      </c>
      <c r="D16">
        <v>1.9774050981912601</v>
      </c>
      <c r="E16">
        <v>2.3211607230687301</v>
      </c>
      <c r="F16">
        <v>4.56488250158257</v>
      </c>
      <c r="G16">
        <v>2.1751987947225402</v>
      </c>
      <c r="H16">
        <v>2.5773222742994899</v>
      </c>
      <c r="I16">
        <v>8.9443858601639104</v>
      </c>
      <c r="J16">
        <v>17.355846469554798</v>
      </c>
      <c r="K16">
        <v>2.23155948612122</v>
      </c>
      <c r="L16">
        <v>2.0095545823588901</v>
      </c>
      <c r="M16">
        <v>2.1154389610009998</v>
      </c>
      <c r="N16">
        <v>2.6492475649665401</v>
      </c>
    </row>
    <row r="17" spans="1:14" x14ac:dyDescent="0.35">
      <c r="A17" s="2">
        <v>43830</v>
      </c>
      <c r="B17">
        <v>2.2473256441274398</v>
      </c>
      <c r="C17">
        <v>1.3179970851092</v>
      </c>
      <c r="D17">
        <v>2.0739392179922902</v>
      </c>
      <c r="E17">
        <v>2.0881582961298202</v>
      </c>
      <c r="F17">
        <v>4.0763823086139199</v>
      </c>
      <c r="G17">
        <v>2.2808425238276202</v>
      </c>
      <c r="H17">
        <v>2.5348579458565901</v>
      </c>
      <c r="I17">
        <v>9.3523184569568798</v>
      </c>
      <c r="J17">
        <v>17.729435430702701</v>
      </c>
      <c r="K17">
        <v>2.19705971628031</v>
      </c>
      <c r="L17">
        <v>1.9908579954138399</v>
      </c>
      <c r="M17">
        <v>2.04039298067199</v>
      </c>
      <c r="N17">
        <v>2.59251661571796</v>
      </c>
    </row>
    <row r="18" spans="1:14" x14ac:dyDescent="0.35">
      <c r="A18" s="2">
        <v>44196</v>
      </c>
      <c r="B18">
        <v>1.98522618259249</v>
      </c>
      <c r="C18">
        <v>1.26256164176903</v>
      </c>
      <c r="D18">
        <v>1.9578408739872699</v>
      </c>
      <c r="E18">
        <v>1.98003612030208</v>
      </c>
      <c r="F18">
        <v>3.67789542177964</v>
      </c>
      <c r="G18">
        <v>2.3686407868237098</v>
      </c>
      <c r="H18">
        <v>2.0346384172037402</v>
      </c>
      <c r="I18">
        <v>10.4260783076313</v>
      </c>
      <c r="J18">
        <v>16.661770333783501</v>
      </c>
      <c r="K18">
        <v>1.85109750631934</v>
      </c>
      <c r="L18">
        <v>2.0089294605542301</v>
      </c>
      <c r="M18">
        <v>2.2079311845346701</v>
      </c>
      <c r="N18">
        <v>1.9971174572949799</v>
      </c>
    </row>
    <row r="19" spans="1:14" x14ac:dyDescent="0.35">
      <c r="A19" s="2">
        <v>44561</v>
      </c>
      <c r="B19">
        <v>1.8209368887947699</v>
      </c>
      <c r="C19">
        <v>1.41909398824033</v>
      </c>
      <c r="D19">
        <v>2.6644833781776298</v>
      </c>
      <c r="E19">
        <v>2.4494459059837599</v>
      </c>
      <c r="F19">
        <v>4.6161385676982096</v>
      </c>
      <c r="G19">
        <v>2.66234515884581</v>
      </c>
      <c r="H19">
        <v>2.7142722434063198</v>
      </c>
      <c r="I19">
        <v>13.6402697494705</v>
      </c>
      <c r="J19">
        <v>22.276707388058099</v>
      </c>
      <c r="K19">
        <v>2.4608174704197099</v>
      </c>
      <c r="L19">
        <v>2.4360180794544801</v>
      </c>
      <c r="M19">
        <v>2.4827867979631999</v>
      </c>
      <c r="N19">
        <v>2.9640029759690898</v>
      </c>
    </row>
    <row r="20" spans="1:14" x14ac:dyDescent="0.35">
      <c r="A20" s="2">
        <v>44925</v>
      </c>
      <c r="B20">
        <v>2.1103784647633299</v>
      </c>
      <c r="C20">
        <v>1.5685033677051301</v>
      </c>
      <c r="D20">
        <v>2.7492045610204201</v>
      </c>
      <c r="E20">
        <v>2.36386839889078</v>
      </c>
      <c r="F20">
        <v>4.4608954310188302</v>
      </c>
      <c r="G20">
        <v>2.5838872063229701</v>
      </c>
      <c r="H20">
        <v>3.12760121442787</v>
      </c>
      <c r="I20">
        <v>12.7503134568906</v>
      </c>
      <c r="J20">
        <v>22.968710470643401</v>
      </c>
      <c r="K20">
        <v>2.8026651874748301</v>
      </c>
      <c r="L20">
        <v>2.4294142632387001</v>
      </c>
      <c r="M20">
        <v>2.5588483370719999</v>
      </c>
      <c r="N20">
        <v>3.5473670886293198</v>
      </c>
    </row>
    <row r="21" spans="1:14" x14ac:dyDescent="0.35">
      <c r="A21" s="2">
        <v>45289</v>
      </c>
      <c r="B21">
        <v>2.11106621771878</v>
      </c>
      <c r="C21">
        <v>1.4789271778744699</v>
      </c>
      <c r="D21">
        <v>2.6826335841504898</v>
      </c>
      <c r="E21">
        <v>2.6586314336980199</v>
      </c>
      <c r="F21">
        <v>4.5665392599762997</v>
      </c>
      <c r="G21">
        <v>2.8642965748709601</v>
      </c>
      <c r="H21">
        <v>3.0028044332351</v>
      </c>
      <c r="I21">
        <v>16.324300193822801</v>
      </c>
      <c r="J21">
        <v>24.344986801425499</v>
      </c>
      <c r="K21">
        <v>2.9207046805667498</v>
      </c>
      <c r="L21">
        <v>2.9556075049707502</v>
      </c>
      <c r="M21">
        <v>2.5100925867761599</v>
      </c>
      <c r="N21">
        <v>3.8118027168384301</v>
      </c>
    </row>
    <row r="23" spans="1:14" x14ac:dyDescent="0.35">
      <c r="B23" s="8">
        <f t="shared" ref="B23:N23" si="0">COUNT(B1:B21)</f>
        <v>14</v>
      </c>
      <c r="C23" s="8">
        <f t="shared" si="0"/>
        <v>20</v>
      </c>
      <c r="D23" s="8">
        <f t="shared" si="0"/>
        <v>20</v>
      </c>
      <c r="E23" s="8">
        <f t="shared" si="0"/>
        <v>20</v>
      </c>
      <c r="F23" s="8">
        <f t="shared" si="0"/>
        <v>20</v>
      </c>
      <c r="G23" s="8">
        <f t="shared" si="0"/>
        <v>20</v>
      </c>
      <c r="H23" s="8">
        <f t="shared" si="0"/>
        <v>20</v>
      </c>
      <c r="I23" s="8">
        <f t="shared" si="0"/>
        <v>20</v>
      </c>
      <c r="J23" s="8">
        <f t="shared" si="0"/>
        <v>20</v>
      </c>
      <c r="K23" s="8">
        <f t="shared" si="0"/>
        <v>20</v>
      </c>
      <c r="L23" s="8">
        <f t="shared" si="0"/>
        <v>20</v>
      </c>
      <c r="M23" s="8">
        <f t="shared" si="0"/>
        <v>20</v>
      </c>
      <c r="N23" s="8">
        <f t="shared" si="0"/>
        <v>20</v>
      </c>
    </row>
    <row r="25" spans="1:14" x14ac:dyDescent="0.35">
      <c r="A25" t="s">
        <v>90</v>
      </c>
      <c r="B25" s="48" cm="1">
        <f t="array" ref="B25">(B21/INDEX(B2:B21,MATCH(TRUE,INDEX(ISNUMBER(B2:B21),0),0)))^(1/B23)-1</f>
        <v>-9.3828148339384354E-3</v>
      </c>
      <c r="C25" s="48" cm="1">
        <f t="array" ref="C25">(C21/INDEX(C2:C21,MATCH(TRUE,INDEX(ISNUMBER(C2:C21),0),0)))^(1/C23)-1</f>
        <v>1.1173841089814562E-2</v>
      </c>
      <c r="D25" s="48" cm="1">
        <f t="array" ref="D25">(D21/INDEX(D2:D21,MATCH(TRUE,INDEX(ISNUMBER(D2:D21),0),0)))^(1/D23)-1</f>
        <v>4.0909866878857226E-2</v>
      </c>
      <c r="E25" s="48" cm="1">
        <f t="array" ref="E25">(E21/INDEX(E2:E21,MATCH(TRUE,INDEX(ISNUMBER(E2:E21),0),0)))^(1/E23)-1</f>
        <v>2.8327007241510938E-2</v>
      </c>
      <c r="F25" s="48" cm="1">
        <f t="array" ref="F25">(F21/INDEX(F2:F21,MATCH(TRUE,INDEX(ISNUMBER(F2:F21),0),0)))^(1/F23)-1</f>
        <v>2.4109021785172935E-2</v>
      </c>
      <c r="G25" s="48" cm="1">
        <f t="array" ref="G25">(G21/INDEX(G2:G21,MATCH(TRUE,INDEX(ISNUMBER(G2:G21),0),0)))^(1/G23)-1</f>
        <v>4.6608631192781802E-2</v>
      </c>
      <c r="H25" s="48" cm="1">
        <f t="array" ref="H25">(H21/INDEX(H2:H21,MATCH(TRUE,INDEX(ISNUMBER(H2:H21),0),0)))^(1/H23)-1</f>
        <v>3.7127108177381629E-3</v>
      </c>
      <c r="I25" s="48" cm="1">
        <f t="array" ref="I25">(I21/INDEX(I2:I21,MATCH(TRUE,INDEX(ISNUMBER(I2:I21),0),0)))^(1/I23)-1</f>
        <v>0.12988959959643998</v>
      </c>
      <c r="J25" s="48" cm="1">
        <f t="array" ref="J25">(J21/INDEX(J2:J21,MATCH(TRUE,INDEX(ISNUMBER(J2:J21),0),0)))^(1/J23)-1</f>
        <v>5.9884631689594459E-2</v>
      </c>
      <c r="K25" s="48" cm="1">
        <f t="array" ref="K25">(K21/INDEX(K2:K21,MATCH(TRUE,INDEX(ISNUMBER(K2:K21),0),0)))^(1/K23)-1</f>
        <v>1.8533351270464848E-2</v>
      </c>
      <c r="L25" s="48" cm="1">
        <f t="array" ref="L25">(L21/INDEX(L2:L21,MATCH(TRUE,INDEX(ISNUMBER(L2:L21),0),0)))^(1/L23)-1</f>
        <v>3.4801405293916954E-2</v>
      </c>
      <c r="M25" s="48" cm="1">
        <f t="array" ref="M25">(M21/INDEX(M2:M21,MATCH(TRUE,INDEX(ISNUMBER(M2:M21),0),0)))^(1/M23)-1</f>
        <v>2.4305006375947347E-2</v>
      </c>
      <c r="N25" s="48" cm="1">
        <f t="array" ref="N25">(N21/INDEX(N2:N21,MATCH(TRUE,INDEX(ISNUMBER(N2:N21),0),0)))^(1/N23)-1</f>
        <v>9.2743946932130061E-3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7635-C0F8-4F42-A699-C7CDB2FB7F02}">
  <dimension ref="A1:X165"/>
  <sheetViews>
    <sheetView workbookViewId="0">
      <selection activeCell="B86" sqref="B86"/>
    </sheetView>
  </sheetViews>
  <sheetFormatPr defaultRowHeight="14.5" x14ac:dyDescent="0.35"/>
  <cols>
    <col min="1" max="1" width="15" customWidth="1"/>
    <col min="2" max="2" width="17.54296875" customWidth="1"/>
    <col min="3" max="3" width="16.1796875" customWidth="1"/>
    <col min="4" max="4" width="14" customWidth="1"/>
    <col min="5" max="5" width="14.54296875" customWidth="1"/>
    <col min="6" max="6" width="15.453125" style="110" customWidth="1"/>
    <col min="23" max="23" width="9.453125" customWidth="1"/>
  </cols>
  <sheetData>
    <row r="1" spans="1:24" ht="18.5" x14ac:dyDescent="0.45">
      <c r="A1" s="82" t="s">
        <v>556</v>
      </c>
      <c r="B1" s="83"/>
      <c r="C1" s="80"/>
      <c r="D1" s="80"/>
      <c r="E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</row>
    <row r="2" spans="1:24" x14ac:dyDescent="0.35">
      <c r="A2" s="80"/>
      <c r="B2" s="83"/>
      <c r="C2" s="80"/>
      <c r="D2" s="80"/>
      <c r="E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</row>
    <row r="3" spans="1:24" ht="21" x14ac:dyDescent="0.5">
      <c r="A3" s="84" t="s">
        <v>727</v>
      </c>
      <c r="B3" s="85"/>
      <c r="C3" s="80"/>
      <c r="D3" s="80"/>
      <c r="E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</row>
    <row r="4" spans="1:24" x14ac:dyDescent="0.35">
      <c r="A4" s="102" t="s">
        <v>557</v>
      </c>
      <c r="B4" s="85"/>
      <c r="C4" s="80"/>
      <c r="D4" s="80"/>
      <c r="E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</row>
    <row r="5" spans="1:24" x14ac:dyDescent="0.35">
      <c r="A5" s="80"/>
      <c r="B5" s="83"/>
      <c r="C5" s="80"/>
      <c r="D5" s="80"/>
      <c r="E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</row>
    <row r="6" spans="1:24" x14ac:dyDescent="0.35">
      <c r="A6" s="92"/>
      <c r="B6" s="95"/>
      <c r="C6" s="80"/>
      <c r="D6" s="80"/>
      <c r="E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</row>
    <row r="7" spans="1:24" x14ac:dyDescent="0.35">
      <c r="A7" s="216"/>
      <c r="B7" s="216"/>
      <c r="C7" s="80"/>
      <c r="D7" s="80"/>
      <c r="E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</row>
    <row r="8" spans="1:24" x14ac:dyDescent="0.35">
      <c r="A8" s="100"/>
      <c r="B8" s="100"/>
      <c r="C8" s="217" t="s">
        <v>558</v>
      </c>
      <c r="D8" s="218"/>
      <c r="E8" s="219"/>
      <c r="G8" s="80"/>
      <c r="H8" s="80"/>
      <c r="I8" s="80"/>
      <c r="J8" s="80"/>
      <c r="K8" s="80"/>
      <c r="L8" s="217" t="s">
        <v>559</v>
      </c>
      <c r="M8" s="218"/>
      <c r="N8" s="218"/>
      <c r="O8" s="218"/>
      <c r="P8" s="218"/>
      <c r="Q8" s="218"/>
      <c r="R8" s="218"/>
      <c r="S8" s="218"/>
      <c r="T8" s="218"/>
      <c r="U8" s="218"/>
      <c r="V8" s="219"/>
    </row>
    <row r="9" spans="1:24" ht="43.5" x14ac:dyDescent="0.35">
      <c r="A9" s="86" t="s">
        <v>560</v>
      </c>
      <c r="B9" s="86" t="s">
        <v>561</v>
      </c>
      <c r="C9" s="104" t="s">
        <v>562</v>
      </c>
      <c r="D9" s="105" t="s">
        <v>563</v>
      </c>
      <c r="E9" s="106" t="s">
        <v>564</v>
      </c>
      <c r="F9" s="110" t="s">
        <v>732</v>
      </c>
      <c r="G9" s="96" t="s">
        <v>728</v>
      </c>
      <c r="H9" s="98" t="s">
        <v>729</v>
      </c>
      <c r="I9" s="98" t="s">
        <v>730</v>
      </c>
      <c r="J9" s="97" t="s">
        <v>731</v>
      </c>
      <c r="K9" s="99"/>
      <c r="L9" s="109">
        <v>2012</v>
      </c>
      <c r="M9" s="87">
        <v>2013</v>
      </c>
      <c r="N9" s="87">
        <v>2014</v>
      </c>
      <c r="O9" s="87">
        <v>2015</v>
      </c>
      <c r="P9" s="87">
        <v>2016</v>
      </c>
      <c r="Q9" s="87">
        <v>2017</v>
      </c>
      <c r="R9" s="87">
        <v>2018</v>
      </c>
      <c r="S9" s="87">
        <v>2019</v>
      </c>
      <c r="T9" s="87">
        <v>2020</v>
      </c>
      <c r="U9" s="87">
        <v>2021</v>
      </c>
      <c r="V9" s="88">
        <v>2022</v>
      </c>
      <c r="W9" s="97" t="s">
        <v>738</v>
      </c>
      <c r="X9" s="97" t="s">
        <v>739</v>
      </c>
    </row>
    <row r="10" spans="1:24" x14ac:dyDescent="0.35">
      <c r="A10" s="81" t="s">
        <v>565</v>
      </c>
      <c r="B10" s="81" t="s">
        <v>566</v>
      </c>
      <c r="C10" s="89">
        <v>-6.330015897488761</v>
      </c>
      <c r="D10" s="90">
        <v>-1.9803203632740796</v>
      </c>
      <c r="E10" s="91">
        <v>1.4438839505667156</v>
      </c>
      <c r="G10" s="103" t="s">
        <v>567</v>
      </c>
      <c r="H10" s="101">
        <v>34.781666666666666</v>
      </c>
      <c r="I10" s="93">
        <v>154</v>
      </c>
      <c r="J10" s="94">
        <v>32</v>
      </c>
      <c r="K10" s="81"/>
      <c r="L10" s="89">
        <v>19.865459911417584</v>
      </c>
      <c r="M10" s="90">
        <v>9.8957883924851959</v>
      </c>
      <c r="N10" s="90">
        <v>6.5854081038949879</v>
      </c>
      <c r="O10" s="90">
        <v>0.98799999999999999</v>
      </c>
      <c r="P10" s="90">
        <v>2.1640000000000001</v>
      </c>
      <c r="Q10" s="90">
        <v>2.6469999999999998</v>
      </c>
      <c r="R10" s="90">
        <v>1.1890000000000001</v>
      </c>
      <c r="S10" s="90">
        <v>3.9119999999999999</v>
      </c>
      <c r="T10" s="90">
        <v>-2.351</v>
      </c>
      <c r="U10" s="90">
        <v>-2.4</v>
      </c>
      <c r="V10" s="91">
        <v>-5</v>
      </c>
      <c r="W10" s="91">
        <f>AVERAGE(D10,E10)</f>
        <v>-0.26821820635368199</v>
      </c>
    </row>
    <row r="11" spans="1:24" x14ac:dyDescent="0.35">
      <c r="A11" s="81" t="s">
        <v>227</v>
      </c>
      <c r="B11" s="81" t="s">
        <v>568</v>
      </c>
      <c r="C11" s="89">
        <v>2.8369230771995602</v>
      </c>
      <c r="D11" s="90">
        <v>2.527708680261509</v>
      </c>
      <c r="E11" s="91">
        <v>2.499335307066497</v>
      </c>
      <c r="G11" s="103" t="s">
        <v>398</v>
      </c>
      <c r="H11" s="101">
        <v>71.94876523650197</v>
      </c>
      <c r="I11" s="93">
        <v>80</v>
      </c>
      <c r="J11" s="94">
        <v>40</v>
      </c>
      <c r="K11" s="81"/>
      <c r="L11" s="89">
        <v>1.4329514555018943</v>
      </c>
      <c r="M11" s="90">
        <v>1.0096624423848639</v>
      </c>
      <c r="N11" s="90">
        <v>1.7987489151280414</v>
      </c>
      <c r="O11" s="90">
        <v>2.2189999999999999</v>
      </c>
      <c r="P11" s="90">
        <v>3.3149999999999999</v>
      </c>
      <c r="Q11" s="90">
        <v>3.802</v>
      </c>
      <c r="R11" s="90">
        <v>4.0190000000000001</v>
      </c>
      <c r="S11" s="90">
        <v>2.0880000000000001</v>
      </c>
      <c r="T11" s="90">
        <v>-3.4820000000000002</v>
      </c>
      <c r="U11" s="90">
        <v>8.516</v>
      </c>
      <c r="V11" s="91">
        <v>3.74</v>
      </c>
      <c r="W11" s="91">
        <f t="shared" ref="W11:W74" si="0">AVERAGE(D11,E11)</f>
        <v>2.513521993664003</v>
      </c>
    </row>
    <row r="12" spans="1:24" x14ac:dyDescent="0.35">
      <c r="A12" s="81" t="s">
        <v>569</v>
      </c>
      <c r="B12" s="81" t="s">
        <v>570</v>
      </c>
      <c r="C12" s="89">
        <v>0.36545353196819619</v>
      </c>
      <c r="D12" s="90">
        <v>0.98216884294510809</v>
      </c>
      <c r="E12" s="91">
        <v>1.9643097765769557</v>
      </c>
      <c r="G12" s="103" t="s">
        <v>571</v>
      </c>
      <c r="H12" s="101">
        <v>77.429986450518911</v>
      </c>
      <c r="I12" s="93">
        <v>59</v>
      </c>
      <c r="J12" s="94">
        <v>2</v>
      </c>
      <c r="K12" s="81"/>
      <c r="L12" s="89">
        <v>3.3999999982054412</v>
      </c>
      <c r="M12" s="90">
        <v>2.8000000002529002</v>
      </c>
      <c r="N12" s="90">
        <v>3.8000000007790273</v>
      </c>
      <c r="O12" s="90">
        <v>3.7</v>
      </c>
      <c r="P12" s="90">
        <v>3.2</v>
      </c>
      <c r="Q12" s="90">
        <v>1.4</v>
      </c>
      <c r="R12" s="90">
        <v>1.2</v>
      </c>
      <c r="S12" s="90">
        <v>1</v>
      </c>
      <c r="T12" s="90">
        <v>-5.0999999999999996</v>
      </c>
      <c r="U12" s="90">
        <v>3.4</v>
      </c>
      <c r="V12" s="91">
        <v>2.931</v>
      </c>
      <c r="W12" s="91">
        <f t="shared" si="0"/>
        <v>1.4732393097610319</v>
      </c>
    </row>
    <row r="13" spans="1:24" x14ac:dyDescent="0.35">
      <c r="A13" s="81" t="s">
        <v>569</v>
      </c>
      <c r="B13" s="81" t="s">
        <v>572</v>
      </c>
      <c r="C13" s="89">
        <v>-0.62057485054567429</v>
      </c>
      <c r="D13" s="90">
        <v>-0.7759815069387388</v>
      </c>
      <c r="E13" s="91">
        <v>0.38358743648301274</v>
      </c>
      <c r="G13" s="103" t="s">
        <v>567</v>
      </c>
      <c r="H13" s="101">
        <v>43.142397643089645</v>
      </c>
      <c r="I13" s="93">
        <v>147</v>
      </c>
      <c r="J13" s="94">
        <v>42</v>
      </c>
      <c r="K13" s="81"/>
      <c r="L13" s="89">
        <v>8.5421473366219605</v>
      </c>
      <c r="M13" s="90">
        <v>4.9545904703972692</v>
      </c>
      <c r="N13" s="90">
        <v>4.8226255512268246</v>
      </c>
      <c r="O13" s="90">
        <v>0.94399999999999995</v>
      </c>
      <c r="P13" s="90">
        <v>-2.58</v>
      </c>
      <c r="Q13" s="90">
        <v>-0.15</v>
      </c>
      <c r="R13" s="90">
        <v>-1.3160000000000001</v>
      </c>
      <c r="S13" s="90">
        <v>-0.70199999999999996</v>
      </c>
      <c r="T13" s="90">
        <v>-5.6379999999999999</v>
      </c>
      <c r="U13" s="90">
        <v>1.0920000000000001</v>
      </c>
      <c r="V13" s="91">
        <v>2.8410000000000002</v>
      </c>
      <c r="W13" s="91">
        <f t="shared" si="0"/>
        <v>-0.19619703522786303</v>
      </c>
    </row>
    <row r="14" spans="1:24" x14ac:dyDescent="0.35">
      <c r="A14" s="81" t="s">
        <v>573</v>
      </c>
      <c r="B14" s="81" t="s">
        <v>574</v>
      </c>
      <c r="C14" s="89">
        <v>1.5213184649000233</v>
      </c>
      <c r="D14" s="90">
        <v>2.4231703477095579E-4</v>
      </c>
      <c r="E14" s="91">
        <v>0.30638889849419204</v>
      </c>
      <c r="G14" s="103" t="s">
        <v>422</v>
      </c>
      <c r="H14" s="101">
        <v>63.902477118742887</v>
      </c>
      <c r="I14" s="93">
        <v>116</v>
      </c>
      <c r="J14" s="94">
        <v>16</v>
      </c>
      <c r="K14" s="81"/>
      <c r="L14" s="89">
        <v>-1.0264204544320839</v>
      </c>
      <c r="M14" s="90">
        <v>2.4053237807943506</v>
      </c>
      <c r="N14" s="90">
        <v>-2.5126153208139428</v>
      </c>
      <c r="O14" s="90">
        <v>2.7309999999999999</v>
      </c>
      <c r="P14" s="90">
        <v>-2.08</v>
      </c>
      <c r="Q14" s="90">
        <v>2.819</v>
      </c>
      <c r="R14" s="90">
        <v>-2.617</v>
      </c>
      <c r="S14" s="90">
        <v>-2.0009999999999999</v>
      </c>
      <c r="T14" s="90">
        <v>-9.9429999999999996</v>
      </c>
      <c r="U14" s="90">
        <v>10.398</v>
      </c>
      <c r="V14" s="91">
        <v>5.2430000000000003</v>
      </c>
      <c r="W14" s="91">
        <f t="shared" si="0"/>
        <v>0.1533156077644815</v>
      </c>
    </row>
    <row r="15" spans="1:24" x14ac:dyDescent="0.35">
      <c r="A15" s="81" t="s">
        <v>227</v>
      </c>
      <c r="B15" s="81" t="s">
        <v>575</v>
      </c>
      <c r="C15" s="89">
        <v>3.3694630969417716</v>
      </c>
      <c r="D15" s="90">
        <v>4.5685193344935815</v>
      </c>
      <c r="E15" s="91">
        <v>4.0499977792169295</v>
      </c>
      <c r="G15" s="103" t="s">
        <v>571</v>
      </c>
      <c r="H15" s="101">
        <v>81.866330149150926</v>
      </c>
      <c r="I15" s="93">
        <v>42</v>
      </c>
      <c r="J15" s="94">
        <v>28</v>
      </c>
      <c r="K15" s="81"/>
      <c r="L15" s="89">
        <v>7.200000000964871</v>
      </c>
      <c r="M15" s="90">
        <v>3.2999999999999674</v>
      </c>
      <c r="N15" s="90">
        <v>3.6000000005899464</v>
      </c>
      <c r="O15" s="90">
        <v>3.254</v>
      </c>
      <c r="P15" s="90">
        <v>0.19500000000000001</v>
      </c>
      <c r="Q15" s="90">
        <v>7.5179999999999998</v>
      </c>
      <c r="R15" s="90">
        <v>5.2249999999999996</v>
      </c>
      <c r="S15" s="90">
        <v>7.6310000000000002</v>
      </c>
      <c r="T15" s="90">
        <v>-7.1509999999999998</v>
      </c>
      <c r="U15" s="90">
        <v>5.6840000000000002</v>
      </c>
      <c r="V15" s="91">
        <v>12.603999999999999</v>
      </c>
      <c r="W15" s="91">
        <f t="shared" si="0"/>
        <v>4.3092585568552551</v>
      </c>
    </row>
    <row r="16" spans="1:24" x14ac:dyDescent="0.35">
      <c r="A16" s="81" t="s">
        <v>565</v>
      </c>
      <c r="B16" s="81" t="s">
        <v>576</v>
      </c>
      <c r="C16" s="89">
        <v>1.9372779726990919</v>
      </c>
      <c r="D16" s="90">
        <v>1.9542949107595797</v>
      </c>
      <c r="E16" s="91">
        <v>2.221593328352145</v>
      </c>
      <c r="G16" s="103" t="s">
        <v>415</v>
      </c>
      <c r="H16" s="101">
        <v>96.36744549025839</v>
      </c>
      <c r="I16" s="93">
        <v>11</v>
      </c>
      <c r="J16" s="94">
        <v>3</v>
      </c>
      <c r="K16" s="81"/>
      <c r="L16" s="89">
        <v>3.9181617722068416</v>
      </c>
      <c r="M16" s="90">
        <v>2.5848751108311681</v>
      </c>
      <c r="N16" s="90">
        <v>2.5331154467594699</v>
      </c>
      <c r="O16" s="90">
        <v>2.2829999999999999</v>
      </c>
      <c r="P16" s="90">
        <v>2.6909999999999998</v>
      </c>
      <c r="Q16" s="90">
        <v>2.383</v>
      </c>
      <c r="R16" s="90">
        <v>2.8149999999999999</v>
      </c>
      <c r="S16" s="90">
        <v>1.9430000000000001</v>
      </c>
      <c r="T16" s="90">
        <v>-1.8140000000000001</v>
      </c>
      <c r="U16" s="90">
        <v>5.1959999999999997</v>
      </c>
      <c r="V16" s="91">
        <v>3.661</v>
      </c>
      <c r="W16" s="91">
        <f t="shared" si="0"/>
        <v>2.0879441195558623</v>
      </c>
    </row>
    <row r="17" spans="1:23" x14ac:dyDescent="0.35">
      <c r="A17" s="81" t="s">
        <v>227</v>
      </c>
      <c r="B17" s="81" t="s">
        <v>577</v>
      </c>
      <c r="C17" s="89">
        <v>0.89080434606740866</v>
      </c>
      <c r="D17" s="90">
        <v>1.1485693717847134</v>
      </c>
      <c r="E17" s="91">
        <v>1.1982825816158282</v>
      </c>
      <c r="G17" s="103" t="s">
        <v>415</v>
      </c>
      <c r="H17" s="101">
        <v>95.913594407477049</v>
      </c>
      <c r="I17" s="93">
        <v>15</v>
      </c>
      <c r="J17" s="94">
        <v>10</v>
      </c>
      <c r="K17" s="81"/>
      <c r="L17" s="89">
        <v>0.68044557681670037</v>
      </c>
      <c r="M17" s="90">
        <v>2.5504712197222973E-2</v>
      </c>
      <c r="N17" s="90">
        <v>0.66127284885259119</v>
      </c>
      <c r="O17" s="90">
        <v>1.0149999999999999</v>
      </c>
      <c r="P17" s="90">
        <v>1.9890000000000001</v>
      </c>
      <c r="Q17" s="90">
        <v>2.2589999999999999</v>
      </c>
      <c r="R17" s="90">
        <v>2.4249999999999998</v>
      </c>
      <c r="S17" s="90">
        <v>1.5169999999999999</v>
      </c>
      <c r="T17" s="90">
        <v>-6.4539999999999997</v>
      </c>
      <c r="U17" s="90">
        <v>4.5570000000000004</v>
      </c>
      <c r="V17" s="91">
        <v>4.9969999999999999</v>
      </c>
      <c r="W17" s="91">
        <f t="shared" si="0"/>
        <v>1.1734259767002708</v>
      </c>
    </row>
    <row r="18" spans="1:23" x14ac:dyDescent="0.35">
      <c r="A18" s="81" t="s">
        <v>565</v>
      </c>
      <c r="B18" s="81" t="s">
        <v>578</v>
      </c>
      <c r="C18" s="89">
        <v>1.8824891899037688</v>
      </c>
      <c r="D18" s="90">
        <v>1.9289874111129146</v>
      </c>
      <c r="E18" s="91">
        <v>1.6182050869221642</v>
      </c>
      <c r="G18" s="103" t="s">
        <v>422</v>
      </c>
      <c r="H18" s="101">
        <v>66.732349416312132</v>
      </c>
      <c r="I18" s="93">
        <v>106</v>
      </c>
      <c r="J18" s="94">
        <v>20</v>
      </c>
      <c r="K18" s="81"/>
      <c r="L18" s="89">
        <v>2.1652394301296014</v>
      </c>
      <c r="M18" s="90">
        <v>5.8098009451315624</v>
      </c>
      <c r="N18" s="90">
        <v>2.7505070296654104</v>
      </c>
      <c r="O18" s="90">
        <v>1.05</v>
      </c>
      <c r="P18" s="90">
        <v>-3.0640000000000001</v>
      </c>
      <c r="Q18" s="90">
        <v>0.154</v>
      </c>
      <c r="R18" s="90">
        <v>1.5</v>
      </c>
      <c r="S18" s="90">
        <v>2.48</v>
      </c>
      <c r="T18" s="90">
        <v>-4.1989999999999998</v>
      </c>
      <c r="U18" s="90">
        <v>5.6</v>
      </c>
      <c r="V18" s="91">
        <v>4.6459999999999999</v>
      </c>
      <c r="W18" s="91">
        <f t="shared" si="0"/>
        <v>1.7735962490175394</v>
      </c>
    </row>
    <row r="19" spans="1:23" x14ac:dyDescent="0.35">
      <c r="A19" s="81" t="s">
        <v>573</v>
      </c>
      <c r="B19" s="81" t="s">
        <v>579</v>
      </c>
      <c r="C19" s="89">
        <v>-1.3025041762945944</v>
      </c>
      <c r="D19" s="90">
        <v>-5.1450420089638182E-2</v>
      </c>
      <c r="E19" s="91">
        <v>0.16369977541730307</v>
      </c>
      <c r="G19" s="103" t="s">
        <v>571</v>
      </c>
      <c r="H19" s="101">
        <v>79.378460082017611</v>
      </c>
      <c r="I19" s="93">
        <v>54</v>
      </c>
      <c r="J19" s="94">
        <v>8</v>
      </c>
      <c r="K19" s="81"/>
      <c r="L19" s="89">
        <v>3.0868791768834938</v>
      </c>
      <c r="M19" s="90">
        <v>-3.5838746627962172</v>
      </c>
      <c r="N19" s="90">
        <v>2.2881473175630553</v>
      </c>
      <c r="O19" s="90">
        <v>0.997</v>
      </c>
      <c r="P19" s="90">
        <v>-0.85799999999999998</v>
      </c>
      <c r="Q19" s="90">
        <v>3.05</v>
      </c>
      <c r="R19" s="90">
        <v>1.831</v>
      </c>
      <c r="S19" s="90">
        <v>1.8959999999999999</v>
      </c>
      <c r="T19" s="90">
        <v>-23.823</v>
      </c>
      <c r="U19" s="90">
        <v>13.72</v>
      </c>
      <c r="V19" s="91">
        <v>10.983000000000001</v>
      </c>
      <c r="W19" s="91">
        <f t="shared" si="0"/>
        <v>5.6124677663832445E-2</v>
      </c>
    </row>
    <row r="20" spans="1:23" x14ac:dyDescent="0.35">
      <c r="A20" s="81" t="s">
        <v>580</v>
      </c>
      <c r="B20" s="81" t="s">
        <v>581</v>
      </c>
      <c r="C20" s="89">
        <v>0.41671802598486352</v>
      </c>
      <c r="D20" s="90">
        <v>1.1307360567982316</v>
      </c>
      <c r="E20" s="91">
        <v>2.5452347834856504</v>
      </c>
      <c r="G20" s="103" t="s">
        <v>571</v>
      </c>
      <c r="H20" s="101">
        <v>77.128033983685327</v>
      </c>
      <c r="I20" s="93">
        <v>60</v>
      </c>
      <c r="J20" s="94">
        <v>7</v>
      </c>
      <c r="K20" s="81"/>
      <c r="L20" s="89">
        <v>3.7281084304601642</v>
      </c>
      <c r="M20" s="90">
        <v>5.41683981012069</v>
      </c>
      <c r="N20" s="90">
        <v>4.3503908525296939</v>
      </c>
      <c r="O20" s="90">
        <v>2.4849999999999999</v>
      </c>
      <c r="P20" s="90">
        <v>3.5579999999999998</v>
      </c>
      <c r="Q20" s="90">
        <v>4.2919999999999998</v>
      </c>
      <c r="R20" s="90">
        <v>2.11</v>
      </c>
      <c r="S20" s="90">
        <v>2.1669999999999998</v>
      </c>
      <c r="T20" s="90">
        <v>-4.6449999999999996</v>
      </c>
      <c r="U20" s="90">
        <v>2.67</v>
      </c>
      <c r="V20" s="91">
        <v>4.194</v>
      </c>
      <c r="W20" s="91">
        <f t="shared" si="0"/>
        <v>1.837985420141941</v>
      </c>
    </row>
    <row r="21" spans="1:23" x14ac:dyDescent="0.35">
      <c r="A21" s="81" t="s">
        <v>565</v>
      </c>
      <c r="B21" s="81" t="s">
        <v>582</v>
      </c>
      <c r="C21" s="89">
        <v>8.4780836054535911</v>
      </c>
      <c r="D21" s="90">
        <v>9.4495577005361255</v>
      </c>
      <c r="E21" s="91">
        <v>9.0902336923363691</v>
      </c>
      <c r="G21" s="103" t="s">
        <v>422</v>
      </c>
      <c r="H21" s="101">
        <v>59.78425810407569</v>
      </c>
      <c r="I21" s="93">
        <v>125</v>
      </c>
      <c r="J21" s="94">
        <v>25</v>
      </c>
      <c r="K21" s="81"/>
      <c r="L21" s="89">
        <v>15.458182784890836</v>
      </c>
      <c r="M21" s="90">
        <v>8.997951209804727</v>
      </c>
      <c r="N21" s="90">
        <v>9.1371359215878698</v>
      </c>
      <c r="O21" s="90">
        <v>6.5529999999999999</v>
      </c>
      <c r="P21" s="90">
        <v>7.1139999999999999</v>
      </c>
      <c r="Q21" s="90">
        <v>6.59</v>
      </c>
      <c r="R21" s="90">
        <v>7.319</v>
      </c>
      <c r="S21" s="90">
        <v>7.8819999999999997</v>
      </c>
      <c r="T21" s="90">
        <v>3.448</v>
      </c>
      <c r="U21" s="90">
        <v>6.9390000000000001</v>
      </c>
      <c r="V21" s="91">
        <v>7.1</v>
      </c>
      <c r="W21" s="91">
        <f t="shared" si="0"/>
        <v>9.2698956964362473</v>
      </c>
    </row>
    <row r="22" spans="1:23" x14ac:dyDescent="0.35">
      <c r="A22" s="81" t="s">
        <v>227</v>
      </c>
      <c r="B22" s="81" t="s">
        <v>583</v>
      </c>
      <c r="C22" s="89">
        <v>-1.0891270418666776</v>
      </c>
      <c r="D22" s="90">
        <v>0.24141365794498881</v>
      </c>
      <c r="E22" s="91">
        <v>-4.7343951578571186E-3</v>
      </c>
      <c r="G22" s="103" t="s">
        <v>571</v>
      </c>
      <c r="H22" s="101">
        <v>78.939379492547943</v>
      </c>
      <c r="I22" s="93">
        <v>55</v>
      </c>
      <c r="J22" s="94">
        <v>34</v>
      </c>
      <c r="K22" s="81"/>
      <c r="L22" s="89">
        <v>1.6871355364283958</v>
      </c>
      <c r="M22" s="90">
        <v>1.0034708408564619</v>
      </c>
      <c r="N22" s="90">
        <v>1.7263848541700804</v>
      </c>
      <c r="O22" s="90">
        <v>-3.83</v>
      </c>
      <c r="P22" s="90">
        <v>-2.536</v>
      </c>
      <c r="Q22" s="90">
        <v>2.5409999999999999</v>
      </c>
      <c r="R22" s="90">
        <v>3.1379999999999999</v>
      </c>
      <c r="S22" s="90">
        <v>1.446</v>
      </c>
      <c r="T22" s="90">
        <v>-0.67300000000000004</v>
      </c>
      <c r="U22" s="90">
        <v>2.2730000000000001</v>
      </c>
      <c r="V22" s="91">
        <v>-4.7409999999999997</v>
      </c>
      <c r="W22" s="91">
        <f t="shared" si="0"/>
        <v>0.11833963139356585</v>
      </c>
    </row>
    <row r="23" spans="1:23" x14ac:dyDescent="0.35">
      <c r="A23" s="81" t="s">
        <v>227</v>
      </c>
      <c r="B23" s="81" t="s">
        <v>584</v>
      </c>
      <c r="C23" s="89">
        <v>1.1690569098094628</v>
      </c>
      <c r="D23" s="90">
        <v>1.3937649310878042</v>
      </c>
      <c r="E23" s="91">
        <v>1.4413818728578276</v>
      </c>
      <c r="G23" s="103" t="s">
        <v>415</v>
      </c>
      <c r="H23" s="101">
        <v>93.483251457156101</v>
      </c>
      <c r="I23" s="93">
        <v>21</v>
      </c>
      <c r="J23" s="94">
        <v>14</v>
      </c>
      <c r="K23" s="81"/>
      <c r="L23" s="89">
        <v>0.73922990508162567</v>
      </c>
      <c r="M23" s="90">
        <v>0.45922805011605522</v>
      </c>
      <c r="N23" s="90">
        <v>1.578523229524472</v>
      </c>
      <c r="O23" s="90">
        <v>2.0409999999999999</v>
      </c>
      <c r="P23" s="90">
        <v>1.2669999999999999</v>
      </c>
      <c r="Q23" s="90">
        <v>1.62</v>
      </c>
      <c r="R23" s="90">
        <v>1.7929999999999999</v>
      </c>
      <c r="S23" s="90">
        <v>2.2410000000000001</v>
      </c>
      <c r="T23" s="90">
        <v>-5.3620000000000001</v>
      </c>
      <c r="U23" s="90">
        <v>6.1340000000000003</v>
      </c>
      <c r="V23" s="91">
        <v>3.0910000000000002</v>
      </c>
      <c r="W23" s="91">
        <f t="shared" si="0"/>
        <v>1.4175734019728159</v>
      </c>
    </row>
    <row r="24" spans="1:23" x14ac:dyDescent="0.35">
      <c r="A24" s="81" t="s">
        <v>569</v>
      </c>
      <c r="B24" s="81" t="s">
        <v>585</v>
      </c>
      <c r="C24" s="89">
        <v>5.666147255627263</v>
      </c>
      <c r="D24" s="90">
        <v>6.110859714036887</v>
      </c>
      <c r="E24" s="91">
        <v>5.477732246862832</v>
      </c>
      <c r="G24" s="103" t="s">
        <v>398</v>
      </c>
      <c r="H24" s="101">
        <v>73.01184037118577</v>
      </c>
      <c r="I24" s="93">
        <v>75</v>
      </c>
      <c r="J24" s="94">
        <v>7</v>
      </c>
      <c r="K24" s="81"/>
      <c r="L24" s="89">
        <v>4.811223315687994</v>
      </c>
      <c r="M24" s="90">
        <v>7.1914337214494379</v>
      </c>
      <c r="N24" s="90">
        <v>6.3576790979193039</v>
      </c>
      <c r="O24" s="90">
        <v>1.778</v>
      </c>
      <c r="P24" s="90">
        <v>3.34</v>
      </c>
      <c r="Q24" s="90">
        <v>5.6719999999999997</v>
      </c>
      <c r="R24" s="90">
        <v>6.6970000000000001</v>
      </c>
      <c r="S24" s="90">
        <v>6.8659999999999997</v>
      </c>
      <c r="T24" s="90">
        <v>3.8490000000000002</v>
      </c>
      <c r="U24" s="90">
        <v>7.1550000000000002</v>
      </c>
      <c r="V24" s="91">
        <v>6.0209999999999999</v>
      </c>
      <c r="W24" s="91">
        <f t="shared" si="0"/>
        <v>5.7942959804498599</v>
      </c>
    </row>
    <row r="25" spans="1:23" x14ac:dyDescent="0.35">
      <c r="A25" s="81" t="s">
        <v>565</v>
      </c>
      <c r="B25" s="81" t="s">
        <v>586</v>
      </c>
      <c r="C25" s="89">
        <v>-0.76587225840651918</v>
      </c>
      <c r="D25" s="90">
        <v>1.2676841708430198</v>
      </c>
      <c r="E25" s="91">
        <v>3.3347663550896245</v>
      </c>
      <c r="G25" s="103" t="s">
        <v>567</v>
      </c>
      <c r="H25" s="101">
        <v>55.154482190816807</v>
      </c>
      <c r="I25" s="93">
        <v>132</v>
      </c>
      <c r="J25" s="94">
        <v>28</v>
      </c>
      <c r="K25" s="81"/>
      <c r="L25" s="89">
        <v>5.1184008580053391</v>
      </c>
      <c r="M25" s="90">
        <v>2.1199726329821678</v>
      </c>
      <c r="N25" s="90">
        <v>5.7764956801372422</v>
      </c>
      <c r="O25" s="90">
        <v>6.2210000000000001</v>
      </c>
      <c r="P25" s="90">
        <v>7.4080000000000004</v>
      </c>
      <c r="Q25" s="90">
        <v>6.3220000000000001</v>
      </c>
      <c r="R25" s="90">
        <v>3.835</v>
      </c>
      <c r="S25" s="90">
        <v>4.4249999999999998</v>
      </c>
      <c r="T25" s="90">
        <v>-2.3479999999999999</v>
      </c>
      <c r="U25" s="90">
        <v>-3.3319999999999999</v>
      </c>
      <c r="V25" s="91">
        <v>4.3250000000000002</v>
      </c>
      <c r="W25" s="91">
        <f t="shared" si="0"/>
        <v>2.3012252629663221</v>
      </c>
    </row>
    <row r="26" spans="1:23" x14ac:dyDescent="0.35">
      <c r="A26" s="81" t="s">
        <v>573</v>
      </c>
      <c r="B26" s="81" t="s">
        <v>587</v>
      </c>
      <c r="C26" s="89">
        <v>-2.2304131763273283E-2</v>
      </c>
      <c r="D26" s="90">
        <v>1.2603639469641159</v>
      </c>
      <c r="E26" s="91">
        <v>3.1673454908146104</v>
      </c>
      <c r="G26" s="103" t="s">
        <v>567</v>
      </c>
      <c r="H26" s="101">
        <v>31.085526545532133</v>
      </c>
      <c r="I26" s="93">
        <v>155</v>
      </c>
      <c r="J26" s="94">
        <v>25</v>
      </c>
      <c r="K26" s="81"/>
      <c r="L26" s="89">
        <v>5.122274660983769</v>
      </c>
      <c r="M26" s="90">
        <v>6.7960117055974338</v>
      </c>
      <c r="N26" s="90">
        <v>5.4605671536850453</v>
      </c>
      <c r="O26" s="90">
        <v>4.8570000000000002</v>
      </c>
      <c r="P26" s="90">
        <v>4.2640000000000002</v>
      </c>
      <c r="Q26" s="90">
        <v>4.1950000000000003</v>
      </c>
      <c r="R26" s="90">
        <v>4.2240000000000002</v>
      </c>
      <c r="S26" s="90">
        <v>2.2170000000000001</v>
      </c>
      <c r="T26" s="90">
        <v>-8.7379999999999995</v>
      </c>
      <c r="U26" s="90">
        <v>6.1059999999999999</v>
      </c>
      <c r="V26" s="91">
        <v>3.2</v>
      </c>
      <c r="W26" s="91">
        <f t="shared" si="0"/>
        <v>2.2138547188893631</v>
      </c>
    </row>
    <row r="27" spans="1:23" x14ac:dyDescent="0.35">
      <c r="A27" s="81" t="s">
        <v>227</v>
      </c>
      <c r="B27" s="81" t="s">
        <v>588</v>
      </c>
      <c r="C27" s="89">
        <v>2.6460933550704002</v>
      </c>
      <c r="D27" s="90">
        <v>2.9046927076515017</v>
      </c>
      <c r="E27" s="91">
        <v>2.7421493700034771</v>
      </c>
      <c r="G27" s="103" t="s">
        <v>422</v>
      </c>
      <c r="H27" s="101">
        <v>66.414016463166035</v>
      </c>
      <c r="I27" s="93">
        <v>108</v>
      </c>
      <c r="J27" s="94">
        <v>41</v>
      </c>
      <c r="K27" s="81"/>
      <c r="L27" s="89">
        <v>-0.82183647421687545</v>
      </c>
      <c r="M27" s="90">
        <v>2.3498566632458062</v>
      </c>
      <c r="N27" s="90">
        <v>1.1538510920040257</v>
      </c>
      <c r="O27" s="90">
        <v>4.3140000000000001</v>
      </c>
      <c r="P27" s="90">
        <v>3.242</v>
      </c>
      <c r="Q27" s="90">
        <v>3.2440000000000002</v>
      </c>
      <c r="R27" s="90">
        <v>3.8290000000000002</v>
      </c>
      <c r="S27" s="90">
        <v>2.8860000000000001</v>
      </c>
      <c r="T27" s="90">
        <v>-3.0150000000000001</v>
      </c>
      <c r="U27" s="90">
        <v>7.3920000000000003</v>
      </c>
      <c r="V27" s="91">
        <v>3.8</v>
      </c>
      <c r="W27" s="91">
        <f t="shared" si="0"/>
        <v>2.8234210388274894</v>
      </c>
    </row>
    <row r="28" spans="1:23" x14ac:dyDescent="0.35">
      <c r="A28" s="81" t="s">
        <v>569</v>
      </c>
      <c r="B28" s="81" t="s">
        <v>589</v>
      </c>
      <c r="C28" s="89">
        <v>2.6588943634134665</v>
      </c>
      <c r="D28" s="90">
        <v>1.4503583241093798</v>
      </c>
      <c r="E28" s="91">
        <v>2.7752039527026096</v>
      </c>
      <c r="G28" s="103" t="s">
        <v>398</v>
      </c>
      <c r="H28" s="101">
        <v>74.531513757725932</v>
      </c>
      <c r="I28" s="93">
        <v>70</v>
      </c>
      <c r="J28" s="94">
        <v>6</v>
      </c>
      <c r="K28" s="81"/>
      <c r="L28" s="89">
        <v>4.4561672130978769</v>
      </c>
      <c r="M28" s="90">
        <v>11.343424252775241</v>
      </c>
      <c r="N28" s="90">
        <v>4.149289893135184</v>
      </c>
      <c r="O28" s="90">
        <v>-4.851</v>
      </c>
      <c r="P28" s="90">
        <v>7.202</v>
      </c>
      <c r="Q28" s="90">
        <v>4.1130000000000004</v>
      </c>
      <c r="R28" s="90">
        <v>4.1900000000000004</v>
      </c>
      <c r="S28" s="90">
        <v>3.0329999999999999</v>
      </c>
      <c r="T28" s="90">
        <v>-8.7260000000000009</v>
      </c>
      <c r="U28" s="90">
        <v>11.84</v>
      </c>
      <c r="V28" s="91">
        <v>6.4329999999999998</v>
      </c>
      <c r="W28" s="91">
        <f t="shared" si="0"/>
        <v>2.1127811384059947</v>
      </c>
    </row>
    <row r="29" spans="1:23" x14ac:dyDescent="0.35">
      <c r="A29" s="81" t="s">
        <v>573</v>
      </c>
      <c r="B29" s="81" t="s">
        <v>590</v>
      </c>
      <c r="C29" s="89">
        <v>1.146428167182445</v>
      </c>
      <c r="D29" s="90">
        <v>1.295085878975577</v>
      </c>
      <c r="E29" s="91">
        <v>0.42795301380476047</v>
      </c>
      <c r="G29" s="103" t="s">
        <v>571</v>
      </c>
      <c r="H29" s="101">
        <v>79.569249143394813</v>
      </c>
      <c r="I29" s="93">
        <v>51</v>
      </c>
      <c r="J29" s="94">
        <v>7</v>
      </c>
      <c r="K29" s="81"/>
      <c r="L29" s="89">
        <v>1.9211503183629988</v>
      </c>
      <c r="M29" s="90">
        <v>3.0048463050570873</v>
      </c>
      <c r="N29" s="90">
        <v>0.50395574024224987</v>
      </c>
      <c r="O29" s="90">
        <v>-3.5459999999999998</v>
      </c>
      <c r="P29" s="90">
        <v>-3.2759999999999998</v>
      </c>
      <c r="Q29" s="90">
        <v>1.323</v>
      </c>
      <c r="R29" s="90">
        <v>1.784</v>
      </c>
      <c r="S29" s="90">
        <v>1.2210000000000001</v>
      </c>
      <c r="T29" s="90">
        <v>-3.2770000000000001</v>
      </c>
      <c r="U29" s="90">
        <v>4.9889999999999999</v>
      </c>
      <c r="V29" s="91">
        <v>2.9009999999999998</v>
      </c>
      <c r="W29" s="91">
        <f t="shared" si="0"/>
        <v>0.86151944639016875</v>
      </c>
    </row>
    <row r="30" spans="1:23" x14ac:dyDescent="0.35">
      <c r="A30" s="81" t="s">
        <v>565</v>
      </c>
      <c r="B30" s="81" t="s">
        <v>591</v>
      </c>
      <c r="C30" s="89">
        <v>-0.66374440025495085</v>
      </c>
      <c r="D30" s="90">
        <v>0.37078358077795581</v>
      </c>
      <c r="E30" s="91">
        <v>-0.44114896551331606</v>
      </c>
      <c r="G30" s="103" t="s">
        <v>567</v>
      </c>
      <c r="H30" s="101">
        <v>47.581995606084838</v>
      </c>
      <c r="I30" s="93">
        <v>142</v>
      </c>
      <c r="J30" s="94">
        <v>30</v>
      </c>
      <c r="K30" s="81"/>
      <c r="L30" s="89">
        <v>0.91284167096442625</v>
      </c>
      <c r="M30" s="90">
        <v>-2.1260285174017546</v>
      </c>
      <c r="N30" s="90">
        <v>-2.5083525664456063</v>
      </c>
      <c r="O30" s="90">
        <v>-0.40500000000000003</v>
      </c>
      <c r="P30" s="90">
        <v>-2.4649999999999999</v>
      </c>
      <c r="Q30" s="90">
        <v>1.329</v>
      </c>
      <c r="R30" s="90">
        <v>5.1999999999999998E-2</v>
      </c>
      <c r="S30" s="90">
        <v>3.8690000000000002</v>
      </c>
      <c r="T30" s="90">
        <v>1.1339999999999999</v>
      </c>
      <c r="U30" s="90">
        <v>-1.591</v>
      </c>
      <c r="V30" s="91">
        <v>-1.51</v>
      </c>
      <c r="W30" s="91">
        <f t="shared" si="0"/>
        <v>-3.5182692367680124E-2</v>
      </c>
    </row>
    <row r="31" spans="1:23" x14ac:dyDescent="0.35">
      <c r="A31" s="81" t="s">
        <v>227</v>
      </c>
      <c r="B31" s="81" t="s">
        <v>592</v>
      </c>
      <c r="C31" s="89">
        <v>2.2325090532704595</v>
      </c>
      <c r="D31" s="90">
        <v>2.7879873369299979</v>
      </c>
      <c r="E31" s="91">
        <v>2.7412414949005814</v>
      </c>
      <c r="G31" s="103" t="s">
        <v>571</v>
      </c>
      <c r="H31" s="101">
        <v>82.826908120877093</v>
      </c>
      <c r="I31" s="93">
        <v>40</v>
      </c>
      <c r="J31" s="94">
        <v>26</v>
      </c>
      <c r="K31" s="81"/>
      <c r="L31" s="89">
        <v>0.36058318828756941</v>
      </c>
      <c r="M31" s="90">
        <v>0.31873576132258219</v>
      </c>
      <c r="N31" s="90">
        <v>1.8945471424192788</v>
      </c>
      <c r="O31" s="90">
        <v>3.4279999999999999</v>
      </c>
      <c r="P31" s="90">
        <v>3.04</v>
      </c>
      <c r="Q31" s="90">
        <v>2.762</v>
      </c>
      <c r="R31" s="90">
        <v>2.6850000000000001</v>
      </c>
      <c r="S31" s="90">
        <v>4.0380000000000003</v>
      </c>
      <c r="T31" s="90">
        <v>-3.9590000000000001</v>
      </c>
      <c r="U31" s="90">
        <v>7.6349999999999998</v>
      </c>
      <c r="V31" s="91">
        <v>3.3610000000000002</v>
      </c>
      <c r="W31" s="91">
        <f t="shared" si="0"/>
        <v>2.7646144159152897</v>
      </c>
    </row>
    <row r="32" spans="1:23" x14ac:dyDescent="0.35">
      <c r="A32" s="81" t="s">
        <v>569</v>
      </c>
      <c r="B32" s="81" t="s">
        <v>593</v>
      </c>
      <c r="C32" s="89">
        <v>3.7461786866062718</v>
      </c>
      <c r="D32" s="90">
        <v>4.6060819779328632</v>
      </c>
      <c r="E32" s="91">
        <v>4.9153359042722222</v>
      </c>
      <c r="G32" s="103" t="s">
        <v>398</v>
      </c>
      <c r="H32" s="101">
        <v>71.439342263551737</v>
      </c>
      <c r="I32" s="93">
        <v>81</v>
      </c>
      <c r="J32" s="94">
        <v>11</v>
      </c>
      <c r="K32" s="81"/>
      <c r="L32" s="89">
        <v>6.4526723809054332</v>
      </c>
      <c r="M32" s="90">
        <v>5.7926055919056534</v>
      </c>
      <c r="N32" s="90">
        <v>4.3268456132150384</v>
      </c>
      <c r="O32" s="90">
        <v>3.9209999999999998</v>
      </c>
      <c r="P32" s="90">
        <v>5.9580000000000002</v>
      </c>
      <c r="Q32" s="90">
        <v>6.2030000000000003</v>
      </c>
      <c r="R32" s="90">
        <v>6.6029999999999998</v>
      </c>
      <c r="S32" s="90">
        <v>5.6890000000000001</v>
      </c>
      <c r="T32" s="90">
        <v>1.931</v>
      </c>
      <c r="U32" s="90">
        <v>6.9050000000000002</v>
      </c>
      <c r="V32" s="91">
        <v>2.4729999999999999</v>
      </c>
      <c r="W32" s="91">
        <f t="shared" si="0"/>
        <v>4.7607089411025427</v>
      </c>
    </row>
    <row r="33" spans="1:23" x14ac:dyDescent="0.35">
      <c r="A33" s="81" t="s">
        <v>569</v>
      </c>
      <c r="B33" s="81" t="s">
        <v>594</v>
      </c>
      <c r="C33" s="89">
        <v>1.3140617594302739</v>
      </c>
      <c r="D33" s="90">
        <v>1.4727306023839093</v>
      </c>
      <c r="E33" s="91">
        <v>1.2263384025287261</v>
      </c>
      <c r="G33" s="103" t="s">
        <v>567</v>
      </c>
      <c r="H33" s="101">
        <v>45.872398734881529</v>
      </c>
      <c r="I33" s="93">
        <v>144</v>
      </c>
      <c r="J33" s="94">
        <v>40</v>
      </c>
      <c r="K33" s="81"/>
      <c r="L33" s="89">
        <v>4.4467082221454284</v>
      </c>
      <c r="M33" s="90">
        <v>4.9241952612883146</v>
      </c>
      <c r="N33" s="90">
        <v>4.2406516436807848</v>
      </c>
      <c r="O33" s="90">
        <v>-3.9</v>
      </c>
      <c r="P33" s="90">
        <v>-0.6</v>
      </c>
      <c r="Q33" s="90">
        <v>0.5</v>
      </c>
      <c r="R33" s="90">
        <v>1.61</v>
      </c>
      <c r="S33" s="90">
        <v>1.8420000000000001</v>
      </c>
      <c r="T33" s="90">
        <v>0.33500000000000002</v>
      </c>
      <c r="U33" s="90">
        <v>3.1190000000000002</v>
      </c>
      <c r="V33" s="91">
        <v>1.827</v>
      </c>
      <c r="W33" s="91">
        <f t="shared" si="0"/>
        <v>1.3495345024563177</v>
      </c>
    </row>
    <row r="34" spans="1:23" x14ac:dyDescent="0.35">
      <c r="A34" s="81" t="s">
        <v>569</v>
      </c>
      <c r="B34" s="81" t="s">
        <v>595</v>
      </c>
      <c r="C34" s="89">
        <v>0.23646198785876038</v>
      </c>
      <c r="D34" s="90">
        <v>2.1534613712418604</v>
      </c>
      <c r="E34" s="91">
        <v>2.1525774639498785</v>
      </c>
      <c r="G34" s="103" t="s">
        <v>398</v>
      </c>
      <c r="H34" s="101">
        <v>72.784877013329833</v>
      </c>
      <c r="I34" s="93">
        <v>78</v>
      </c>
      <c r="J34" s="94">
        <v>9</v>
      </c>
      <c r="K34" s="81"/>
      <c r="L34" s="89">
        <v>1.0819182787712764</v>
      </c>
      <c r="M34" s="90">
        <v>0.80279760057422567</v>
      </c>
      <c r="N34" s="90">
        <v>0.61121266620786829</v>
      </c>
      <c r="O34" s="90">
        <v>1.0069999999999999</v>
      </c>
      <c r="P34" s="90">
        <v>4.7060000000000004</v>
      </c>
      <c r="Q34" s="90">
        <v>3.702</v>
      </c>
      <c r="R34" s="90">
        <v>14.566000000000001</v>
      </c>
      <c r="S34" s="90">
        <v>5.6680000000000001</v>
      </c>
      <c r="T34" s="90">
        <v>-14.782999999999999</v>
      </c>
      <c r="U34" s="90">
        <v>7</v>
      </c>
      <c r="V34" s="91">
        <v>10.5</v>
      </c>
      <c r="W34" s="91">
        <f t="shared" si="0"/>
        <v>2.1530194175958695</v>
      </c>
    </row>
    <row r="35" spans="1:23" x14ac:dyDescent="0.35">
      <c r="A35" s="81" t="s">
        <v>565</v>
      </c>
      <c r="B35" s="81" t="s">
        <v>596</v>
      </c>
      <c r="C35" s="89">
        <v>1.5881444792890331</v>
      </c>
      <c r="D35" s="90">
        <v>3.8205347927408928</v>
      </c>
      <c r="E35" s="91">
        <v>5.437149341759695</v>
      </c>
      <c r="G35" s="103" t="s">
        <v>567</v>
      </c>
      <c r="H35" s="101">
        <v>41.696651110677628</v>
      </c>
      <c r="I35" s="93">
        <v>149</v>
      </c>
      <c r="J35" s="94">
        <v>31</v>
      </c>
      <c r="K35" s="81"/>
      <c r="L35" s="89">
        <v>7.3133455053000533</v>
      </c>
      <c r="M35" s="90">
        <v>7.3566651488797472</v>
      </c>
      <c r="N35" s="90">
        <v>7.1425711007429467</v>
      </c>
      <c r="O35" s="90">
        <v>7.0359999999999996</v>
      </c>
      <c r="P35" s="90">
        <v>6.8630000000000004</v>
      </c>
      <c r="Q35" s="90">
        <v>6.9969999999999999</v>
      </c>
      <c r="R35" s="90">
        <v>7.4690000000000003</v>
      </c>
      <c r="S35" s="90">
        <v>7.0540000000000003</v>
      </c>
      <c r="T35" s="90">
        <v>-3.0960000000000001</v>
      </c>
      <c r="U35" s="90">
        <v>3.0259999999999998</v>
      </c>
      <c r="V35" s="91">
        <v>5.0119999999999996</v>
      </c>
      <c r="W35" s="91">
        <f t="shared" si="0"/>
        <v>4.6288420672502939</v>
      </c>
    </row>
    <row r="36" spans="1:23" x14ac:dyDescent="0.35">
      <c r="A36" s="81" t="s">
        <v>569</v>
      </c>
      <c r="B36" s="81" t="s">
        <v>597</v>
      </c>
      <c r="C36" s="89">
        <v>2.4193069652844734</v>
      </c>
      <c r="D36" s="90">
        <v>3.5683606479580687</v>
      </c>
      <c r="E36" s="91">
        <v>4.2936580650607903</v>
      </c>
      <c r="G36" s="103" t="s">
        <v>422</v>
      </c>
      <c r="H36" s="101">
        <v>66.487838229569903</v>
      </c>
      <c r="I36" s="93">
        <v>107</v>
      </c>
      <c r="J36" s="94">
        <v>24</v>
      </c>
      <c r="K36" s="81"/>
      <c r="L36" s="89">
        <v>4.5432650156673571</v>
      </c>
      <c r="M36" s="90">
        <v>5.4042657097173343</v>
      </c>
      <c r="N36" s="90">
        <v>5.8840593266804415</v>
      </c>
      <c r="O36" s="90">
        <v>5.6</v>
      </c>
      <c r="P36" s="90">
        <v>4.4790000000000001</v>
      </c>
      <c r="Q36" s="90">
        <v>3.5409999999999999</v>
      </c>
      <c r="R36" s="90">
        <v>4.0220000000000002</v>
      </c>
      <c r="S36" s="90">
        <v>3.4220000000000002</v>
      </c>
      <c r="T36" s="90">
        <v>0.53900000000000003</v>
      </c>
      <c r="U36" s="90">
        <v>3.649</v>
      </c>
      <c r="V36" s="91">
        <v>3.383</v>
      </c>
      <c r="W36" s="91">
        <f t="shared" si="0"/>
        <v>3.9310093565094295</v>
      </c>
    </row>
    <row r="37" spans="1:23" x14ac:dyDescent="0.35">
      <c r="A37" s="81" t="s">
        <v>573</v>
      </c>
      <c r="B37" s="81" t="s">
        <v>598</v>
      </c>
      <c r="C37" s="89">
        <v>0.80505563787092171</v>
      </c>
      <c r="D37" s="90">
        <v>1.279888102037452</v>
      </c>
      <c r="E37" s="91">
        <v>1.6398804050051563</v>
      </c>
      <c r="G37" s="103" t="s">
        <v>415</v>
      </c>
      <c r="H37" s="101">
        <v>95.837528170961207</v>
      </c>
      <c r="I37" s="93">
        <v>17</v>
      </c>
      <c r="J37" s="94">
        <v>2</v>
      </c>
      <c r="K37" s="81"/>
      <c r="L37" s="89">
        <v>1.762222549554276</v>
      </c>
      <c r="M37" s="90">
        <v>2.3291225223044822</v>
      </c>
      <c r="N37" s="90">
        <v>2.8700360387422155</v>
      </c>
      <c r="O37" s="90">
        <v>0.65900000000000003</v>
      </c>
      <c r="P37" s="90">
        <v>1.0009999999999999</v>
      </c>
      <c r="Q37" s="90">
        <v>3.04</v>
      </c>
      <c r="R37" s="90">
        <v>2.7770000000000001</v>
      </c>
      <c r="S37" s="90">
        <v>1.8879999999999999</v>
      </c>
      <c r="T37" s="90">
        <v>-5.0739999999999998</v>
      </c>
      <c r="U37" s="90">
        <v>5.0119999999999996</v>
      </c>
      <c r="V37" s="91">
        <v>3.3959999999999999</v>
      </c>
      <c r="W37" s="91">
        <f t="shared" si="0"/>
        <v>1.4598842535213041</v>
      </c>
    </row>
    <row r="38" spans="1:23" x14ac:dyDescent="0.35">
      <c r="A38" s="81" t="s">
        <v>569</v>
      </c>
      <c r="B38" s="81" t="s">
        <v>599</v>
      </c>
      <c r="C38" s="89">
        <v>0.72569907638180275</v>
      </c>
      <c r="D38" s="90">
        <v>1.8043988935163791</v>
      </c>
      <c r="E38" s="91">
        <v>-2.2645674209426092</v>
      </c>
      <c r="G38" s="103" t="s">
        <v>567</v>
      </c>
      <c r="H38" s="101">
        <v>41.466247411534134</v>
      </c>
      <c r="I38" s="93">
        <v>150</v>
      </c>
      <c r="J38" s="94">
        <v>44</v>
      </c>
      <c r="K38" s="81"/>
      <c r="L38" s="89">
        <v>5.053761253569192</v>
      </c>
      <c r="M38" s="90">
        <v>-36.391977098388679</v>
      </c>
      <c r="N38" s="90">
        <v>8.1070515326508011E-2</v>
      </c>
      <c r="O38" s="90">
        <v>4.3380000000000001</v>
      </c>
      <c r="P38" s="90">
        <v>4.75</v>
      </c>
      <c r="Q38" s="90">
        <v>4.5279999999999996</v>
      </c>
      <c r="R38" s="90">
        <v>3.82</v>
      </c>
      <c r="S38" s="90">
        <v>2.97</v>
      </c>
      <c r="T38" s="90">
        <v>0.95899999999999996</v>
      </c>
      <c r="U38" s="90">
        <v>0.98299999999999998</v>
      </c>
      <c r="V38" s="91">
        <v>0.378</v>
      </c>
      <c r="W38" s="91">
        <f t="shared" si="0"/>
        <v>-0.23008426371311508</v>
      </c>
    </row>
    <row r="39" spans="1:23" x14ac:dyDescent="0.35">
      <c r="A39" s="81" t="s">
        <v>569</v>
      </c>
      <c r="B39" s="81" t="s">
        <v>600</v>
      </c>
      <c r="C39" s="89">
        <v>-0.11885802228936981</v>
      </c>
      <c r="D39" s="90">
        <v>1.0424126086531427</v>
      </c>
      <c r="E39" s="91">
        <v>1.0693731739606749</v>
      </c>
      <c r="G39" s="103" t="s">
        <v>567</v>
      </c>
      <c r="H39" s="101">
        <v>46.134841898100355</v>
      </c>
      <c r="I39" s="93">
        <v>143</v>
      </c>
      <c r="J39" s="94">
        <v>39</v>
      </c>
      <c r="K39" s="81"/>
      <c r="L39" s="89">
        <v>8.8825760717031557</v>
      </c>
      <c r="M39" s="90">
        <v>5.7000013628586537</v>
      </c>
      <c r="N39" s="90">
        <v>6.8999850453216673</v>
      </c>
      <c r="O39" s="90">
        <v>1.77</v>
      </c>
      <c r="P39" s="90">
        <v>-5.5579999999999998</v>
      </c>
      <c r="Q39" s="90">
        <v>-2.38</v>
      </c>
      <c r="R39" s="90">
        <v>2.355</v>
      </c>
      <c r="S39" s="90">
        <v>3.419</v>
      </c>
      <c r="T39" s="90">
        <v>-2.1419999999999999</v>
      </c>
      <c r="U39" s="90">
        <v>-1.1020000000000001</v>
      </c>
      <c r="V39" s="91">
        <v>2.4940000000000002</v>
      </c>
      <c r="W39" s="91">
        <f t="shared" si="0"/>
        <v>1.0558928913069088</v>
      </c>
    </row>
    <row r="40" spans="1:23" x14ac:dyDescent="0.35">
      <c r="A40" s="81" t="s">
        <v>573</v>
      </c>
      <c r="B40" s="81" t="s">
        <v>601</v>
      </c>
      <c r="C40" s="89">
        <v>2.4572143474803632</v>
      </c>
      <c r="D40" s="90">
        <v>3.0605383736418856</v>
      </c>
      <c r="E40" s="91">
        <v>2.6285168981251106</v>
      </c>
      <c r="G40" s="103" t="s">
        <v>415</v>
      </c>
      <c r="H40" s="101">
        <v>89.938976035792962</v>
      </c>
      <c r="I40" s="93">
        <v>28</v>
      </c>
      <c r="J40" s="94">
        <v>3</v>
      </c>
      <c r="K40" s="81"/>
      <c r="L40" s="89">
        <v>5.3186280004141473</v>
      </c>
      <c r="M40" s="90">
        <v>4.0450042981489593</v>
      </c>
      <c r="N40" s="90">
        <v>1.7667397836386938</v>
      </c>
      <c r="O40" s="90">
        <v>2.1520000000000001</v>
      </c>
      <c r="P40" s="90">
        <v>1.7529999999999999</v>
      </c>
      <c r="Q40" s="90">
        <v>1.3580000000000001</v>
      </c>
      <c r="R40" s="90">
        <v>3.99</v>
      </c>
      <c r="S40" s="90">
        <v>0.74299999999999999</v>
      </c>
      <c r="T40" s="90">
        <v>-6.1449999999999996</v>
      </c>
      <c r="U40" s="90">
        <v>11.737</v>
      </c>
      <c r="V40" s="91">
        <v>2.44</v>
      </c>
      <c r="W40" s="91">
        <f t="shared" si="0"/>
        <v>2.8445276358834981</v>
      </c>
    </row>
    <row r="41" spans="1:23" x14ac:dyDescent="0.35">
      <c r="A41" s="81" t="s">
        <v>565</v>
      </c>
      <c r="B41" s="81" t="s">
        <v>602</v>
      </c>
      <c r="C41" s="89">
        <v>4.4136018906123953</v>
      </c>
      <c r="D41" s="90">
        <v>5.1836523723133077</v>
      </c>
      <c r="E41" s="91">
        <v>6.1897338385474399</v>
      </c>
      <c r="G41" s="103" t="s">
        <v>571</v>
      </c>
      <c r="H41" s="101">
        <v>79.714044846147502</v>
      </c>
      <c r="I41" s="93">
        <v>50</v>
      </c>
      <c r="J41" s="94">
        <v>7</v>
      </c>
      <c r="K41" s="81"/>
      <c r="L41" s="89">
        <v>7.8596274932851555</v>
      </c>
      <c r="M41" s="90">
        <v>7.7686152841281606</v>
      </c>
      <c r="N41" s="90">
        <v>7.4245236561990726</v>
      </c>
      <c r="O41" s="90">
        <v>7.0179999999999998</v>
      </c>
      <c r="P41" s="90">
        <v>6.851</v>
      </c>
      <c r="Q41" s="90">
        <v>6.9470000000000001</v>
      </c>
      <c r="R41" s="90">
        <v>6.7510000000000003</v>
      </c>
      <c r="S41" s="90">
        <v>5.9509999999999996</v>
      </c>
      <c r="T41" s="90">
        <v>2.242</v>
      </c>
      <c r="U41" s="90">
        <v>8.4499999999999993</v>
      </c>
      <c r="V41" s="91">
        <v>2.988</v>
      </c>
      <c r="W41" s="91">
        <f t="shared" si="0"/>
        <v>5.6866931054303738</v>
      </c>
    </row>
    <row r="42" spans="1:23" x14ac:dyDescent="0.35">
      <c r="A42" s="81" t="s">
        <v>573</v>
      </c>
      <c r="B42" s="81" t="s">
        <v>603</v>
      </c>
      <c r="C42" s="89">
        <v>3.4115994769119862</v>
      </c>
      <c r="D42" s="90">
        <v>2.9902381196408978</v>
      </c>
      <c r="E42" s="91">
        <v>3.0937390088282557</v>
      </c>
      <c r="G42" s="103" t="s">
        <v>571</v>
      </c>
      <c r="H42" s="101">
        <v>79.943455242802315</v>
      </c>
      <c r="I42" s="93">
        <v>48</v>
      </c>
      <c r="J42" s="94">
        <v>6</v>
      </c>
      <c r="K42" s="81"/>
      <c r="L42" s="89">
        <v>3.9126357671611296</v>
      </c>
      <c r="M42" s="90">
        <v>5.1339935199566966</v>
      </c>
      <c r="N42" s="90">
        <v>4.4990300011097339</v>
      </c>
      <c r="O42" s="90">
        <v>2.956</v>
      </c>
      <c r="P42" s="90">
        <v>2.0880000000000001</v>
      </c>
      <c r="Q42" s="90">
        <v>1.359</v>
      </c>
      <c r="R42" s="90">
        <v>2.5640000000000001</v>
      </c>
      <c r="S42" s="90">
        <v>3.1869999999999998</v>
      </c>
      <c r="T42" s="90">
        <v>-7.2519999999999998</v>
      </c>
      <c r="U42" s="90">
        <v>11.016</v>
      </c>
      <c r="V42" s="91">
        <v>7.4960000000000004</v>
      </c>
      <c r="W42" s="91">
        <f t="shared" si="0"/>
        <v>3.0419885642345768</v>
      </c>
    </row>
    <row r="43" spans="1:23" x14ac:dyDescent="0.35">
      <c r="A43" s="81" t="s">
        <v>569</v>
      </c>
      <c r="B43" s="81" t="s">
        <v>604</v>
      </c>
      <c r="C43" s="89">
        <v>1.4424277454801349</v>
      </c>
      <c r="D43" s="90">
        <v>1.9425285111170032</v>
      </c>
      <c r="E43" s="91">
        <v>2.451644301489786</v>
      </c>
      <c r="G43" s="103" t="s">
        <v>422</v>
      </c>
      <c r="H43" s="101">
        <v>68.943026951610364</v>
      </c>
      <c r="I43" s="93">
        <v>96</v>
      </c>
      <c r="J43" s="94">
        <v>17</v>
      </c>
      <c r="K43" s="81"/>
      <c r="L43" s="89">
        <v>3.2002729031888046</v>
      </c>
      <c r="M43" s="90">
        <v>4.4998742153082745</v>
      </c>
      <c r="N43" s="90">
        <v>2.1000064383028905</v>
      </c>
      <c r="O43" s="90">
        <v>1.147</v>
      </c>
      <c r="P43" s="90">
        <v>3.32</v>
      </c>
      <c r="Q43" s="90">
        <v>3.8159999999999998</v>
      </c>
      <c r="R43" s="90">
        <v>3.6419999999999999</v>
      </c>
      <c r="S43" s="90">
        <v>1.7609999999999999</v>
      </c>
      <c r="T43" s="90">
        <v>-0.19600000000000001</v>
      </c>
      <c r="U43" s="90">
        <v>2.1120000000000001</v>
      </c>
      <c r="V43" s="91">
        <v>2.431</v>
      </c>
      <c r="W43" s="91">
        <f t="shared" si="0"/>
        <v>2.1970864063033946</v>
      </c>
    </row>
    <row r="44" spans="1:23" x14ac:dyDescent="0.35">
      <c r="A44" s="81" t="s">
        <v>569</v>
      </c>
      <c r="B44" s="81" t="s">
        <v>605</v>
      </c>
      <c r="C44" s="89">
        <v>4.8306254668632809</v>
      </c>
      <c r="D44" s="90">
        <v>4.9384402884992351</v>
      </c>
      <c r="E44" s="91">
        <v>5.5494362942043685</v>
      </c>
      <c r="G44" s="103" t="s">
        <v>567</v>
      </c>
      <c r="H44" s="101">
        <v>40.102703133666751</v>
      </c>
      <c r="I44" s="93">
        <v>151</v>
      </c>
      <c r="J44" s="94">
        <v>45</v>
      </c>
      <c r="K44" s="81"/>
      <c r="L44" s="89">
        <v>7.0868989467193844</v>
      </c>
      <c r="M44" s="90">
        <v>8.4819566360875722</v>
      </c>
      <c r="N44" s="90">
        <v>9.4702880971408341</v>
      </c>
      <c r="O44" s="90">
        <v>6.36</v>
      </c>
      <c r="P44" s="90">
        <v>0.39400000000000002</v>
      </c>
      <c r="Q44" s="90">
        <v>3.6579999999999999</v>
      </c>
      <c r="R44" s="90">
        <v>4.8250000000000002</v>
      </c>
      <c r="S44" s="90">
        <v>4.4850000000000003</v>
      </c>
      <c r="T44" s="90">
        <v>1.671</v>
      </c>
      <c r="U44" s="90">
        <v>6.2290000000000001</v>
      </c>
      <c r="V44" s="91">
        <v>6.6269999999999998</v>
      </c>
      <c r="W44" s="91">
        <f t="shared" si="0"/>
        <v>5.2439382913518013</v>
      </c>
    </row>
    <row r="45" spans="1:23" x14ac:dyDescent="0.35">
      <c r="A45" s="81" t="s">
        <v>569</v>
      </c>
      <c r="B45" s="81" t="s">
        <v>606</v>
      </c>
      <c r="C45" s="89">
        <v>-1.9540231466170455</v>
      </c>
      <c r="D45" s="90">
        <v>-2.1626068363397866</v>
      </c>
      <c r="E45" s="91">
        <v>-2.4351268953680449</v>
      </c>
      <c r="G45" s="103" t="s">
        <v>567</v>
      </c>
      <c r="H45" s="101">
        <v>42.318471362744162</v>
      </c>
      <c r="I45" s="93">
        <v>148</v>
      </c>
      <c r="J45" s="94">
        <v>43</v>
      </c>
      <c r="K45" s="81"/>
      <c r="L45" s="89">
        <v>9.9471531425756439</v>
      </c>
      <c r="M45" s="90">
        <v>-0.71243445187648202</v>
      </c>
      <c r="N45" s="90">
        <v>6.7166793337864945</v>
      </c>
      <c r="O45" s="90">
        <v>-3.5510000000000002</v>
      </c>
      <c r="P45" s="90">
        <v>-10.782999999999999</v>
      </c>
      <c r="Q45" s="90">
        <v>-4.383</v>
      </c>
      <c r="R45" s="90">
        <v>-4.8049999999999997</v>
      </c>
      <c r="S45" s="90">
        <v>1.026</v>
      </c>
      <c r="T45" s="90">
        <v>-6.1980000000000004</v>
      </c>
      <c r="U45" s="90">
        <v>1.5</v>
      </c>
      <c r="V45" s="91">
        <v>2.7850000000000001</v>
      </c>
      <c r="W45" s="91">
        <f t="shared" si="0"/>
        <v>-2.298866865853916</v>
      </c>
    </row>
    <row r="46" spans="1:23" x14ac:dyDescent="0.35">
      <c r="A46" s="81" t="s">
        <v>573</v>
      </c>
      <c r="B46" s="81" t="s">
        <v>607</v>
      </c>
      <c r="C46" s="89">
        <v>2.4986852323448439</v>
      </c>
      <c r="D46" s="90">
        <v>3.7972658363557565</v>
      </c>
      <c r="E46" s="91">
        <v>3.649680120396992</v>
      </c>
      <c r="G46" s="103" t="s">
        <v>571</v>
      </c>
      <c r="H46" s="101">
        <v>86.218051096846139</v>
      </c>
      <c r="I46" s="93">
        <v>34</v>
      </c>
      <c r="J46" s="94">
        <v>4</v>
      </c>
      <c r="K46" s="81"/>
      <c r="L46" s="89">
        <v>4.7969199185815947</v>
      </c>
      <c r="M46" s="90">
        <v>2.2690274004615811</v>
      </c>
      <c r="N46" s="90">
        <v>3.5153385639114227</v>
      </c>
      <c r="O46" s="90">
        <v>3.6520000000000001</v>
      </c>
      <c r="P46" s="90">
        <v>4.2039999999999997</v>
      </c>
      <c r="Q46" s="90">
        <v>4.1580000000000004</v>
      </c>
      <c r="R46" s="90">
        <v>2.6160000000000001</v>
      </c>
      <c r="S46" s="90">
        <v>2.4180000000000001</v>
      </c>
      <c r="T46" s="90">
        <v>-4.2729999999999997</v>
      </c>
      <c r="U46" s="90">
        <v>7.7809999999999997</v>
      </c>
      <c r="V46" s="91">
        <v>4.3239999999999998</v>
      </c>
      <c r="W46" s="91">
        <f t="shared" si="0"/>
        <v>3.7234729783763743</v>
      </c>
    </row>
    <row r="47" spans="1:23" x14ac:dyDescent="0.35">
      <c r="A47" s="81" t="s">
        <v>569</v>
      </c>
      <c r="B47" s="81" t="s">
        <v>608</v>
      </c>
      <c r="C47" s="89">
        <v>5.2133244785906863</v>
      </c>
      <c r="D47" s="90">
        <v>5.7501340546816326</v>
      </c>
      <c r="E47" s="91">
        <v>6.9731316213943906</v>
      </c>
      <c r="G47" s="103" t="s">
        <v>422</v>
      </c>
      <c r="H47" s="101">
        <v>69.121915522328067</v>
      </c>
      <c r="I47" s="93">
        <v>95</v>
      </c>
      <c r="J47" s="94">
        <v>16</v>
      </c>
      <c r="K47" s="81"/>
      <c r="L47" s="89">
        <v>10.706504103485498</v>
      </c>
      <c r="M47" s="90">
        <v>8.8894213015542505</v>
      </c>
      <c r="N47" s="90">
        <v>8.7940773902773532</v>
      </c>
      <c r="O47" s="90">
        <v>8.843</v>
      </c>
      <c r="P47" s="90">
        <v>7.173</v>
      </c>
      <c r="Q47" s="90">
        <v>6.1429999999999998</v>
      </c>
      <c r="R47" s="90">
        <v>3.7509999999999999</v>
      </c>
      <c r="S47" s="90">
        <v>8.31</v>
      </c>
      <c r="T47" s="90">
        <v>1.7</v>
      </c>
      <c r="U47" s="90">
        <v>7</v>
      </c>
      <c r="V47" s="91">
        <v>6.7</v>
      </c>
      <c r="W47" s="91">
        <f t="shared" si="0"/>
        <v>6.3616328380380116</v>
      </c>
    </row>
    <row r="48" spans="1:23" x14ac:dyDescent="0.35">
      <c r="A48" s="81" t="s">
        <v>227</v>
      </c>
      <c r="B48" s="81" t="s">
        <v>609</v>
      </c>
      <c r="C48" s="89">
        <v>3.2016110581527757</v>
      </c>
      <c r="D48" s="90">
        <v>3.6386983370098269</v>
      </c>
      <c r="E48" s="91">
        <v>2.6484109069949024</v>
      </c>
      <c r="G48" s="103" t="s">
        <v>571</v>
      </c>
      <c r="H48" s="101">
        <v>83.891853807505186</v>
      </c>
      <c r="I48" s="93">
        <v>39</v>
      </c>
      <c r="J48" s="94">
        <v>25</v>
      </c>
      <c r="K48" s="81"/>
      <c r="L48" s="89">
        <v>-2.2376475412236791</v>
      </c>
      <c r="M48" s="90">
        <v>-0.54854848857064353</v>
      </c>
      <c r="N48" s="90">
        <v>-0.10392849719394197</v>
      </c>
      <c r="O48" s="90">
        <v>2.524</v>
      </c>
      <c r="P48" s="90">
        <v>3.56</v>
      </c>
      <c r="Q48" s="90">
        <v>3.4140000000000001</v>
      </c>
      <c r="R48" s="90">
        <v>2.7989999999999999</v>
      </c>
      <c r="S48" s="90">
        <v>3.42</v>
      </c>
      <c r="T48" s="90">
        <v>-8.58</v>
      </c>
      <c r="U48" s="90">
        <v>13.07</v>
      </c>
      <c r="V48" s="91">
        <v>6.3319999999999999</v>
      </c>
      <c r="W48" s="91">
        <f t="shared" si="0"/>
        <v>3.1435546220023647</v>
      </c>
    </row>
    <row r="49" spans="1:23" x14ac:dyDescent="0.35">
      <c r="A49" s="81" t="s">
        <v>227</v>
      </c>
      <c r="B49" s="81" t="s">
        <v>610</v>
      </c>
      <c r="C49" s="89">
        <v>2.5096449899315587</v>
      </c>
      <c r="D49" s="90">
        <v>3.8028194592395037</v>
      </c>
      <c r="E49" s="91">
        <v>2.5630103304818297</v>
      </c>
      <c r="G49" s="103" t="s">
        <v>571</v>
      </c>
      <c r="H49" s="101">
        <v>87.255396390154942</v>
      </c>
      <c r="I49" s="93">
        <v>32</v>
      </c>
      <c r="J49" s="94">
        <v>21</v>
      </c>
      <c r="K49" s="81"/>
      <c r="L49" s="89">
        <v>-3.4468220858971224</v>
      </c>
      <c r="M49" s="90">
        <v>-6.5530782549911972</v>
      </c>
      <c r="N49" s="90">
        <v>-1.8293091092200273</v>
      </c>
      <c r="O49" s="90">
        <v>3.4180000000000001</v>
      </c>
      <c r="P49" s="90">
        <v>6.5739999999999998</v>
      </c>
      <c r="Q49" s="90">
        <v>5.7329999999999997</v>
      </c>
      <c r="R49" s="90">
        <v>5.649</v>
      </c>
      <c r="S49" s="90">
        <v>5.5289999999999999</v>
      </c>
      <c r="T49" s="90">
        <v>-4.3710000000000004</v>
      </c>
      <c r="U49" s="90">
        <v>6.6369999999999996</v>
      </c>
      <c r="V49" s="91">
        <v>5.6319999999999997</v>
      </c>
      <c r="W49" s="91">
        <f t="shared" si="0"/>
        <v>3.1829148948606667</v>
      </c>
    </row>
    <row r="50" spans="1:23" x14ac:dyDescent="0.35">
      <c r="A50" s="81" t="s">
        <v>227</v>
      </c>
      <c r="B50" s="81" t="s">
        <v>611</v>
      </c>
      <c r="C50" s="89">
        <v>7.8479275411136307E-2</v>
      </c>
      <c r="D50" s="90">
        <v>1.4620184569118511</v>
      </c>
      <c r="E50" s="91">
        <v>2.1534461321011111</v>
      </c>
      <c r="G50" s="103" t="s">
        <v>415</v>
      </c>
      <c r="H50" s="101">
        <v>91.450544124021832</v>
      </c>
      <c r="I50" s="93">
        <v>23</v>
      </c>
      <c r="J50" s="94">
        <v>15</v>
      </c>
      <c r="K50" s="81"/>
      <c r="L50" s="89">
        <v>-0.79984428098029747</v>
      </c>
      <c r="M50" s="90">
        <v>-0.48367104180935355</v>
      </c>
      <c r="N50" s="90">
        <v>2.7151161333034923</v>
      </c>
      <c r="O50" s="90">
        <v>5.3879999999999999</v>
      </c>
      <c r="P50" s="90">
        <v>2.5369999999999999</v>
      </c>
      <c r="Q50" s="90">
        <v>5.1689999999999996</v>
      </c>
      <c r="R50" s="90">
        <v>3.22</v>
      </c>
      <c r="S50" s="90">
        <v>3.03</v>
      </c>
      <c r="T50" s="90">
        <v>-5.5030000000000001</v>
      </c>
      <c r="U50" s="90">
        <v>3.5529999999999999</v>
      </c>
      <c r="V50" s="91">
        <v>2.4420000000000002</v>
      </c>
      <c r="W50" s="91">
        <f t="shared" si="0"/>
        <v>1.8077322945064811</v>
      </c>
    </row>
    <row r="51" spans="1:23" x14ac:dyDescent="0.35">
      <c r="A51" s="81" t="s">
        <v>227</v>
      </c>
      <c r="B51" s="81" t="s">
        <v>612</v>
      </c>
      <c r="C51" s="89">
        <v>2.1173186821453305</v>
      </c>
      <c r="D51" s="90">
        <v>2.0745382872927598</v>
      </c>
      <c r="E51" s="91">
        <v>2.0535686786969709</v>
      </c>
      <c r="G51" s="103" t="s">
        <v>415</v>
      </c>
      <c r="H51" s="101">
        <v>97.848591628257381</v>
      </c>
      <c r="I51" s="93">
        <v>3</v>
      </c>
      <c r="J51" s="94">
        <v>2</v>
      </c>
      <c r="K51" s="81"/>
      <c r="L51" s="89">
        <v>0.22649979701625131</v>
      </c>
      <c r="M51" s="90">
        <v>0.93334095705108477</v>
      </c>
      <c r="N51" s="90">
        <v>1.6193938166337245</v>
      </c>
      <c r="O51" s="90">
        <v>2.343</v>
      </c>
      <c r="P51" s="90">
        <v>3.2480000000000002</v>
      </c>
      <c r="Q51" s="90">
        <v>2.819</v>
      </c>
      <c r="R51" s="90">
        <v>1.9910000000000001</v>
      </c>
      <c r="S51" s="90">
        <v>1.4930000000000001</v>
      </c>
      <c r="T51" s="90">
        <v>-1.994</v>
      </c>
      <c r="U51" s="90">
        <v>4.8570000000000002</v>
      </c>
      <c r="V51" s="91">
        <v>3.6230000000000002</v>
      </c>
      <c r="W51" s="91">
        <f t="shared" si="0"/>
        <v>2.0640534829948654</v>
      </c>
    </row>
    <row r="52" spans="1:23" x14ac:dyDescent="0.35">
      <c r="A52" s="81" t="s">
        <v>573</v>
      </c>
      <c r="B52" s="81" t="s">
        <v>613</v>
      </c>
      <c r="C52" s="89">
        <v>3.1998461156594438</v>
      </c>
      <c r="D52" s="90">
        <v>4.316018962980106</v>
      </c>
      <c r="E52" s="91">
        <v>5.1698060844696858</v>
      </c>
      <c r="G52" s="103" t="s">
        <v>571</v>
      </c>
      <c r="H52" s="101">
        <v>76.661181476266762</v>
      </c>
      <c r="I52" s="93">
        <v>62</v>
      </c>
      <c r="J52" s="94">
        <v>9</v>
      </c>
      <c r="K52" s="81"/>
      <c r="L52" s="89">
        <v>2.7173678967056243</v>
      </c>
      <c r="M52" s="90">
        <v>4.8752050933227107</v>
      </c>
      <c r="N52" s="90">
        <v>7.0504636896591117</v>
      </c>
      <c r="O52" s="90">
        <v>6.9269999999999996</v>
      </c>
      <c r="P52" s="90">
        <v>6.6589999999999998</v>
      </c>
      <c r="Q52" s="90">
        <v>4.6669999999999998</v>
      </c>
      <c r="R52" s="90">
        <v>6.9829999999999997</v>
      </c>
      <c r="S52" s="90">
        <v>5.0519999999999996</v>
      </c>
      <c r="T52" s="90">
        <v>-6.72</v>
      </c>
      <c r="U52" s="90">
        <v>12.272</v>
      </c>
      <c r="V52" s="91">
        <v>4.9489999999999998</v>
      </c>
      <c r="W52" s="91">
        <f t="shared" si="0"/>
        <v>4.7429125237248959</v>
      </c>
    </row>
    <row r="53" spans="1:23" x14ac:dyDescent="0.35">
      <c r="A53" s="81" t="s">
        <v>573</v>
      </c>
      <c r="B53" s="81" t="s">
        <v>614</v>
      </c>
      <c r="C53" s="89">
        <v>-0.32141867374969602</v>
      </c>
      <c r="D53" s="90">
        <v>6.5490773887200149E-2</v>
      </c>
      <c r="E53" s="91">
        <v>1.0130868701887064</v>
      </c>
      <c r="G53" s="107" t="s">
        <v>422</v>
      </c>
      <c r="H53" s="101">
        <v>61.323621492965962</v>
      </c>
      <c r="I53" s="93">
        <v>123</v>
      </c>
      <c r="J53" s="94">
        <v>20</v>
      </c>
      <c r="K53" s="81"/>
      <c r="L53" s="89">
        <v>5.641962066711991</v>
      </c>
      <c r="M53" s="90">
        <v>4.9465112669062528</v>
      </c>
      <c r="N53" s="90">
        <v>3.7888685492083329</v>
      </c>
      <c r="O53" s="90">
        <v>9.9000000000000005E-2</v>
      </c>
      <c r="P53" s="90">
        <v>-1.226</v>
      </c>
      <c r="Q53" s="90">
        <v>2.3679999999999999</v>
      </c>
      <c r="R53" s="90">
        <v>1.2889999999999999</v>
      </c>
      <c r="S53" s="90">
        <v>1.2E-2</v>
      </c>
      <c r="T53" s="90">
        <v>-7.7880000000000003</v>
      </c>
      <c r="U53" s="90">
        <v>4.2350000000000003</v>
      </c>
      <c r="V53" s="91">
        <v>3.0390000000000001</v>
      </c>
      <c r="W53" s="91">
        <f t="shared" si="0"/>
        <v>0.53928882203795325</v>
      </c>
    </row>
    <row r="54" spans="1:23" x14ac:dyDescent="0.35">
      <c r="A54" s="81" t="s">
        <v>569</v>
      </c>
      <c r="B54" s="81" t="s">
        <v>615</v>
      </c>
      <c r="C54" s="89">
        <v>4.4912036839904523</v>
      </c>
      <c r="D54" s="90">
        <v>4.8680352120142656</v>
      </c>
      <c r="E54" s="91">
        <v>4.2302867143853229</v>
      </c>
      <c r="G54" s="103" t="s">
        <v>422</v>
      </c>
      <c r="H54" s="101">
        <v>63.405428674671668</v>
      </c>
      <c r="I54" s="93">
        <v>119</v>
      </c>
      <c r="J54" s="94">
        <v>28</v>
      </c>
      <c r="K54" s="81"/>
      <c r="L54" s="89">
        <v>2.2261997966213811</v>
      </c>
      <c r="M54" s="90">
        <v>2.1854660547123101</v>
      </c>
      <c r="N54" s="90">
        <v>2.9159118788358169</v>
      </c>
      <c r="O54" s="90">
        <v>4.4340000000000002</v>
      </c>
      <c r="P54" s="90">
        <v>4.5060000000000002</v>
      </c>
      <c r="Q54" s="90">
        <v>2.3690000000000002</v>
      </c>
      <c r="R54" s="90">
        <v>5.3310000000000004</v>
      </c>
      <c r="S54" s="90">
        <v>5.5339999999999998</v>
      </c>
      <c r="T54" s="90">
        <v>3.5139999999999998</v>
      </c>
      <c r="U54" s="90">
        <v>3.3069999999999999</v>
      </c>
      <c r="V54" s="91">
        <v>6.609</v>
      </c>
      <c r="W54" s="91">
        <f t="shared" si="0"/>
        <v>4.5491609631997942</v>
      </c>
    </row>
    <row r="55" spans="1:23" x14ac:dyDescent="0.35">
      <c r="A55" s="81" t="s">
        <v>573</v>
      </c>
      <c r="B55" s="81" t="s">
        <v>616</v>
      </c>
      <c r="C55" s="89">
        <v>1.3471265984384528</v>
      </c>
      <c r="D55" s="90">
        <v>1.776882859029727</v>
      </c>
      <c r="E55" s="91">
        <v>2.0016468394263187</v>
      </c>
      <c r="G55" s="103" t="s">
        <v>398</v>
      </c>
      <c r="H55" s="101">
        <v>69.210174273537845</v>
      </c>
      <c r="I55" s="93">
        <v>94</v>
      </c>
      <c r="J55" s="94">
        <v>13</v>
      </c>
      <c r="K55" s="81"/>
      <c r="L55" s="89">
        <v>2.8155018217952783</v>
      </c>
      <c r="M55" s="90">
        <v>2.2337536818851604</v>
      </c>
      <c r="N55" s="90">
        <v>1.7112232058649222</v>
      </c>
      <c r="O55" s="90">
        <v>2.395</v>
      </c>
      <c r="P55" s="90">
        <v>2.5419999999999998</v>
      </c>
      <c r="Q55" s="90">
        <v>2.2530000000000001</v>
      </c>
      <c r="R55" s="90">
        <v>2.4119999999999999</v>
      </c>
      <c r="S55" s="90">
        <v>2.4350000000000001</v>
      </c>
      <c r="T55" s="90">
        <v>-8.1750000000000007</v>
      </c>
      <c r="U55" s="90">
        <v>10.269</v>
      </c>
      <c r="V55" s="91">
        <v>2.8</v>
      </c>
      <c r="W55" s="91">
        <f t="shared" si="0"/>
        <v>1.8892648492280228</v>
      </c>
    </row>
    <row r="56" spans="1:23" x14ac:dyDescent="0.35">
      <c r="A56" s="81" t="s">
        <v>227</v>
      </c>
      <c r="B56" s="81" t="s">
        <v>617</v>
      </c>
      <c r="C56" s="89">
        <v>1.972770435214799</v>
      </c>
      <c r="D56" s="90">
        <v>2.6853264084946815</v>
      </c>
      <c r="E56" s="91">
        <v>2.7928430899179402</v>
      </c>
      <c r="G56" s="103" t="s">
        <v>571</v>
      </c>
      <c r="H56" s="101">
        <v>82.267245472231053</v>
      </c>
      <c r="I56" s="93">
        <v>41</v>
      </c>
      <c r="J56" s="94">
        <v>27</v>
      </c>
      <c r="K56" s="81"/>
      <c r="L56" s="89">
        <v>3.1248431915696226</v>
      </c>
      <c r="M56" s="90">
        <v>1.346187835760732</v>
      </c>
      <c r="N56" s="90">
        <v>2.9873258188549392</v>
      </c>
      <c r="O56" s="90">
        <v>1.853</v>
      </c>
      <c r="P56" s="90">
        <v>3.1549999999999998</v>
      </c>
      <c r="Q56" s="90">
        <v>5.7919999999999998</v>
      </c>
      <c r="R56" s="90">
        <v>3.7839999999999998</v>
      </c>
      <c r="S56" s="90">
        <v>3.74</v>
      </c>
      <c r="T56" s="90">
        <v>-0.55100000000000005</v>
      </c>
      <c r="U56" s="90">
        <v>8.0129999999999999</v>
      </c>
      <c r="V56" s="91">
        <v>-1.2869999999999999</v>
      </c>
      <c r="W56" s="91">
        <f t="shared" si="0"/>
        <v>2.7390847492063108</v>
      </c>
    </row>
    <row r="57" spans="1:23" x14ac:dyDescent="0.35">
      <c r="A57" s="81" t="s">
        <v>569</v>
      </c>
      <c r="B57" s="81" t="s">
        <v>618</v>
      </c>
      <c r="C57" s="89">
        <v>2.1841699351578647</v>
      </c>
      <c r="D57" s="90">
        <v>2.1180367535848621</v>
      </c>
      <c r="E57" s="91">
        <v>2.094572895591984</v>
      </c>
      <c r="G57" s="103" t="s">
        <v>422</v>
      </c>
      <c r="H57" s="101">
        <v>63.876381030610304</v>
      </c>
      <c r="I57" s="93">
        <v>117</v>
      </c>
      <c r="J57" s="94">
        <v>27</v>
      </c>
      <c r="K57" s="81"/>
      <c r="L57" s="89">
        <v>5.3913093065302364</v>
      </c>
      <c r="M57" s="90">
        <v>3.8622718821819677</v>
      </c>
      <c r="N57" s="90">
        <v>0.91319649477376841</v>
      </c>
      <c r="O57" s="90">
        <v>2.2269999999999999</v>
      </c>
      <c r="P57" s="90">
        <v>1.0629999999999999</v>
      </c>
      <c r="Q57" s="90">
        <v>2.0270000000000001</v>
      </c>
      <c r="R57" s="90">
        <v>2.3690000000000002</v>
      </c>
      <c r="S57" s="90">
        <v>2.7040000000000002</v>
      </c>
      <c r="T57" s="90">
        <v>-1.56</v>
      </c>
      <c r="U57" s="90">
        <v>7.883</v>
      </c>
      <c r="V57" s="91">
        <v>0.46700000000000003</v>
      </c>
      <c r="W57" s="91">
        <f t="shared" si="0"/>
        <v>2.1063048245884231</v>
      </c>
    </row>
    <row r="58" spans="1:23" x14ac:dyDescent="0.35">
      <c r="A58" s="81" t="s">
        <v>569</v>
      </c>
      <c r="B58" s="81" t="s">
        <v>619</v>
      </c>
      <c r="C58" s="89">
        <v>6.0178655257344227</v>
      </c>
      <c r="D58" s="90">
        <v>6.6428861766961944</v>
      </c>
      <c r="E58" s="91">
        <v>8.3305963840047514</v>
      </c>
      <c r="G58" s="103" t="s">
        <v>567</v>
      </c>
      <c r="H58" s="101">
        <v>58.357971531116526</v>
      </c>
      <c r="I58" s="93">
        <v>128</v>
      </c>
      <c r="J58" s="94">
        <v>31</v>
      </c>
      <c r="K58" s="81"/>
      <c r="L58" s="89">
        <v>8.6478116333741841</v>
      </c>
      <c r="M58" s="90">
        <v>10.582270048267214</v>
      </c>
      <c r="N58" s="90">
        <v>10.257492961005118</v>
      </c>
      <c r="O58" s="90">
        <v>10.4</v>
      </c>
      <c r="P58" s="90">
        <v>8</v>
      </c>
      <c r="Q58" s="90">
        <v>10.210000000000001</v>
      </c>
      <c r="R58" s="90">
        <v>7.7030000000000003</v>
      </c>
      <c r="S58" s="90">
        <v>9.0370000000000008</v>
      </c>
      <c r="T58" s="90">
        <v>6.0570000000000004</v>
      </c>
      <c r="U58" s="90">
        <v>6.2649999999999997</v>
      </c>
      <c r="V58" s="91">
        <v>6.3579999999999997</v>
      </c>
      <c r="W58" s="91">
        <f t="shared" si="0"/>
        <v>7.4867412803504729</v>
      </c>
    </row>
    <row r="59" spans="1:23" x14ac:dyDescent="0.35">
      <c r="A59" s="81" t="s">
        <v>227</v>
      </c>
      <c r="B59" s="81" t="s">
        <v>620</v>
      </c>
      <c r="C59" s="89">
        <v>0.92513707934396283</v>
      </c>
      <c r="D59" s="90">
        <v>1.065704979127502</v>
      </c>
      <c r="E59" s="91">
        <v>1.0351636365421246</v>
      </c>
      <c r="G59" s="103" t="s">
        <v>415</v>
      </c>
      <c r="H59" s="101">
        <v>97.443307672167862</v>
      </c>
      <c r="I59" s="93">
        <v>5</v>
      </c>
      <c r="J59" s="94">
        <v>3</v>
      </c>
      <c r="K59" s="81"/>
      <c r="L59" s="89">
        <v>-1.3973545576374944</v>
      </c>
      <c r="M59" s="90">
        <v>-0.90201849743960727</v>
      </c>
      <c r="N59" s="90">
        <v>-0.36494028121428063</v>
      </c>
      <c r="O59" s="90">
        <v>0.54400000000000004</v>
      </c>
      <c r="P59" s="90">
        <v>2.8109999999999999</v>
      </c>
      <c r="Q59" s="90">
        <v>3.1920000000000002</v>
      </c>
      <c r="R59" s="90">
        <v>1.1399999999999999</v>
      </c>
      <c r="S59" s="90">
        <v>1.224</v>
      </c>
      <c r="T59" s="90">
        <v>-2.355</v>
      </c>
      <c r="U59" s="90">
        <v>3.0459999999999998</v>
      </c>
      <c r="V59" s="91">
        <v>2.0840000000000001</v>
      </c>
      <c r="W59" s="91">
        <f t="shared" si="0"/>
        <v>1.0504343078348133</v>
      </c>
    </row>
    <row r="60" spans="1:23" x14ac:dyDescent="0.35">
      <c r="A60" s="81" t="s">
        <v>227</v>
      </c>
      <c r="B60" s="81" t="s">
        <v>621</v>
      </c>
      <c r="C60" s="89">
        <v>0.35484098705607092</v>
      </c>
      <c r="D60" s="90">
        <v>0.85541697677951056</v>
      </c>
      <c r="E60" s="91">
        <v>1.0299722548507528</v>
      </c>
      <c r="G60" s="103" t="s">
        <v>415</v>
      </c>
      <c r="H60" s="101">
        <v>94.937245038342397</v>
      </c>
      <c r="I60" s="93">
        <v>20</v>
      </c>
      <c r="J60" s="94">
        <v>13</v>
      </c>
      <c r="K60" s="81"/>
      <c r="L60" s="89">
        <v>0.31313474167845923</v>
      </c>
      <c r="M60" s="90">
        <v>0.5763266794418439</v>
      </c>
      <c r="N60" s="90">
        <v>0.95618304768384532</v>
      </c>
      <c r="O60" s="90">
        <v>1.0549999999999999</v>
      </c>
      <c r="P60" s="90">
        <v>0.98199999999999998</v>
      </c>
      <c r="Q60" s="90">
        <v>2.4489999999999998</v>
      </c>
      <c r="R60" s="90">
        <v>1.8240000000000001</v>
      </c>
      <c r="S60" s="90">
        <v>1.8839999999999999</v>
      </c>
      <c r="T60" s="90">
        <v>-7.907</v>
      </c>
      <c r="U60" s="90">
        <v>6.77</v>
      </c>
      <c r="V60" s="91">
        <v>2.6059999999999999</v>
      </c>
      <c r="W60" s="91">
        <f t="shared" si="0"/>
        <v>0.9426946158151317</v>
      </c>
    </row>
    <row r="61" spans="1:23" x14ac:dyDescent="0.35">
      <c r="A61" s="81" t="s">
        <v>569</v>
      </c>
      <c r="B61" s="81" t="s">
        <v>622</v>
      </c>
      <c r="C61" s="89">
        <v>0.80490169914342324</v>
      </c>
      <c r="D61" s="90">
        <v>1.4271603442411074</v>
      </c>
      <c r="E61" s="91">
        <v>2.3419356903168431</v>
      </c>
      <c r="G61" s="103" t="s">
        <v>567</v>
      </c>
      <c r="H61" s="101">
        <v>37.219050826761183</v>
      </c>
      <c r="I61" s="93">
        <v>153</v>
      </c>
      <c r="J61" s="94">
        <v>46</v>
      </c>
      <c r="K61" s="81"/>
      <c r="L61" s="89">
        <v>5.251076917504065</v>
      </c>
      <c r="M61" s="90">
        <v>5.6386990033869457</v>
      </c>
      <c r="N61" s="90">
        <v>4.3149644410747063</v>
      </c>
      <c r="O61" s="90">
        <v>3.879</v>
      </c>
      <c r="P61" s="90">
        <v>2.0910000000000002</v>
      </c>
      <c r="Q61" s="90">
        <v>0.47299999999999998</v>
      </c>
      <c r="R61" s="90">
        <v>0.84299999999999997</v>
      </c>
      <c r="S61" s="90">
        <v>3.915</v>
      </c>
      <c r="T61" s="90">
        <v>-1.8640000000000001</v>
      </c>
      <c r="U61" s="90">
        <v>1.484</v>
      </c>
      <c r="V61" s="91">
        <v>2.8479999999999999</v>
      </c>
      <c r="W61" s="91">
        <f t="shared" si="0"/>
        <v>1.8845480172789753</v>
      </c>
    </row>
    <row r="62" spans="1:23" x14ac:dyDescent="0.35">
      <c r="A62" s="81" t="s">
        <v>569</v>
      </c>
      <c r="B62" s="81" t="s">
        <v>623</v>
      </c>
      <c r="C62" s="89">
        <v>3.0839257560593802</v>
      </c>
      <c r="D62" s="90">
        <v>4.5260960958580343</v>
      </c>
      <c r="E62" s="91">
        <v>3.4750911540431417</v>
      </c>
      <c r="G62" s="103" t="s">
        <v>422</v>
      </c>
      <c r="H62" s="101">
        <v>65.416670727464805</v>
      </c>
      <c r="I62" s="93">
        <v>114</v>
      </c>
      <c r="J62" s="94">
        <v>26</v>
      </c>
      <c r="K62" s="81"/>
      <c r="L62" s="89">
        <v>5.2415692463074244</v>
      </c>
      <c r="M62" s="90">
        <v>2.8727687903269969</v>
      </c>
      <c r="N62" s="90">
        <v>-1.4073824951095362</v>
      </c>
      <c r="O62" s="90">
        <v>4.0579999999999998</v>
      </c>
      <c r="P62" s="90">
        <v>1.9430000000000001</v>
      </c>
      <c r="Q62" s="90">
        <v>4.8230000000000004</v>
      </c>
      <c r="R62" s="90">
        <v>7.2350000000000003</v>
      </c>
      <c r="S62" s="90">
        <v>6.2220000000000004</v>
      </c>
      <c r="T62" s="90">
        <v>0.59099999999999997</v>
      </c>
      <c r="U62" s="90">
        <v>4.2649999999999997</v>
      </c>
      <c r="V62" s="91">
        <v>4.4409999999999998</v>
      </c>
      <c r="W62" s="91">
        <f t="shared" si="0"/>
        <v>4.0005936249505876</v>
      </c>
    </row>
    <row r="63" spans="1:23" x14ac:dyDescent="0.35">
      <c r="A63" s="81" t="s">
        <v>227</v>
      </c>
      <c r="B63" s="81" t="s">
        <v>624</v>
      </c>
      <c r="C63" s="89">
        <v>4.283743954922925</v>
      </c>
      <c r="D63" s="90">
        <v>4.5348375618438741</v>
      </c>
      <c r="E63" s="91">
        <v>4.1477466898679483</v>
      </c>
      <c r="G63" s="103" t="s">
        <v>571</v>
      </c>
      <c r="H63" s="101">
        <v>80.727500391697276</v>
      </c>
      <c r="I63" s="93">
        <v>46</v>
      </c>
      <c r="J63" s="94">
        <v>31</v>
      </c>
      <c r="K63" s="81"/>
      <c r="L63" s="89">
        <v>6.3690083063386043</v>
      </c>
      <c r="M63" s="90">
        <v>3.6213053519627643</v>
      </c>
      <c r="N63" s="90">
        <v>4.4319248230907649</v>
      </c>
      <c r="O63" s="90">
        <v>3.0270000000000001</v>
      </c>
      <c r="P63" s="90">
        <v>2.9060000000000001</v>
      </c>
      <c r="Q63" s="90">
        <v>4.843</v>
      </c>
      <c r="R63" s="90">
        <v>4.843</v>
      </c>
      <c r="S63" s="90">
        <v>4.9820000000000002</v>
      </c>
      <c r="T63" s="90">
        <v>-6.76</v>
      </c>
      <c r="U63" s="90">
        <v>10.465999999999999</v>
      </c>
      <c r="V63" s="91">
        <v>10.109</v>
      </c>
      <c r="W63" s="91">
        <f t="shared" si="0"/>
        <v>4.3412921258559116</v>
      </c>
    </row>
    <row r="64" spans="1:23" x14ac:dyDescent="0.35">
      <c r="A64" s="81" t="s">
        <v>227</v>
      </c>
      <c r="B64" s="81" t="s">
        <v>625</v>
      </c>
      <c r="C64" s="89">
        <v>0.19639292345923209</v>
      </c>
      <c r="D64" s="90">
        <v>0.54722001304448042</v>
      </c>
      <c r="E64" s="91">
        <v>1.1791658469401556</v>
      </c>
      <c r="G64" s="103" t="s">
        <v>415</v>
      </c>
      <c r="H64" s="101">
        <v>96.79194200114037</v>
      </c>
      <c r="I64" s="93">
        <v>8</v>
      </c>
      <c r="J64" s="94">
        <v>6</v>
      </c>
      <c r="K64" s="81"/>
      <c r="L64" s="89">
        <v>0.41955108005357267</v>
      </c>
      <c r="M64" s="90">
        <v>0.42824326167218907</v>
      </c>
      <c r="N64" s="90">
        <v>2.2256887491492803</v>
      </c>
      <c r="O64" s="90">
        <v>1.4870000000000001</v>
      </c>
      <c r="P64" s="90">
        <v>2.23</v>
      </c>
      <c r="Q64" s="90">
        <v>2.68</v>
      </c>
      <c r="R64" s="90">
        <v>0.98399999999999999</v>
      </c>
      <c r="S64" s="90">
        <v>1.054</v>
      </c>
      <c r="T64" s="90">
        <v>-3.6920000000000002</v>
      </c>
      <c r="U64" s="90">
        <v>2.625</v>
      </c>
      <c r="V64" s="91">
        <v>1.778</v>
      </c>
      <c r="W64" s="91">
        <f t="shared" si="0"/>
        <v>0.863192929992318</v>
      </c>
    </row>
    <row r="65" spans="1:23" x14ac:dyDescent="0.35">
      <c r="A65" s="81" t="s">
        <v>569</v>
      </c>
      <c r="B65" s="81" t="s">
        <v>626</v>
      </c>
      <c r="C65" s="89">
        <v>3.0107142168638523</v>
      </c>
      <c r="D65" s="90">
        <v>4.8285507296226937</v>
      </c>
      <c r="E65" s="91">
        <v>4.7980640567336197</v>
      </c>
      <c r="G65" s="103" t="s">
        <v>398</v>
      </c>
      <c r="H65" s="101">
        <v>69.704517199471169</v>
      </c>
      <c r="I65" s="93">
        <v>89</v>
      </c>
      <c r="J65" s="94">
        <v>13</v>
      </c>
      <c r="K65" s="81"/>
      <c r="L65" s="89">
        <v>9.2927894045967889</v>
      </c>
      <c r="M65" s="90">
        <v>7.3125250073312458</v>
      </c>
      <c r="N65" s="90">
        <v>2.8974388369154251</v>
      </c>
      <c r="O65" s="90">
        <v>2.121</v>
      </c>
      <c r="P65" s="90">
        <v>3.3730000000000002</v>
      </c>
      <c r="Q65" s="90">
        <v>8.1289999999999996</v>
      </c>
      <c r="R65" s="90">
        <v>6.2</v>
      </c>
      <c r="S65" s="90">
        <v>6.508</v>
      </c>
      <c r="T65" s="90">
        <v>0.51400000000000001</v>
      </c>
      <c r="U65" s="90">
        <v>5.3559999999999999</v>
      </c>
      <c r="V65" s="91">
        <v>3.2189999999999999</v>
      </c>
      <c r="W65" s="91">
        <f t="shared" si="0"/>
        <v>4.8133073931781567</v>
      </c>
    </row>
    <row r="66" spans="1:23" x14ac:dyDescent="0.35">
      <c r="A66" s="81" t="s">
        <v>227</v>
      </c>
      <c r="B66" s="81" t="s">
        <v>627</v>
      </c>
      <c r="C66" s="89">
        <v>1.4800990034344652</v>
      </c>
      <c r="D66" s="90">
        <v>1.2580147511245698</v>
      </c>
      <c r="E66" s="91">
        <v>0.45671215262543807</v>
      </c>
      <c r="G66" s="103" t="s">
        <v>415</v>
      </c>
      <c r="H66" s="101">
        <v>87.308557455608167</v>
      </c>
      <c r="I66" s="93">
        <v>31</v>
      </c>
      <c r="J66" s="94">
        <v>20</v>
      </c>
      <c r="K66" s="81"/>
      <c r="L66" s="89">
        <v>-7.3004939606978656</v>
      </c>
      <c r="M66" s="90">
        <v>-3.2414250560129267</v>
      </c>
      <c r="N66" s="90">
        <v>0.73977713855774985</v>
      </c>
      <c r="O66" s="90">
        <v>-0.19600000000000001</v>
      </c>
      <c r="P66" s="90">
        <v>-0.48699999999999999</v>
      </c>
      <c r="Q66" s="90">
        <v>1.0920000000000001</v>
      </c>
      <c r="R66" s="90">
        <v>1.6679999999999999</v>
      </c>
      <c r="S66" s="90">
        <v>1.8839999999999999</v>
      </c>
      <c r="T66" s="90">
        <v>-9.0039999999999996</v>
      </c>
      <c r="U66" s="90">
        <v>8.4339999999999993</v>
      </c>
      <c r="V66" s="91">
        <v>5.9139999999999997</v>
      </c>
      <c r="W66" s="91">
        <f t="shared" si="0"/>
        <v>0.85736345187500396</v>
      </c>
    </row>
    <row r="67" spans="1:23" x14ac:dyDescent="0.35">
      <c r="A67" s="81" t="s">
        <v>573</v>
      </c>
      <c r="B67" s="81" t="s">
        <v>628</v>
      </c>
      <c r="C67" s="89">
        <v>3.3306625930319189</v>
      </c>
      <c r="D67" s="90">
        <v>3.4919746764532578</v>
      </c>
      <c r="E67" s="91">
        <v>3.5384372691175781</v>
      </c>
      <c r="G67" s="103" t="s">
        <v>398</v>
      </c>
      <c r="H67" s="101">
        <v>71.336652243067974</v>
      </c>
      <c r="I67" s="93">
        <v>82</v>
      </c>
      <c r="J67" s="94">
        <v>10</v>
      </c>
      <c r="K67" s="81"/>
      <c r="L67" s="89">
        <v>2.9698574079878068</v>
      </c>
      <c r="M67" s="90">
        <v>3.6975861001947585</v>
      </c>
      <c r="N67" s="90">
        <v>4.4439780738522474</v>
      </c>
      <c r="O67" s="90">
        <v>4.0919999999999996</v>
      </c>
      <c r="P67" s="90">
        <v>2.6779999999999999</v>
      </c>
      <c r="Q67" s="90">
        <v>3.08</v>
      </c>
      <c r="R67" s="90">
        <v>3.407</v>
      </c>
      <c r="S67" s="90">
        <v>4.0019999999999998</v>
      </c>
      <c r="T67" s="90">
        <v>-1.764</v>
      </c>
      <c r="U67" s="90">
        <v>7.9809999999999999</v>
      </c>
      <c r="V67" s="91">
        <v>4.0090000000000003</v>
      </c>
      <c r="W67" s="91">
        <f t="shared" si="0"/>
        <v>3.5152059727854179</v>
      </c>
    </row>
    <row r="68" spans="1:23" x14ac:dyDescent="0.35">
      <c r="A68" s="81" t="s">
        <v>569</v>
      </c>
      <c r="B68" s="81" t="s">
        <v>629</v>
      </c>
      <c r="C68" s="89">
        <v>4.3705772513408236</v>
      </c>
      <c r="D68" s="90">
        <v>4.9898667622307658</v>
      </c>
      <c r="E68" s="91">
        <v>5.729233966321412</v>
      </c>
      <c r="G68" s="103" t="s">
        <v>567</v>
      </c>
      <c r="H68" s="101">
        <v>50.297438492745087</v>
      </c>
      <c r="I68" s="93">
        <v>138</v>
      </c>
      <c r="J68" s="94">
        <v>36</v>
      </c>
      <c r="K68" s="81"/>
      <c r="L68" s="89">
        <v>5.9152881384417997</v>
      </c>
      <c r="M68" s="90">
        <v>3.9456854305126305</v>
      </c>
      <c r="N68" s="90">
        <v>3.6965411823164165</v>
      </c>
      <c r="O68" s="90">
        <v>3.8260000000000001</v>
      </c>
      <c r="P68" s="90">
        <v>10.821</v>
      </c>
      <c r="Q68" s="90">
        <v>10.3</v>
      </c>
      <c r="R68" s="90">
        <v>6.3579999999999997</v>
      </c>
      <c r="S68" s="90">
        <v>5.617</v>
      </c>
      <c r="T68" s="90">
        <v>4.92</v>
      </c>
      <c r="U68" s="90">
        <v>4.2919999999999998</v>
      </c>
      <c r="V68" s="91">
        <v>4.2939999999999996</v>
      </c>
      <c r="W68" s="91">
        <f t="shared" si="0"/>
        <v>5.3595503642760889</v>
      </c>
    </row>
    <row r="69" spans="1:23" x14ac:dyDescent="0.35">
      <c r="A69" s="81" t="s">
        <v>569</v>
      </c>
      <c r="B69" s="81" t="s">
        <v>630</v>
      </c>
      <c r="C69" s="89">
        <v>1.5927018196488341</v>
      </c>
      <c r="D69" s="90">
        <v>2.1053991541019057</v>
      </c>
      <c r="E69" s="91">
        <v>3.2889383993762955</v>
      </c>
      <c r="G69" s="103" t="s">
        <v>567</v>
      </c>
      <c r="H69" s="101">
        <v>54.70982708603303</v>
      </c>
      <c r="I69" s="93">
        <v>134</v>
      </c>
      <c r="J69" s="94">
        <v>34</v>
      </c>
      <c r="K69" s="81"/>
      <c r="L69" s="89">
        <v>-1.7126830118107121</v>
      </c>
      <c r="M69" s="90">
        <v>3.255904265176933</v>
      </c>
      <c r="N69" s="90">
        <v>0.96456075098132787</v>
      </c>
      <c r="O69" s="90">
        <v>6.1340000000000003</v>
      </c>
      <c r="P69" s="90">
        <v>5.3070000000000004</v>
      </c>
      <c r="Q69" s="90">
        <v>4.7889999999999997</v>
      </c>
      <c r="R69" s="90">
        <v>3.7610000000000001</v>
      </c>
      <c r="S69" s="90">
        <v>4.5</v>
      </c>
      <c r="T69" s="90">
        <v>1.5</v>
      </c>
      <c r="U69" s="90">
        <v>6.4</v>
      </c>
      <c r="V69" s="91">
        <v>3.5</v>
      </c>
      <c r="W69" s="91">
        <f t="shared" si="0"/>
        <v>2.6971687767391006</v>
      </c>
    </row>
    <row r="70" spans="1:23" x14ac:dyDescent="0.35">
      <c r="A70" s="81" t="s">
        <v>573</v>
      </c>
      <c r="B70" s="81" t="s">
        <v>631</v>
      </c>
      <c r="C70" s="89">
        <v>40.872083180158647</v>
      </c>
      <c r="D70" s="90">
        <v>25.198248131969379</v>
      </c>
      <c r="E70" s="91">
        <v>13.395686805616647</v>
      </c>
      <c r="G70" s="103" t="s">
        <v>567</v>
      </c>
      <c r="H70" s="101">
        <v>56.740934863022261</v>
      </c>
      <c r="I70" s="93">
        <v>129</v>
      </c>
      <c r="J70" s="94">
        <v>21</v>
      </c>
      <c r="K70" s="81"/>
      <c r="L70" s="89">
        <v>5.3836234687298372</v>
      </c>
      <c r="M70" s="90">
        <v>3.6535047680067998</v>
      </c>
      <c r="N70" s="90">
        <v>1.6860277321410588</v>
      </c>
      <c r="O70" s="90">
        <v>0.68700000000000006</v>
      </c>
      <c r="P70" s="90">
        <v>3.8069999999999999</v>
      </c>
      <c r="Q70" s="90">
        <v>3.734</v>
      </c>
      <c r="R70" s="90">
        <v>4.4409999999999998</v>
      </c>
      <c r="S70" s="90">
        <v>5.3529999999999998</v>
      </c>
      <c r="T70" s="90">
        <v>43.48</v>
      </c>
      <c r="U70" s="90">
        <v>20.059999999999999</v>
      </c>
      <c r="V70" s="91">
        <v>62.287999999999997</v>
      </c>
      <c r="W70" s="91">
        <f t="shared" si="0"/>
        <v>19.296967468793014</v>
      </c>
    </row>
    <row r="71" spans="1:23" x14ac:dyDescent="0.35">
      <c r="A71" s="81" t="s">
        <v>573</v>
      </c>
      <c r="B71" s="81" t="s">
        <v>632</v>
      </c>
      <c r="C71" s="89">
        <v>-0.34574931867293879</v>
      </c>
      <c r="D71" s="90">
        <v>0.64565822904871784</v>
      </c>
      <c r="E71" s="91">
        <v>2.5156599586003026</v>
      </c>
      <c r="G71" s="103" t="s">
        <v>567</v>
      </c>
      <c r="H71" s="101">
        <v>54.401198784391461</v>
      </c>
      <c r="I71" s="93">
        <v>135</v>
      </c>
      <c r="J71" s="94">
        <v>22</v>
      </c>
      <c r="K71" s="81"/>
      <c r="L71" s="89">
        <v>-7.4695954800602468E-2</v>
      </c>
      <c r="M71" s="90">
        <v>9.2111856449685803</v>
      </c>
      <c r="N71" s="90">
        <v>1.9148137793287729</v>
      </c>
      <c r="O71" s="90">
        <v>2.5630000000000002</v>
      </c>
      <c r="P71" s="90">
        <v>1.8120000000000001</v>
      </c>
      <c r="Q71" s="90">
        <v>2.5099999999999998</v>
      </c>
      <c r="R71" s="90">
        <v>1.6679999999999999</v>
      </c>
      <c r="S71" s="90">
        <v>-1.6850000000000001</v>
      </c>
      <c r="T71" s="90">
        <v>-3.343</v>
      </c>
      <c r="U71" s="90">
        <v>-1.798</v>
      </c>
      <c r="V71" s="91">
        <v>-1.6819999999999999</v>
      </c>
      <c r="W71" s="91">
        <f t="shared" si="0"/>
        <v>1.5806590938245102</v>
      </c>
    </row>
    <row r="72" spans="1:23" x14ac:dyDescent="0.35">
      <c r="A72" s="81" t="s">
        <v>573</v>
      </c>
      <c r="B72" s="81" t="s">
        <v>633</v>
      </c>
      <c r="C72" s="89">
        <v>2.1352529558121391</v>
      </c>
      <c r="D72" s="90">
        <v>2.5786313755856494</v>
      </c>
      <c r="E72" s="91">
        <v>3.1291474397337593</v>
      </c>
      <c r="G72" s="103" t="s">
        <v>567</v>
      </c>
      <c r="H72" s="101">
        <v>39.565152370912173</v>
      </c>
      <c r="I72" s="93">
        <v>152</v>
      </c>
      <c r="J72" s="94">
        <v>24</v>
      </c>
      <c r="K72" s="81"/>
      <c r="L72" s="89">
        <v>4.1286877486693667</v>
      </c>
      <c r="M72" s="90">
        <v>2.7915597574680358</v>
      </c>
      <c r="N72" s="90">
        <v>3.0580805621437066</v>
      </c>
      <c r="O72" s="90">
        <v>3.84</v>
      </c>
      <c r="P72" s="90">
        <v>3.8929999999999998</v>
      </c>
      <c r="Q72" s="90">
        <v>4.843</v>
      </c>
      <c r="R72" s="90">
        <v>3.8450000000000002</v>
      </c>
      <c r="S72" s="90">
        <v>2.653</v>
      </c>
      <c r="T72" s="90">
        <v>-8.9649999999999999</v>
      </c>
      <c r="U72" s="90">
        <v>12.534000000000001</v>
      </c>
      <c r="V72" s="91">
        <v>4</v>
      </c>
      <c r="W72" s="91">
        <f t="shared" si="0"/>
        <v>2.8538894076597043</v>
      </c>
    </row>
    <row r="73" spans="1:23" x14ac:dyDescent="0.35">
      <c r="A73" s="81" t="s">
        <v>565</v>
      </c>
      <c r="B73" s="81" t="s">
        <v>634</v>
      </c>
      <c r="C73" s="89">
        <v>-1.3866109004180949</v>
      </c>
      <c r="D73" s="90">
        <v>-0.61127068207094126</v>
      </c>
      <c r="E73" s="91">
        <v>1.1000622223137801</v>
      </c>
      <c r="G73" s="103" t="s">
        <v>415</v>
      </c>
      <c r="H73" s="101">
        <v>95.561927385722356</v>
      </c>
      <c r="I73" s="93">
        <v>18</v>
      </c>
      <c r="J73" s="94">
        <v>5</v>
      </c>
      <c r="K73" s="81"/>
      <c r="L73" s="89">
        <v>1.7002747714417163</v>
      </c>
      <c r="M73" s="90">
        <v>3.1015497799994041</v>
      </c>
      <c r="N73" s="90">
        <v>2.7623919976975242</v>
      </c>
      <c r="O73" s="90">
        <v>2.3879999999999999</v>
      </c>
      <c r="P73" s="90">
        <v>2.1749999999999998</v>
      </c>
      <c r="Q73" s="90">
        <v>3.7959999999999998</v>
      </c>
      <c r="R73" s="90">
        <v>2.847</v>
      </c>
      <c r="S73" s="90">
        <v>-1.6719999999999999</v>
      </c>
      <c r="T73" s="90">
        <v>-6.5449999999999999</v>
      </c>
      <c r="U73" s="90">
        <v>6.4480000000000004</v>
      </c>
      <c r="V73" s="91">
        <v>-3.5070000000000001</v>
      </c>
      <c r="W73" s="91">
        <f t="shared" si="0"/>
        <v>0.24439577012141944</v>
      </c>
    </row>
    <row r="74" spans="1:23" x14ac:dyDescent="0.35">
      <c r="A74" s="81" t="s">
        <v>227</v>
      </c>
      <c r="B74" s="81" t="s">
        <v>635</v>
      </c>
      <c r="C74" s="89">
        <v>2.362570497371097</v>
      </c>
      <c r="D74" s="90">
        <v>3.4329643388785636</v>
      </c>
      <c r="E74" s="91">
        <v>3.366609258538622</v>
      </c>
      <c r="G74" s="103" t="s">
        <v>398</v>
      </c>
      <c r="H74" s="101">
        <v>75.842312832768172</v>
      </c>
      <c r="I74" s="93">
        <v>67</v>
      </c>
      <c r="J74" s="94">
        <v>37</v>
      </c>
      <c r="K74" s="81"/>
      <c r="L74" s="89">
        <v>-1.4717888510830746</v>
      </c>
      <c r="M74" s="90">
        <v>1.9629840486290608</v>
      </c>
      <c r="N74" s="90">
        <v>4.1950824094780925</v>
      </c>
      <c r="O74" s="90">
        <v>3.7069999999999999</v>
      </c>
      <c r="P74" s="90">
        <v>2.2010000000000001</v>
      </c>
      <c r="Q74" s="90">
        <v>4.2720000000000002</v>
      </c>
      <c r="R74" s="90">
        <v>5.3620000000000001</v>
      </c>
      <c r="S74" s="90">
        <v>4.8579999999999997</v>
      </c>
      <c r="T74" s="90">
        <v>-4.5469999999999997</v>
      </c>
      <c r="U74" s="90">
        <v>7.117</v>
      </c>
      <c r="V74" s="91">
        <v>4.9000000000000004</v>
      </c>
      <c r="W74" s="91">
        <f t="shared" si="0"/>
        <v>3.3997867987085928</v>
      </c>
    </row>
    <row r="75" spans="1:23" x14ac:dyDescent="0.35">
      <c r="A75" s="81" t="s">
        <v>227</v>
      </c>
      <c r="B75" s="81" t="s">
        <v>636</v>
      </c>
      <c r="C75" s="89">
        <v>1.1623871589995449</v>
      </c>
      <c r="D75" s="90">
        <v>2.1481166990517275</v>
      </c>
      <c r="E75" s="91">
        <v>3.1810733517810608</v>
      </c>
      <c r="G75" s="103" t="s">
        <v>415</v>
      </c>
      <c r="H75" s="101">
        <v>95.11269526919466</v>
      </c>
      <c r="I75" s="93">
        <v>19</v>
      </c>
      <c r="J75" s="94">
        <v>12</v>
      </c>
      <c r="K75" s="81"/>
      <c r="L75" s="89">
        <v>1.0636366074376145</v>
      </c>
      <c r="M75" s="90">
        <v>4.5524603201510816</v>
      </c>
      <c r="N75" s="90">
        <v>1.687215017506406</v>
      </c>
      <c r="O75" s="90">
        <v>4.4370000000000003</v>
      </c>
      <c r="P75" s="90">
        <v>6.3040000000000003</v>
      </c>
      <c r="Q75" s="90">
        <v>4.1950000000000003</v>
      </c>
      <c r="R75" s="90">
        <v>4.8890000000000002</v>
      </c>
      <c r="S75" s="90">
        <v>1.8049999999999999</v>
      </c>
      <c r="T75" s="90">
        <v>-7.242</v>
      </c>
      <c r="U75" s="90">
        <v>4.3330000000000002</v>
      </c>
      <c r="V75" s="91">
        <v>6.4450000000000003</v>
      </c>
      <c r="W75" s="91">
        <f t="shared" ref="W75:W138" si="1">AVERAGE(D75,E75)</f>
        <v>2.6645950254163941</v>
      </c>
    </row>
    <row r="76" spans="1:23" x14ac:dyDescent="0.35">
      <c r="A76" s="81" t="s">
        <v>565</v>
      </c>
      <c r="B76" s="81" t="s">
        <v>637</v>
      </c>
      <c r="C76" s="89">
        <v>2.7398620097403459</v>
      </c>
      <c r="D76" s="90">
        <v>3.6623835250989556</v>
      </c>
      <c r="E76" s="91">
        <v>5.5227254922200597</v>
      </c>
      <c r="G76" s="103" t="s">
        <v>422</v>
      </c>
      <c r="H76" s="101">
        <v>66.198052259063019</v>
      </c>
      <c r="I76" s="93">
        <v>109</v>
      </c>
      <c r="J76" s="94">
        <v>21</v>
      </c>
      <c r="K76" s="81"/>
      <c r="L76" s="89">
        <v>5.4563589507228496</v>
      </c>
      <c r="M76" s="90">
        <v>6.3861064009482602</v>
      </c>
      <c r="N76" s="90">
        <v>7.410227605088517</v>
      </c>
      <c r="O76" s="90">
        <v>7.9960000000000004</v>
      </c>
      <c r="P76" s="90">
        <v>8.2560000000000002</v>
      </c>
      <c r="Q76" s="90">
        <v>6.7949999999999999</v>
      </c>
      <c r="R76" s="90">
        <v>6.4539999999999997</v>
      </c>
      <c r="S76" s="90">
        <v>3.871</v>
      </c>
      <c r="T76" s="90">
        <v>-5.8310000000000004</v>
      </c>
      <c r="U76" s="90">
        <v>9.0500000000000007</v>
      </c>
      <c r="V76" s="91">
        <v>6.8310000000000004</v>
      </c>
      <c r="W76" s="91">
        <f t="shared" si="1"/>
        <v>4.5925545086595072</v>
      </c>
    </row>
    <row r="77" spans="1:23" x14ac:dyDescent="0.35">
      <c r="A77" s="81" t="s">
        <v>565</v>
      </c>
      <c r="B77" s="81" t="s">
        <v>638</v>
      </c>
      <c r="C77" s="89">
        <v>2.2622053552423305</v>
      </c>
      <c r="D77" s="90">
        <v>3.3867361875690394</v>
      </c>
      <c r="E77" s="91">
        <v>4.2439953782461792</v>
      </c>
      <c r="G77" s="103" t="s">
        <v>398</v>
      </c>
      <c r="H77" s="101">
        <v>71.158529876167961</v>
      </c>
      <c r="I77" s="93">
        <v>83</v>
      </c>
      <c r="J77" s="94">
        <v>14</v>
      </c>
      <c r="K77" s="81"/>
      <c r="L77" s="89">
        <v>6.0300506530561035</v>
      </c>
      <c r="M77" s="90">
        <v>5.5572636889101181</v>
      </c>
      <c r="N77" s="90">
        <v>5.0066684257549943</v>
      </c>
      <c r="O77" s="90">
        <v>4.8760000000000003</v>
      </c>
      <c r="P77" s="90">
        <v>5.0330000000000004</v>
      </c>
      <c r="Q77" s="90">
        <v>5.07</v>
      </c>
      <c r="R77" s="90">
        <v>5.1740000000000004</v>
      </c>
      <c r="S77" s="90">
        <v>5.0190000000000001</v>
      </c>
      <c r="T77" s="90">
        <v>-2.0659999999999998</v>
      </c>
      <c r="U77" s="90">
        <v>3.7029999999999998</v>
      </c>
      <c r="V77" s="91">
        <v>5.3090000000000002</v>
      </c>
      <c r="W77" s="91">
        <f t="shared" si="1"/>
        <v>3.8153657829076093</v>
      </c>
    </row>
    <row r="78" spans="1:23" x14ac:dyDescent="0.35">
      <c r="A78" s="81" t="s">
        <v>227</v>
      </c>
      <c r="B78" s="81" t="s">
        <v>639</v>
      </c>
      <c r="C78" s="89">
        <v>10.534737934438866</v>
      </c>
      <c r="D78" s="90">
        <v>8.9900271540683807</v>
      </c>
      <c r="E78" s="91">
        <v>9.0332345891797274</v>
      </c>
      <c r="G78" s="103" t="s">
        <v>415</v>
      </c>
      <c r="H78" s="101">
        <v>96.106887509545572</v>
      </c>
      <c r="I78" s="93">
        <v>12</v>
      </c>
      <c r="J78" s="94">
        <v>9</v>
      </c>
      <c r="K78" s="81"/>
      <c r="L78" s="89">
        <v>0.22571484300232808</v>
      </c>
      <c r="M78" s="90">
        <v>1.3516340039407124</v>
      </c>
      <c r="N78" s="90">
        <v>8.5566879851340367</v>
      </c>
      <c r="O78" s="90">
        <v>24.370999999999999</v>
      </c>
      <c r="P78" s="90">
        <v>2.0070000000000001</v>
      </c>
      <c r="Q78" s="90">
        <v>9.0050000000000008</v>
      </c>
      <c r="R78" s="90">
        <v>8.5280000000000005</v>
      </c>
      <c r="S78" s="90">
        <v>5.4409999999999998</v>
      </c>
      <c r="T78" s="90">
        <v>6.1840000000000002</v>
      </c>
      <c r="U78" s="90">
        <v>13.587999999999999</v>
      </c>
      <c r="V78" s="91">
        <v>11.97</v>
      </c>
      <c r="W78" s="91">
        <f t="shared" si="1"/>
        <v>9.0116308716240532</v>
      </c>
    </row>
    <row r="79" spans="1:23" x14ac:dyDescent="0.35">
      <c r="A79" s="81" t="s">
        <v>580</v>
      </c>
      <c r="B79" s="81" t="s">
        <v>640</v>
      </c>
      <c r="C79" s="89">
        <v>4.2964072248328211</v>
      </c>
      <c r="D79" s="90">
        <v>4.3056817639917977</v>
      </c>
      <c r="E79" s="91">
        <v>3.9225915638386066</v>
      </c>
      <c r="G79" s="103" t="s">
        <v>415</v>
      </c>
      <c r="H79" s="101">
        <v>91.08708937267636</v>
      </c>
      <c r="I79" s="93">
        <v>24</v>
      </c>
      <c r="J79" s="94">
        <v>2</v>
      </c>
      <c r="K79" s="81"/>
      <c r="L79" s="89">
        <v>2.2572375479441442</v>
      </c>
      <c r="M79" s="90">
        <v>4.1480545517150818</v>
      </c>
      <c r="N79" s="90">
        <v>3.7582001903069706</v>
      </c>
      <c r="O79" s="90">
        <v>2.4860000000000002</v>
      </c>
      <c r="P79" s="90">
        <v>4.5220000000000002</v>
      </c>
      <c r="Q79" s="90">
        <v>4.2759999999999998</v>
      </c>
      <c r="R79" s="90">
        <v>4.07</v>
      </c>
      <c r="S79" s="90">
        <v>4.1559999999999997</v>
      </c>
      <c r="T79" s="90">
        <v>-1.857</v>
      </c>
      <c r="U79" s="90">
        <v>8.6120000000000001</v>
      </c>
      <c r="V79" s="91">
        <v>6.4320000000000004</v>
      </c>
      <c r="W79" s="91">
        <f t="shared" si="1"/>
        <v>4.1141366639152022</v>
      </c>
    </row>
    <row r="80" spans="1:23" x14ac:dyDescent="0.35">
      <c r="A80" s="81" t="s">
        <v>227</v>
      </c>
      <c r="B80" s="81" t="s">
        <v>641</v>
      </c>
      <c r="C80" s="89">
        <v>0.2182802501019987</v>
      </c>
      <c r="D80" s="90">
        <v>0.31439174572445161</v>
      </c>
      <c r="E80" s="91">
        <v>0.34271436280863821</v>
      </c>
      <c r="G80" s="103" t="s">
        <v>415</v>
      </c>
      <c r="H80" s="101">
        <v>88.947746010825512</v>
      </c>
      <c r="I80" s="93">
        <v>29</v>
      </c>
      <c r="J80" s="94">
        <v>18</v>
      </c>
      <c r="K80" s="81"/>
      <c r="L80" s="89">
        <v>-2.9809057682377182</v>
      </c>
      <c r="M80" s="90">
        <v>-1.8410654508824811</v>
      </c>
      <c r="N80" s="90">
        <v>-4.5475423638333965E-3</v>
      </c>
      <c r="O80" s="90">
        <v>0.77800000000000002</v>
      </c>
      <c r="P80" s="90">
        <v>1.2929999999999999</v>
      </c>
      <c r="Q80" s="90">
        <v>1.6679999999999999</v>
      </c>
      <c r="R80" s="90">
        <v>0.92600000000000005</v>
      </c>
      <c r="S80" s="90">
        <v>0.48299999999999998</v>
      </c>
      <c r="T80" s="90">
        <v>-8.9789999999999992</v>
      </c>
      <c r="U80" s="90">
        <v>6.9870000000000001</v>
      </c>
      <c r="V80" s="91">
        <v>3.6749999999999998</v>
      </c>
      <c r="W80" s="91">
        <f t="shared" si="1"/>
        <v>0.32855305426654491</v>
      </c>
    </row>
    <row r="81" spans="1:23" x14ac:dyDescent="0.35">
      <c r="A81" s="81" t="s">
        <v>573</v>
      </c>
      <c r="B81" s="81" t="s">
        <v>642</v>
      </c>
      <c r="C81" s="89">
        <v>-0.70306474958997667</v>
      </c>
      <c r="D81" s="90">
        <v>0.12887839009743107</v>
      </c>
      <c r="E81" s="91">
        <v>0.51362317164571625</v>
      </c>
      <c r="G81" s="103" t="s">
        <v>567</v>
      </c>
      <c r="H81" s="101">
        <v>53.312824662633638</v>
      </c>
      <c r="I81" s="93">
        <v>137</v>
      </c>
      <c r="J81" s="94">
        <v>23</v>
      </c>
      <c r="K81" s="81"/>
      <c r="L81" s="89">
        <v>-0.61363603986913318</v>
      </c>
      <c r="M81" s="90">
        <v>0.51768601280242099</v>
      </c>
      <c r="N81" s="90">
        <v>0.68982235737431619</v>
      </c>
      <c r="O81" s="90">
        <v>0.86899999999999999</v>
      </c>
      <c r="P81" s="90">
        <v>1.498</v>
      </c>
      <c r="Q81" s="90">
        <v>0.67900000000000005</v>
      </c>
      <c r="R81" s="90">
        <v>1.827</v>
      </c>
      <c r="S81" s="90">
        <v>0.97</v>
      </c>
      <c r="T81" s="90">
        <v>-9.92</v>
      </c>
      <c r="U81" s="90">
        <v>4.601</v>
      </c>
      <c r="V81" s="91">
        <v>4</v>
      </c>
      <c r="W81" s="91">
        <f t="shared" si="1"/>
        <v>0.32125078087157366</v>
      </c>
    </row>
    <row r="82" spans="1:23" x14ac:dyDescent="0.35">
      <c r="A82" s="81" t="s">
        <v>565</v>
      </c>
      <c r="B82" s="81" t="s">
        <v>643</v>
      </c>
      <c r="C82" s="89">
        <v>-0.63095756344230258</v>
      </c>
      <c r="D82" s="90">
        <v>2.4039609383130767E-3</v>
      </c>
      <c r="E82" s="91">
        <v>0.62673306790392846</v>
      </c>
      <c r="G82" s="103" t="s">
        <v>415</v>
      </c>
      <c r="H82" s="101">
        <v>96.063700314273362</v>
      </c>
      <c r="I82" s="93">
        <v>13</v>
      </c>
      <c r="J82" s="94">
        <v>4</v>
      </c>
      <c r="K82" s="81"/>
      <c r="L82" s="89">
        <v>1.495089585949261</v>
      </c>
      <c r="M82" s="90">
        <v>2.0002678411015018</v>
      </c>
      <c r="N82" s="90">
        <v>0.3747194763313248</v>
      </c>
      <c r="O82" s="90">
        <v>1.5609999999999999</v>
      </c>
      <c r="P82" s="90">
        <v>0.754</v>
      </c>
      <c r="Q82" s="90">
        <v>1.675</v>
      </c>
      <c r="R82" s="90">
        <v>0.64300000000000002</v>
      </c>
      <c r="S82" s="90">
        <v>-0.40200000000000002</v>
      </c>
      <c r="T82" s="90">
        <v>-4.2789999999999999</v>
      </c>
      <c r="U82" s="90">
        <v>2.145</v>
      </c>
      <c r="V82" s="91">
        <v>1.075</v>
      </c>
      <c r="W82" s="91">
        <f t="shared" si="1"/>
        <v>0.31456851442112077</v>
      </c>
    </row>
    <row r="83" spans="1:23" x14ac:dyDescent="0.35">
      <c r="A83" s="81" t="s">
        <v>580</v>
      </c>
      <c r="B83" s="81" t="s">
        <v>644</v>
      </c>
      <c r="C83" s="89">
        <v>1.1049470799269878</v>
      </c>
      <c r="D83" s="90">
        <v>1.8757952650954479</v>
      </c>
      <c r="E83" s="91">
        <v>2.1806440475090172</v>
      </c>
      <c r="G83" s="103" t="s">
        <v>571</v>
      </c>
      <c r="H83" s="101">
        <v>79.514216326138751</v>
      </c>
      <c r="I83" s="93">
        <v>53</v>
      </c>
      <c r="J83" s="94">
        <v>5</v>
      </c>
      <c r="K83" s="81"/>
      <c r="L83" s="89">
        <v>2.6511707480297244</v>
      </c>
      <c r="M83" s="90">
        <v>2.8287666404585154</v>
      </c>
      <c r="N83" s="90">
        <v>3.0963303471105994</v>
      </c>
      <c r="O83" s="90">
        <v>2.496</v>
      </c>
      <c r="P83" s="90">
        <v>1.994</v>
      </c>
      <c r="Q83" s="90">
        <v>2.4740000000000002</v>
      </c>
      <c r="R83" s="90">
        <v>1.919</v>
      </c>
      <c r="S83" s="90">
        <v>1.927</v>
      </c>
      <c r="T83" s="90">
        <v>-1.57</v>
      </c>
      <c r="U83" s="90">
        <v>2.2280000000000002</v>
      </c>
      <c r="V83" s="91">
        <v>2.7109999999999999</v>
      </c>
      <c r="W83" s="91">
        <f t="shared" si="1"/>
        <v>2.0282196563022326</v>
      </c>
    </row>
    <row r="84" spans="1:23" x14ac:dyDescent="0.35">
      <c r="A84" s="81" t="s">
        <v>565</v>
      </c>
      <c r="B84" s="81" t="s">
        <v>645</v>
      </c>
      <c r="C84" s="89">
        <v>1.6270169093285825</v>
      </c>
      <c r="D84" s="90">
        <v>2.6878144462378906</v>
      </c>
      <c r="E84" s="91">
        <v>2.9947418753666133</v>
      </c>
      <c r="G84" s="103" t="s">
        <v>398</v>
      </c>
      <c r="H84" s="101">
        <v>70.400737065727981</v>
      </c>
      <c r="I84" s="93">
        <v>88</v>
      </c>
      <c r="J84" s="94">
        <v>16</v>
      </c>
      <c r="K84" s="81"/>
      <c r="L84" s="89">
        <v>4.7999999999927256</v>
      </c>
      <c r="M84" s="90">
        <v>5.9999999992556203</v>
      </c>
      <c r="N84" s="90">
        <v>4.2000000006304088</v>
      </c>
      <c r="O84" s="90">
        <v>1</v>
      </c>
      <c r="P84" s="90">
        <v>0.9</v>
      </c>
      <c r="Q84" s="90">
        <v>3.9009999999999998</v>
      </c>
      <c r="R84" s="90">
        <v>4.0999999999999996</v>
      </c>
      <c r="S84" s="90">
        <v>4.5</v>
      </c>
      <c r="T84" s="90">
        <v>-2.6</v>
      </c>
      <c r="U84" s="90">
        <v>4.0999999999999996</v>
      </c>
      <c r="V84" s="91">
        <v>3.214</v>
      </c>
      <c r="W84" s="91">
        <f t="shared" si="1"/>
        <v>2.8412781608022519</v>
      </c>
    </row>
    <row r="85" spans="1:23" x14ac:dyDescent="0.35">
      <c r="A85" s="81" t="s">
        <v>569</v>
      </c>
      <c r="B85" s="81" t="s">
        <v>646</v>
      </c>
      <c r="C85" s="89">
        <v>4.1600595320631983</v>
      </c>
      <c r="D85" s="90">
        <v>5.4481436952905637</v>
      </c>
      <c r="E85" s="91">
        <v>5.4875646773576481</v>
      </c>
      <c r="G85" s="103" t="s">
        <v>422</v>
      </c>
      <c r="H85" s="101">
        <v>68.853006787769303</v>
      </c>
      <c r="I85" s="93">
        <v>97</v>
      </c>
      <c r="J85" s="94">
        <v>18</v>
      </c>
      <c r="K85" s="81"/>
      <c r="L85" s="89">
        <v>4.5632091307112006</v>
      </c>
      <c r="M85" s="90">
        <v>5.8786805667541637</v>
      </c>
      <c r="N85" s="90">
        <v>5.3571256444996713</v>
      </c>
      <c r="O85" s="90">
        <v>4.968</v>
      </c>
      <c r="P85" s="90">
        <v>4.2140000000000004</v>
      </c>
      <c r="Q85" s="90">
        <v>3.8159999999999998</v>
      </c>
      <c r="R85" s="90">
        <v>5.6710000000000003</v>
      </c>
      <c r="S85" s="90">
        <v>5.1139999999999999</v>
      </c>
      <c r="T85" s="90">
        <v>-0.25</v>
      </c>
      <c r="U85" s="90">
        <v>7.5170000000000003</v>
      </c>
      <c r="V85" s="91">
        <v>5.3689999999999998</v>
      </c>
      <c r="W85" s="91">
        <f t="shared" si="1"/>
        <v>5.4678541863241055</v>
      </c>
    </row>
    <row r="86" spans="1:23" x14ac:dyDescent="0.35">
      <c r="A86" s="81" t="s">
        <v>565</v>
      </c>
      <c r="B86" s="81" t="s">
        <v>647</v>
      </c>
      <c r="C86" s="89">
        <v>1.9788311578699647</v>
      </c>
      <c r="D86" s="90">
        <v>2.1951704861675969</v>
      </c>
      <c r="E86" s="91">
        <v>2.6249033043728831</v>
      </c>
      <c r="G86" s="103" t="s">
        <v>415</v>
      </c>
      <c r="H86" s="101">
        <v>90.58627012288828</v>
      </c>
      <c r="I86" s="93">
        <v>26</v>
      </c>
      <c r="J86" s="94">
        <v>6</v>
      </c>
      <c r="K86" s="81"/>
      <c r="L86" s="89">
        <v>2.4025309924618736</v>
      </c>
      <c r="M86" s="90">
        <v>3.1647086364718322</v>
      </c>
      <c r="N86" s="90">
        <v>3.2024537945736018</v>
      </c>
      <c r="O86" s="90">
        <v>2.8090000000000002</v>
      </c>
      <c r="P86" s="90">
        <v>2.9470000000000001</v>
      </c>
      <c r="Q86" s="90">
        <v>3.16</v>
      </c>
      <c r="R86" s="90">
        <v>2.907</v>
      </c>
      <c r="S86" s="90">
        <v>2.2440000000000002</v>
      </c>
      <c r="T86" s="90">
        <v>-0.70899999999999996</v>
      </c>
      <c r="U86" s="90">
        <v>4.1449999999999996</v>
      </c>
      <c r="V86" s="91">
        <v>2.5609999999999999</v>
      </c>
      <c r="W86" s="91">
        <f t="shared" si="1"/>
        <v>2.41003689527024</v>
      </c>
    </row>
    <row r="87" spans="1:23" x14ac:dyDescent="0.35">
      <c r="A87" s="81" t="s">
        <v>580</v>
      </c>
      <c r="B87" s="81" t="s">
        <v>648</v>
      </c>
      <c r="C87" s="89">
        <v>2.9560258753336122E-2</v>
      </c>
      <c r="D87" s="90">
        <v>0.3483533742255629</v>
      </c>
      <c r="E87" s="91">
        <v>0.20315822263521355</v>
      </c>
      <c r="G87" s="103" t="s">
        <v>422</v>
      </c>
      <c r="H87" s="101">
        <v>67.205820265011681</v>
      </c>
      <c r="I87" s="93">
        <v>105</v>
      </c>
      <c r="J87" s="94">
        <v>10</v>
      </c>
      <c r="K87" s="81"/>
      <c r="L87" s="89">
        <v>6.6258183001417628</v>
      </c>
      <c r="M87" s="90">
        <v>1.1493004370652051</v>
      </c>
      <c r="N87" s="90">
        <v>0.5008769821586383</v>
      </c>
      <c r="O87" s="90">
        <v>0.59299999999999997</v>
      </c>
      <c r="P87" s="90">
        <v>2.9260000000000002</v>
      </c>
      <c r="Q87" s="90">
        <v>-4.7140000000000004</v>
      </c>
      <c r="R87" s="90">
        <v>2.4369999999999998</v>
      </c>
      <c r="S87" s="90">
        <v>-0.55200000000000005</v>
      </c>
      <c r="T87" s="90">
        <v>-8.8550000000000004</v>
      </c>
      <c r="U87" s="90">
        <v>1.3080000000000001</v>
      </c>
      <c r="V87" s="91">
        <v>8.1769999999999996</v>
      </c>
      <c r="W87" s="91">
        <f t="shared" si="1"/>
        <v>0.27575579843038822</v>
      </c>
    </row>
    <row r="88" spans="1:23" x14ac:dyDescent="0.35">
      <c r="A88" s="81" t="s">
        <v>565</v>
      </c>
      <c r="B88" s="81" t="s">
        <v>649</v>
      </c>
      <c r="C88" s="89">
        <v>0.51489333561212103</v>
      </c>
      <c r="D88" s="90">
        <v>1.9645834232370651</v>
      </c>
      <c r="E88" s="91">
        <v>3.7392958747352045</v>
      </c>
      <c r="G88" s="103" t="s">
        <v>398</v>
      </c>
      <c r="H88" s="101">
        <v>70.898067394091115</v>
      </c>
      <c r="I88" s="93">
        <v>86</v>
      </c>
      <c r="J88" s="94">
        <v>15</v>
      </c>
      <c r="K88" s="81"/>
      <c r="L88" s="89">
        <v>-8.8150201010635656E-2</v>
      </c>
      <c r="M88" s="90">
        <v>10.915469454314421</v>
      </c>
      <c r="N88" s="90">
        <v>4.024038625768628</v>
      </c>
      <c r="O88" s="90">
        <v>3.8759999999999999</v>
      </c>
      <c r="P88" s="90">
        <v>4.3360000000000003</v>
      </c>
      <c r="Q88" s="90">
        <v>4.74</v>
      </c>
      <c r="R88" s="90">
        <v>3.4590000000000001</v>
      </c>
      <c r="S88" s="90">
        <v>4.601</v>
      </c>
      <c r="T88" s="90">
        <v>-8.6170000000000009</v>
      </c>
      <c r="U88" s="90">
        <v>3.742</v>
      </c>
      <c r="V88" s="91">
        <v>7</v>
      </c>
      <c r="W88" s="91">
        <f t="shared" si="1"/>
        <v>2.8519396489861348</v>
      </c>
    </row>
    <row r="89" spans="1:23" x14ac:dyDescent="0.35">
      <c r="A89" s="81" t="s">
        <v>565</v>
      </c>
      <c r="B89" s="81" t="s">
        <v>650</v>
      </c>
      <c r="C89" s="89">
        <v>1.7571611332634074</v>
      </c>
      <c r="D89" s="90">
        <v>3.3757795121775569</v>
      </c>
      <c r="E89" s="91">
        <v>5.3509947789500245</v>
      </c>
      <c r="G89" s="103" t="s">
        <v>567</v>
      </c>
      <c r="H89" s="101">
        <v>58.394766440551741</v>
      </c>
      <c r="I89" s="93">
        <v>127</v>
      </c>
      <c r="J89" s="94">
        <v>26</v>
      </c>
      <c r="K89" s="81"/>
      <c r="L89" s="89">
        <v>8.0260984340408665</v>
      </c>
      <c r="M89" s="90">
        <v>8.0263002263775007</v>
      </c>
      <c r="N89" s="90">
        <v>7.6119634407438159</v>
      </c>
      <c r="O89" s="90">
        <v>7.27</v>
      </c>
      <c r="P89" s="90">
        <v>7.0229999999999997</v>
      </c>
      <c r="Q89" s="90">
        <v>6.851</v>
      </c>
      <c r="R89" s="90">
        <v>6.2889999999999997</v>
      </c>
      <c r="S89" s="90">
        <v>4.6520000000000001</v>
      </c>
      <c r="T89" s="90">
        <v>-0.435</v>
      </c>
      <c r="U89" s="90">
        <v>2.0609999999999999</v>
      </c>
      <c r="V89" s="91">
        <v>2.2519999999999998</v>
      </c>
      <c r="W89" s="91">
        <f t="shared" si="1"/>
        <v>4.3633871455637907</v>
      </c>
    </row>
    <row r="90" spans="1:23" x14ac:dyDescent="0.35">
      <c r="A90" s="81" t="s">
        <v>227</v>
      </c>
      <c r="B90" s="81" t="s">
        <v>651</v>
      </c>
      <c r="C90" s="89">
        <v>1.2465800540070626</v>
      </c>
      <c r="D90" s="90">
        <v>2.186383184955365</v>
      </c>
      <c r="E90" s="91">
        <v>2.3979634558628948</v>
      </c>
      <c r="G90" s="103" t="s">
        <v>571</v>
      </c>
      <c r="H90" s="101">
        <v>81.044610107182237</v>
      </c>
      <c r="I90" s="93">
        <v>44</v>
      </c>
      <c r="J90" s="94">
        <v>29</v>
      </c>
      <c r="K90" s="81"/>
      <c r="L90" s="89">
        <v>4.1342316499835752</v>
      </c>
      <c r="M90" s="90">
        <v>2.3280042634440163</v>
      </c>
      <c r="N90" s="90">
        <v>1.9151903779433241</v>
      </c>
      <c r="O90" s="90">
        <v>3.8849999999999998</v>
      </c>
      <c r="P90" s="90">
        <v>2.3690000000000002</v>
      </c>
      <c r="Q90" s="90">
        <v>3.3119999999999998</v>
      </c>
      <c r="R90" s="90">
        <v>3.992</v>
      </c>
      <c r="S90" s="90">
        <v>2.57</v>
      </c>
      <c r="T90" s="90">
        <v>-2.2029999999999998</v>
      </c>
      <c r="U90" s="90">
        <v>4.0640000000000001</v>
      </c>
      <c r="V90" s="91">
        <v>1.976</v>
      </c>
      <c r="W90" s="91">
        <f t="shared" si="1"/>
        <v>2.2921733204091299</v>
      </c>
    </row>
    <row r="91" spans="1:23" x14ac:dyDescent="0.35">
      <c r="A91" s="81" t="s">
        <v>580</v>
      </c>
      <c r="B91" s="81" t="s">
        <v>652</v>
      </c>
      <c r="C91" s="89">
        <v>-11.570507599610414</v>
      </c>
      <c r="D91" s="90">
        <v>-8.8972805759156888</v>
      </c>
      <c r="E91" s="91">
        <v>-3.6804003540223951</v>
      </c>
      <c r="G91" s="103" t="s">
        <v>398</v>
      </c>
      <c r="H91" s="101">
        <v>70.925074776605015</v>
      </c>
      <c r="I91" s="93">
        <v>85</v>
      </c>
      <c r="J91" s="94">
        <v>9</v>
      </c>
      <c r="K91" s="81"/>
      <c r="L91" s="89">
        <v>2.5405417890992656</v>
      </c>
      <c r="M91" s="90">
        <v>3.8110224147865268</v>
      </c>
      <c r="N91" s="90">
        <v>2.4536595719223264</v>
      </c>
      <c r="O91" s="90">
        <v>0.46100000000000002</v>
      </c>
      <c r="P91" s="90">
        <v>1.556</v>
      </c>
      <c r="Q91" s="90">
        <v>0.90300000000000002</v>
      </c>
      <c r="R91" s="90">
        <v>-1.885</v>
      </c>
      <c r="S91" s="90">
        <v>-6.915</v>
      </c>
      <c r="T91" s="90">
        <v>-25.907</v>
      </c>
      <c r="U91" s="90">
        <v>-5.4</v>
      </c>
      <c r="V91" s="91">
        <v>-5.4</v>
      </c>
      <c r="W91" s="91">
        <f t="shared" si="1"/>
        <v>-6.2888404649690415</v>
      </c>
    </row>
    <row r="92" spans="1:23" x14ac:dyDescent="0.35">
      <c r="A92" s="81" t="s">
        <v>569</v>
      </c>
      <c r="B92" s="81" t="s">
        <v>653</v>
      </c>
      <c r="C92" s="89">
        <v>-1.7564836758548363</v>
      </c>
      <c r="D92" s="90">
        <v>-1.6866052500791207</v>
      </c>
      <c r="E92" s="91">
        <v>0.46596555472186996</v>
      </c>
      <c r="G92" s="103" t="s">
        <v>422</v>
      </c>
      <c r="H92" s="101">
        <v>68.290636352612694</v>
      </c>
      <c r="I92" s="93">
        <v>100</v>
      </c>
      <c r="J92" s="94">
        <v>20</v>
      </c>
      <c r="K92" s="81"/>
      <c r="L92" s="89">
        <v>6.7436269408569842</v>
      </c>
      <c r="M92" s="90">
        <v>4.1869122037746749</v>
      </c>
      <c r="N92" s="90">
        <v>2.8839688442816156</v>
      </c>
      <c r="O92" s="90">
        <v>3.2480000000000002</v>
      </c>
      <c r="P92" s="90">
        <v>1.877</v>
      </c>
      <c r="Q92" s="90">
        <v>-2.734</v>
      </c>
      <c r="R92" s="90">
        <v>-1.304</v>
      </c>
      <c r="S92" s="90">
        <v>-1.9710000000000001</v>
      </c>
      <c r="T92" s="90">
        <v>-3.9020000000000001</v>
      </c>
      <c r="U92" s="90">
        <v>2.1019999999999999</v>
      </c>
      <c r="V92" s="91">
        <v>2.093</v>
      </c>
      <c r="W92" s="91">
        <f t="shared" si="1"/>
        <v>-0.61031984767862535</v>
      </c>
    </row>
    <row r="93" spans="1:23" x14ac:dyDescent="0.35">
      <c r="A93" s="81" t="s">
        <v>569</v>
      </c>
      <c r="B93" s="81" t="s">
        <v>654</v>
      </c>
      <c r="C93" s="89">
        <v>2.2030305181955034</v>
      </c>
      <c r="D93" s="90">
        <v>1.043410797540445</v>
      </c>
      <c r="E93" s="91">
        <v>1.5173155129903693</v>
      </c>
      <c r="G93" s="103" t="s">
        <v>567</v>
      </c>
      <c r="H93" s="101">
        <v>56.232966845120316</v>
      </c>
      <c r="I93" s="93">
        <v>130</v>
      </c>
      <c r="J93" s="94">
        <v>32</v>
      </c>
      <c r="K93" s="81"/>
      <c r="L93" s="89">
        <v>7.9938156931364137</v>
      </c>
      <c r="M93" s="90">
        <v>8.6872878163968235</v>
      </c>
      <c r="N93" s="90">
        <v>0.70139310028752089</v>
      </c>
      <c r="O93" s="90">
        <v>7.0000000000000001E-3</v>
      </c>
      <c r="P93" s="90">
        <v>-1.63</v>
      </c>
      <c r="Q93" s="90">
        <v>2.4689999999999999</v>
      </c>
      <c r="R93" s="90">
        <v>1.242</v>
      </c>
      <c r="S93" s="90">
        <v>-2.516</v>
      </c>
      <c r="T93" s="90">
        <v>-2.9670000000000001</v>
      </c>
      <c r="U93" s="90">
        <v>5.0110000000000001</v>
      </c>
      <c r="V93" s="91">
        <v>4.8109999999999999</v>
      </c>
      <c r="W93" s="91">
        <f t="shared" si="1"/>
        <v>1.2803631552654071</v>
      </c>
    </row>
    <row r="94" spans="1:23" x14ac:dyDescent="0.35">
      <c r="A94" s="81" t="s">
        <v>569</v>
      </c>
      <c r="B94" s="81" t="s">
        <v>655</v>
      </c>
      <c r="C94" s="89">
        <v>5.1304452243001952</v>
      </c>
      <c r="D94" s="90">
        <v>3.4484900722276279</v>
      </c>
      <c r="E94" s="91">
        <v>1.2335060569262035</v>
      </c>
      <c r="G94" s="103" t="s">
        <v>567</v>
      </c>
      <c r="H94" s="101">
        <v>48.008478383672035</v>
      </c>
      <c r="I94" s="93">
        <v>140</v>
      </c>
      <c r="J94" s="94">
        <v>38</v>
      </c>
      <c r="K94" s="81"/>
      <c r="L94" s="89">
        <v>274.10446739057375</v>
      </c>
      <c r="M94" s="90">
        <v>-13.994834968637873</v>
      </c>
      <c r="N94" s="90">
        <v>-10.842440326997824</v>
      </c>
      <c r="O94" s="90">
        <v>-0.84299999999999997</v>
      </c>
      <c r="P94" s="90">
        <v>-1.4910000000000001</v>
      </c>
      <c r="Q94" s="90">
        <v>32.491999999999997</v>
      </c>
      <c r="R94" s="90">
        <v>7.9409999999999998</v>
      </c>
      <c r="S94" s="90">
        <v>-11.196</v>
      </c>
      <c r="T94" s="90">
        <v>-29.456</v>
      </c>
      <c r="U94" s="90">
        <v>28.335000000000001</v>
      </c>
      <c r="V94" s="91">
        <v>-12.813000000000001</v>
      </c>
      <c r="W94" s="91">
        <f t="shared" si="1"/>
        <v>2.3409980645769157</v>
      </c>
    </row>
    <row r="95" spans="1:23" x14ac:dyDescent="0.35">
      <c r="A95" s="81" t="s">
        <v>227</v>
      </c>
      <c r="B95" s="81" t="s">
        <v>656</v>
      </c>
      <c r="C95" s="89">
        <v>2.5853990379055336</v>
      </c>
      <c r="D95" s="90">
        <v>3.2350334175799356</v>
      </c>
      <c r="E95" s="91">
        <v>3.2063173772679532</v>
      </c>
      <c r="G95" s="103" t="s">
        <v>571</v>
      </c>
      <c r="H95" s="101">
        <v>80.769738018881156</v>
      </c>
      <c r="I95" s="93">
        <v>45</v>
      </c>
      <c r="J95" s="94">
        <v>30</v>
      </c>
      <c r="K95" s="81"/>
      <c r="L95" s="89">
        <v>3.8333027642866848</v>
      </c>
      <c r="M95" s="90">
        <v>3.5584246313476826</v>
      </c>
      <c r="N95" s="90">
        <v>3.5079712171273361</v>
      </c>
      <c r="O95" s="90">
        <v>2.024</v>
      </c>
      <c r="P95" s="90">
        <v>2.5190000000000001</v>
      </c>
      <c r="Q95" s="90">
        <v>4.282</v>
      </c>
      <c r="R95" s="90">
        <v>3.9929999999999999</v>
      </c>
      <c r="S95" s="90">
        <v>4.625</v>
      </c>
      <c r="T95" s="90">
        <v>-2.1999999999999999E-2</v>
      </c>
      <c r="U95" s="90">
        <v>5.9809999999999999</v>
      </c>
      <c r="V95" s="91">
        <v>1.8879999999999999</v>
      </c>
      <c r="W95" s="91">
        <f t="shared" si="1"/>
        <v>3.2206753974239444</v>
      </c>
    </row>
    <row r="96" spans="1:23" x14ac:dyDescent="0.35">
      <c r="A96" s="81" t="s">
        <v>227</v>
      </c>
      <c r="B96" s="81" t="s">
        <v>657</v>
      </c>
      <c r="C96" s="89">
        <v>1.9225945961039326</v>
      </c>
      <c r="D96" s="90">
        <v>1.8607829332780268</v>
      </c>
      <c r="E96" s="91">
        <v>2.36159954003623</v>
      </c>
      <c r="G96" s="103" t="s">
        <v>415</v>
      </c>
      <c r="H96" s="101">
        <v>96.778306193425522</v>
      </c>
      <c r="I96" s="93">
        <v>9</v>
      </c>
      <c r="J96" s="94">
        <v>7</v>
      </c>
      <c r="K96" s="81"/>
      <c r="L96" s="89">
        <v>1.6499020297865346</v>
      </c>
      <c r="M96" s="90">
        <v>3.1717904991600552</v>
      </c>
      <c r="N96" s="90">
        <v>2.6230860157719222</v>
      </c>
      <c r="O96" s="90">
        <v>2.2679999999999998</v>
      </c>
      <c r="P96" s="90">
        <v>4.9779999999999998</v>
      </c>
      <c r="Q96" s="90">
        <v>1.3169999999999999</v>
      </c>
      <c r="R96" s="90">
        <v>1.2190000000000001</v>
      </c>
      <c r="S96" s="90">
        <v>2.3199999999999998</v>
      </c>
      <c r="T96" s="90">
        <v>-0.79700000000000004</v>
      </c>
      <c r="U96" s="90">
        <v>5.1029999999999998</v>
      </c>
      <c r="V96" s="91">
        <v>1.5489999999999999</v>
      </c>
      <c r="W96" s="91">
        <f t="shared" si="1"/>
        <v>2.1111912366571284</v>
      </c>
    </row>
    <row r="97" spans="1:23" x14ac:dyDescent="0.35">
      <c r="A97" s="81" t="s">
        <v>569</v>
      </c>
      <c r="B97" s="81" t="s">
        <v>658</v>
      </c>
      <c r="C97" s="89">
        <v>0.34284241084634459</v>
      </c>
      <c r="D97" s="90">
        <v>1.7120658983774018</v>
      </c>
      <c r="E97" s="91">
        <v>2.5217225637742979</v>
      </c>
      <c r="G97" s="103" t="s">
        <v>567</v>
      </c>
      <c r="H97" s="101">
        <v>48.940679032016362</v>
      </c>
      <c r="I97" s="93">
        <v>139</v>
      </c>
      <c r="J97" s="94">
        <v>37</v>
      </c>
      <c r="K97" s="81"/>
      <c r="L97" s="89">
        <v>3.0111464075530683</v>
      </c>
      <c r="M97" s="90">
        <v>2.3003869344771051</v>
      </c>
      <c r="N97" s="90">
        <v>3.3392022440733014</v>
      </c>
      <c r="O97" s="90">
        <v>3.1320000000000001</v>
      </c>
      <c r="P97" s="90">
        <v>3.9929999999999999</v>
      </c>
      <c r="Q97" s="90">
        <v>3.9329999999999998</v>
      </c>
      <c r="R97" s="90">
        <v>3.194</v>
      </c>
      <c r="S97" s="90">
        <v>4.4109999999999996</v>
      </c>
      <c r="T97" s="90">
        <v>-7.1379999999999999</v>
      </c>
      <c r="U97" s="90">
        <v>5.74</v>
      </c>
      <c r="V97" s="91">
        <v>4.21</v>
      </c>
      <c r="W97" s="91">
        <f t="shared" si="1"/>
        <v>2.1168942310758498</v>
      </c>
    </row>
    <row r="98" spans="1:23" x14ac:dyDescent="0.35">
      <c r="A98" s="81" t="s">
        <v>569</v>
      </c>
      <c r="B98" s="81" t="s">
        <v>659</v>
      </c>
      <c r="C98" s="89">
        <v>1.446318587345985</v>
      </c>
      <c r="D98" s="90">
        <v>2.8212259957555386</v>
      </c>
      <c r="E98" s="91">
        <v>3.4233840163588436</v>
      </c>
      <c r="G98" s="103" t="s">
        <v>398</v>
      </c>
      <c r="H98" s="101">
        <v>72.879134631330203</v>
      </c>
      <c r="I98" s="93">
        <v>77</v>
      </c>
      <c r="J98" s="94">
        <v>8</v>
      </c>
      <c r="K98" s="81"/>
      <c r="L98" s="89">
        <v>1.8857995075156477</v>
      </c>
      <c r="M98" s="90">
        <v>5.1999999956050429</v>
      </c>
      <c r="N98" s="90">
        <v>5.7000000050572197</v>
      </c>
      <c r="O98" s="90">
        <v>2.95</v>
      </c>
      <c r="P98" s="90">
        <v>2.27</v>
      </c>
      <c r="Q98" s="90">
        <v>4</v>
      </c>
      <c r="R98" s="90">
        <v>4.3920000000000003</v>
      </c>
      <c r="S98" s="90">
        <v>5.4480000000000004</v>
      </c>
      <c r="T98" s="90">
        <v>0.91300000000000003</v>
      </c>
      <c r="U98" s="90">
        <v>4.5670000000000002</v>
      </c>
      <c r="V98" s="91">
        <v>0.8</v>
      </c>
      <c r="W98" s="91">
        <f t="shared" si="1"/>
        <v>3.1223050060571911</v>
      </c>
    </row>
    <row r="99" spans="1:23" x14ac:dyDescent="0.35">
      <c r="A99" s="81" t="s">
        <v>565</v>
      </c>
      <c r="B99" s="81" t="s">
        <v>660</v>
      </c>
      <c r="C99" s="89">
        <v>1.9142421361718398</v>
      </c>
      <c r="D99" s="90">
        <v>3.0011020126644361</v>
      </c>
      <c r="E99" s="91">
        <v>4.0922822936961589</v>
      </c>
      <c r="G99" s="103" t="s">
        <v>398</v>
      </c>
      <c r="H99" s="101">
        <v>76.114633172938127</v>
      </c>
      <c r="I99" s="93">
        <v>66</v>
      </c>
      <c r="J99" s="94">
        <v>9</v>
      </c>
      <c r="K99" s="81"/>
      <c r="L99" s="89">
        <v>5.4734541925385383</v>
      </c>
      <c r="M99" s="90">
        <v>4.6937225255789317</v>
      </c>
      <c r="N99" s="90">
        <v>6.0067219455820462</v>
      </c>
      <c r="O99" s="90">
        <v>5.0069999999999997</v>
      </c>
      <c r="P99" s="90">
        <v>4.45</v>
      </c>
      <c r="Q99" s="90">
        <v>5.8129999999999997</v>
      </c>
      <c r="R99" s="90">
        <v>4.843</v>
      </c>
      <c r="S99" s="90">
        <v>4.4130000000000003</v>
      </c>
      <c r="T99" s="90">
        <v>-5.5339999999999998</v>
      </c>
      <c r="U99" s="90">
        <v>3.0920000000000001</v>
      </c>
      <c r="V99" s="91">
        <v>8.6940000000000008</v>
      </c>
      <c r="W99" s="91">
        <f t="shared" si="1"/>
        <v>3.5466921531802975</v>
      </c>
    </row>
    <row r="100" spans="1:23" x14ac:dyDescent="0.35">
      <c r="A100" s="81" t="s">
        <v>569</v>
      </c>
      <c r="B100" s="81" t="s">
        <v>661</v>
      </c>
      <c r="C100" s="89">
        <v>1.8165870919236937</v>
      </c>
      <c r="D100" s="90">
        <v>2.9671130334121942</v>
      </c>
      <c r="E100" s="91">
        <v>4.1460050619633648</v>
      </c>
      <c r="G100" s="103" t="s">
        <v>567</v>
      </c>
      <c r="H100" s="101">
        <v>43.633236095724527</v>
      </c>
      <c r="I100" s="93">
        <v>146</v>
      </c>
      <c r="J100" s="94">
        <v>41</v>
      </c>
      <c r="K100" s="81"/>
      <c r="L100" s="89">
        <v>-0.83662749707312833</v>
      </c>
      <c r="M100" s="90">
        <v>2.3037669581925009</v>
      </c>
      <c r="N100" s="90">
        <v>7.1014223480749816</v>
      </c>
      <c r="O100" s="90">
        <v>6.1719999999999997</v>
      </c>
      <c r="P100" s="90">
        <v>5.8520000000000003</v>
      </c>
      <c r="Q100" s="90">
        <v>5.3049999999999997</v>
      </c>
      <c r="R100" s="90">
        <v>4.7460000000000004</v>
      </c>
      <c r="S100" s="90">
        <v>4.7649999999999997</v>
      </c>
      <c r="T100" s="90">
        <v>-1.244</v>
      </c>
      <c r="U100" s="90">
        <v>3.0550000000000002</v>
      </c>
      <c r="V100" s="91">
        <v>3.7040000000000002</v>
      </c>
      <c r="W100" s="91">
        <f t="shared" si="1"/>
        <v>3.5565590476877795</v>
      </c>
    </row>
    <row r="101" spans="1:23" x14ac:dyDescent="0.35">
      <c r="A101" s="81" t="s">
        <v>227</v>
      </c>
      <c r="B101" s="81" t="s">
        <v>662</v>
      </c>
      <c r="C101" s="89">
        <v>2.6124059576447589</v>
      </c>
      <c r="D101" s="90">
        <v>4.3931536419201889</v>
      </c>
      <c r="E101" s="91">
        <v>5.6722564665051767</v>
      </c>
      <c r="G101" s="103" t="s">
        <v>571</v>
      </c>
      <c r="H101" s="101">
        <v>86.894246999173433</v>
      </c>
      <c r="I101" s="93">
        <v>33</v>
      </c>
      <c r="J101" s="94">
        <v>22</v>
      </c>
      <c r="K101" s="81"/>
      <c r="L101" s="89">
        <v>4.1177072993516513</v>
      </c>
      <c r="M101" s="90">
        <v>5.4733556954527041</v>
      </c>
      <c r="N101" s="90">
        <v>7.6335381123007346</v>
      </c>
      <c r="O101" s="90">
        <v>9.6080000000000005</v>
      </c>
      <c r="P101" s="90">
        <v>3.3809999999999998</v>
      </c>
      <c r="Q101" s="90">
        <v>10.869</v>
      </c>
      <c r="R101" s="90">
        <v>6.1929999999999996</v>
      </c>
      <c r="S101" s="90">
        <v>7.0090000000000003</v>
      </c>
      <c r="T101" s="90">
        <v>-8.6120000000000001</v>
      </c>
      <c r="U101" s="90">
        <v>11.805999999999999</v>
      </c>
      <c r="V101" s="91">
        <v>6.851</v>
      </c>
      <c r="W101" s="91">
        <f t="shared" si="1"/>
        <v>5.0327050542126823</v>
      </c>
    </row>
    <row r="102" spans="1:23" x14ac:dyDescent="0.35">
      <c r="A102" s="81" t="s">
        <v>569</v>
      </c>
      <c r="B102" s="81" t="s">
        <v>663</v>
      </c>
      <c r="C102" s="89">
        <v>10.380851809157976</v>
      </c>
      <c r="D102" s="90">
        <v>8.3436024853472226</v>
      </c>
      <c r="E102" s="91">
        <v>5.9978829377542953</v>
      </c>
      <c r="G102" s="103" t="s">
        <v>422</v>
      </c>
      <c r="H102" s="101">
        <v>67.535233245846925</v>
      </c>
      <c r="I102" s="93">
        <v>103</v>
      </c>
      <c r="J102" s="94">
        <v>23</v>
      </c>
      <c r="K102" s="81"/>
      <c r="L102" s="89">
        <v>4.4700131823368974</v>
      </c>
      <c r="M102" s="90">
        <v>4.150813186271721</v>
      </c>
      <c r="N102" s="90">
        <v>4.2748232713028473</v>
      </c>
      <c r="O102" s="90">
        <v>5.3760000000000003</v>
      </c>
      <c r="P102" s="90">
        <v>1.2609999999999999</v>
      </c>
      <c r="Q102" s="90">
        <v>6.2709999999999999</v>
      </c>
      <c r="R102" s="90">
        <v>4.7729999999999997</v>
      </c>
      <c r="S102" s="90">
        <v>5.4290000000000003</v>
      </c>
      <c r="T102" s="90">
        <v>-0.93799999999999994</v>
      </c>
      <c r="U102" s="90">
        <v>2.4449999999999998</v>
      </c>
      <c r="V102" s="91">
        <v>4.96</v>
      </c>
      <c r="W102" s="91">
        <f t="shared" si="1"/>
        <v>7.1707427115507585</v>
      </c>
    </row>
    <row r="103" spans="1:23" x14ac:dyDescent="0.35">
      <c r="A103" s="81" t="s">
        <v>569</v>
      </c>
      <c r="B103" s="81" t="s">
        <v>664</v>
      </c>
      <c r="C103" s="89">
        <v>-1.3801179259189</v>
      </c>
      <c r="D103" s="90">
        <v>1.2027047615812192</v>
      </c>
      <c r="E103" s="91">
        <v>2.4249070445692134</v>
      </c>
      <c r="G103" s="103" t="s">
        <v>571</v>
      </c>
      <c r="H103" s="101">
        <v>86.159393229935986</v>
      </c>
      <c r="I103" s="93">
        <v>35</v>
      </c>
      <c r="J103" s="94">
        <v>1</v>
      </c>
      <c r="K103" s="81"/>
      <c r="L103" s="89">
        <v>3.4961183375797935</v>
      </c>
      <c r="M103" s="90">
        <v>3.3604061030308432</v>
      </c>
      <c r="N103" s="90">
        <v>3.7445757725785316</v>
      </c>
      <c r="O103" s="90">
        <v>3.6909999999999998</v>
      </c>
      <c r="P103" s="90">
        <v>3.8620000000000001</v>
      </c>
      <c r="Q103" s="90">
        <v>3.9380000000000002</v>
      </c>
      <c r="R103" s="90">
        <v>4.0069999999999997</v>
      </c>
      <c r="S103" s="90">
        <v>2.891</v>
      </c>
      <c r="T103" s="90">
        <v>-14.598000000000001</v>
      </c>
      <c r="U103" s="90">
        <v>3.4990000000000001</v>
      </c>
      <c r="V103" s="91">
        <v>8.3000000000000007</v>
      </c>
      <c r="W103" s="91">
        <f t="shared" si="1"/>
        <v>1.8138059030752163</v>
      </c>
    </row>
    <row r="104" spans="1:23" x14ac:dyDescent="0.35">
      <c r="A104" s="81" t="s">
        <v>573</v>
      </c>
      <c r="B104" s="81" t="s">
        <v>665</v>
      </c>
      <c r="C104" s="89">
        <v>-0.23058449292154837</v>
      </c>
      <c r="D104" s="90">
        <v>0.18053445950247937</v>
      </c>
      <c r="E104" s="91">
        <v>1.3300326593307599</v>
      </c>
      <c r="G104" s="103" t="s">
        <v>398</v>
      </c>
      <c r="H104" s="101">
        <v>70.665681404041052</v>
      </c>
      <c r="I104" s="93">
        <v>87</v>
      </c>
      <c r="J104" s="94">
        <v>11</v>
      </c>
      <c r="K104" s="81"/>
      <c r="L104" s="89">
        <v>3.6423226794134638</v>
      </c>
      <c r="M104" s="90">
        <v>1.3540919615167941</v>
      </c>
      <c r="N104" s="90">
        <v>2.8043401283809737</v>
      </c>
      <c r="O104" s="90">
        <v>3.2930000000000001</v>
      </c>
      <c r="P104" s="90">
        <v>2.6309999999999998</v>
      </c>
      <c r="Q104" s="90">
        <v>2.113</v>
      </c>
      <c r="R104" s="90">
        <v>2.1949999999999998</v>
      </c>
      <c r="S104" s="90">
        <v>-0.19900000000000001</v>
      </c>
      <c r="T104" s="90">
        <v>-7.9880000000000004</v>
      </c>
      <c r="U104" s="90">
        <v>4.7210000000000001</v>
      </c>
      <c r="V104" s="91">
        <v>3.0659999999999998</v>
      </c>
      <c r="W104" s="91">
        <f t="shared" si="1"/>
        <v>0.75528355941661962</v>
      </c>
    </row>
    <row r="105" spans="1:23" x14ac:dyDescent="0.35">
      <c r="A105" s="81" t="s">
        <v>227</v>
      </c>
      <c r="B105" s="81" t="s">
        <v>666</v>
      </c>
      <c r="C105" s="89">
        <v>-0.11659435485397163</v>
      </c>
      <c r="D105" s="90">
        <v>1.5069892590011902</v>
      </c>
      <c r="E105" s="91">
        <v>3.001683990106474</v>
      </c>
      <c r="G105" s="103" t="s">
        <v>571</v>
      </c>
      <c r="H105" s="101">
        <v>79.52270940766131</v>
      </c>
      <c r="I105" s="93">
        <v>52</v>
      </c>
      <c r="J105" s="94">
        <v>33</v>
      </c>
      <c r="K105" s="81"/>
      <c r="L105" s="89">
        <v>-0.58973412591981322</v>
      </c>
      <c r="M105" s="90">
        <v>9.0438654824314977</v>
      </c>
      <c r="N105" s="90">
        <v>4.9996256689180685</v>
      </c>
      <c r="O105" s="90">
        <v>-0.33800000000000002</v>
      </c>
      <c r="P105" s="90">
        <v>4.4089999999999998</v>
      </c>
      <c r="Q105" s="90">
        <v>4.2</v>
      </c>
      <c r="R105" s="90">
        <v>4.0999999999999996</v>
      </c>
      <c r="S105" s="90">
        <v>3.6</v>
      </c>
      <c r="T105" s="90">
        <v>-8.3000000000000007</v>
      </c>
      <c r="U105" s="90">
        <v>13.945</v>
      </c>
      <c r="V105" s="91">
        <v>-5.5759999999999996</v>
      </c>
      <c r="W105" s="91">
        <f t="shared" si="1"/>
        <v>2.2543366245538321</v>
      </c>
    </row>
    <row r="106" spans="1:23" x14ac:dyDescent="0.35">
      <c r="A106" s="81" t="s">
        <v>565</v>
      </c>
      <c r="B106" s="81" t="s">
        <v>667</v>
      </c>
      <c r="C106" s="89">
        <v>0.5652165458427838</v>
      </c>
      <c r="D106" s="90">
        <v>3.0624452280082259</v>
      </c>
      <c r="E106" s="91">
        <v>4.33160969781623</v>
      </c>
      <c r="G106" s="103" t="s">
        <v>571</v>
      </c>
      <c r="H106" s="101">
        <v>78.890549447741549</v>
      </c>
      <c r="I106" s="93">
        <v>56</v>
      </c>
      <c r="J106" s="94">
        <v>8</v>
      </c>
      <c r="K106" s="81"/>
      <c r="L106" s="89">
        <v>12.319819848483753</v>
      </c>
      <c r="M106" s="90">
        <v>11.648916189886327</v>
      </c>
      <c r="N106" s="90">
        <v>7.8852254815193961</v>
      </c>
      <c r="O106" s="90">
        <v>2.41</v>
      </c>
      <c r="P106" s="90">
        <v>1.49</v>
      </c>
      <c r="Q106" s="90">
        <v>5.6369999999999996</v>
      </c>
      <c r="R106" s="90">
        <v>7.7450000000000001</v>
      </c>
      <c r="S106" s="90">
        <v>5.6020000000000003</v>
      </c>
      <c r="T106" s="90">
        <v>-4.5579999999999998</v>
      </c>
      <c r="U106" s="90">
        <v>1.637</v>
      </c>
      <c r="V106" s="91">
        <v>4.8460000000000001</v>
      </c>
      <c r="W106" s="91">
        <f t="shared" si="1"/>
        <v>3.6970274629122279</v>
      </c>
    </row>
    <row r="107" spans="1:23" x14ac:dyDescent="0.35">
      <c r="A107" s="81" t="s">
        <v>569</v>
      </c>
      <c r="B107" s="81" t="s">
        <v>668</v>
      </c>
      <c r="C107" s="89">
        <v>2.7484311837486786</v>
      </c>
      <c r="D107" s="90">
        <v>3.8040844105169391</v>
      </c>
      <c r="E107" s="91">
        <v>4.437166103247403</v>
      </c>
      <c r="G107" s="103" t="s">
        <v>398</v>
      </c>
      <c r="H107" s="101">
        <v>76.129604349240608</v>
      </c>
      <c r="I107" s="93">
        <v>65</v>
      </c>
      <c r="J107" s="94">
        <v>4</v>
      </c>
      <c r="K107" s="81"/>
      <c r="L107" s="89">
        <v>1.2735415748875247</v>
      </c>
      <c r="M107" s="90">
        <v>4.8919045547561728</v>
      </c>
      <c r="N107" s="90">
        <v>5.1501913509219497</v>
      </c>
      <c r="O107" s="90">
        <v>4.3449999999999998</v>
      </c>
      <c r="P107" s="90">
        <v>0.52100000000000002</v>
      </c>
      <c r="Q107" s="90">
        <v>5.0579999999999998</v>
      </c>
      <c r="R107" s="90">
        <v>3.0659999999999998</v>
      </c>
      <c r="S107" s="90">
        <v>2.891</v>
      </c>
      <c r="T107" s="90">
        <v>-7.1870000000000003</v>
      </c>
      <c r="U107" s="90">
        <v>7.93</v>
      </c>
      <c r="V107" s="91">
        <v>1.135</v>
      </c>
      <c r="W107" s="91">
        <f t="shared" si="1"/>
        <v>4.1206252568821711</v>
      </c>
    </row>
    <row r="108" spans="1:23" x14ac:dyDescent="0.35">
      <c r="A108" s="81" t="s">
        <v>569</v>
      </c>
      <c r="B108" s="81" t="s">
        <v>669</v>
      </c>
      <c r="C108" s="89">
        <v>1.7345974801987962</v>
      </c>
      <c r="D108" s="90">
        <v>2.1902907307407293</v>
      </c>
      <c r="E108" s="91">
        <v>3.9391606371984134</v>
      </c>
      <c r="G108" s="103" t="s">
        <v>422</v>
      </c>
      <c r="H108" s="101">
        <v>66.134592515292979</v>
      </c>
      <c r="I108" s="93">
        <v>110</v>
      </c>
      <c r="J108" s="94">
        <v>25</v>
      </c>
      <c r="K108" s="81"/>
      <c r="L108" s="89">
        <v>7.2584392525877934</v>
      </c>
      <c r="M108" s="90">
        <v>6.9636071348707169</v>
      </c>
      <c r="N108" s="90">
        <v>7.3985127971386246</v>
      </c>
      <c r="O108" s="90">
        <v>6.7229999999999999</v>
      </c>
      <c r="P108" s="90">
        <v>3.8239999999999998</v>
      </c>
      <c r="Q108" s="90">
        <v>3.7410000000000001</v>
      </c>
      <c r="R108" s="90">
        <v>3.444</v>
      </c>
      <c r="S108" s="90">
        <v>2.3149999999999999</v>
      </c>
      <c r="T108" s="90">
        <v>-1.1990000000000001</v>
      </c>
      <c r="U108" s="90">
        <v>2.3279999999999998</v>
      </c>
      <c r="V108" s="91">
        <v>4.1479999999999997</v>
      </c>
      <c r="W108" s="91">
        <f t="shared" si="1"/>
        <v>3.0647256839695713</v>
      </c>
    </row>
    <row r="109" spans="1:23" x14ac:dyDescent="0.35">
      <c r="A109" s="81" t="s">
        <v>565</v>
      </c>
      <c r="B109" s="81" t="s">
        <v>670</v>
      </c>
      <c r="C109" s="89">
        <v>-4.7700497073887238</v>
      </c>
      <c r="D109" s="90">
        <v>-0.38368451177455132</v>
      </c>
      <c r="E109" s="91">
        <v>3.2897594501001937</v>
      </c>
      <c r="G109" s="103" t="s">
        <v>422</v>
      </c>
      <c r="H109" s="101">
        <v>65.606474585171327</v>
      </c>
      <c r="I109" s="93">
        <v>111</v>
      </c>
      <c r="J109" s="94">
        <v>22</v>
      </c>
      <c r="K109" s="81"/>
      <c r="L109" s="89">
        <v>6.4857540044064299</v>
      </c>
      <c r="M109" s="90">
        <v>7.8986694782381086</v>
      </c>
      <c r="N109" s="90">
        <v>8.1996637504261933</v>
      </c>
      <c r="O109" s="90">
        <v>7.4729999999999999</v>
      </c>
      <c r="P109" s="90">
        <v>6.4080000000000004</v>
      </c>
      <c r="Q109" s="90">
        <v>5.75</v>
      </c>
      <c r="R109" s="90">
        <v>6.4050000000000002</v>
      </c>
      <c r="S109" s="90">
        <v>6.75</v>
      </c>
      <c r="T109" s="90">
        <v>3.1890000000000001</v>
      </c>
      <c r="U109" s="90">
        <v>-17.937999999999999</v>
      </c>
      <c r="V109" s="91">
        <v>1.9710000000000001</v>
      </c>
      <c r="W109" s="91">
        <f t="shared" si="1"/>
        <v>1.4530374691628212</v>
      </c>
    </row>
    <row r="110" spans="1:23" x14ac:dyDescent="0.35">
      <c r="A110" s="81" t="s">
        <v>569</v>
      </c>
      <c r="B110" s="81" t="s">
        <v>671</v>
      </c>
      <c r="C110" s="89">
        <v>5.9000128031017951</v>
      </c>
      <c r="D110" s="90">
        <v>3.7913046668829331</v>
      </c>
      <c r="E110" s="91">
        <v>3.4125855123770643</v>
      </c>
      <c r="G110" s="103" t="s">
        <v>398</v>
      </c>
      <c r="H110" s="101">
        <v>72.202169838266542</v>
      </c>
      <c r="I110" s="93">
        <v>79</v>
      </c>
      <c r="J110" s="94">
        <v>10</v>
      </c>
      <c r="K110" s="81"/>
      <c r="L110" s="89">
        <v>5.061682013267613</v>
      </c>
      <c r="M110" s="90">
        <v>5.6147197006409399</v>
      </c>
      <c r="N110" s="90">
        <v>5.7577888470497651</v>
      </c>
      <c r="O110" s="90">
        <v>4.2640000000000002</v>
      </c>
      <c r="P110" s="90">
        <v>3.4000000000000002E-2</v>
      </c>
      <c r="Q110" s="90">
        <v>-1.0269999999999999</v>
      </c>
      <c r="R110" s="90">
        <v>1.06</v>
      </c>
      <c r="S110" s="90">
        <v>-0.83899999999999997</v>
      </c>
      <c r="T110" s="90">
        <v>-8.0359999999999996</v>
      </c>
      <c r="U110" s="90">
        <v>2.6560000000000001</v>
      </c>
      <c r="V110" s="91">
        <v>3.8420000000000001</v>
      </c>
      <c r="W110" s="91">
        <f t="shared" si="1"/>
        <v>3.6019450896299987</v>
      </c>
    </row>
    <row r="111" spans="1:23" x14ac:dyDescent="0.35">
      <c r="A111" s="81" t="s">
        <v>565</v>
      </c>
      <c r="B111" s="81" t="s">
        <v>672</v>
      </c>
      <c r="C111" s="89">
        <v>2.509308980392877</v>
      </c>
      <c r="D111" s="90">
        <v>4.3365366697670549</v>
      </c>
      <c r="E111" s="91">
        <v>4.4414058742941132</v>
      </c>
      <c r="G111" s="103" t="s">
        <v>567</v>
      </c>
      <c r="H111" s="101">
        <v>47.880656607147813</v>
      </c>
      <c r="I111" s="93">
        <v>141</v>
      </c>
      <c r="J111" s="94">
        <v>29</v>
      </c>
      <c r="K111" s="81"/>
      <c r="L111" s="89">
        <v>4.6701221485020756</v>
      </c>
      <c r="M111" s="90">
        <v>3.525153173819251</v>
      </c>
      <c r="N111" s="90">
        <v>6.0114828408077567</v>
      </c>
      <c r="O111" s="90">
        <v>3.976</v>
      </c>
      <c r="P111" s="90">
        <v>0.433</v>
      </c>
      <c r="Q111" s="90">
        <v>8.9770000000000003</v>
      </c>
      <c r="R111" s="90">
        <v>7.6219999999999999</v>
      </c>
      <c r="S111" s="90">
        <v>6.657</v>
      </c>
      <c r="T111" s="90">
        <v>-2.37</v>
      </c>
      <c r="U111" s="90">
        <v>4.2469999999999999</v>
      </c>
      <c r="V111" s="91">
        <v>5.8380000000000001</v>
      </c>
      <c r="W111" s="91">
        <f t="shared" si="1"/>
        <v>4.3889712720305845</v>
      </c>
    </row>
    <row r="112" spans="1:23" x14ac:dyDescent="0.35">
      <c r="A112" s="81" t="s">
        <v>227</v>
      </c>
      <c r="B112" s="81" t="s">
        <v>673</v>
      </c>
      <c r="C112" s="89">
        <v>1.7497887812736312</v>
      </c>
      <c r="D112" s="90">
        <v>1.8172353151896914</v>
      </c>
      <c r="E112" s="91">
        <v>1.7415218308118652</v>
      </c>
      <c r="G112" s="103" t="s">
        <v>415</v>
      </c>
      <c r="H112" s="101">
        <v>97.320188246923195</v>
      </c>
      <c r="I112" s="93">
        <v>6</v>
      </c>
      <c r="J112" s="94">
        <v>4</v>
      </c>
      <c r="K112" s="81"/>
      <c r="L112" s="89">
        <v>-1.0303540066027346</v>
      </c>
      <c r="M112" s="90">
        <v>-0.13017522863902575</v>
      </c>
      <c r="N112" s="90">
        <v>1.4233954098743582</v>
      </c>
      <c r="O112" s="90">
        <v>1.958</v>
      </c>
      <c r="P112" s="90">
        <v>2.1920000000000002</v>
      </c>
      <c r="Q112" s="90">
        <v>2.911</v>
      </c>
      <c r="R112" s="90">
        <v>2.3610000000000002</v>
      </c>
      <c r="S112" s="90">
        <v>1.956</v>
      </c>
      <c r="T112" s="90">
        <v>-3.9129999999999998</v>
      </c>
      <c r="U112" s="90">
        <v>4.883</v>
      </c>
      <c r="V112" s="91">
        <v>4.5179999999999998</v>
      </c>
      <c r="W112" s="91">
        <f t="shared" si="1"/>
        <v>1.7793785730007783</v>
      </c>
    </row>
    <row r="113" spans="1:23" x14ac:dyDescent="0.35">
      <c r="A113" s="81" t="s">
        <v>565</v>
      </c>
      <c r="B113" s="81" t="s">
        <v>674</v>
      </c>
      <c r="C113" s="89">
        <v>1.6101427265492019</v>
      </c>
      <c r="D113" s="90">
        <v>2.5126996765094445</v>
      </c>
      <c r="E113" s="91">
        <v>2.926527233523446</v>
      </c>
      <c r="G113" s="103" t="s">
        <v>415</v>
      </c>
      <c r="H113" s="101">
        <v>98.673978139326721</v>
      </c>
      <c r="I113" s="93">
        <v>1</v>
      </c>
      <c r="J113" s="94">
        <v>1</v>
      </c>
      <c r="K113" s="81"/>
      <c r="L113" s="89">
        <v>2.2395634845413639</v>
      </c>
      <c r="M113" s="90">
        <v>2.6288005896782796</v>
      </c>
      <c r="N113" s="90">
        <v>3.6255957672075687</v>
      </c>
      <c r="O113" s="90">
        <v>3.6909999999999998</v>
      </c>
      <c r="P113" s="90">
        <v>3.8839999999999999</v>
      </c>
      <c r="Q113" s="90">
        <v>3.46</v>
      </c>
      <c r="R113" s="90">
        <v>3.524</v>
      </c>
      <c r="S113" s="90">
        <v>3.0750000000000002</v>
      </c>
      <c r="T113" s="90">
        <v>-1.4770000000000001</v>
      </c>
      <c r="U113" s="90">
        <v>6.0880000000000001</v>
      </c>
      <c r="V113" s="91">
        <v>2.4350000000000001</v>
      </c>
      <c r="W113" s="91">
        <f t="shared" si="1"/>
        <v>2.7196134550164452</v>
      </c>
    </row>
    <row r="114" spans="1:23" x14ac:dyDescent="0.35">
      <c r="A114" s="81" t="s">
        <v>573</v>
      </c>
      <c r="B114" s="81" t="s">
        <v>675</v>
      </c>
      <c r="C114" s="89">
        <v>4.0750139508862748</v>
      </c>
      <c r="D114" s="90">
        <v>0.946067021483743</v>
      </c>
      <c r="E114" s="91">
        <v>2.8253976939387693</v>
      </c>
      <c r="G114" s="103" t="s">
        <v>422</v>
      </c>
      <c r="H114" s="101">
        <v>64.641996561099731</v>
      </c>
      <c r="I114" s="93">
        <v>115</v>
      </c>
      <c r="J114" s="94">
        <v>15</v>
      </c>
      <c r="K114" s="81"/>
      <c r="L114" s="89">
        <v>6.4967472990321502</v>
      </c>
      <c r="M114" s="90">
        <v>4.9267922688301464</v>
      </c>
      <c r="N114" s="90">
        <v>4.7858161704434874</v>
      </c>
      <c r="O114" s="90">
        <v>4.7919999999999998</v>
      </c>
      <c r="P114" s="90">
        <v>4.5629999999999997</v>
      </c>
      <c r="Q114" s="90">
        <v>4.6310000000000002</v>
      </c>
      <c r="R114" s="90">
        <v>-3.363</v>
      </c>
      <c r="S114" s="90">
        <v>-3.78</v>
      </c>
      <c r="T114" s="90">
        <v>-1.7889999999999999</v>
      </c>
      <c r="U114" s="90">
        <v>10.345000000000001</v>
      </c>
      <c r="V114" s="91">
        <v>4.024</v>
      </c>
      <c r="W114" s="91">
        <f t="shared" si="1"/>
        <v>1.8857323577112561</v>
      </c>
    </row>
    <row r="115" spans="1:23" x14ac:dyDescent="0.35">
      <c r="A115" s="81" t="s">
        <v>569</v>
      </c>
      <c r="B115" s="81" t="s">
        <v>676</v>
      </c>
      <c r="C115" s="89">
        <v>5.2681473931170952</v>
      </c>
      <c r="D115" s="90">
        <v>5.8171216819006277</v>
      </c>
      <c r="E115" s="91">
        <v>5.6255556295670361</v>
      </c>
      <c r="G115" s="103" t="s">
        <v>422</v>
      </c>
      <c r="H115" s="101">
        <v>68.812447501404833</v>
      </c>
      <c r="I115" s="93">
        <v>98</v>
      </c>
      <c r="J115" s="94">
        <v>19</v>
      </c>
      <c r="K115" s="81"/>
      <c r="L115" s="89">
        <v>10.599907397446637</v>
      </c>
      <c r="M115" s="90">
        <v>5.5657295960540178</v>
      </c>
      <c r="N115" s="90">
        <v>6.5644262265084619</v>
      </c>
      <c r="O115" s="90">
        <v>4.3929999999999998</v>
      </c>
      <c r="P115" s="90">
        <v>5.7409999999999997</v>
      </c>
      <c r="Q115" s="90">
        <v>5.0010000000000003</v>
      </c>
      <c r="R115" s="90">
        <v>7.0069999999999997</v>
      </c>
      <c r="S115" s="90">
        <v>6.1429999999999998</v>
      </c>
      <c r="T115" s="90">
        <v>3.55</v>
      </c>
      <c r="U115" s="90">
        <v>1.399</v>
      </c>
      <c r="V115" s="91">
        <v>11.111000000000001</v>
      </c>
      <c r="W115" s="91">
        <f t="shared" si="1"/>
        <v>5.7213386557338319</v>
      </c>
    </row>
    <row r="116" spans="1:23" x14ac:dyDescent="0.35">
      <c r="A116" s="81" t="s">
        <v>569</v>
      </c>
      <c r="B116" s="81" t="s">
        <v>677</v>
      </c>
      <c r="C116" s="89">
        <v>1.6711254984559387</v>
      </c>
      <c r="D116" s="90">
        <v>1.8286894595159531</v>
      </c>
      <c r="E116" s="91">
        <v>2.3705025942777347</v>
      </c>
      <c r="G116" s="103" t="s">
        <v>567</v>
      </c>
      <c r="H116" s="101">
        <v>54.117482987279544</v>
      </c>
      <c r="I116" s="93">
        <v>136</v>
      </c>
      <c r="J116" s="94">
        <v>35</v>
      </c>
      <c r="K116" s="81"/>
      <c r="L116" s="89">
        <v>4.2300611751055515</v>
      </c>
      <c r="M116" s="90">
        <v>6.6713353928837664</v>
      </c>
      <c r="N116" s="90">
        <v>6.3097186557238203</v>
      </c>
      <c r="O116" s="90">
        <v>2.653</v>
      </c>
      <c r="P116" s="90">
        <v>-1.617</v>
      </c>
      <c r="Q116" s="90">
        <v>0.80600000000000005</v>
      </c>
      <c r="R116" s="90">
        <v>1.923</v>
      </c>
      <c r="S116" s="90">
        <v>2.2080000000000002</v>
      </c>
      <c r="T116" s="90">
        <v>-1.794</v>
      </c>
      <c r="U116" s="90">
        <v>3.6469999999999998</v>
      </c>
      <c r="V116" s="91">
        <v>3.2519999999999998</v>
      </c>
      <c r="W116" s="91">
        <f t="shared" si="1"/>
        <v>2.0995960268968439</v>
      </c>
    </row>
    <row r="117" spans="1:23" x14ac:dyDescent="0.35">
      <c r="A117" s="81" t="s">
        <v>227</v>
      </c>
      <c r="B117" s="81" t="s">
        <v>678</v>
      </c>
      <c r="C117" s="89">
        <v>-7.5001429328758196E-2</v>
      </c>
      <c r="D117" s="90">
        <v>1.3021650287798892</v>
      </c>
      <c r="E117" s="91">
        <v>2.0797979747829265</v>
      </c>
      <c r="G117" s="103" t="s">
        <v>571</v>
      </c>
      <c r="H117" s="101">
        <v>78.35616814320835</v>
      </c>
      <c r="I117" s="93">
        <v>58</v>
      </c>
      <c r="J117" s="94">
        <v>35</v>
      </c>
      <c r="K117" s="81"/>
      <c r="L117" s="89">
        <v>-0.45618322360793873</v>
      </c>
      <c r="M117" s="90">
        <v>2.9252576645048585</v>
      </c>
      <c r="N117" s="90">
        <v>3.6291235127637393</v>
      </c>
      <c r="O117" s="90">
        <v>3.8559999999999999</v>
      </c>
      <c r="P117" s="90">
        <v>2.8479999999999999</v>
      </c>
      <c r="Q117" s="90">
        <v>1.0820000000000001</v>
      </c>
      <c r="R117" s="90">
        <v>2.8809999999999998</v>
      </c>
      <c r="S117" s="90">
        <v>3.91</v>
      </c>
      <c r="T117" s="90">
        <v>-4.6879999999999997</v>
      </c>
      <c r="U117" s="90">
        <v>3.931</v>
      </c>
      <c r="V117" s="91">
        <v>2.2170000000000001</v>
      </c>
      <c r="W117" s="91">
        <f t="shared" si="1"/>
        <v>1.6909815017814078</v>
      </c>
    </row>
    <row r="118" spans="1:23" x14ac:dyDescent="0.35">
      <c r="A118" s="81" t="s">
        <v>227</v>
      </c>
      <c r="B118" s="81" t="s">
        <v>679</v>
      </c>
      <c r="C118" s="89">
        <v>2.1276786032802697</v>
      </c>
      <c r="D118" s="90">
        <v>2.0038500872442633</v>
      </c>
      <c r="E118" s="91">
        <v>1.8376731142071945</v>
      </c>
      <c r="G118" s="103" t="s">
        <v>415</v>
      </c>
      <c r="H118" s="101">
        <v>96.569623372049904</v>
      </c>
      <c r="I118" s="93">
        <v>10</v>
      </c>
      <c r="J118" s="94">
        <v>8</v>
      </c>
      <c r="K118" s="81"/>
      <c r="L118" s="89">
        <v>2.7030738548426481</v>
      </c>
      <c r="M118" s="90">
        <v>1.0340729135363009</v>
      </c>
      <c r="N118" s="90">
        <v>1.9695443007938924</v>
      </c>
      <c r="O118" s="90">
        <v>1.857</v>
      </c>
      <c r="P118" s="90">
        <v>1.165</v>
      </c>
      <c r="Q118" s="90">
        <v>2.464</v>
      </c>
      <c r="R118" s="90">
        <v>0.82899999999999996</v>
      </c>
      <c r="S118" s="90">
        <v>1.1240000000000001</v>
      </c>
      <c r="T118" s="90">
        <v>-1.278</v>
      </c>
      <c r="U118" s="90">
        <v>3.8980000000000001</v>
      </c>
      <c r="V118" s="91">
        <v>3.2810000000000001</v>
      </c>
      <c r="W118" s="91">
        <f t="shared" si="1"/>
        <v>1.9207616007257289</v>
      </c>
    </row>
    <row r="119" spans="1:23" x14ac:dyDescent="0.35">
      <c r="A119" s="81" t="s">
        <v>580</v>
      </c>
      <c r="B119" s="81" t="s">
        <v>680</v>
      </c>
      <c r="C119" s="89">
        <v>1.2841572452507943</v>
      </c>
      <c r="D119" s="90">
        <v>3.5695383112497314</v>
      </c>
      <c r="E119" s="91">
        <v>3.4884405409466579</v>
      </c>
      <c r="G119" s="103" t="s">
        <v>571</v>
      </c>
      <c r="H119" s="101">
        <v>83.929015692724803</v>
      </c>
      <c r="I119" s="93">
        <v>38</v>
      </c>
      <c r="J119" s="94">
        <v>3</v>
      </c>
      <c r="K119" s="81"/>
      <c r="L119" s="89">
        <v>9.3317368265983944</v>
      </c>
      <c r="M119" s="90">
        <v>4.373453291056836</v>
      </c>
      <c r="N119" s="90">
        <v>2.7522002596044053</v>
      </c>
      <c r="O119" s="90">
        <v>5.0170000000000003</v>
      </c>
      <c r="P119" s="90">
        <v>5.0460000000000003</v>
      </c>
      <c r="Q119" s="90">
        <v>0.30399999999999999</v>
      </c>
      <c r="R119" s="90">
        <v>1.2869999999999999</v>
      </c>
      <c r="S119" s="90">
        <v>-1.1299999999999999</v>
      </c>
      <c r="T119" s="90">
        <v>-3.2</v>
      </c>
      <c r="U119" s="90">
        <v>2.9020000000000001</v>
      </c>
      <c r="V119" s="91">
        <v>4.3109999999999999</v>
      </c>
      <c r="W119" s="91">
        <f t="shared" si="1"/>
        <v>3.5289894260981947</v>
      </c>
    </row>
    <row r="120" spans="1:23" x14ac:dyDescent="0.35">
      <c r="A120" s="81" t="s">
        <v>565</v>
      </c>
      <c r="B120" s="81" t="s">
        <v>681</v>
      </c>
      <c r="C120" s="89">
        <v>-2.8988961286927073</v>
      </c>
      <c r="D120" s="90">
        <v>0.9425802646799708</v>
      </c>
      <c r="E120" s="91">
        <v>2.8446311877570185</v>
      </c>
      <c r="G120" s="103" t="s">
        <v>398</v>
      </c>
      <c r="H120" s="101">
        <v>69.599146780385112</v>
      </c>
      <c r="I120" s="93">
        <v>90</v>
      </c>
      <c r="J120" s="94">
        <v>17</v>
      </c>
      <c r="K120" s="81"/>
      <c r="L120" s="89">
        <v>2.8731257161786412</v>
      </c>
      <c r="M120" s="90">
        <v>4.4745926000517917</v>
      </c>
      <c r="N120" s="90">
        <v>5.7909341243793389</v>
      </c>
      <c r="O120" s="90">
        <v>4.0579999999999998</v>
      </c>
      <c r="P120" s="90">
        <v>4.5629999999999997</v>
      </c>
      <c r="Q120" s="90">
        <v>4.609</v>
      </c>
      <c r="R120" s="90">
        <v>6.0960000000000001</v>
      </c>
      <c r="S120" s="90">
        <v>3.12</v>
      </c>
      <c r="T120" s="90">
        <v>-0.94299999999999995</v>
      </c>
      <c r="U120" s="90">
        <v>5.742</v>
      </c>
      <c r="V120" s="91">
        <v>5.9669999999999996</v>
      </c>
      <c r="W120" s="91">
        <f t="shared" si="1"/>
        <v>1.8936057262184947</v>
      </c>
    </row>
    <row r="121" spans="1:23" x14ac:dyDescent="0.35">
      <c r="A121" s="81" t="s">
        <v>573</v>
      </c>
      <c r="B121" s="81" t="s">
        <v>682</v>
      </c>
      <c r="C121" s="89">
        <v>1.349334889011633</v>
      </c>
      <c r="D121" s="90">
        <v>2.1324418529624634</v>
      </c>
      <c r="E121" s="91">
        <v>3.875737232948695</v>
      </c>
      <c r="G121" s="103" t="s">
        <v>422</v>
      </c>
      <c r="H121" s="101">
        <v>61.957917699729606</v>
      </c>
      <c r="I121" s="93">
        <v>122</v>
      </c>
      <c r="J121" s="94">
        <v>19</v>
      </c>
      <c r="K121" s="81"/>
      <c r="L121" s="89">
        <v>9.7789039456094482</v>
      </c>
      <c r="M121" s="90">
        <v>6.9032725658169563</v>
      </c>
      <c r="N121" s="90">
        <v>5.0667432180278205</v>
      </c>
      <c r="O121" s="90">
        <v>5.7329999999999997</v>
      </c>
      <c r="P121" s="90">
        <v>4.9530000000000003</v>
      </c>
      <c r="Q121" s="90">
        <v>5.5910000000000002</v>
      </c>
      <c r="R121" s="90">
        <v>3.6850000000000001</v>
      </c>
      <c r="S121" s="90">
        <v>2.98</v>
      </c>
      <c r="T121" s="90">
        <v>-17.945</v>
      </c>
      <c r="U121" s="90">
        <v>15.336</v>
      </c>
      <c r="V121" s="91">
        <v>10</v>
      </c>
      <c r="W121" s="91">
        <f t="shared" si="1"/>
        <v>3.0040895429555792</v>
      </c>
    </row>
    <row r="122" spans="1:23" x14ac:dyDescent="0.35">
      <c r="A122" s="81" t="s">
        <v>565</v>
      </c>
      <c r="B122" s="81" t="s">
        <v>683</v>
      </c>
      <c r="C122" s="89">
        <v>0.50696592980361554</v>
      </c>
      <c r="D122" s="90">
        <v>1.127965129390196</v>
      </c>
      <c r="E122" s="91">
        <v>3.7955054005958777</v>
      </c>
      <c r="G122" s="103" t="s">
        <v>567</v>
      </c>
      <c r="H122" s="101">
        <v>55.401075093758223</v>
      </c>
      <c r="I122" s="93">
        <v>131</v>
      </c>
      <c r="J122" s="94">
        <v>27</v>
      </c>
      <c r="K122" s="81"/>
      <c r="L122" s="89">
        <v>4.6571195968623904</v>
      </c>
      <c r="M122" s="90">
        <v>3.8249463280067437</v>
      </c>
      <c r="N122" s="90">
        <v>13.543770621654581</v>
      </c>
      <c r="O122" s="90">
        <v>6.5759999999999996</v>
      </c>
      <c r="P122" s="90">
        <v>5.492</v>
      </c>
      <c r="Q122" s="90">
        <v>3.5350000000000001</v>
      </c>
      <c r="R122" s="90">
        <v>-0.27900000000000003</v>
      </c>
      <c r="S122" s="90">
        <v>4.4800000000000004</v>
      </c>
      <c r="T122" s="90">
        <v>-3.1669999999999998</v>
      </c>
      <c r="U122" s="90">
        <v>7.0000000000000007E-2</v>
      </c>
      <c r="V122" s="91">
        <v>4.5359999999999996</v>
      </c>
      <c r="W122" s="91">
        <f t="shared" si="1"/>
        <v>2.4617352649930369</v>
      </c>
    </row>
    <row r="123" spans="1:23" x14ac:dyDescent="0.35">
      <c r="A123" s="81" t="s">
        <v>573</v>
      </c>
      <c r="B123" s="81" t="s">
        <v>684</v>
      </c>
      <c r="C123" s="89">
        <v>1.1388134852348575</v>
      </c>
      <c r="D123" s="90">
        <v>1.2311721995777125</v>
      </c>
      <c r="E123" s="91">
        <v>3.152890592174673</v>
      </c>
      <c r="G123" s="103" t="s">
        <v>422</v>
      </c>
      <c r="H123" s="101">
        <v>63.814130726333779</v>
      </c>
      <c r="I123" s="93">
        <v>118</v>
      </c>
      <c r="J123" s="94">
        <v>17</v>
      </c>
      <c r="K123" s="81"/>
      <c r="L123" s="89">
        <v>-0.53851294250305837</v>
      </c>
      <c r="M123" s="90">
        <v>8.4174952847030529</v>
      </c>
      <c r="N123" s="90">
        <v>4.8608903705532152</v>
      </c>
      <c r="O123" s="90">
        <v>2.9569999999999999</v>
      </c>
      <c r="P123" s="90">
        <v>4.2679999999999998</v>
      </c>
      <c r="Q123" s="90">
        <v>4.8099999999999996</v>
      </c>
      <c r="R123" s="90">
        <v>3.2040000000000002</v>
      </c>
      <c r="S123" s="90">
        <v>-0.40200000000000002</v>
      </c>
      <c r="T123" s="90">
        <v>-0.82</v>
      </c>
      <c r="U123" s="90">
        <v>4.0170000000000003</v>
      </c>
      <c r="V123" s="91">
        <v>0.2</v>
      </c>
      <c r="W123" s="91">
        <f t="shared" si="1"/>
        <v>2.1920313958761928</v>
      </c>
    </row>
    <row r="124" spans="1:23" x14ac:dyDescent="0.35">
      <c r="A124" s="81" t="s">
        <v>573</v>
      </c>
      <c r="B124" s="81" t="s">
        <v>685</v>
      </c>
      <c r="C124" s="89">
        <v>1.205712245399182</v>
      </c>
      <c r="D124" s="90">
        <v>1.959755918859285</v>
      </c>
      <c r="E124" s="91">
        <v>2.7687545080362863</v>
      </c>
      <c r="G124" s="103" t="s">
        <v>422</v>
      </c>
      <c r="H124" s="101">
        <v>62.494421901152251</v>
      </c>
      <c r="I124" s="93">
        <v>121</v>
      </c>
      <c r="J124" s="94">
        <v>18</v>
      </c>
      <c r="K124" s="81"/>
      <c r="L124" s="89">
        <v>6.1397247056043467</v>
      </c>
      <c r="M124" s="90">
        <v>5.8525182108492944</v>
      </c>
      <c r="N124" s="90">
        <v>2.3821573718054045</v>
      </c>
      <c r="O124" s="90">
        <v>3.2519999999999998</v>
      </c>
      <c r="P124" s="90">
        <v>3.9529999999999998</v>
      </c>
      <c r="Q124" s="90">
        <v>2.5190000000000001</v>
      </c>
      <c r="R124" s="90">
        <v>3.9769999999999999</v>
      </c>
      <c r="S124" s="90">
        <v>2.2330000000000001</v>
      </c>
      <c r="T124" s="90">
        <v>-11.013999999999999</v>
      </c>
      <c r="U124" s="90">
        <v>13.551</v>
      </c>
      <c r="V124" s="91">
        <v>2.7010000000000001</v>
      </c>
      <c r="W124" s="91">
        <f t="shared" si="1"/>
        <v>2.3642552134477857</v>
      </c>
    </row>
    <row r="125" spans="1:23" x14ac:dyDescent="0.35">
      <c r="A125" s="81" t="s">
        <v>565</v>
      </c>
      <c r="B125" s="81" t="s">
        <v>686</v>
      </c>
      <c r="C125" s="89">
        <v>0.96069279950485864</v>
      </c>
      <c r="D125" s="90">
        <v>3.0362820733681239</v>
      </c>
      <c r="E125" s="91">
        <v>4.8545875775876546</v>
      </c>
      <c r="G125" s="103" t="s">
        <v>398</v>
      </c>
      <c r="H125" s="101">
        <v>74.806556985260698</v>
      </c>
      <c r="I125" s="93">
        <v>69</v>
      </c>
      <c r="J125" s="94">
        <v>10</v>
      </c>
      <c r="K125" s="81"/>
      <c r="L125" s="89">
        <v>6.8969517105747951</v>
      </c>
      <c r="M125" s="90">
        <v>6.7505313017782687</v>
      </c>
      <c r="N125" s="90">
        <v>6.3479874825028357</v>
      </c>
      <c r="O125" s="90">
        <v>6.3479999999999999</v>
      </c>
      <c r="P125" s="90">
        <v>7.149</v>
      </c>
      <c r="Q125" s="90">
        <v>6.931</v>
      </c>
      <c r="R125" s="90">
        <v>6.3410000000000002</v>
      </c>
      <c r="S125" s="90">
        <v>6.1189999999999998</v>
      </c>
      <c r="T125" s="90">
        <v>-9.5180000000000007</v>
      </c>
      <c r="U125" s="90">
        <v>5.7030000000000003</v>
      </c>
      <c r="V125" s="91">
        <v>7.5990000000000002</v>
      </c>
      <c r="W125" s="91">
        <f t="shared" si="1"/>
        <v>3.9454348254778893</v>
      </c>
    </row>
    <row r="126" spans="1:23" x14ac:dyDescent="0.35">
      <c r="A126" s="81" t="s">
        <v>227</v>
      </c>
      <c r="B126" s="81" t="s">
        <v>687</v>
      </c>
      <c r="C126" s="89">
        <v>3.162865203018228</v>
      </c>
      <c r="D126" s="90">
        <v>3.8363783613865499</v>
      </c>
      <c r="E126" s="91">
        <v>3.5697088266716248</v>
      </c>
      <c r="G126" s="103" t="s">
        <v>571</v>
      </c>
      <c r="H126" s="101">
        <v>85.420553644487129</v>
      </c>
      <c r="I126" s="93">
        <v>36</v>
      </c>
      <c r="J126" s="94">
        <v>23</v>
      </c>
      <c r="K126" s="81"/>
      <c r="L126" s="89">
        <v>1.6079066445646626</v>
      </c>
      <c r="M126" s="90">
        <v>1.3918923212492256</v>
      </c>
      <c r="N126" s="90">
        <v>3.3184475370007722</v>
      </c>
      <c r="O126" s="90">
        <v>4.383</v>
      </c>
      <c r="P126" s="90">
        <v>2.9540000000000002</v>
      </c>
      <c r="Q126" s="90">
        <v>5.14</v>
      </c>
      <c r="R126" s="90">
        <v>5.9450000000000003</v>
      </c>
      <c r="S126" s="90">
        <v>4.45</v>
      </c>
      <c r="T126" s="90">
        <v>-2.02</v>
      </c>
      <c r="U126" s="90">
        <v>6.8479999999999999</v>
      </c>
      <c r="V126" s="91">
        <v>4.8739999999999997</v>
      </c>
      <c r="W126" s="91">
        <f t="shared" si="1"/>
        <v>3.7030435940290873</v>
      </c>
    </row>
    <row r="127" spans="1:23" x14ac:dyDescent="0.35">
      <c r="A127" s="81" t="s">
        <v>227</v>
      </c>
      <c r="B127" s="81" t="s">
        <v>688</v>
      </c>
      <c r="C127" s="89">
        <v>1.0661443105445922</v>
      </c>
      <c r="D127" s="90">
        <v>1.7172276328006886</v>
      </c>
      <c r="E127" s="91">
        <v>1.5719478894561822</v>
      </c>
      <c r="G127" s="103" t="s">
        <v>415</v>
      </c>
      <c r="H127" s="101">
        <v>91.026987497789847</v>
      </c>
      <c r="I127" s="93">
        <v>25</v>
      </c>
      <c r="J127" s="94">
        <v>16</v>
      </c>
      <c r="K127" s="81"/>
      <c r="L127" s="89">
        <v>-4.0572943594235547</v>
      </c>
      <c r="M127" s="90">
        <v>-0.92264378725787455</v>
      </c>
      <c r="N127" s="90">
        <v>0.79219053837650444</v>
      </c>
      <c r="O127" s="90">
        <v>1.792</v>
      </c>
      <c r="P127" s="90">
        <v>2.0190000000000001</v>
      </c>
      <c r="Q127" s="90">
        <v>3.5059999999999998</v>
      </c>
      <c r="R127" s="90">
        <v>2.8490000000000002</v>
      </c>
      <c r="S127" s="90">
        <v>2.6829999999999998</v>
      </c>
      <c r="T127" s="90">
        <v>-8.3010000000000002</v>
      </c>
      <c r="U127" s="90">
        <v>5.5030000000000001</v>
      </c>
      <c r="V127" s="91">
        <v>6.726</v>
      </c>
      <c r="W127" s="91">
        <f t="shared" si="1"/>
        <v>1.6445877611284354</v>
      </c>
    </row>
    <row r="128" spans="1:23" x14ac:dyDescent="0.35">
      <c r="A128" s="81" t="s">
        <v>580</v>
      </c>
      <c r="B128" s="81" t="s">
        <v>689</v>
      </c>
      <c r="C128" s="89">
        <v>0.67674745765720079</v>
      </c>
      <c r="D128" s="90">
        <v>0.80775193577011795</v>
      </c>
      <c r="E128" s="91">
        <v>2.0997114519337501</v>
      </c>
      <c r="G128" s="103" t="s">
        <v>571</v>
      </c>
      <c r="H128" s="101">
        <v>78.783055534449289</v>
      </c>
      <c r="I128" s="93">
        <v>57</v>
      </c>
      <c r="J128" s="94">
        <v>6</v>
      </c>
      <c r="K128" s="81"/>
      <c r="L128" s="89">
        <v>4.730011843607838</v>
      </c>
      <c r="M128" s="90">
        <v>5.5560406430660754</v>
      </c>
      <c r="N128" s="90">
        <v>5.3343232919645871</v>
      </c>
      <c r="O128" s="90">
        <v>4.7530000000000001</v>
      </c>
      <c r="P128" s="90">
        <v>3.0640000000000001</v>
      </c>
      <c r="Q128" s="90">
        <v>-1.498</v>
      </c>
      <c r="R128" s="90">
        <v>1.2350000000000001</v>
      </c>
      <c r="S128" s="90">
        <v>0.68799999999999994</v>
      </c>
      <c r="T128" s="90">
        <v>-3.5579999999999998</v>
      </c>
      <c r="U128" s="90">
        <v>1.589</v>
      </c>
      <c r="V128" s="91">
        <v>4.2409999999999997</v>
      </c>
      <c r="W128" s="91">
        <f t="shared" si="1"/>
        <v>1.453731693851934</v>
      </c>
    </row>
    <row r="129" spans="1:23" x14ac:dyDescent="0.35">
      <c r="A129" s="81" t="s">
        <v>227</v>
      </c>
      <c r="B129" s="81" t="s">
        <v>690</v>
      </c>
      <c r="C129" s="89">
        <v>1.9886029006319417</v>
      </c>
      <c r="D129" s="90">
        <v>2.9733514596169686</v>
      </c>
      <c r="E129" s="91">
        <v>3.7501787507027151</v>
      </c>
      <c r="G129" s="103" t="s">
        <v>571</v>
      </c>
      <c r="H129" s="101">
        <v>84.261081453729389</v>
      </c>
      <c r="I129" s="93">
        <v>37</v>
      </c>
      <c r="J129" s="94">
        <v>24</v>
      </c>
      <c r="K129" s="81"/>
      <c r="L129" s="89">
        <v>2.0771650065377472</v>
      </c>
      <c r="M129" s="90">
        <v>3.5145518040847694</v>
      </c>
      <c r="N129" s="90">
        <v>3.4108091001793088</v>
      </c>
      <c r="O129" s="90">
        <v>3.1629999999999998</v>
      </c>
      <c r="P129" s="90">
        <v>2.8530000000000002</v>
      </c>
      <c r="Q129" s="90">
        <v>8.2129999999999992</v>
      </c>
      <c r="R129" s="90">
        <v>6.03</v>
      </c>
      <c r="S129" s="90">
        <v>3.8439999999999999</v>
      </c>
      <c r="T129" s="90">
        <v>-3.6920000000000002</v>
      </c>
      <c r="U129" s="90">
        <v>5.8739999999999997</v>
      </c>
      <c r="V129" s="91">
        <v>4.7910000000000004</v>
      </c>
      <c r="W129" s="91">
        <f t="shared" si="1"/>
        <v>3.3617651051598418</v>
      </c>
    </row>
    <row r="130" spans="1:23" x14ac:dyDescent="0.35">
      <c r="A130" s="81" t="s">
        <v>227</v>
      </c>
      <c r="B130" s="81" t="s">
        <v>691</v>
      </c>
      <c r="C130" s="89">
        <v>0.31321455831558875</v>
      </c>
      <c r="D130" s="90">
        <v>1.1211784185926943</v>
      </c>
      <c r="E130" s="91">
        <v>0.80914098391451361</v>
      </c>
      <c r="G130" s="103" t="s">
        <v>398</v>
      </c>
      <c r="H130" s="101">
        <v>76.528749373407479</v>
      </c>
      <c r="I130" s="93">
        <v>64</v>
      </c>
      <c r="J130" s="94">
        <v>36</v>
      </c>
      <c r="K130" s="81"/>
      <c r="L130" s="89">
        <v>4.0240861571797915</v>
      </c>
      <c r="M130" s="90">
        <v>1.7554221491628001</v>
      </c>
      <c r="N130" s="90">
        <v>0.736267221403759</v>
      </c>
      <c r="O130" s="90">
        <v>-1.9730000000000001</v>
      </c>
      <c r="P130" s="90">
        <v>0.19400000000000001</v>
      </c>
      <c r="Q130" s="90">
        <v>1.8260000000000001</v>
      </c>
      <c r="R130" s="90">
        <v>2.8069999999999999</v>
      </c>
      <c r="S130" s="90">
        <v>2.198</v>
      </c>
      <c r="T130" s="90">
        <v>-2.6539999999999999</v>
      </c>
      <c r="U130" s="90">
        <v>5.6239999999999997</v>
      </c>
      <c r="V130" s="91">
        <v>-2.0510000000000002</v>
      </c>
      <c r="W130" s="91">
        <f t="shared" si="1"/>
        <v>0.96515970125360395</v>
      </c>
    </row>
    <row r="131" spans="1:23" x14ac:dyDescent="0.35">
      <c r="A131" s="81" t="s">
        <v>569</v>
      </c>
      <c r="B131" s="81" t="s">
        <v>692</v>
      </c>
      <c r="C131" s="89">
        <v>4.5886571318858538</v>
      </c>
      <c r="D131" s="90">
        <v>6.3388189685080754</v>
      </c>
      <c r="E131" s="91">
        <v>6.1347836953729917</v>
      </c>
      <c r="G131" s="103" t="s">
        <v>398</v>
      </c>
      <c r="H131" s="101">
        <v>76.577775011818801</v>
      </c>
      <c r="I131" s="93">
        <v>63</v>
      </c>
      <c r="J131" s="94">
        <v>3</v>
      </c>
      <c r="K131" s="81"/>
      <c r="L131" s="89">
        <v>8.6415388651712988</v>
      </c>
      <c r="M131" s="90">
        <v>4.7198554996618309</v>
      </c>
      <c r="N131" s="90">
        <v>6.1642772027561934</v>
      </c>
      <c r="O131" s="90">
        <v>8.8539999999999992</v>
      </c>
      <c r="P131" s="90">
        <v>5.9720000000000004</v>
      </c>
      <c r="Q131" s="90">
        <v>3.9729999999999999</v>
      </c>
      <c r="R131" s="90">
        <v>8.5779999999999994</v>
      </c>
      <c r="S131" s="90">
        <v>9.4689999999999994</v>
      </c>
      <c r="T131" s="90">
        <v>-3.3570000000000002</v>
      </c>
      <c r="U131" s="90">
        <v>10.874000000000001</v>
      </c>
      <c r="V131" s="91">
        <v>6.7629999999999999</v>
      </c>
      <c r="W131" s="91">
        <f t="shared" si="1"/>
        <v>6.2368013319405335</v>
      </c>
    </row>
    <row r="132" spans="1:23" x14ac:dyDescent="0.35">
      <c r="A132" s="81" t="s">
        <v>580</v>
      </c>
      <c r="B132" s="81" t="s">
        <v>693</v>
      </c>
      <c r="C132" s="89">
        <v>2.4790435166051283</v>
      </c>
      <c r="D132" s="90">
        <v>2.0533451948943071</v>
      </c>
      <c r="E132" s="91">
        <v>2.158001329255721</v>
      </c>
      <c r="G132" s="103" t="s">
        <v>571</v>
      </c>
      <c r="H132" s="101">
        <v>76.963439522680929</v>
      </c>
      <c r="I132" s="93">
        <v>61</v>
      </c>
      <c r="J132" s="94">
        <v>8</v>
      </c>
      <c r="K132" s="81"/>
      <c r="L132" s="89">
        <v>5.4114449021643543</v>
      </c>
      <c r="M132" s="90">
        <v>2.6992547225567329</v>
      </c>
      <c r="N132" s="90">
        <v>3.6524816975790095</v>
      </c>
      <c r="O132" s="90">
        <v>4.6900000000000004</v>
      </c>
      <c r="P132" s="90">
        <v>2.363</v>
      </c>
      <c r="Q132" s="90">
        <v>-7.0000000000000007E-2</v>
      </c>
      <c r="R132" s="90">
        <v>2.762</v>
      </c>
      <c r="S132" s="90">
        <v>0.83199999999999996</v>
      </c>
      <c r="T132" s="90">
        <v>-4.3410000000000002</v>
      </c>
      <c r="U132" s="90">
        <v>3.9220000000000002</v>
      </c>
      <c r="V132" s="91">
        <v>8.7439999999999998</v>
      </c>
      <c r="W132" s="91">
        <f t="shared" si="1"/>
        <v>2.105673262075014</v>
      </c>
    </row>
    <row r="133" spans="1:23" x14ac:dyDescent="0.35">
      <c r="A133" s="81" t="s">
        <v>569</v>
      </c>
      <c r="B133" s="81" t="s">
        <v>694</v>
      </c>
      <c r="C133" s="89">
        <v>4.0137946463164598</v>
      </c>
      <c r="D133" s="90">
        <v>4.5694149693751296</v>
      </c>
      <c r="E133" s="91">
        <v>5.2331571951220512</v>
      </c>
      <c r="G133" s="103" t="s">
        <v>398</v>
      </c>
      <c r="H133" s="101">
        <v>69.313365081609845</v>
      </c>
      <c r="I133" s="93">
        <v>93</v>
      </c>
      <c r="J133" s="94">
        <v>15</v>
      </c>
      <c r="K133" s="81"/>
      <c r="L133" s="89">
        <v>5.1173942367478444</v>
      </c>
      <c r="M133" s="90">
        <v>2.8221056497235883</v>
      </c>
      <c r="N133" s="90">
        <v>6.6135001033739647</v>
      </c>
      <c r="O133" s="90">
        <v>6.367</v>
      </c>
      <c r="P133" s="90">
        <v>6.3559999999999999</v>
      </c>
      <c r="Q133" s="90">
        <v>7.407</v>
      </c>
      <c r="R133" s="90">
        <v>6.2089999999999996</v>
      </c>
      <c r="S133" s="90">
        <v>4.6139999999999999</v>
      </c>
      <c r="T133" s="90">
        <v>1.3260000000000001</v>
      </c>
      <c r="U133" s="90">
        <v>6.0670000000000002</v>
      </c>
      <c r="V133" s="91">
        <v>4.7089999999999996</v>
      </c>
      <c r="W133" s="91">
        <f t="shared" si="1"/>
        <v>4.9012860822485909</v>
      </c>
    </row>
    <row r="134" spans="1:23" x14ac:dyDescent="0.35">
      <c r="A134" s="81" t="s">
        <v>227</v>
      </c>
      <c r="B134" s="81" t="s">
        <v>695</v>
      </c>
      <c r="C134" s="89">
        <v>2.9071913241700997</v>
      </c>
      <c r="D134" s="90">
        <v>3.5107747978878168</v>
      </c>
      <c r="E134" s="91">
        <v>2.5987412011468258</v>
      </c>
      <c r="G134" s="103" t="s">
        <v>398</v>
      </c>
      <c r="H134" s="101">
        <v>74.50245157918026</v>
      </c>
      <c r="I134" s="93">
        <v>71</v>
      </c>
      <c r="J134" s="94">
        <v>38</v>
      </c>
      <c r="K134" s="81"/>
      <c r="L134" s="89">
        <v>-0.68154236933475798</v>
      </c>
      <c r="M134" s="90">
        <v>2.892636733558092</v>
      </c>
      <c r="N134" s="90">
        <v>-1.5895103199025831</v>
      </c>
      <c r="O134" s="90">
        <v>1.776</v>
      </c>
      <c r="P134" s="90">
        <v>3.339</v>
      </c>
      <c r="Q134" s="90">
        <v>2.101</v>
      </c>
      <c r="R134" s="90">
        <v>4.4950000000000001</v>
      </c>
      <c r="S134" s="90">
        <v>4.3319999999999999</v>
      </c>
      <c r="T134" s="90">
        <v>-0.90300000000000002</v>
      </c>
      <c r="U134" s="90">
        <v>7.55</v>
      </c>
      <c r="V134" s="91">
        <v>2.2509999999999999</v>
      </c>
      <c r="W134" s="91">
        <f t="shared" si="1"/>
        <v>3.0547579995173213</v>
      </c>
    </row>
    <row r="135" spans="1:23" x14ac:dyDescent="0.35">
      <c r="A135" s="81" t="s">
        <v>569</v>
      </c>
      <c r="B135" s="81" t="s">
        <v>696</v>
      </c>
      <c r="C135" s="89">
        <v>1.6001817079933423</v>
      </c>
      <c r="D135" s="90">
        <v>2.5822705421283176</v>
      </c>
      <c r="E135" s="90">
        <v>2.323464181185142</v>
      </c>
      <c r="G135" s="103" t="s">
        <v>567</v>
      </c>
      <c r="H135" s="101">
        <v>58.993492167204309</v>
      </c>
      <c r="I135" s="93">
        <v>126</v>
      </c>
      <c r="J135" s="93">
        <v>30</v>
      </c>
      <c r="K135" s="108"/>
      <c r="L135" s="89">
        <v>15.18176908302255</v>
      </c>
      <c r="M135" s="90">
        <v>20.715768285872748</v>
      </c>
      <c r="N135" s="90">
        <v>4.5567723661529431</v>
      </c>
      <c r="O135" s="90">
        <v>-20.492999999999999</v>
      </c>
      <c r="P135" s="90">
        <v>6.3540000000000001</v>
      </c>
      <c r="Q135" s="90">
        <v>3.7650000000000001</v>
      </c>
      <c r="R135" s="90">
        <v>3.4649999999999999</v>
      </c>
      <c r="S135" s="90">
        <v>5.2539999999999996</v>
      </c>
      <c r="T135" s="90">
        <v>-1.9690000000000001</v>
      </c>
      <c r="U135" s="90">
        <v>4.1050000000000004</v>
      </c>
      <c r="V135" s="90">
        <v>2.766</v>
      </c>
      <c r="W135" s="91">
        <f t="shared" si="1"/>
        <v>2.4528673616567298</v>
      </c>
    </row>
    <row r="136" spans="1:23" x14ac:dyDescent="0.35">
      <c r="A136" s="81" t="s">
        <v>565</v>
      </c>
      <c r="B136" s="81" t="s">
        <v>697</v>
      </c>
      <c r="C136" s="89">
        <v>2.254611894692915</v>
      </c>
      <c r="D136" s="90">
        <v>2.3804077568891469</v>
      </c>
      <c r="E136" s="90">
        <v>3.1207966515608421</v>
      </c>
      <c r="G136" s="103" t="s">
        <v>415</v>
      </c>
      <c r="H136" s="101">
        <v>97.805585083414968</v>
      </c>
      <c r="I136" s="93">
        <v>4</v>
      </c>
      <c r="J136" s="93">
        <v>2</v>
      </c>
      <c r="K136" s="108"/>
      <c r="L136" s="89">
        <v>4.461608951013317</v>
      </c>
      <c r="M136" s="90">
        <v>4.8372986457609866</v>
      </c>
      <c r="N136" s="90">
        <v>3.9380027286605586</v>
      </c>
      <c r="O136" s="90">
        <v>2.9769999999999999</v>
      </c>
      <c r="P136" s="90">
        <v>3.6019999999999999</v>
      </c>
      <c r="Q136" s="90">
        <v>4.5449999999999999</v>
      </c>
      <c r="R136" s="90">
        <v>3.5750000000000002</v>
      </c>
      <c r="S136" s="90">
        <v>1.331</v>
      </c>
      <c r="T136" s="90">
        <v>-3.9009999999999998</v>
      </c>
      <c r="U136" s="90">
        <v>8.8819999999999997</v>
      </c>
      <c r="V136" s="90">
        <v>3.6469999999999998</v>
      </c>
      <c r="W136" s="91">
        <f t="shared" si="1"/>
        <v>2.7506022042249945</v>
      </c>
    </row>
    <row r="137" spans="1:23" x14ac:dyDescent="0.35">
      <c r="A137" s="81" t="s">
        <v>227</v>
      </c>
      <c r="B137" s="81" t="s">
        <v>698</v>
      </c>
      <c r="C137" s="89">
        <v>0.39781205843958389</v>
      </c>
      <c r="D137" s="90">
        <v>0.97590941056187042</v>
      </c>
      <c r="E137" s="90">
        <v>1.8214852479931931</v>
      </c>
      <c r="G137" s="103" t="s">
        <v>571</v>
      </c>
      <c r="H137" s="101">
        <v>80.276897229698847</v>
      </c>
      <c r="I137" s="93">
        <v>47</v>
      </c>
      <c r="J137" s="93">
        <v>32</v>
      </c>
      <c r="K137" s="108"/>
      <c r="L137" s="89">
        <v>1.8958108123027844</v>
      </c>
      <c r="M137" s="90">
        <v>0.67084458223160615</v>
      </c>
      <c r="N137" s="90">
        <v>2.7524343314004627</v>
      </c>
      <c r="O137" s="90">
        <v>5.1669999999999998</v>
      </c>
      <c r="P137" s="90">
        <v>1.944</v>
      </c>
      <c r="Q137" s="90">
        <v>2.9380000000000002</v>
      </c>
      <c r="R137" s="90">
        <v>4.0309999999999997</v>
      </c>
      <c r="S137" s="90">
        <v>2.5190000000000001</v>
      </c>
      <c r="T137" s="90">
        <v>-3.375</v>
      </c>
      <c r="U137" s="90">
        <v>3.0139999999999998</v>
      </c>
      <c r="V137" s="90">
        <v>1.6679999999999999</v>
      </c>
      <c r="W137" s="91">
        <f t="shared" si="1"/>
        <v>1.3986973292775318</v>
      </c>
    </row>
    <row r="138" spans="1:23" x14ac:dyDescent="0.35">
      <c r="A138" s="81" t="s">
        <v>227</v>
      </c>
      <c r="B138" s="81" t="s">
        <v>699</v>
      </c>
      <c r="C138" s="89">
        <v>2.9453399614758569</v>
      </c>
      <c r="D138" s="90">
        <v>3.265722456681952</v>
      </c>
      <c r="E138" s="90">
        <v>2.8132202997918521</v>
      </c>
      <c r="G138" s="103" t="s">
        <v>415</v>
      </c>
      <c r="H138" s="101">
        <v>88.920325519387234</v>
      </c>
      <c r="I138" s="93">
        <v>30</v>
      </c>
      <c r="J138" s="93">
        <v>19</v>
      </c>
      <c r="K138" s="108"/>
      <c r="L138" s="89">
        <v>-2.6394387292630763</v>
      </c>
      <c r="M138" s="90">
        <v>-1.029283831306939</v>
      </c>
      <c r="N138" s="90">
        <v>2.7681580195902979</v>
      </c>
      <c r="O138" s="90">
        <v>2.21</v>
      </c>
      <c r="P138" s="90">
        <v>3.1920000000000002</v>
      </c>
      <c r="Q138" s="90">
        <v>4.8159999999999998</v>
      </c>
      <c r="R138" s="90">
        <v>4.4550000000000001</v>
      </c>
      <c r="S138" s="90">
        <v>3.4510000000000001</v>
      </c>
      <c r="T138" s="90">
        <v>-4.3209999999999997</v>
      </c>
      <c r="U138" s="90">
        <v>8.2110000000000003</v>
      </c>
      <c r="V138" s="90">
        <v>5.3739999999999997</v>
      </c>
      <c r="W138" s="91">
        <f t="shared" si="1"/>
        <v>3.0394713782369021</v>
      </c>
    </row>
    <row r="139" spans="1:23" x14ac:dyDescent="0.35">
      <c r="A139" s="81" t="s">
        <v>569</v>
      </c>
      <c r="B139" s="81" t="s">
        <v>700</v>
      </c>
      <c r="C139" s="89">
        <v>8.8409433265779214E-2</v>
      </c>
      <c r="D139" s="90">
        <v>2.1857023030043443</v>
      </c>
      <c r="E139" s="90">
        <v>1.8249844059199605</v>
      </c>
      <c r="G139" s="103" t="s">
        <v>398</v>
      </c>
      <c r="H139" s="101">
        <v>75.182844770260857</v>
      </c>
      <c r="I139" s="93">
        <v>68</v>
      </c>
      <c r="J139" s="93">
        <v>5</v>
      </c>
      <c r="K139" s="108"/>
      <c r="L139" s="89">
        <v>2.2133548084844037</v>
      </c>
      <c r="M139" s="90">
        <v>2.4852005003105813</v>
      </c>
      <c r="N139" s="90">
        <v>1.8469916036571876</v>
      </c>
      <c r="O139" s="90">
        <v>1.3220000000000001</v>
      </c>
      <c r="P139" s="90">
        <v>0.66500000000000004</v>
      </c>
      <c r="Q139" s="90">
        <v>1.1579999999999999</v>
      </c>
      <c r="R139" s="90">
        <v>1.522</v>
      </c>
      <c r="S139" s="90">
        <v>0.30299999999999999</v>
      </c>
      <c r="T139" s="90">
        <v>-6.3419999999999996</v>
      </c>
      <c r="U139" s="90">
        <v>4.9130000000000003</v>
      </c>
      <c r="V139" s="90">
        <v>2.0419999999999998</v>
      </c>
      <c r="W139" s="91">
        <f t="shared" ref="W139:W165" si="2">AVERAGE(D139,E139)</f>
        <v>2.0053433544621524</v>
      </c>
    </row>
    <row r="140" spans="1:23" x14ac:dyDescent="0.35">
      <c r="A140" s="81" t="s">
        <v>227</v>
      </c>
      <c r="B140" s="81" t="s">
        <v>701</v>
      </c>
      <c r="C140" s="89">
        <v>-0.43793400391870518</v>
      </c>
      <c r="D140" s="90">
        <v>0.55931383652465527</v>
      </c>
      <c r="E140" s="90">
        <v>1.23940470018431</v>
      </c>
      <c r="G140" s="103" t="s">
        <v>415</v>
      </c>
      <c r="H140" s="101">
        <v>90.367632171249966</v>
      </c>
      <c r="I140" s="93">
        <v>27</v>
      </c>
      <c r="J140" s="93">
        <v>17</v>
      </c>
      <c r="K140" s="108"/>
      <c r="L140" s="89">
        <v>-2.9594413017355699</v>
      </c>
      <c r="M140" s="90">
        <v>-1.4353942591932869</v>
      </c>
      <c r="N140" s="90">
        <v>1.3839079426702983</v>
      </c>
      <c r="O140" s="90">
        <v>3.8370000000000002</v>
      </c>
      <c r="P140" s="90">
        <v>3.0379999999999998</v>
      </c>
      <c r="Q140" s="90">
        <v>2.9769999999999999</v>
      </c>
      <c r="R140" s="90">
        <v>2.2829999999999999</v>
      </c>
      <c r="S140" s="90">
        <v>1.9830000000000001</v>
      </c>
      <c r="T140" s="90">
        <v>-11.324999999999999</v>
      </c>
      <c r="U140" s="90">
        <v>5.5220000000000002</v>
      </c>
      <c r="V140" s="90">
        <v>5.4749999999999996</v>
      </c>
      <c r="W140" s="91">
        <f t="shared" si="2"/>
        <v>0.89935926835448265</v>
      </c>
    </row>
    <row r="141" spans="1:23" x14ac:dyDescent="0.35">
      <c r="A141" s="81" t="s">
        <v>565</v>
      </c>
      <c r="B141" s="81" t="s">
        <v>702</v>
      </c>
      <c r="C141" s="89">
        <v>-3.0583991155611168</v>
      </c>
      <c r="D141" s="90">
        <v>7.8407546755454582E-2</v>
      </c>
      <c r="E141" s="90">
        <v>2.1593525209882225</v>
      </c>
      <c r="G141" s="103" t="s">
        <v>398</v>
      </c>
      <c r="H141" s="101">
        <v>73.00518117550061</v>
      </c>
      <c r="I141" s="93">
        <v>76</v>
      </c>
      <c r="J141" s="93">
        <v>13</v>
      </c>
      <c r="K141" s="108"/>
      <c r="L141" s="89">
        <v>9.1445722464256534</v>
      </c>
      <c r="M141" s="90">
        <v>3.3957326498342781</v>
      </c>
      <c r="N141" s="90">
        <v>4.960700591697301</v>
      </c>
      <c r="O141" s="90">
        <v>4.2060000000000004</v>
      </c>
      <c r="P141" s="90">
        <v>5.0540000000000003</v>
      </c>
      <c r="Q141" s="90">
        <v>6.4610000000000003</v>
      </c>
      <c r="R141" s="90">
        <v>2.31</v>
      </c>
      <c r="S141" s="90">
        <v>-0.22</v>
      </c>
      <c r="T141" s="90">
        <v>-3.472</v>
      </c>
      <c r="U141" s="90">
        <v>3.327</v>
      </c>
      <c r="V141" s="90">
        <v>-8.6590000000000007</v>
      </c>
      <c r="W141" s="91">
        <f t="shared" si="2"/>
        <v>1.1188800338718385</v>
      </c>
    </row>
    <row r="142" spans="1:23" x14ac:dyDescent="0.35">
      <c r="A142" s="81" t="s">
        <v>569</v>
      </c>
      <c r="B142" s="81" t="s">
        <v>703</v>
      </c>
      <c r="C142" s="89">
        <v>-2.6688383810210325</v>
      </c>
      <c r="D142" s="90">
        <v>-1.5401833642449736</v>
      </c>
      <c r="E142" s="90">
        <v>1.2842213840550842</v>
      </c>
      <c r="G142" s="103" t="s">
        <v>567</v>
      </c>
      <c r="H142" s="101">
        <v>29.302112762792021</v>
      </c>
      <c r="I142" s="93">
        <v>156</v>
      </c>
      <c r="J142" s="93">
        <v>47</v>
      </c>
      <c r="K142" s="108"/>
      <c r="L142" s="89">
        <v>-1.4398357186292348</v>
      </c>
      <c r="M142" s="90">
        <v>4.3946958327458523</v>
      </c>
      <c r="N142" s="90">
        <v>2.6794256681504725</v>
      </c>
      <c r="O142" s="90">
        <v>4.9059999999999997</v>
      </c>
      <c r="P142" s="90">
        <v>4.7</v>
      </c>
      <c r="Q142" s="90">
        <v>0.76800000000000002</v>
      </c>
      <c r="R142" s="90">
        <v>-2.29</v>
      </c>
      <c r="S142" s="90">
        <v>-2.5</v>
      </c>
      <c r="T142" s="90">
        <v>-3.63</v>
      </c>
      <c r="U142" s="90">
        <v>0.5</v>
      </c>
      <c r="V142" s="90">
        <v>-2.5</v>
      </c>
      <c r="W142" s="91">
        <f t="shared" si="2"/>
        <v>-0.12798099009494468</v>
      </c>
    </row>
    <row r="143" spans="1:23" x14ac:dyDescent="0.35">
      <c r="A143" s="81" t="s">
        <v>573</v>
      </c>
      <c r="B143" s="81" t="s">
        <v>704</v>
      </c>
      <c r="C143" s="89">
        <v>-6.0912921553037958</v>
      </c>
      <c r="D143" s="90">
        <v>-2.539464764773447</v>
      </c>
      <c r="E143" s="90">
        <v>-1.6533032843941364</v>
      </c>
      <c r="G143" s="103" t="s">
        <v>398</v>
      </c>
      <c r="H143" s="101">
        <v>69.385821977853183</v>
      </c>
      <c r="I143" s="93">
        <v>92</v>
      </c>
      <c r="J143" s="93">
        <v>12</v>
      </c>
      <c r="K143" s="108"/>
      <c r="L143" s="89">
        <v>2.6903497466884523</v>
      </c>
      <c r="M143" s="90">
        <v>2.9334416518612043</v>
      </c>
      <c r="N143" s="90">
        <v>0.25550303164546423</v>
      </c>
      <c r="O143" s="90">
        <v>-3.4140000000000001</v>
      </c>
      <c r="P143" s="90">
        <v>-4.9119999999999999</v>
      </c>
      <c r="Q143" s="90">
        <v>1.5660000000000001</v>
      </c>
      <c r="R143" s="90">
        <v>4.9480000000000004</v>
      </c>
      <c r="S143" s="90">
        <v>1.0980000000000001</v>
      </c>
      <c r="T143" s="90">
        <v>-15.906000000000001</v>
      </c>
      <c r="U143" s="90">
        <v>-2.742</v>
      </c>
      <c r="V143" s="90">
        <v>1.3280000000000001</v>
      </c>
      <c r="W143" s="91">
        <f t="shared" si="2"/>
        <v>-2.0963840245837915</v>
      </c>
    </row>
    <row r="144" spans="1:23" x14ac:dyDescent="0.35">
      <c r="A144" s="81" t="s">
        <v>227</v>
      </c>
      <c r="B144" s="81" t="s">
        <v>705</v>
      </c>
      <c r="C144" s="89">
        <v>1.8041121232050594</v>
      </c>
      <c r="D144" s="90">
        <v>1.5622302939160004</v>
      </c>
      <c r="E144" s="90">
        <v>2.0743232215396867</v>
      </c>
      <c r="G144" s="103" t="s">
        <v>415</v>
      </c>
      <c r="H144" s="101">
        <v>96.904206369440487</v>
      </c>
      <c r="I144" s="93">
        <v>7</v>
      </c>
      <c r="J144" s="93">
        <v>5</v>
      </c>
      <c r="K144" s="108"/>
      <c r="L144" s="89">
        <v>-0.58830456899072281</v>
      </c>
      <c r="M144" s="90">
        <v>1.1877757159060018</v>
      </c>
      <c r="N144" s="90">
        <v>2.6577982753164227</v>
      </c>
      <c r="O144" s="90">
        <v>4.4889999999999999</v>
      </c>
      <c r="P144" s="90">
        <v>2.0710000000000002</v>
      </c>
      <c r="Q144" s="90">
        <v>2.5680000000000001</v>
      </c>
      <c r="R144" s="90">
        <v>1.95</v>
      </c>
      <c r="S144" s="90">
        <v>1.986</v>
      </c>
      <c r="T144" s="90">
        <v>-2.17</v>
      </c>
      <c r="U144" s="90">
        <v>5.3860000000000001</v>
      </c>
      <c r="V144" s="90">
        <v>2.6419999999999999</v>
      </c>
      <c r="W144" s="91">
        <f t="shared" si="2"/>
        <v>1.8182767577278436</v>
      </c>
    </row>
    <row r="145" spans="1:23" x14ac:dyDescent="0.35">
      <c r="A145" s="81" t="s">
        <v>227</v>
      </c>
      <c r="B145" s="81" t="s">
        <v>706</v>
      </c>
      <c r="C145" s="89">
        <v>1.2890197152698013</v>
      </c>
      <c r="D145" s="90">
        <v>2.1594279609995271</v>
      </c>
      <c r="E145" s="90">
        <v>1.9949438623463989</v>
      </c>
      <c r="G145" s="103" t="s">
        <v>415</v>
      </c>
      <c r="H145" s="101">
        <v>98.385388118004073</v>
      </c>
      <c r="I145" s="93">
        <v>2</v>
      </c>
      <c r="J145" s="93">
        <v>1</v>
      </c>
      <c r="K145" s="108"/>
      <c r="L145" s="89">
        <v>1.0060240943135659</v>
      </c>
      <c r="M145" s="90">
        <v>1.852039766494749</v>
      </c>
      <c r="N145" s="90">
        <v>2.4492180871562819</v>
      </c>
      <c r="O145" s="90">
        <v>1.59</v>
      </c>
      <c r="P145" s="90">
        <v>2.073</v>
      </c>
      <c r="Q145" s="90">
        <v>1.427</v>
      </c>
      <c r="R145" s="90">
        <v>2.867</v>
      </c>
      <c r="S145" s="90">
        <v>1.161</v>
      </c>
      <c r="T145" s="90">
        <v>-2.5070000000000001</v>
      </c>
      <c r="U145" s="90">
        <v>4.2210000000000001</v>
      </c>
      <c r="V145" s="90">
        <v>2.1339999999999999</v>
      </c>
      <c r="W145" s="91">
        <f t="shared" si="2"/>
        <v>2.077185911672963</v>
      </c>
    </row>
    <row r="146" spans="1:23" x14ac:dyDescent="0.35">
      <c r="A146" s="81" t="s">
        <v>565</v>
      </c>
      <c r="B146" s="81" t="s">
        <v>707</v>
      </c>
      <c r="C146" s="89">
        <v>4.1942484708972883</v>
      </c>
      <c r="D146" s="90">
        <v>3.7202264352869774</v>
      </c>
      <c r="E146" s="90">
        <v>3.3189477234561782</v>
      </c>
      <c r="G146" s="103" t="s">
        <v>398</v>
      </c>
      <c r="H146" s="101">
        <v>74.109663332036064</v>
      </c>
      <c r="I146" s="93">
        <v>72</v>
      </c>
      <c r="J146" s="93">
        <v>11</v>
      </c>
      <c r="K146" s="108"/>
      <c r="L146" s="89">
        <v>2.2704029453876053</v>
      </c>
      <c r="M146" s="90">
        <v>2.5430680885972134</v>
      </c>
      <c r="N146" s="90">
        <v>4.9538203190596066</v>
      </c>
      <c r="O146" s="90">
        <v>1.466</v>
      </c>
      <c r="P146" s="90">
        <v>2.165</v>
      </c>
      <c r="Q146" s="90">
        <v>3.3109999999999999</v>
      </c>
      <c r="R146" s="90">
        <v>2.7869999999999999</v>
      </c>
      <c r="S146" s="90">
        <v>3.0640000000000001</v>
      </c>
      <c r="T146" s="90">
        <v>3.387</v>
      </c>
      <c r="U146" s="90">
        <v>6.5279999999999996</v>
      </c>
      <c r="V146" s="90">
        <v>2.452</v>
      </c>
      <c r="W146" s="91">
        <f t="shared" si="2"/>
        <v>3.5195870793715778</v>
      </c>
    </row>
    <row r="147" spans="1:23" x14ac:dyDescent="0.35">
      <c r="A147" s="81" t="s">
        <v>565</v>
      </c>
      <c r="B147" s="81" t="s">
        <v>708</v>
      </c>
      <c r="C147" s="89">
        <v>7.1805428191797027</v>
      </c>
      <c r="D147" s="90">
        <v>7.3081795758255463</v>
      </c>
      <c r="E147" s="90">
        <v>7.0632908095879854</v>
      </c>
      <c r="G147" s="103" t="s">
        <v>422</v>
      </c>
      <c r="H147" s="101">
        <v>65.502149613905985</v>
      </c>
      <c r="I147" s="93">
        <v>113</v>
      </c>
      <c r="J147" s="93">
        <v>23</v>
      </c>
      <c r="K147" s="108"/>
      <c r="L147" s="89">
        <v>7.4999994632152305</v>
      </c>
      <c r="M147" s="90">
        <v>7.3999997470037826</v>
      </c>
      <c r="N147" s="90">
        <v>6.7000006901625362</v>
      </c>
      <c r="O147" s="90">
        <v>6</v>
      </c>
      <c r="P147" s="90">
        <v>6.9</v>
      </c>
      <c r="Q147" s="90">
        <v>7.1</v>
      </c>
      <c r="R147" s="90">
        <v>7.6</v>
      </c>
      <c r="S147" s="90">
        <v>7.4</v>
      </c>
      <c r="T147" s="90">
        <v>4.3899999999999997</v>
      </c>
      <c r="U147" s="90">
        <v>9.4</v>
      </c>
      <c r="V147" s="90">
        <v>8</v>
      </c>
      <c r="W147" s="91">
        <f t="shared" si="2"/>
        <v>7.1857351927067654</v>
      </c>
    </row>
    <row r="148" spans="1:23" x14ac:dyDescent="0.35">
      <c r="A148" s="81" t="s">
        <v>569</v>
      </c>
      <c r="B148" s="81" t="s">
        <v>709</v>
      </c>
      <c r="C148" s="89">
        <v>3.6476767570704727</v>
      </c>
      <c r="D148" s="90">
        <v>4.4330707554891102</v>
      </c>
      <c r="E148" s="90">
        <v>5.5432278987954442</v>
      </c>
      <c r="G148" s="103" t="s">
        <v>422</v>
      </c>
      <c r="H148" s="101">
        <v>68.134404341049418</v>
      </c>
      <c r="I148" s="93">
        <v>101</v>
      </c>
      <c r="J148" s="93">
        <v>21</v>
      </c>
      <c r="K148" s="108"/>
      <c r="L148" s="89">
        <v>4.500153559821273</v>
      </c>
      <c r="M148" s="90">
        <v>6.7815856006531599</v>
      </c>
      <c r="N148" s="90">
        <v>6.732461868324811</v>
      </c>
      <c r="O148" s="90">
        <v>6.1609999999999996</v>
      </c>
      <c r="P148" s="90">
        <v>6.867</v>
      </c>
      <c r="Q148" s="90">
        <v>6.7729999999999997</v>
      </c>
      <c r="R148" s="90">
        <v>6.9589999999999996</v>
      </c>
      <c r="S148" s="90">
        <v>6.9889999999999999</v>
      </c>
      <c r="T148" s="90">
        <v>4.8159999999999998</v>
      </c>
      <c r="U148" s="90">
        <v>4.9470000000000001</v>
      </c>
      <c r="V148" s="90">
        <v>4.6879999999999997</v>
      </c>
      <c r="W148" s="91">
        <f t="shared" si="2"/>
        <v>4.9881493271422777</v>
      </c>
    </row>
    <row r="149" spans="1:23" x14ac:dyDescent="0.35">
      <c r="A149" s="81" t="s">
        <v>565</v>
      </c>
      <c r="B149" s="81" t="s">
        <v>710</v>
      </c>
      <c r="C149" s="89">
        <v>-0.75178730142027028</v>
      </c>
      <c r="D149" s="90">
        <v>0.80617945124625834</v>
      </c>
      <c r="E149" s="90">
        <v>1.8254251122560072</v>
      </c>
      <c r="G149" s="103" t="s">
        <v>422</v>
      </c>
      <c r="H149" s="101">
        <v>67.301316099527455</v>
      </c>
      <c r="I149" s="93">
        <v>104</v>
      </c>
      <c r="J149" s="93">
        <v>19</v>
      </c>
      <c r="K149" s="108"/>
      <c r="L149" s="89">
        <v>7.2427962024964359</v>
      </c>
      <c r="M149" s="90">
        <v>2.6874955632055553</v>
      </c>
      <c r="N149" s="90">
        <v>0.98442510993386245</v>
      </c>
      <c r="O149" s="90">
        <v>3.1339999999999999</v>
      </c>
      <c r="P149" s="90">
        <v>3.4350000000000001</v>
      </c>
      <c r="Q149" s="90">
        <v>4.1779999999999999</v>
      </c>
      <c r="R149" s="90">
        <v>4.2229999999999999</v>
      </c>
      <c r="S149" s="90">
        <v>2.1150000000000002</v>
      </c>
      <c r="T149" s="90">
        <v>-6.1609999999999996</v>
      </c>
      <c r="U149" s="90">
        <v>1.5629999999999999</v>
      </c>
      <c r="V149" s="90">
        <v>2.6440000000000001</v>
      </c>
      <c r="W149" s="91">
        <f t="shared" si="2"/>
        <v>1.3158022817511328</v>
      </c>
    </row>
    <row r="150" spans="1:23" x14ac:dyDescent="0.35">
      <c r="A150" s="81" t="s">
        <v>569</v>
      </c>
      <c r="B150" s="81" t="s">
        <v>711</v>
      </c>
      <c r="C150" s="89">
        <v>4.1237007551626403</v>
      </c>
      <c r="D150" s="90">
        <v>4.5599643087248731</v>
      </c>
      <c r="E150" s="90">
        <v>5.0461931715429786</v>
      </c>
      <c r="G150" s="103" t="s">
        <v>398</v>
      </c>
      <c r="H150" s="101">
        <v>71.06383353175876</v>
      </c>
      <c r="I150" s="93">
        <v>84</v>
      </c>
      <c r="J150" s="93">
        <v>12</v>
      </c>
      <c r="K150" s="108"/>
      <c r="L150" s="89">
        <v>6.543507029266066</v>
      </c>
      <c r="M150" s="90">
        <v>6.1123430766482372</v>
      </c>
      <c r="N150" s="90">
        <v>5.9205885732303445</v>
      </c>
      <c r="O150" s="90">
        <v>5.74</v>
      </c>
      <c r="P150" s="90">
        <v>5.6</v>
      </c>
      <c r="Q150" s="90">
        <v>4.3479999999999999</v>
      </c>
      <c r="R150" s="90">
        <v>4.9669999999999996</v>
      </c>
      <c r="S150" s="90">
        <v>5.4640000000000004</v>
      </c>
      <c r="T150" s="90">
        <v>1.758</v>
      </c>
      <c r="U150" s="90">
        <v>5.2590000000000003</v>
      </c>
      <c r="V150" s="90">
        <v>5.399</v>
      </c>
      <c r="W150" s="91">
        <f t="shared" si="2"/>
        <v>4.8030787401339259</v>
      </c>
    </row>
    <row r="151" spans="1:23" x14ac:dyDescent="0.35">
      <c r="A151" s="81" t="s">
        <v>573</v>
      </c>
      <c r="B151" s="81" t="s">
        <v>712</v>
      </c>
      <c r="C151" s="89">
        <v>-2.1662761553291388</v>
      </c>
      <c r="D151" s="90">
        <v>-0.32249691451342599</v>
      </c>
      <c r="E151" s="90">
        <v>-0.73360970360328848</v>
      </c>
      <c r="G151" s="103" t="s">
        <v>422</v>
      </c>
      <c r="H151" s="101">
        <v>65.576173252463747</v>
      </c>
      <c r="I151" s="93">
        <v>112</v>
      </c>
      <c r="J151" s="93">
        <v>14</v>
      </c>
      <c r="K151" s="108"/>
      <c r="L151" s="89">
        <v>1.2699643652024184</v>
      </c>
      <c r="M151" s="90">
        <v>2.2290748047658071</v>
      </c>
      <c r="N151" s="90">
        <v>-0.91254496880826241</v>
      </c>
      <c r="O151" s="90">
        <v>-0.75600000000000001</v>
      </c>
      <c r="P151" s="90">
        <v>-6.7640000000000002</v>
      </c>
      <c r="Q151" s="90">
        <v>-4.7069999999999999</v>
      </c>
      <c r="R151" s="90">
        <v>-0.871</v>
      </c>
      <c r="S151" s="90">
        <v>0.11</v>
      </c>
      <c r="T151" s="90">
        <v>-7.6779999999999999</v>
      </c>
      <c r="U151" s="90">
        <v>-1.0269999999999999</v>
      </c>
      <c r="V151" s="90">
        <v>2.4809999999999999</v>
      </c>
      <c r="W151" s="91">
        <f t="shared" si="2"/>
        <v>-0.52805330905835723</v>
      </c>
    </row>
    <row r="152" spans="1:23" x14ac:dyDescent="0.35">
      <c r="A152" s="81" t="s">
        <v>569</v>
      </c>
      <c r="B152" s="81" t="s">
        <v>713</v>
      </c>
      <c r="C152" s="89">
        <v>-0.76139414796470017</v>
      </c>
      <c r="D152" s="90">
        <v>1.515468696628397</v>
      </c>
      <c r="E152" s="90">
        <v>1.7677168413122724</v>
      </c>
      <c r="G152" s="103" t="s">
        <v>422</v>
      </c>
      <c r="H152" s="101">
        <v>68.074683718311135</v>
      </c>
      <c r="I152" s="93">
        <v>102</v>
      </c>
      <c r="J152" s="93">
        <v>22</v>
      </c>
      <c r="K152" s="108"/>
      <c r="L152" s="89">
        <v>3.9976740023093633</v>
      </c>
      <c r="M152" s="90">
        <v>2.8755238423073424</v>
      </c>
      <c r="N152" s="90">
        <v>2.9713983451090038</v>
      </c>
      <c r="O152" s="90">
        <v>0.96799999999999997</v>
      </c>
      <c r="P152" s="90">
        <v>1.117</v>
      </c>
      <c r="Q152" s="90">
        <v>2.238</v>
      </c>
      <c r="R152" s="90">
        <v>2.625</v>
      </c>
      <c r="S152" s="90">
        <v>1.5880000000000001</v>
      </c>
      <c r="T152" s="90">
        <v>-8.8179999999999996</v>
      </c>
      <c r="U152" s="90">
        <v>4.4050000000000002</v>
      </c>
      <c r="V152" s="90">
        <v>2.5219999999999998</v>
      </c>
      <c r="W152" s="91">
        <f t="shared" si="2"/>
        <v>1.6415927689703347</v>
      </c>
    </row>
    <row r="153" spans="1:23" x14ac:dyDescent="0.35">
      <c r="A153" s="81" t="s">
        <v>580</v>
      </c>
      <c r="B153" s="81" t="s">
        <v>714</v>
      </c>
      <c r="C153" s="89">
        <v>6.2162334826369348</v>
      </c>
      <c r="D153" s="90">
        <v>4.4468380199269797</v>
      </c>
      <c r="E153" s="90">
        <v>5.2521474880545149</v>
      </c>
      <c r="G153" s="103" t="s">
        <v>571</v>
      </c>
      <c r="H153" s="101">
        <v>79.725975588542326</v>
      </c>
      <c r="I153" s="93">
        <v>49</v>
      </c>
      <c r="J153" s="93">
        <v>4</v>
      </c>
      <c r="K153" s="108"/>
      <c r="L153" s="89">
        <v>4.7899402070344061</v>
      </c>
      <c r="M153" s="90">
        <v>8.4913093926863557</v>
      </c>
      <c r="N153" s="90">
        <v>5.1666907030455222</v>
      </c>
      <c r="O153" s="90">
        <v>6.0839999999999996</v>
      </c>
      <c r="P153" s="90">
        <v>3.323</v>
      </c>
      <c r="Q153" s="90">
        <v>7.5019999999999998</v>
      </c>
      <c r="R153" s="90">
        <v>2.98</v>
      </c>
      <c r="S153" s="90">
        <v>0.78400000000000003</v>
      </c>
      <c r="T153" s="90">
        <v>1.94</v>
      </c>
      <c r="U153" s="90">
        <v>11.353</v>
      </c>
      <c r="V153" s="90">
        <v>5.5659999999999998</v>
      </c>
      <c r="W153" s="91">
        <f t="shared" si="2"/>
        <v>4.8494927539907469</v>
      </c>
    </row>
    <row r="154" spans="1:23" x14ac:dyDescent="0.35">
      <c r="A154" s="81" t="s">
        <v>565</v>
      </c>
      <c r="B154" s="81" t="s">
        <v>715</v>
      </c>
      <c r="C154" s="89">
        <v>5.7825311290508274</v>
      </c>
      <c r="D154" s="90">
        <v>5.9692666570670072</v>
      </c>
      <c r="E154" s="90">
        <v>6.9419375690879193</v>
      </c>
      <c r="G154" s="103" t="s">
        <v>398</v>
      </c>
      <c r="H154" s="101">
        <v>73.971445285212496</v>
      </c>
      <c r="I154" s="93">
        <v>74</v>
      </c>
      <c r="J154" s="93">
        <v>12</v>
      </c>
      <c r="K154" s="108"/>
      <c r="L154" s="89">
        <v>11.099999961554488</v>
      </c>
      <c r="M154" s="90">
        <v>10.200000101398992</v>
      </c>
      <c r="N154" s="90">
        <v>10.299999970545908</v>
      </c>
      <c r="O154" s="90">
        <v>2.9860000000000002</v>
      </c>
      <c r="P154" s="90">
        <v>-0.97699999999999998</v>
      </c>
      <c r="Q154" s="90">
        <v>4.7069999999999999</v>
      </c>
      <c r="R154" s="90">
        <v>0.88200000000000001</v>
      </c>
      <c r="S154" s="90">
        <v>-3.3889999999999998</v>
      </c>
      <c r="T154" s="90">
        <v>-2.9369999999999998</v>
      </c>
      <c r="U154" s="90">
        <v>4.62</v>
      </c>
      <c r="V154" s="90">
        <v>1.7889999999999999</v>
      </c>
      <c r="W154" s="91">
        <f t="shared" si="2"/>
        <v>6.4556021130774628</v>
      </c>
    </row>
    <row r="155" spans="1:23" x14ac:dyDescent="0.35">
      <c r="A155" s="81" t="s">
        <v>569</v>
      </c>
      <c r="B155" s="81" t="s">
        <v>716</v>
      </c>
      <c r="C155" s="89">
        <v>3.8036415692147996</v>
      </c>
      <c r="D155" s="90">
        <v>4.8231874950755982</v>
      </c>
      <c r="E155" s="90">
        <v>4.6664450945707259</v>
      </c>
      <c r="G155" s="103" t="s">
        <v>398</v>
      </c>
      <c r="H155" s="101">
        <v>69.556086736265442</v>
      </c>
      <c r="I155" s="93">
        <v>91</v>
      </c>
      <c r="J155" s="93">
        <v>14</v>
      </c>
      <c r="K155" s="108"/>
      <c r="L155" s="89">
        <v>3.8374556059033003</v>
      </c>
      <c r="M155" s="90">
        <v>3.586905826320109</v>
      </c>
      <c r="N155" s="90">
        <v>5.1063073243118193</v>
      </c>
      <c r="O155" s="90">
        <v>8.0060000000000002</v>
      </c>
      <c r="P155" s="90">
        <v>0.159</v>
      </c>
      <c r="Q155" s="90">
        <v>6.83</v>
      </c>
      <c r="R155" s="90">
        <v>5.5019999999999998</v>
      </c>
      <c r="S155" s="90">
        <v>7.782</v>
      </c>
      <c r="T155" s="90">
        <v>-1.3009999999999999</v>
      </c>
      <c r="U155" s="90">
        <v>6.0039999999999996</v>
      </c>
      <c r="V155" s="90">
        <v>4.9329999999999998</v>
      </c>
      <c r="W155" s="91">
        <f t="shared" si="2"/>
        <v>4.7448162948231616</v>
      </c>
    </row>
    <row r="156" spans="1:23" x14ac:dyDescent="0.35">
      <c r="A156" s="81" t="s">
        <v>227</v>
      </c>
      <c r="B156" s="81" t="s">
        <v>717</v>
      </c>
      <c r="C156" s="89">
        <v>-11.461901799668306</v>
      </c>
      <c r="D156" s="90">
        <v>-5.8295559101049328</v>
      </c>
      <c r="E156" s="90">
        <v>-4.15839598326132</v>
      </c>
      <c r="G156" s="103" t="s">
        <v>398</v>
      </c>
      <c r="H156" s="101">
        <v>74.079326507080765</v>
      </c>
      <c r="I156" s="93">
        <v>73</v>
      </c>
      <c r="J156" s="93">
        <v>39</v>
      </c>
      <c r="K156" s="108"/>
      <c r="L156" s="89">
        <v>0.23868172076808841</v>
      </c>
      <c r="M156" s="90">
        <v>-2.66978900718703E-2</v>
      </c>
      <c r="N156" s="90">
        <v>-6.5526312936576572</v>
      </c>
      <c r="O156" s="90">
        <v>-9.7880000000000003</v>
      </c>
      <c r="P156" s="90">
        <v>2.4169999999999998</v>
      </c>
      <c r="Q156" s="90">
        <v>2.36</v>
      </c>
      <c r="R156" s="90">
        <v>3.488</v>
      </c>
      <c r="S156" s="90">
        <v>3.1989999999999998</v>
      </c>
      <c r="T156" s="90">
        <v>-3.7530000000000001</v>
      </c>
      <c r="U156" s="90">
        <v>3.3530000000000002</v>
      </c>
      <c r="V156" s="90">
        <v>-30.26</v>
      </c>
      <c r="W156" s="91">
        <f t="shared" si="2"/>
        <v>-4.9939759466831264</v>
      </c>
    </row>
    <row r="157" spans="1:23" x14ac:dyDescent="0.35">
      <c r="A157" s="81" t="s">
        <v>580</v>
      </c>
      <c r="B157" s="81" t="s">
        <v>718</v>
      </c>
      <c r="C157" s="89">
        <v>1.9883983839421138</v>
      </c>
      <c r="D157" s="90">
        <v>1.9344501122165347</v>
      </c>
      <c r="E157" s="90">
        <v>2.9471413005852209</v>
      </c>
      <c r="G157" s="103" t="s">
        <v>415</v>
      </c>
      <c r="H157" s="101">
        <v>91.971735408895199</v>
      </c>
      <c r="I157" s="93">
        <v>22</v>
      </c>
      <c r="J157" s="93">
        <v>1</v>
      </c>
      <c r="K157" s="108"/>
      <c r="L157" s="89">
        <v>4.4846260849086921</v>
      </c>
      <c r="M157" s="90">
        <v>5.0533458252665762</v>
      </c>
      <c r="N157" s="90">
        <v>4.2843036857947956</v>
      </c>
      <c r="O157" s="90">
        <v>6.7869999999999999</v>
      </c>
      <c r="P157" s="90">
        <v>5.5609999999999999</v>
      </c>
      <c r="Q157" s="90">
        <v>0.73499999999999999</v>
      </c>
      <c r="R157" s="90">
        <v>1.3140000000000001</v>
      </c>
      <c r="S157" s="90">
        <v>1.1080000000000001</v>
      </c>
      <c r="T157" s="90">
        <v>-4.9569999999999999</v>
      </c>
      <c r="U157" s="90">
        <v>3.9159999999999999</v>
      </c>
      <c r="V157" s="90">
        <v>7.4109999999999996</v>
      </c>
      <c r="W157" s="91">
        <f t="shared" si="2"/>
        <v>2.4407957064008778</v>
      </c>
    </row>
    <row r="158" spans="1:23" x14ac:dyDescent="0.35">
      <c r="A158" s="81" t="s">
        <v>227</v>
      </c>
      <c r="B158" s="81" t="s">
        <v>719</v>
      </c>
      <c r="C158" s="89">
        <v>-0.15570963242206304</v>
      </c>
      <c r="D158" s="90">
        <v>0.73784192060712961</v>
      </c>
      <c r="E158" s="90">
        <v>1.4574433295258649</v>
      </c>
      <c r="G158" s="103" t="s">
        <v>415</v>
      </c>
      <c r="H158" s="101">
        <v>95.869504572225566</v>
      </c>
      <c r="I158" s="93">
        <v>16</v>
      </c>
      <c r="J158" s="93">
        <v>11</v>
      </c>
      <c r="K158" s="108"/>
      <c r="L158" s="89">
        <v>1.4789239471568232</v>
      </c>
      <c r="M158" s="90">
        <v>2.1394857010831609</v>
      </c>
      <c r="N158" s="90">
        <v>2.6074759063105102</v>
      </c>
      <c r="O158" s="90">
        <v>2.3929999999999998</v>
      </c>
      <c r="P158" s="90">
        <v>2.165</v>
      </c>
      <c r="Q158" s="90">
        <v>2.444</v>
      </c>
      <c r="R158" s="90">
        <v>1.7050000000000001</v>
      </c>
      <c r="S158" s="90">
        <v>1.6040000000000001</v>
      </c>
      <c r="T158" s="90">
        <v>-11.031000000000001</v>
      </c>
      <c r="U158" s="90">
        <v>7.5970000000000004</v>
      </c>
      <c r="V158" s="90">
        <v>4.0449999999999999</v>
      </c>
      <c r="W158" s="91">
        <f t="shared" si="2"/>
        <v>1.0976426250664972</v>
      </c>
    </row>
    <row r="159" spans="1:23" x14ac:dyDescent="0.35">
      <c r="A159" s="81" t="s">
        <v>573</v>
      </c>
      <c r="B159" s="81" t="s">
        <v>720</v>
      </c>
      <c r="C159" s="89">
        <v>1.6858959431595322</v>
      </c>
      <c r="D159" s="90">
        <v>2.0522235488571683</v>
      </c>
      <c r="E159" s="90">
        <v>2.1214909700318696</v>
      </c>
      <c r="G159" s="103" t="s">
        <v>415</v>
      </c>
      <c r="H159" s="101">
        <v>95.916666666666671</v>
      </c>
      <c r="I159" s="93">
        <v>14</v>
      </c>
      <c r="J159" s="93">
        <v>1</v>
      </c>
      <c r="K159" s="108"/>
      <c r="L159" s="89">
        <v>2.249545852369943</v>
      </c>
      <c r="M159" s="90">
        <v>1.8420810710110016</v>
      </c>
      <c r="N159" s="90">
        <v>2.4519730353603584</v>
      </c>
      <c r="O159" s="90">
        <v>2.7069999999999999</v>
      </c>
      <c r="P159" s="90">
        <v>1.6679999999999999</v>
      </c>
      <c r="Q159" s="90">
        <v>2.242</v>
      </c>
      <c r="R159" s="90">
        <v>2.9449999999999998</v>
      </c>
      <c r="S159" s="90">
        <v>2.2949999999999999</v>
      </c>
      <c r="T159" s="90">
        <v>-2.7679999999999998</v>
      </c>
      <c r="U159" s="90">
        <v>5.9470000000000001</v>
      </c>
      <c r="V159" s="90">
        <v>2.0680000000000001</v>
      </c>
      <c r="W159" s="91">
        <f t="shared" si="2"/>
        <v>2.0868572594445189</v>
      </c>
    </row>
    <row r="160" spans="1:23" x14ac:dyDescent="0.35">
      <c r="A160" s="81" t="s">
        <v>573</v>
      </c>
      <c r="B160" s="81" t="s">
        <v>721</v>
      </c>
      <c r="C160" s="89">
        <v>0.91343850289404838</v>
      </c>
      <c r="D160" s="90">
        <v>2.2569945604846264</v>
      </c>
      <c r="E160" s="90">
        <v>2.3762166744240032</v>
      </c>
      <c r="G160" s="103" t="s">
        <v>571</v>
      </c>
      <c r="H160" s="101">
        <v>81.172173305315454</v>
      </c>
      <c r="I160" s="93">
        <v>43</v>
      </c>
      <c r="J160" s="93">
        <v>5</v>
      </c>
      <c r="K160" s="108"/>
      <c r="L160" s="89">
        <v>3.5381787068568795</v>
      </c>
      <c r="M160" s="90">
        <v>4.6375386431141186</v>
      </c>
      <c r="N160" s="90">
        <v>3.2387912162160193</v>
      </c>
      <c r="O160" s="90">
        <v>0.371</v>
      </c>
      <c r="P160" s="90">
        <v>1.69</v>
      </c>
      <c r="Q160" s="90">
        <v>1.6279999999999999</v>
      </c>
      <c r="R160" s="90">
        <v>0.47799999999999998</v>
      </c>
      <c r="S160" s="90">
        <v>0.35</v>
      </c>
      <c r="T160" s="90">
        <v>-6.1150000000000002</v>
      </c>
      <c r="U160" s="90">
        <v>4.4020000000000001</v>
      </c>
      <c r="V160" s="90">
        <v>4.8860000000000001</v>
      </c>
      <c r="W160" s="91">
        <f t="shared" si="2"/>
        <v>2.3166056174543148</v>
      </c>
    </row>
    <row r="161" spans="1:23" x14ac:dyDescent="0.35">
      <c r="A161" s="81" t="s">
        <v>565</v>
      </c>
      <c r="B161" s="81" t="s">
        <v>722</v>
      </c>
      <c r="C161" s="89">
        <v>4.966226080132774</v>
      </c>
      <c r="D161" s="90">
        <v>5.1922367720162121</v>
      </c>
      <c r="E161" s="90">
        <v>5.7634254597189516</v>
      </c>
      <c r="G161" s="103" t="s">
        <v>422</v>
      </c>
      <c r="H161" s="101">
        <v>68.759088115548678</v>
      </c>
      <c r="I161" s="93">
        <v>99</v>
      </c>
      <c r="J161" s="93">
        <v>18</v>
      </c>
      <c r="K161" s="108"/>
      <c r="L161" s="89">
        <v>7.1024448870695505</v>
      </c>
      <c r="M161" s="90">
        <v>7.2965503696402285</v>
      </c>
      <c r="N161" s="90">
        <v>6.8738384408295845</v>
      </c>
      <c r="O161" s="90">
        <v>7.2190000000000003</v>
      </c>
      <c r="P161" s="90">
        <v>5.9320000000000004</v>
      </c>
      <c r="Q161" s="90">
        <v>4.3949999999999996</v>
      </c>
      <c r="R161" s="90">
        <v>5.88</v>
      </c>
      <c r="S161" s="90">
        <v>5.9820000000000002</v>
      </c>
      <c r="T161" s="90">
        <v>1.996</v>
      </c>
      <c r="U161" s="90">
        <v>7.4029999999999996</v>
      </c>
      <c r="V161" s="90">
        <v>5.6689999999999996</v>
      </c>
      <c r="W161" s="91">
        <f t="shared" si="2"/>
        <v>5.4778311158675823</v>
      </c>
    </row>
    <row r="162" spans="1:23" x14ac:dyDescent="0.35">
      <c r="A162" s="81" t="s">
        <v>565</v>
      </c>
      <c r="B162" s="81" t="s">
        <v>723</v>
      </c>
      <c r="C162" s="89">
        <v>6.367284609117374</v>
      </c>
      <c r="D162" s="90">
        <v>8.0753375154714711</v>
      </c>
      <c r="E162" s="90">
        <v>8.6445538917790046</v>
      </c>
      <c r="G162" s="103" t="s">
        <v>422</v>
      </c>
      <c r="H162" s="101">
        <v>62.623537935388953</v>
      </c>
      <c r="I162" s="93">
        <v>120</v>
      </c>
      <c r="J162" s="93">
        <v>24</v>
      </c>
      <c r="K162" s="108"/>
      <c r="L162" s="89">
        <v>12.410056463111571</v>
      </c>
      <c r="M162" s="90">
        <v>7.2891294784445284</v>
      </c>
      <c r="N162" s="90">
        <v>9.6841913021478785</v>
      </c>
      <c r="O162" s="90">
        <v>6.9870000000000001</v>
      </c>
      <c r="P162" s="90">
        <v>6.69</v>
      </c>
      <c r="Q162" s="90">
        <v>6.94</v>
      </c>
      <c r="R162" s="90">
        <v>7.4649999999999999</v>
      </c>
      <c r="S162" s="90">
        <v>7.359</v>
      </c>
      <c r="T162" s="90">
        <v>2.867</v>
      </c>
      <c r="U162" s="90">
        <v>2.5619999999999998</v>
      </c>
      <c r="V162" s="90">
        <v>8.0180000000000007</v>
      </c>
      <c r="W162" s="91">
        <f t="shared" si="2"/>
        <v>8.3599457036252378</v>
      </c>
    </row>
    <row r="163" spans="1:23" x14ac:dyDescent="0.35">
      <c r="A163" s="81" t="s">
        <v>580</v>
      </c>
      <c r="B163" s="81" t="s">
        <v>724</v>
      </c>
      <c r="C163" s="89">
        <v>-1.1017371120758623</v>
      </c>
      <c r="D163" s="90">
        <v>-1.4008554823266794</v>
      </c>
      <c r="E163" s="90">
        <v>0.43888765074564517</v>
      </c>
      <c r="G163" s="103" t="s">
        <v>567</v>
      </c>
      <c r="H163" s="101">
        <v>44.737558430285063</v>
      </c>
      <c r="I163" s="93">
        <v>145</v>
      </c>
      <c r="J163" s="93">
        <v>11</v>
      </c>
      <c r="K163" s="108"/>
      <c r="L163" s="89">
        <v>16.665428768467855</v>
      </c>
      <c r="M163" s="90">
        <v>1.9894927620720551</v>
      </c>
      <c r="N163" s="90">
        <v>2.3769293269800476</v>
      </c>
      <c r="O163" s="90">
        <v>-27.995000000000001</v>
      </c>
      <c r="P163" s="90">
        <v>-9.375</v>
      </c>
      <c r="Q163" s="90">
        <v>-5.0720000000000001</v>
      </c>
      <c r="R163" s="90">
        <v>0.752</v>
      </c>
      <c r="S163" s="90">
        <v>1.4</v>
      </c>
      <c r="T163" s="90">
        <v>-8.5</v>
      </c>
      <c r="U163" s="90">
        <v>-1</v>
      </c>
      <c r="V163" s="90">
        <v>1.5</v>
      </c>
      <c r="W163" s="91">
        <f t="shared" si="2"/>
        <v>-0.48098391579051714</v>
      </c>
    </row>
    <row r="164" spans="1:23" x14ac:dyDescent="0.35">
      <c r="A164" s="81" t="s">
        <v>569</v>
      </c>
      <c r="B164" s="81" t="s">
        <v>725</v>
      </c>
      <c r="C164" s="89">
        <v>1.6991659105087376</v>
      </c>
      <c r="D164" s="90">
        <v>2.110140268966143</v>
      </c>
      <c r="E164" s="90">
        <v>3.0449788505192199</v>
      </c>
      <c r="G164" s="103" t="s">
        <v>422</v>
      </c>
      <c r="H164" s="101">
        <v>61.004320674622747</v>
      </c>
      <c r="I164" s="93">
        <v>124</v>
      </c>
      <c r="J164" s="93">
        <v>29</v>
      </c>
      <c r="K164" s="108"/>
      <c r="L164" s="89">
        <v>7.5975932105319126</v>
      </c>
      <c r="M164" s="90">
        <v>5.0572317397973361</v>
      </c>
      <c r="N164" s="90">
        <v>4.6979923625298614</v>
      </c>
      <c r="O164" s="90">
        <v>2.92</v>
      </c>
      <c r="P164" s="90">
        <v>3.7770000000000001</v>
      </c>
      <c r="Q164" s="90">
        <v>3.504</v>
      </c>
      <c r="R164" s="90">
        <v>4.0350000000000001</v>
      </c>
      <c r="S164" s="90">
        <v>1.4410000000000001</v>
      </c>
      <c r="T164" s="90">
        <v>-2.7850000000000001</v>
      </c>
      <c r="U164" s="90">
        <v>4.5990000000000002</v>
      </c>
      <c r="V164" s="90">
        <v>3.4409999999999998</v>
      </c>
      <c r="W164" s="91">
        <f t="shared" si="2"/>
        <v>2.5775595597426815</v>
      </c>
    </row>
    <row r="165" spans="1:23" x14ac:dyDescent="0.35">
      <c r="A165" s="81" t="s">
        <v>569</v>
      </c>
      <c r="B165" s="81" t="s">
        <v>726</v>
      </c>
      <c r="C165" s="89">
        <v>3.5464749905308901</v>
      </c>
      <c r="D165" s="90">
        <v>2.7818952866475843</v>
      </c>
      <c r="E165" s="90">
        <v>2.7261309103552733</v>
      </c>
      <c r="G165" s="103" t="s">
        <v>567</v>
      </c>
      <c r="H165" s="101">
        <v>55.033873809516088</v>
      </c>
      <c r="I165" s="93">
        <v>133</v>
      </c>
      <c r="J165" s="93">
        <v>33</v>
      </c>
      <c r="K165" s="108"/>
      <c r="L165" s="89">
        <v>17.615397198362849</v>
      </c>
      <c r="M165" s="90">
        <v>10.75800212279124</v>
      </c>
      <c r="N165" s="90">
        <v>3.9762602630956336</v>
      </c>
      <c r="O165" s="90">
        <v>1.794</v>
      </c>
      <c r="P165" s="90">
        <v>0.47799999999999998</v>
      </c>
      <c r="Q165" s="90">
        <v>4.9829999999999997</v>
      </c>
      <c r="R165" s="90">
        <v>4.7320000000000002</v>
      </c>
      <c r="S165" s="90">
        <v>-6.1219999999999999</v>
      </c>
      <c r="T165" s="90">
        <v>-7.8250000000000002</v>
      </c>
      <c r="U165" s="90">
        <v>8.4619999999999997</v>
      </c>
      <c r="V165" s="90">
        <v>3.0289999999999999</v>
      </c>
      <c r="W165" s="91">
        <f t="shared" si="2"/>
        <v>2.7540130985014288</v>
      </c>
    </row>
  </sheetData>
  <mergeCells count="3">
    <mergeCell ref="A7:B7"/>
    <mergeCell ref="C8:E8"/>
    <mergeCell ref="L8:V8"/>
  </mergeCells>
  <hyperlinks>
    <hyperlink ref="A1" location="Index!A1" display="Back to Index" xr:uid="{6BF330F3-F97C-4A39-AF03-9E1962E955F9}"/>
    <hyperlink ref="A4" r:id="rId1" display="http://dev.worldeconomics.com/Concepts/World-Economics-GDP-Database/" xr:uid="{1D915E97-4A17-4892-9891-00FEF28F4FBE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4B67-96D9-42FF-8857-62AB5F187211}">
  <dimension ref="A1:U28"/>
  <sheetViews>
    <sheetView zoomScale="86" zoomScaleNormal="190" workbookViewId="0">
      <selection activeCell="B13" sqref="B13"/>
    </sheetView>
  </sheetViews>
  <sheetFormatPr defaultRowHeight="14.5" x14ac:dyDescent="0.35"/>
  <cols>
    <col min="2" max="2" width="14.453125" customWidth="1"/>
    <col min="3" max="3" width="29.453125" customWidth="1"/>
    <col min="4" max="4" width="12.54296875" customWidth="1"/>
    <col min="5" max="6" width="21.453125" customWidth="1"/>
    <col min="7" max="7" width="27.81640625" bestFit="1" customWidth="1"/>
    <col min="8" max="8" width="27.81640625" customWidth="1"/>
    <col min="9" max="9" width="21" customWidth="1"/>
    <col min="10" max="10" width="33.453125" customWidth="1"/>
    <col min="11" max="11" width="16" customWidth="1"/>
    <col min="12" max="12" width="17.453125" customWidth="1"/>
    <col min="13" max="13" width="13.1796875" customWidth="1"/>
    <col min="14" max="14" width="13.54296875" customWidth="1"/>
    <col min="15" max="15" width="19.54296875" bestFit="1" customWidth="1"/>
    <col min="16" max="16" width="19.54296875" customWidth="1"/>
    <col min="17" max="17" width="15" customWidth="1"/>
    <col min="18" max="18" width="7.1796875" customWidth="1"/>
    <col min="19" max="19" width="10" customWidth="1"/>
    <col min="20" max="20" width="5.54296875" customWidth="1"/>
    <col min="21" max="21" width="13.1796875" customWidth="1"/>
  </cols>
  <sheetData>
    <row r="1" spans="1:21" x14ac:dyDescent="0.35">
      <c r="L1" s="5">
        <f>Assumption!F56</f>
        <v>0.2</v>
      </c>
      <c r="M1" s="5">
        <f>Assumption!G56</f>
        <v>0.4</v>
      </c>
      <c r="N1" s="5">
        <f>Assumption!H56</f>
        <v>0.4</v>
      </c>
      <c r="O1" s="5">
        <f>Assumption!E56</f>
        <v>0.5</v>
      </c>
      <c r="P1" s="5">
        <f>Assumption!E57</f>
        <v>0.3</v>
      </c>
      <c r="Q1" s="5">
        <f>Assumption!E58</f>
        <v>0.2</v>
      </c>
      <c r="U1" t="s">
        <v>508</v>
      </c>
    </row>
    <row r="2" spans="1:21" x14ac:dyDescent="0.35">
      <c r="B2" s="39" t="s">
        <v>383</v>
      </c>
      <c r="C2" s="39" t="s">
        <v>384</v>
      </c>
      <c r="D2" s="39" t="s">
        <v>61</v>
      </c>
      <c r="E2" s="39" t="s">
        <v>385</v>
      </c>
      <c r="F2" s="39" t="s">
        <v>387</v>
      </c>
      <c r="G2" s="39" t="s">
        <v>386</v>
      </c>
      <c r="H2" s="39" t="s">
        <v>477</v>
      </c>
      <c r="I2" s="39" t="s">
        <v>409</v>
      </c>
      <c r="J2" s="39" t="s">
        <v>471</v>
      </c>
      <c r="L2" s="46" t="s">
        <v>474</v>
      </c>
      <c r="M2" s="39" t="s">
        <v>475</v>
      </c>
      <c r="N2" s="39" t="s">
        <v>476</v>
      </c>
      <c r="O2" t="s">
        <v>488</v>
      </c>
      <c r="P2" t="s">
        <v>489</v>
      </c>
      <c r="Q2" t="s">
        <v>491</v>
      </c>
    </row>
    <row r="3" spans="1:21" x14ac:dyDescent="0.35">
      <c r="A3" t="s">
        <v>431</v>
      </c>
      <c r="B3" t="s">
        <v>469</v>
      </c>
      <c r="C3" t="str" cm="1">
        <f t="array" ref="C3">_xll.FDSB(B3,"FG_COMPANY_NAME")</f>
        <v>New Zealand Dollar per U.S. Dollar</v>
      </c>
      <c r="D3" cm="1">
        <f t="array" ref="D3">_xll.FDSB(B3,"FG_PRICE(0)")</f>
        <v>1.6208769000000001</v>
      </c>
      <c r="E3" cm="1">
        <f t="array" ref="E3">_xll.FDSB(B3,"FG_PRICE_CHANGE(0,-1AY)")</f>
        <v>-0.17829537000000001</v>
      </c>
      <c r="F3" cm="1">
        <f t="array" ref="F3">_xll.FDSB(B3,"FG_PRICE_CHANGE(0,-1AM)")</f>
        <v>-2.3502706999999998</v>
      </c>
      <c r="G3" cm="1">
        <f t="array" ref="G3">_xll.FDSB(B3,"FG_PRICE_CHANGE(0,-3AM)")</f>
        <v>-0.21071434</v>
      </c>
      <c r="H3" cm="1">
        <f t="array" ref="H3">_xll.FDSB(B3,"FG_PRICE_CHANGE(0,-6AM)")</f>
        <v>-0.72939396000000001</v>
      </c>
      <c r="I3" cm="1">
        <f t="array" ref="I3">_xll.FDS(B3,"STD(FG_PRICE_CHANGE(0,-1AY,AM))")</f>
        <v>2.9916060744676098</v>
      </c>
      <c r="J3" cm="1">
        <f t="array" ref="J3">_xll.FDS(B3,"STD(FG_PRICE_CHANGE(0,-3AY,M))")*SQRT(12)</f>
        <v>12.185271198993723</v>
      </c>
      <c r="L3">
        <f>(1-(_xlfn.PERCENTRANK.EXC($F$3:$F$15,F3)))*100</f>
        <v>85.8</v>
      </c>
      <c r="M3">
        <f>(1-(_xlfn.PERCENTRANK.EXC($G$3:$G$15,G3)))*100</f>
        <v>85.8</v>
      </c>
      <c r="N3">
        <f>(1-(_xlfn.PERCENTRANK.EXC($H$3:$H$15,H3)))*100</f>
        <v>78.600000000000009</v>
      </c>
      <c r="O3">
        <f>SUMPRODUCT($L$1:$N$1,L3:N3)</f>
        <v>82.920000000000016</v>
      </c>
      <c r="P3">
        <f>100- (_xlfn.PERCENTRANK.EXC($J$3:$J$15,J3)*100)</f>
        <v>7.1999999999999886</v>
      </c>
      <c r="Q3">
        <f>VLOOKUP(A3,CAD!$A$3:$J$15, 10, FALSE)</f>
        <v>7.1</v>
      </c>
      <c r="S3">
        <f t="shared" ref="S3:S11" si="0">SUMPRODUCT($O$1:$Q$1,O3:Q3)</f>
        <v>45.040000000000006</v>
      </c>
      <c r="U3" cm="1">
        <f t="array" ref="U3">_xlfn.PERCENTRANK.EXC(_xlfn._xlws.FILTER(S$3:S$15, ISNUMBER(S$3:S$15)),S3)*100</f>
        <v>35.699999999999996</v>
      </c>
    </row>
    <row r="4" spans="1:21" x14ac:dyDescent="0.35">
      <c r="A4" t="s">
        <v>44</v>
      </c>
      <c r="B4" t="s">
        <v>466</v>
      </c>
      <c r="C4" t="str" cm="1">
        <f t="array" ref="C4">_xll.FDSB(B4,"FG_COMPANY_NAME")</f>
        <v>Australian Dollar per U.S. Dollar</v>
      </c>
      <c r="D4" cm="1">
        <f t="array" ref="D4">_xll.FDSB(B4,"FG_PRICE(0)")</f>
        <v>1.5060241000000001</v>
      </c>
      <c r="E4" cm="1">
        <f t="array" ref="E4">_xll.FDSB(B4,"FG_PRICE_CHANGE(0,-1AY)")</f>
        <v>2.2590398999999999</v>
      </c>
      <c r="F4" cm="1">
        <f t="array" ref="F4">_xll.FDSB(B4,"FG_PRICE_CHANGE(0,-1AM)")</f>
        <v>-0.29367208</v>
      </c>
      <c r="G4" cm="1">
        <f t="array" ref="G4">_xll.FDSB(B4,"FG_PRICE_CHANGE(0,-3AM)")</f>
        <v>-0.25601983</v>
      </c>
      <c r="H4" cm="1">
        <f t="array" ref="H4">_xll.FDSB(B4,"FG_PRICE_CHANGE(0,-6AM)")</f>
        <v>-0.83584190000000003</v>
      </c>
      <c r="I4" cm="1">
        <f t="array" ref="I4">_xll.FDS(B4,"STD(FG_PRICE_CHANGE(0,-1AY,AM))")</f>
        <v>2.7526367202371498</v>
      </c>
      <c r="J4" cm="1">
        <f t="array" ref="J4">_xll.FDS(B4,"STD(FG_PRICE_CHANGE(0,-3AY,M))")*SQRT(12)</f>
        <v>10.709180994124006</v>
      </c>
      <c r="L4">
        <f t="shared" ref="L4:L15" si="1">(1-(_xlfn.PERCENTRANK.EXC($F$3:$F$15,F4)))*100</f>
        <v>57.2</v>
      </c>
      <c r="M4">
        <f t="shared" ref="M4:M15" si="2">(1-(_xlfn.PERCENTRANK.EXC($G$3:$G$15,G4)))*100</f>
        <v>92.9</v>
      </c>
      <c r="N4">
        <f t="shared" ref="N4:N15" si="3">(1-(_xlfn.PERCENTRANK.EXC($H$3:$H$15,H4)))*100</f>
        <v>85.8</v>
      </c>
      <c r="O4">
        <f t="shared" ref="O4:O11" si="4">SUMPRODUCT($L$1:$N$1,L4:N4)</f>
        <v>82.920000000000016</v>
      </c>
      <c r="P4">
        <f t="shared" ref="P4:P15" si="5">100- (_xlfn.PERCENTRANK.EXC($J$3:$J$15,J4)*100)</f>
        <v>14.299999999999997</v>
      </c>
      <c r="Q4">
        <f>VLOOKUP(A4,CAD!$A$3:$J$15, 10, FALSE)</f>
        <v>50</v>
      </c>
      <c r="S4">
        <f t="shared" si="0"/>
        <v>55.750000000000007</v>
      </c>
      <c r="U4" cm="1">
        <f t="array" ref="U4">_xlfn.PERCENTRANK.EXC(_xlfn._xlws.FILTER(S$3:S$15, ISNUMBER(S$3:S$15)),S4)*100</f>
        <v>64.2</v>
      </c>
    </row>
    <row r="5" spans="1:21" x14ac:dyDescent="0.35">
      <c r="A5" t="s">
        <v>49</v>
      </c>
      <c r="B5" t="s">
        <v>467</v>
      </c>
      <c r="C5" t="str" cm="1">
        <f t="array" ref="C5">_xll.FDSB(B5,"FG_COMPANY_NAME")</f>
        <v>Canadian Dollar per U.S. Dollar</v>
      </c>
      <c r="D5" cm="1">
        <f t="array" ref="D5">_xll.FDSB(B5,"FG_PRICE(0)")</f>
        <v>1.3755500000000001</v>
      </c>
      <c r="E5" cm="1">
        <f t="array" ref="E5">_xll.FDSB(B5,"FG_PRICE_CHANGE(0,-1AY)")</f>
        <v>3.4753799999999999</v>
      </c>
      <c r="F5" cm="1">
        <f t="array" ref="F5">_xll.FDSB(B5,"FG_PRICE_CHANGE(0,-1AM)")</f>
        <v>0.62177179999999999</v>
      </c>
      <c r="G5" cm="1">
        <f t="array" ref="G5">_xll.FDSB(B5,"FG_PRICE_CHANGE(0,-3AM)")</f>
        <v>2.1081566999999999</v>
      </c>
      <c r="H5" cm="1">
        <f t="array" ref="H5">_xll.FDSB(B5,"FG_PRICE_CHANGE(0,-6AM)")</f>
        <v>1.3408542000000001</v>
      </c>
      <c r="I5" cm="1">
        <f t="array" ref="I5">_xll.FDS(B5,"STD(FG_PRICE_CHANGE(0,-1AY,AM))")</f>
        <v>1.4296341478091299</v>
      </c>
      <c r="J5" cm="1">
        <f t="array" ref="J5">_xll.FDS(B5,"STD(FG_PRICE_CHANGE(0,-3AY,M))")*SQRT(12)</f>
        <v>6.3081289378868828</v>
      </c>
      <c r="L5">
        <f t="shared" si="1"/>
        <v>14.3</v>
      </c>
      <c r="M5">
        <f t="shared" si="2"/>
        <v>21.499999999999996</v>
      </c>
      <c r="N5">
        <f t="shared" si="3"/>
        <v>28.6</v>
      </c>
      <c r="O5">
        <f t="shared" si="4"/>
        <v>22.900000000000002</v>
      </c>
      <c r="P5">
        <f t="shared" si="5"/>
        <v>71.5</v>
      </c>
      <c r="Q5">
        <f>VLOOKUP(A5,CAD!$A$3:$J$15, 10, FALSE)</f>
        <v>42.8</v>
      </c>
      <c r="S5">
        <f t="shared" si="0"/>
        <v>41.46</v>
      </c>
      <c r="U5" cm="1">
        <f t="array" ref="U5">_xlfn.PERCENTRANK.EXC(_xlfn._xlws.FILTER(S$3:S$15, ISNUMBER(S$3:S$15)),S5)*100</f>
        <v>21.4</v>
      </c>
    </row>
    <row r="6" spans="1:21" x14ac:dyDescent="0.35">
      <c r="A6" t="s">
        <v>11</v>
      </c>
      <c r="B6" t="s">
        <v>464</v>
      </c>
      <c r="C6" t="str" cm="1">
        <f t="array" ref="C6">_xll.FDSB(B6,"FG_COMPANY_NAME")</f>
        <v>Euro per U.S. Dollar</v>
      </c>
      <c r="D6" cm="1">
        <f t="array" ref="D6">_xll.FDSB(B6,"FG_PRICE(0)")</f>
        <v>0.92837579999999997</v>
      </c>
      <c r="E6" cm="1">
        <f t="array" ref="E6">_xll.FDSB(B6,"FG_PRICE_CHANGE(0,-1AY)")</f>
        <v>0.28779506999999999</v>
      </c>
      <c r="F6" cm="1">
        <f t="array" ref="F6">_xll.FDSB(B6,"FG_PRICE_CHANGE(0,-1AM)")</f>
        <v>0.29706955000000002</v>
      </c>
      <c r="G6" cm="1">
        <f t="array" ref="G6">_xll.FDSB(B6,"FG_PRICE_CHANGE(0,-3AM)")</f>
        <v>1.5968084</v>
      </c>
      <c r="H6" cm="1">
        <f t="array" ref="H6">_xll.FDSB(B6,"FG_PRICE_CHANGE(0,-6AM)")</f>
        <v>0.21352768</v>
      </c>
      <c r="I6" cm="1">
        <f t="array" ref="I6">_xll.FDS(B6,"STD(FG_PRICE_CHANGE(0,-1AY,AM))")</f>
        <v>2.1150803678562</v>
      </c>
      <c r="J6" cm="1">
        <f t="array" ref="J6">_xll.FDS(B6,"STD(FG_PRICE_CHANGE(0,-3AY,M))")*SQRT(12)</f>
        <v>7.5470689341391832</v>
      </c>
      <c r="L6">
        <f t="shared" si="1"/>
        <v>28.6</v>
      </c>
      <c r="M6">
        <f t="shared" si="2"/>
        <v>50</v>
      </c>
      <c r="N6">
        <f t="shared" si="3"/>
        <v>42.900000000000006</v>
      </c>
      <c r="O6">
        <f t="shared" si="4"/>
        <v>42.88</v>
      </c>
      <c r="P6">
        <f t="shared" si="5"/>
        <v>57.2</v>
      </c>
      <c r="Q6">
        <f>VLOOKUP(A6,CAD!$A$3:$J$15, 10, FALSE)</f>
        <v>78.5</v>
      </c>
      <c r="S6">
        <f t="shared" si="0"/>
        <v>54.300000000000004</v>
      </c>
      <c r="U6" cm="1">
        <f t="array" ref="U6">_xlfn.PERCENTRANK.EXC(_xlfn._xlws.FILTER(S$3:S$15, ISNUMBER(S$3:S$15)),S6)*100</f>
        <v>57.099999999999994</v>
      </c>
    </row>
    <row r="7" spans="1:21" x14ac:dyDescent="0.35">
      <c r="A7" t="s">
        <v>46</v>
      </c>
      <c r="B7" t="s">
        <v>465</v>
      </c>
      <c r="C7" t="str" cm="1">
        <f t="array" ref="C7">_xll.FDSB(B7,"FG_COMPANY_NAME")</f>
        <v>Japanese Yen per U.S. Dollar</v>
      </c>
      <c r="D7" cm="1">
        <f t="array" ref="D7">_xll.FDSB(B7,"FG_PRICE(0)")</f>
        <v>156.92500000000001</v>
      </c>
      <c r="E7" cm="1">
        <f t="array" ref="E7">_xll.FDSB(B7,"FG_PRICE_CHANGE(0,-1AY)")</f>
        <v>12.2375965</v>
      </c>
      <c r="F7" cm="1">
        <f t="array" ref="F7">_xll.FDSB(B7,"FG_PRICE_CHANGE(0,-1AM)")</f>
        <v>0.63488482999999996</v>
      </c>
      <c r="G7" cm="1">
        <f t="array" ref="G7">_xll.FDSB(B7,"FG_PRICE_CHANGE(0,-3AM)")</f>
        <v>6.2134147000000004</v>
      </c>
      <c r="H7" cm="1">
        <f t="array" ref="H7">_xll.FDSB(B7,"FG_PRICE_CHANGE(0,-6AM)")</f>
        <v>8.1085799999999999</v>
      </c>
      <c r="I7" cm="1">
        <f t="array" ref="I7">_xll.FDS(B7,"STD(FG_PRICE_CHANGE(0,-1AY,AM))")</f>
        <v>2.5752421444069302</v>
      </c>
      <c r="J7" cm="1">
        <f t="array" ref="J7">_xll.FDS(B7,"STD(FG_PRICE_CHANGE(0,-3AY,M))")*SQRT(12)</f>
        <v>10.542999528972377</v>
      </c>
      <c r="L7">
        <f t="shared" si="1"/>
        <v>7.1999999999999957</v>
      </c>
      <c r="M7">
        <f t="shared" si="2"/>
        <v>7.1999999999999957</v>
      </c>
      <c r="N7">
        <f t="shared" si="3"/>
        <v>7.1999999999999957</v>
      </c>
      <c r="O7">
        <f t="shared" si="4"/>
        <v>7.1999999999999957</v>
      </c>
      <c r="P7">
        <f t="shared" si="5"/>
        <v>21.5</v>
      </c>
      <c r="Q7">
        <f>VLOOKUP(A7,CAD!$A$3:$J$15, 10, FALSE)</f>
        <v>64.2</v>
      </c>
      <c r="S7">
        <f t="shared" si="0"/>
        <v>22.89</v>
      </c>
      <c r="U7" cm="1">
        <f t="array" ref="U7">_xlfn.PERCENTRANK.EXC(_xlfn._xlws.FILTER(S$3:S$15, ISNUMBER(S$3:S$15)),S7)*100</f>
        <v>7.1</v>
      </c>
    </row>
    <row r="8" spans="1:21" x14ac:dyDescent="0.35">
      <c r="A8" t="s">
        <v>42</v>
      </c>
      <c r="B8" t="s">
        <v>470</v>
      </c>
      <c r="C8" t="str" cm="1">
        <f t="array" ref="C8">_xll.FDSB(B8,"FG_COMPANY_NAME")</f>
        <v>Swiss Franc per U.S. Dollar</v>
      </c>
      <c r="D8" cm="1">
        <f t="array" ref="D8">_xll.FDSB(B8,"FG_PRICE(0)")</f>
        <v>0.89429999999999998</v>
      </c>
      <c r="E8" cm="1">
        <f t="array" ref="E8">_xll.FDSB(B8,"FG_PRICE_CHANGE(0,-1AY)")</f>
        <v>-1.2314320000000001</v>
      </c>
      <c r="F8" cm="1">
        <f t="array" ref="F8">_xll.FDSB(B8,"FG_PRICE_CHANGE(0,-1AM)")</f>
        <v>-1.3186215999999999</v>
      </c>
      <c r="G8" cm="1">
        <f t="array" ref="G8">_xll.FDSB(B8,"FG_PRICE_CHANGE(0,-3AM)")</f>
        <v>1.8506885</v>
      </c>
      <c r="H8" cm="1">
        <f t="array" ref="H8">_xll.FDSB(B8,"FG_PRICE_CHANGE(0,-6AM)")</f>
        <v>2.083218</v>
      </c>
      <c r="I8" cm="1">
        <f t="array" ref="I8">_xll.FDS(B8,"STD(FG_PRICE_CHANGE(0,-1AY,AM))")</f>
        <v>2.69958631793985</v>
      </c>
      <c r="J8" cm="1">
        <f t="array" ref="J8">_xll.FDS(B8,"STD(FG_PRICE_CHANGE(0,-3AY,M))")*SQRT(12)</f>
        <v>8.5214245205419274</v>
      </c>
      <c r="L8">
        <f t="shared" si="1"/>
        <v>71.500000000000014</v>
      </c>
      <c r="M8">
        <f t="shared" si="2"/>
        <v>35.799999999999997</v>
      </c>
      <c r="N8">
        <f t="shared" si="3"/>
        <v>21.499999999999996</v>
      </c>
      <c r="O8">
        <f t="shared" si="4"/>
        <v>37.220000000000006</v>
      </c>
      <c r="P8">
        <f t="shared" si="5"/>
        <v>42.900000000000006</v>
      </c>
      <c r="Q8">
        <f>VLOOKUP(A8,CAD!$A$3:$J$15, 10, FALSE)</f>
        <v>92.800000000000011</v>
      </c>
      <c r="S8">
        <f t="shared" si="0"/>
        <v>50.040000000000006</v>
      </c>
      <c r="U8" cm="1">
        <f t="array" ref="U8">_xlfn.PERCENTRANK.EXC(_xlfn._xlws.FILTER(S$3:S$15, ISNUMBER(S$3:S$15)),S8)*100</f>
        <v>42.8</v>
      </c>
    </row>
    <row r="9" spans="1:21" x14ac:dyDescent="0.35">
      <c r="A9" t="s">
        <v>48</v>
      </c>
      <c r="B9" t="s">
        <v>468</v>
      </c>
      <c r="C9" t="str" cm="1">
        <f t="array" ref="C9">_xll.FDSB(B9,"FG_COMPANY_NAME")</f>
        <v>British Pounds per U.S. Dollar</v>
      </c>
      <c r="D9" cm="1">
        <f t="array" ref="D9">_xll.FDSB(B9,"FG_PRICE(0)")</f>
        <v>0.78330003999999998</v>
      </c>
      <c r="E9" cm="1">
        <f t="array" ref="E9">_xll.FDSB(B9,"FG_PRICE_CHANGE(0,-1AY)")</f>
        <v>-1.2650311000000001</v>
      </c>
      <c r="F9" cm="1">
        <f t="array" ref="F9">_xll.FDSB(B9,"FG_PRICE_CHANGE(0,-1AM)")</f>
        <v>-1.5979350000000001</v>
      </c>
      <c r="G9" cm="1">
        <f t="array" ref="G9">_xll.FDSB(B9,"FG_PRICE_CHANGE(0,-3AM)")</f>
        <v>0.24281739999999999</v>
      </c>
      <c r="H9" cm="1">
        <f t="array" ref="H9">_xll.FDSB(B9,"FG_PRICE_CHANGE(0,-6AM)")</f>
        <v>-1.8877505999999999</v>
      </c>
      <c r="I9" cm="1">
        <f t="array" ref="I9">_xll.FDS(B9,"STD(FG_PRICE_CHANGE(0,-1AY,AM))")</f>
        <v>2.2777656577588998</v>
      </c>
      <c r="J9" cm="1">
        <f t="array" ref="J9">_xll.FDS(B9,"STD(FG_PRICE_CHANGE(0,-3AY,M))")*SQRT(12)</f>
        <v>8.2382000316723918</v>
      </c>
      <c r="L9">
        <f t="shared" si="1"/>
        <v>78.600000000000009</v>
      </c>
      <c r="M9">
        <f t="shared" si="2"/>
        <v>57.2</v>
      </c>
      <c r="N9">
        <f t="shared" si="3"/>
        <v>92.9</v>
      </c>
      <c r="O9">
        <f>SUMPRODUCT($L$1:$N$1,L9:N9)</f>
        <v>75.760000000000019</v>
      </c>
      <c r="P9">
        <f t="shared" si="5"/>
        <v>50</v>
      </c>
      <c r="Q9">
        <f>VLOOKUP(A9,CAD!$A$3:$J$15, 10, FALSE)</f>
        <v>28.499999999999996</v>
      </c>
      <c r="S9">
        <f t="shared" si="0"/>
        <v>58.580000000000013</v>
      </c>
      <c r="U9" cm="1">
        <f t="array" ref="U9">_xlfn.PERCENTRANK.EXC(_xlfn._xlws.FILTER(S$3:S$15, ISNUMBER(S$3:S$15)),S9)*100</f>
        <v>71.399999999999991</v>
      </c>
    </row>
    <row r="10" spans="1:21" x14ac:dyDescent="0.35">
      <c r="A10" t="s">
        <v>51</v>
      </c>
      <c r="B10" t="s">
        <v>554</v>
      </c>
      <c r="C10" t="str" cm="1">
        <f t="array" ref="C10">_xll.FDSB(B10,"FG_COMPANY_NAME")</f>
        <v>U.S. Dollar per U.S. Dollar</v>
      </c>
      <c r="D10" cm="1">
        <f t="array" ref="D10">_xll.FDSB(B10,"FG_PRICE(0)")</f>
        <v>1</v>
      </c>
      <c r="E10" cm="1">
        <f t="array" ref="E10">_xll.FDSB(B10,"FG_PRICE_CHANGE(0,-1AY)")</f>
        <v>0</v>
      </c>
      <c r="F10" cm="1">
        <f t="array" ref="F10">_xll.FDSB(B10,"FG_PRICE_CHANGE(0,-1AM)")</f>
        <v>0</v>
      </c>
      <c r="G10" cm="1">
        <f t="array" ref="G10">_xll.FDSB(B10,"FG_PRICE_CHANGE(0,-3AM)")</f>
        <v>0</v>
      </c>
      <c r="H10" cm="1">
        <f t="array" ref="H10">_xll.FDSB(B10,"FG_PRICE_CHANGE(0,-6AM)")</f>
        <v>0</v>
      </c>
      <c r="I10" cm="1">
        <f t="array" ref="I10">_xll.FDS(B10,"STD(FG_PRICE_CHANGE(0,-1AY,AM))")</f>
        <v>0</v>
      </c>
      <c r="J10" cm="1">
        <f t="array" ref="J10">_xll.FDS(B10,"STD(FG_PRICE_CHANGE(0,-3AY,M))")*SQRT(12)</f>
        <v>0</v>
      </c>
      <c r="L10">
        <f t="shared" si="1"/>
        <v>50</v>
      </c>
      <c r="M10">
        <f t="shared" si="2"/>
        <v>78.600000000000009</v>
      </c>
      <c r="N10">
        <f t="shared" si="3"/>
        <v>71.500000000000014</v>
      </c>
      <c r="O10">
        <f t="shared" si="4"/>
        <v>70.04000000000002</v>
      </c>
      <c r="P10">
        <f t="shared" si="5"/>
        <v>92.9</v>
      </c>
      <c r="Q10">
        <f>VLOOKUP(A10,CAD!$A$3:$J$15, 10, FALSE)</f>
        <v>14.2</v>
      </c>
      <c r="S10">
        <f t="shared" si="0"/>
        <v>65.730000000000018</v>
      </c>
      <c r="U10" cm="1">
        <f t="array" ref="U10">_xlfn.PERCENTRANK.EXC(_xlfn._xlws.FILTER(S$3:S$15, ISNUMBER(S$3:S$15)),S10)*100</f>
        <v>78.5</v>
      </c>
    </row>
    <row r="11" spans="1:21" x14ac:dyDescent="0.35">
      <c r="A11" t="s">
        <v>1</v>
      </c>
      <c r="B11" t="s">
        <v>554</v>
      </c>
      <c r="C11" t="str" cm="1">
        <f t="array" ref="C11">_xll.FDSB(B11,"FG_COMPANY_NAME")</f>
        <v>U.S. Dollar per U.S. Dollar</v>
      </c>
      <c r="D11" cm="1">
        <f t="array" ref="D11">_xll.FDSB(B11,"FG_PRICE(0)")</f>
        <v>1</v>
      </c>
      <c r="E11" cm="1">
        <f t="array" ref="E11">_xll.FDSB(B11,"FG_PRICE_CHANGE(0,-1AY)")</f>
        <v>0</v>
      </c>
      <c r="F11" cm="1">
        <f t="array" ref="F11">_xll.FDSB(B11,"FG_PRICE_CHANGE(0,-1AM)")</f>
        <v>0</v>
      </c>
      <c r="G11" cm="1">
        <f t="array" ref="G11">_xll.FDSB(B11,"FG_PRICE_CHANGE(0,-3AM)")</f>
        <v>0</v>
      </c>
      <c r="H11" cm="1">
        <f t="array" ref="H11">_xll.FDSB(B11,"FG_PRICE_CHANGE(0,-6AM)")</f>
        <v>0</v>
      </c>
      <c r="I11" cm="1">
        <f t="array" ref="I11">_xll.FDS(B11,"STD(FG_PRICE_CHANGE(0,-1AY,AM))")</f>
        <v>0</v>
      </c>
      <c r="J11" cm="1">
        <f t="array" ref="J11">_xll.FDS(B11,"STD(FG_PRICE_CHANGE(0,-3AY,M))")*SQRT(12)</f>
        <v>0</v>
      </c>
      <c r="L11">
        <f t="shared" si="1"/>
        <v>50</v>
      </c>
      <c r="M11">
        <f t="shared" si="2"/>
        <v>78.600000000000009</v>
      </c>
      <c r="N11">
        <f t="shared" si="3"/>
        <v>71.500000000000014</v>
      </c>
      <c r="O11">
        <f t="shared" si="4"/>
        <v>70.04000000000002</v>
      </c>
      <c r="P11">
        <f t="shared" si="5"/>
        <v>92.9</v>
      </c>
      <c r="Q11">
        <f>VLOOKUP(A11,CAD!$A$3:$J$15, 10, FALSE)</f>
        <v>14.2</v>
      </c>
      <c r="S11">
        <f t="shared" si="0"/>
        <v>65.730000000000018</v>
      </c>
      <c r="U11" cm="1">
        <f t="array" ref="U11">_xlfn.PERCENTRANK.EXC(_xlfn._xlws.FILTER(S$3:S$15, ISNUMBER(S$3:S$15)),S11)*100</f>
        <v>78.5</v>
      </c>
    </row>
    <row r="12" spans="1:21" x14ac:dyDescent="0.35">
      <c r="A12" t="s">
        <v>865</v>
      </c>
      <c r="B12" t="s">
        <v>470</v>
      </c>
      <c r="C12" t="str" cm="1">
        <f t="array" ref="C12">_xll.FDSB(B12,"FG_COMPANY_NAME")</f>
        <v>Swiss Franc per U.S. Dollar</v>
      </c>
      <c r="D12" cm="1">
        <f t="array" ref="D12">_xll.FDSB(B12,"FG_PRICE(0)")</f>
        <v>0.89429999999999998</v>
      </c>
      <c r="E12" cm="1">
        <f t="array" ref="E12">_xll.FDSB(B12,"FG_PRICE_CHANGE(0,-1AY)")</f>
        <v>-1.2314320000000001</v>
      </c>
      <c r="F12" cm="1">
        <f t="array" ref="F12">_xll.FDSB(B12,"FG_PRICE_CHANGE(0,-1AM)")</f>
        <v>-1.3186215999999999</v>
      </c>
      <c r="G12" cm="1">
        <f t="array" ref="G12">_xll.FDSB(B12,"FG_PRICE_CHANGE(0,-3AM)")</f>
        <v>1.8506885</v>
      </c>
      <c r="H12" cm="1">
        <f t="array" ref="H12">_xll.FDSB(B12,"FG_PRICE_CHANGE(0,-6AM)")</f>
        <v>2.083218</v>
      </c>
      <c r="I12" cm="1">
        <f t="array" ref="I12">_xll.FDS(B12,"STD(FG_PRICE_CHANGE(0,-1AY,AM))")</f>
        <v>2.69958631793985</v>
      </c>
      <c r="J12" cm="1">
        <f t="array" ref="J12">_xll.FDS(B12,"STD(FG_PRICE_CHANGE(0,-3AY,M))")*SQRT(12)</f>
        <v>8.5214245205419274</v>
      </c>
      <c r="L12">
        <f t="shared" si="1"/>
        <v>71.500000000000014</v>
      </c>
      <c r="M12">
        <f t="shared" si="2"/>
        <v>35.799999999999997</v>
      </c>
      <c r="N12">
        <f t="shared" si="3"/>
        <v>21.499999999999996</v>
      </c>
      <c r="O12">
        <f t="shared" ref="O12:O15" si="6">SUMPRODUCT($L$1:$N$1,L12:N12)</f>
        <v>37.220000000000006</v>
      </c>
      <c r="P12">
        <f t="shared" si="5"/>
        <v>42.900000000000006</v>
      </c>
      <c r="Q12">
        <f>VLOOKUP(A12,CAD!$A$3:$J$15, 10, FALSE)</f>
        <v>35.699999999999996</v>
      </c>
      <c r="S12">
        <f t="shared" ref="S12:S15" si="7">SUMPRODUCT($O$1:$Q$1,O12:Q12)</f>
        <v>38.620000000000005</v>
      </c>
      <c r="U12" cm="1">
        <f t="array" ref="U12">_xlfn.PERCENTRANK.EXC(_xlfn._xlws.FILTER(S$3:S$15, ISNUMBER(S$3:S$15)),S12)*100</f>
        <v>14.2</v>
      </c>
    </row>
    <row r="13" spans="1:21" s="183" customFormat="1" x14ac:dyDescent="0.35">
      <c r="A13" s="183" t="s">
        <v>867</v>
      </c>
      <c r="B13" s="183" t="s">
        <v>880</v>
      </c>
      <c r="C13" s="183" t="str" cm="1">
        <f t="array" ref="C13">_xll.FDSB(B13,"FG_COMPANY_NAME")</f>
        <v>Netherlands Antilles Guilder per U.S. Dollar</v>
      </c>
      <c r="D13" s="183" cm="1">
        <f t="array" ref="D13">_xll.FDSB(B13,"FG_PRICE(0)")</f>
        <v>1.79</v>
      </c>
      <c r="E13" s="183" cm="1">
        <f t="array" ref="E13">_xll.FDSB(B13,"FG_PRICE_CHANGE(0,-1AY)")</f>
        <v>0</v>
      </c>
      <c r="F13" s="183" cm="1">
        <f t="array" ref="F13">_xll.FDSB(B13,"FG_PRICE_CHANGE(0,-1AM)")</f>
        <v>0</v>
      </c>
      <c r="G13" s="183" cm="1">
        <f t="array" ref="G13">_xll.FDSB(B13,"FG_PRICE_CHANGE(0,-3AM)")</f>
        <v>0</v>
      </c>
      <c r="H13" s="183" cm="1">
        <f t="array" ref="H13">_xll.FDSB(B13,"FG_PRICE_CHANGE(0,-6AM)")</f>
        <v>0</v>
      </c>
      <c r="I13" s="183" cm="1">
        <f t="array" ref="I13">_xll.FDS(B13,"STD(FG_PRICE_CHANGE(0,-1AY,AM))")</f>
        <v>0</v>
      </c>
      <c r="J13" s="183" cm="1">
        <f t="array" ref="J13">_xll.FDS(B13,"STD(FG_PRICE_CHANGE(0,-3AY,M))")*SQRT(12)</f>
        <v>0.2059757180491337</v>
      </c>
      <c r="L13" s="183">
        <f t="shared" si="1"/>
        <v>50</v>
      </c>
      <c r="M13" s="183">
        <f t="shared" si="2"/>
        <v>78.600000000000009</v>
      </c>
      <c r="N13" s="183">
        <f t="shared" si="3"/>
        <v>71.500000000000014</v>
      </c>
      <c r="O13" s="183">
        <f t="shared" si="6"/>
        <v>70.04000000000002</v>
      </c>
      <c r="P13" s="183">
        <f t="shared" si="5"/>
        <v>78.599999999999994</v>
      </c>
      <c r="Q13" s="183">
        <f>VLOOKUP(A13,CAD!$A$3:$J$15, 10, FALSE)</f>
        <v>85.7</v>
      </c>
      <c r="S13" s="183">
        <f t="shared" si="7"/>
        <v>75.740000000000009</v>
      </c>
      <c r="U13" s="183" cm="1">
        <f t="array" ref="U13">_xlfn.PERCENTRANK.EXC(_xlfn._xlws.FILTER(S$3:S$15, ISNUMBER(S$3:S$15)),S13)*100</f>
        <v>92.800000000000011</v>
      </c>
    </row>
    <row r="14" spans="1:21" x14ac:dyDescent="0.35">
      <c r="A14" t="s">
        <v>864</v>
      </c>
      <c r="B14" t="s">
        <v>881</v>
      </c>
      <c r="C14" t="str" cm="1">
        <f t="array" ref="C14">_xll.FDSB(B14,"FG_COMPANY_NAME")</f>
        <v>Swedish Krona per U.S. Dollar</v>
      </c>
      <c r="D14" cm="1">
        <f t="array" ref="D14">_xll.FDSB(B14,"FG_PRICE(0)")</f>
        <v>10.45955</v>
      </c>
      <c r="E14" cm="1">
        <f t="array" ref="E14">_xll.FDSB(B14,"FG_PRICE_CHANGE(0,-1AY)")</f>
        <v>-2.2878289999999999</v>
      </c>
      <c r="F14" cm="1">
        <f t="array" ref="F14">_xll.FDSB(B14,"FG_PRICE_CHANGE(0,-1AM)")</f>
        <v>-3.3572316</v>
      </c>
      <c r="G14" cm="1">
        <f t="array" ref="G14">_xll.FDSB(B14,"FG_PRICE_CHANGE(0,-3AM)")</f>
        <v>2.2179126999999998</v>
      </c>
      <c r="H14" cm="1">
        <f t="array" ref="H14">_xll.FDSB(B14,"FG_PRICE_CHANGE(0,-6AM)")</f>
        <v>0.16039610000000001</v>
      </c>
      <c r="I14" cm="1">
        <f t="array" ref="I14">_xll.FDS(B14,"STD(FG_PRICE_CHANGE(0,-1AY,AM))")</f>
        <v>3.8159272824872099</v>
      </c>
      <c r="J14" cm="1">
        <f t="array" ref="J14">_xll.FDS(B14,"STD(FG_PRICE_CHANGE(0,-3AY,M))")*SQRT(12)</f>
        <v>10.383201952057005</v>
      </c>
      <c r="L14">
        <f t="shared" si="1"/>
        <v>92.9</v>
      </c>
      <c r="M14">
        <f t="shared" si="2"/>
        <v>14.3</v>
      </c>
      <c r="N14">
        <f t="shared" si="3"/>
        <v>50</v>
      </c>
      <c r="O14">
        <f t="shared" si="6"/>
        <v>44.300000000000004</v>
      </c>
      <c r="P14">
        <f t="shared" si="5"/>
        <v>28.600000000000009</v>
      </c>
      <c r="Q14">
        <f>VLOOKUP(A14,CAD!$A$3:$J$15, 10, FALSE)</f>
        <v>71.399999999999991</v>
      </c>
      <c r="S14">
        <f t="shared" si="7"/>
        <v>45.010000000000005</v>
      </c>
      <c r="U14" cm="1">
        <f t="array" ref="U14">_xlfn.PERCENTRANK.EXC(_xlfn._xlws.FILTER(S$3:S$15, ISNUMBER(S$3:S$15)),S14)*100</f>
        <v>28.499999999999996</v>
      </c>
    </row>
    <row r="15" spans="1:21" x14ac:dyDescent="0.35">
      <c r="A15" t="s">
        <v>866</v>
      </c>
      <c r="B15" t="s">
        <v>882</v>
      </c>
      <c r="C15" t="str" cm="1">
        <f t="array" ref="C15">_xll.FDSB(B15,"FG_COMPANY_NAME")</f>
        <v>Italian Lira per U.S. Dollar</v>
      </c>
      <c r="D15" cm="1">
        <f t="array" ref="D15">_xll.FDSB(B15,"FG_PRICE(0)")</f>
        <v>1797.5862</v>
      </c>
      <c r="E15" cm="1">
        <f t="array" ref="E15">_xll.FDSB(B15,"FG_PRICE_CHANGE(0,-1AY)")</f>
        <v>0.28779506999999999</v>
      </c>
      <c r="F15" cm="1">
        <f t="array" ref="F15">_xll.FDSB(B15,"FG_PRICE_CHANGE(0,-1AM)")</f>
        <v>0.29706955000000002</v>
      </c>
      <c r="G15" cm="1">
        <f t="array" ref="G15">_xll.FDSB(B15,"FG_PRICE_CHANGE(0,-3AM)")</f>
        <v>1.5968084</v>
      </c>
      <c r="H15" cm="1">
        <f t="array" ref="H15">_xll.FDSB(B15,"FG_PRICE_CHANGE(0,-6AM)")</f>
        <v>0.21352768</v>
      </c>
      <c r="I15" cm="1">
        <f t="array" ref="I15">_xll.FDS(B15,"STD(FG_PRICE_CHANGE(0,-1AY,AM))")</f>
        <v>2.11508254339528</v>
      </c>
      <c r="J15" cm="1">
        <f t="array" ref="J15">_xll.FDS(B15,"STD(FG_PRICE_CHANGE(0,-3AY,M))")*SQRT(12)</f>
        <v>7.5470674626913894</v>
      </c>
      <c r="L15">
        <f t="shared" si="1"/>
        <v>28.6</v>
      </c>
      <c r="M15">
        <f t="shared" si="2"/>
        <v>50</v>
      </c>
      <c r="N15">
        <f t="shared" si="3"/>
        <v>42.900000000000006</v>
      </c>
      <c r="O15">
        <f t="shared" si="6"/>
        <v>42.88</v>
      </c>
      <c r="P15">
        <f t="shared" si="5"/>
        <v>64.300000000000011</v>
      </c>
      <c r="Q15">
        <f>VLOOKUP(A15,CAD!$A$3:$J$15, 10, FALSE)</f>
        <v>57.099999999999994</v>
      </c>
      <c r="S15">
        <f t="shared" si="7"/>
        <v>52.150000000000006</v>
      </c>
      <c r="U15" cm="1">
        <f t="array" ref="U15">_xlfn.PERCENTRANK.EXC(_xlfn._xlws.FILTER(S$3:S$15, ISNUMBER(S$3:S$15)),S15)*100</f>
        <v>50</v>
      </c>
    </row>
    <row r="24" spans="10:10" x14ac:dyDescent="0.35">
      <c r="J24" s="53"/>
    </row>
    <row r="26" spans="10:10" x14ac:dyDescent="0.35">
      <c r="J26" s="67"/>
    </row>
    <row r="28" spans="10:10" x14ac:dyDescent="0.35">
      <c r="J28" s="67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6C35-3D88-4986-8CFC-9E5D44B3DBFD}">
  <dimension ref="A1:J15"/>
  <sheetViews>
    <sheetView topLeftCell="C1" zoomScale="145" zoomScaleNormal="145" workbookViewId="0">
      <selection activeCell="J8" sqref="J8"/>
    </sheetView>
  </sheetViews>
  <sheetFormatPr defaultRowHeight="14.5" x14ac:dyDescent="0.35"/>
  <cols>
    <col min="3" max="3" width="13.81640625" customWidth="1"/>
    <col min="4" max="4" width="11.453125" customWidth="1"/>
    <col min="6" max="6" width="13.453125" bestFit="1" customWidth="1"/>
    <col min="7" max="7" width="22" bestFit="1" customWidth="1"/>
    <col min="8" max="8" width="22.54296875" customWidth="1"/>
    <col min="9" max="9" width="10" customWidth="1"/>
    <col min="10" max="10" width="9.54296875" customWidth="1"/>
  </cols>
  <sheetData>
    <row r="1" spans="1:10" x14ac:dyDescent="0.35">
      <c r="F1" t="s">
        <v>481</v>
      </c>
      <c r="G1" t="s">
        <v>482</v>
      </c>
      <c r="H1" t="s">
        <v>483</v>
      </c>
      <c r="J1" t="s">
        <v>492</v>
      </c>
    </row>
    <row r="2" spans="1:10" x14ac:dyDescent="0.35">
      <c r="C2" t="s">
        <v>484</v>
      </c>
      <c r="D2" t="s">
        <v>152</v>
      </c>
      <c r="E2" t="s">
        <v>485</v>
      </c>
      <c r="F2" t="s">
        <v>486</v>
      </c>
      <c r="G2" t="s">
        <v>479</v>
      </c>
      <c r="H2" t="s">
        <v>480</v>
      </c>
    </row>
    <row r="3" spans="1:10" x14ac:dyDescent="0.35">
      <c r="A3" t="s">
        <v>431</v>
      </c>
      <c r="B3" t="s">
        <v>469</v>
      </c>
      <c r="C3" t="str" cm="1">
        <f t="array" ref="C3">_xll.FDS($E3,"FG_COMPANY_NAME")</f>
        <v>New Zealand</v>
      </c>
      <c r="D3" t="s">
        <v>197</v>
      </c>
      <c r="E3" t="s">
        <v>198</v>
      </c>
      <c r="F3" t="str">
        <f t="shared" ref="F3:F15" si="0">_xlfn.CONCAT($F$1,D3)</f>
        <v>CAGDPY@NZ</v>
      </c>
      <c r="G3" cm="1">
        <f t="array" ref="G3">IFERROR(_xll.FDS($F3,"EE_ACTUAL_ANNUAL(MED,0)"),0)</f>
        <v>-6.9</v>
      </c>
      <c r="H3" cm="1">
        <f t="array" ref="H3">IFERROR(_xll.FDS($F3,"EE_ACTUAL_ANNUAL(MED,+1)"),0)</f>
        <v>-5.6</v>
      </c>
      <c r="J3" cm="1">
        <f t="array" ref="J3">_xlfn.PERCENTRANK.EXC(_xlfn._xlws.FILTER(H$3:H$15, ISNUMBER(H$3:H$15)),H3)*100</f>
        <v>7.1</v>
      </c>
    </row>
    <row r="4" spans="1:10" x14ac:dyDescent="0.35">
      <c r="A4" t="s">
        <v>44</v>
      </c>
      <c r="B4" t="s">
        <v>466</v>
      </c>
      <c r="C4" t="str" cm="1">
        <f t="array" ref="C4">_xll.FDS($E4,"FG_COMPANY_NAME")</f>
        <v>Australia</v>
      </c>
      <c r="D4" t="s">
        <v>113</v>
      </c>
      <c r="E4" t="s">
        <v>174</v>
      </c>
      <c r="F4" t="str">
        <f t="shared" si="0"/>
        <v>CAGDPY@AU</v>
      </c>
      <c r="G4" cm="1">
        <f t="array" ref="G4">IFERROR(_xll.FDS($F4,"EE_ACTUAL_ANNUAL(MED,0)"),0)</f>
        <v>0.27577682550316901</v>
      </c>
      <c r="H4" cm="1">
        <f t="array" ref="H4">IFERROR(_xll.FDS($F4,"EE_ACTUAL_ANNUAL(MED,+1)"),0)</f>
        <v>0.5</v>
      </c>
      <c r="J4" cm="1">
        <f t="array" ref="J4">_xlfn.PERCENTRANK.EXC(_xlfn._xlws.FILTER(H$3:H$15, ISNUMBER(H$3:H$15)),H4)*100</f>
        <v>50</v>
      </c>
    </row>
    <row r="5" spans="1:10" x14ac:dyDescent="0.35">
      <c r="A5" t="s">
        <v>49</v>
      </c>
      <c r="B5" t="s">
        <v>467</v>
      </c>
      <c r="C5" t="str" cm="1">
        <f t="array" ref="C5">_xll.FDS($E5,"FG_COMPANY_NAME")</f>
        <v>Canada</v>
      </c>
      <c r="D5" t="s">
        <v>116</v>
      </c>
      <c r="E5" t="s">
        <v>157</v>
      </c>
      <c r="F5" t="str">
        <f t="shared" si="0"/>
        <v>CAGDPY@CA</v>
      </c>
      <c r="G5" cm="1">
        <f t="array" ref="G5">IFERROR(_xll.FDS($F5,"EE_ACTUAL_ANNUAL(MED,0)"),0)</f>
        <v>-0.72541439902632698</v>
      </c>
      <c r="H5" cm="1">
        <f t="array" ref="H5">IFERROR(_xll.FDS($F5,"EE_ACTUAL_ANNUAL(MED,+1)"),0)</f>
        <v>-0.35</v>
      </c>
      <c r="J5" cm="1">
        <f t="array" ref="J5">_xlfn.PERCENTRANK.EXC(_xlfn._xlws.FILTER(H$3:H$15, ISNUMBER(H$3:H$15)),H5)*100</f>
        <v>42.8</v>
      </c>
    </row>
    <row r="6" spans="1:10" x14ac:dyDescent="0.35">
      <c r="A6" t="s">
        <v>11</v>
      </c>
      <c r="B6" t="s">
        <v>464</v>
      </c>
      <c r="C6" t="str" cm="1">
        <f t="array" ref="C6">_xll.FDS($E6,"FG_COMPANY_NAME")</f>
        <v>Germany</v>
      </c>
      <c r="D6" t="s">
        <v>102</v>
      </c>
      <c r="E6" t="s">
        <v>555</v>
      </c>
      <c r="F6" t="str">
        <f t="shared" si="0"/>
        <v>CAGDPY@DE</v>
      </c>
      <c r="G6" cm="1">
        <f t="array" ref="G6">IFERROR(_xll.FDS($F6,"EE_ACTUAL_ANNUAL(MED,0)"),0)</f>
        <v>6.0995975976701802</v>
      </c>
      <c r="H6" cm="1">
        <f t="array" ref="H6">IFERROR(_xll.FDS($F6,"EE_ACTUAL_ANNUAL(MED,+1)"),0)</f>
        <v>6.5</v>
      </c>
      <c r="J6" cm="1">
        <f t="array" ref="J6">_xlfn.PERCENTRANK.EXC(_xlfn._xlws.FILTER(H$3:H$15, ISNUMBER(H$3:H$15)),H6)*100</f>
        <v>78.5</v>
      </c>
    </row>
    <row r="7" spans="1:10" x14ac:dyDescent="0.35">
      <c r="A7" t="s">
        <v>46</v>
      </c>
      <c r="B7" t="s">
        <v>465</v>
      </c>
      <c r="C7" t="str" cm="1">
        <f t="array" ref="C7">_xll.FDS($E7,"FG_COMPANY_NAME")</f>
        <v>Japan</v>
      </c>
      <c r="D7" t="s">
        <v>114</v>
      </c>
      <c r="E7" t="s">
        <v>164</v>
      </c>
      <c r="F7" t="str">
        <f t="shared" si="0"/>
        <v>CAGDPY@JP</v>
      </c>
      <c r="G7" cm="1">
        <f t="array" ref="G7">IFERROR(_xll.FDS($F7,"EE_ACTUAL_ANNUAL(MED,0)"),0)</f>
        <v>3.61295912215857</v>
      </c>
      <c r="H7" cm="1">
        <f t="array" ref="H7">IFERROR(_xll.FDS($F7,"EE_ACTUAL_ANNUAL(MED,+1)"),0)</f>
        <v>3.65</v>
      </c>
      <c r="J7" cm="1">
        <f t="array" ref="J7">_xlfn.PERCENTRANK.EXC(_xlfn._xlws.FILTER(H$3:H$15, ISNUMBER(H$3:H$15)),H7)*100</f>
        <v>64.2</v>
      </c>
    </row>
    <row r="8" spans="1:10" x14ac:dyDescent="0.35">
      <c r="A8" t="s">
        <v>42</v>
      </c>
      <c r="B8" t="s">
        <v>470</v>
      </c>
      <c r="C8" t="str" cm="1">
        <f t="array" ref="C8">_xll.FDS($E8,"FG_COMPANY_NAME")</f>
        <v>Switzerland</v>
      </c>
      <c r="D8" t="s">
        <v>110</v>
      </c>
      <c r="E8" t="s">
        <v>276</v>
      </c>
      <c r="F8" t="str">
        <f t="shared" si="0"/>
        <v>CAGDPY@CH</v>
      </c>
      <c r="G8" cm="1">
        <f t="array" ref="G8">IFERROR(_xll.FDS($F8,"EE_ACTUAL_ANNUAL(MED,0)"),0)</f>
        <v>7.6422111054326596</v>
      </c>
      <c r="H8" cm="1">
        <f t="array" ref="H8">IFERROR(_xll.FDS($F8,"EE_ACTUAL_ANNUAL(MED,+1)"),0)</f>
        <v>8.1</v>
      </c>
      <c r="J8" cm="1">
        <f t="array" ref="J8">_xlfn.PERCENTRANK.EXC(_xlfn._xlws.FILTER(H$3:H$15, ISNUMBER(H$3:H$15)),H8)*100</f>
        <v>92.800000000000011</v>
      </c>
    </row>
    <row r="9" spans="1:10" x14ac:dyDescent="0.35">
      <c r="A9" t="s">
        <v>48</v>
      </c>
      <c r="B9" t="s">
        <v>468</v>
      </c>
      <c r="C9" t="str" cm="1">
        <f t="array" ref="C9">_xll.FDS($E9,"FG_COMPANY_NAME")</f>
        <v>United Kingdom</v>
      </c>
      <c r="D9" t="s">
        <v>115</v>
      </c>
      <c r="E9" t="s">
        <v>167</v>
      </c>
      <c r="F9" t="str">
        <f t="shared" si="0"/>
        <v>CAGDPY@GB</v>
      </c>
      <c r="G9" cm="1">
        <f t="array" ref="G9">IFERROR(_xll.FDS($F9,"EE_ACTUAL_ANNUAL(MED,0)"),0)</f>
        <v>-3.3</v>
      </c>
      <c r="H9" cm="1">
        <f t="array" ref="H9">IFERROR(_xll.FDS($F9,"EE_ACTUAL_ANNUAL(MED,+1)"),0)</f>
        <v>-2.8</v>
      </c>
      <c r="J9" cm="1">
        <f t="array" ref="J9">_xlfn.PERCENTRANK.EXC(_xlfn._xlws.FILTER(H$3:H$15, ISNUMBER(H$3:H$15)),H9)*100</f>
        <v>28.499999999999996</v>
      </c>
    </row>
    <row r="10" spans="1:10" x14ac:dyDescent="0.35">
      <c r="A10" t="s">
        <v>51</v>
      </c>
      <c r="B10" t="s">
        <v>554</v>
      </c>
      <c r="C10" t="str" cm="1">
        <f t="array" ref="C10">_xll.FDS($E10,"FG_COMPANY_NAME")</f>
        <v>United States</v>
      </c>
      <c r="D10" t="s">
        <v>119</v>
      </c>
      <c r="E10" t="s">
        <v>170</v>
      </c>
      <c r="F10" t="str">
        <f>_xlfn.CONCAT($F$1,D10)</f>
        <v>CAGDPY@US</v>
      </c>
      <c r="G10" cm="1">
        <f t="array" ref="G10">IFERROR(_xll.FDS($F10,"EE_ACTUAL_ANNUAL(MED,0)"),0)</f>
        <v>-2.9956167375174898</v>
      </c>
      <c r="H10" cm="1">
        <f t="array" ref="H10">IFERROR(_xll.FDS($F10,"EE_ACTUAL_ANNUAL(MED,+1)"),0)</f>
        <v>-3</v>
      </c>
      <c r="J10" cm="1">
        <f t="array" ref="J10">_xlfn.PERCENTRANK.EXC(_xlfn._xlws.FILTER(H$3:H$15, ISNUMBER(H$3:H$15)),H10)*100</f>
        <v>14.2</v>
      </c>
    </row>
    <row r="11" spans="1:10" x14ac:dyDescent="0.35">
      <c r="A11" t="s">
        <v>1</v>
      </c>
      <c r="B11" t="s">
        <v>554</v>
      </c>
      <c r="C11" t="str" cm="1">
        <f t="array" ref="C11">_xll.FDS($E11,"FG_COMPANY_NAME")</f>
        <v>United States</v>
      </c>
      <c r="D11" t="s">
        <v>119</v>
      </c>
      <c r="E11" t="s">
        <v>170</v>
      </c>
      <c r="F11" t="str">
        <f t="shared" si="0"/>
        <v>CAGDPY@US</v>
      </c>
      <c r="G11" cm="1">
        <f t="array" ref="G11">IFERROR(_xll.FDS($F11,"EE_ACTUAL_ANNUAL(MED,0)"),0)</f>
        <v>-2.9956167375174898</v>
      </c>
      <c r="H11" cm="1">
        <f t="array" ref="H11">IFERROR(_xll.FDS($F11,"EE_ACTUAL_ANNUAL(MED,+1)"),0)</f>
        <v>-3</v>
      </c>
      <c r="J11" cm="1">
        <f t="array" ref="J11">_xlfn.PERCENTRANK.EXC(_xlfn._xlws.FILTER(H$3:H$15, ISNUMBER(H$3:H$15)),H11)*100</f>
        <v>14.2</v>
      </c>
    </row>
    <row r="12" spans="1:10" x14ac:dyDescent="0.35">
      <c r="A12" t="s">
        <v>865</v>
      </c>
      <c r="B12" t="s">
        <v>470</v>
      </c>
      <c r="C12" t="s">
        <v>621</v>
      </c>
      <c r="D12" t="s">
        <v>106</v>
      </c>
      <c r="E12" t="s">
        <v>869</v>
      </c>
      <c r="F12" t="str">
        <f t="shared" si="0"/>
        <v>CAGDPY@FR</v>
      </c>
      <c r="G12" cm="1">
        <f t="array" ref="G12">IFERROR(_xll.FDS($F12,"EE_ACTUAL_ANNUAL(MED,0)"),0)</f>
        <v>-0.75681715730573196</v>
      </c>
      <c r="H12" cm="1">
        <f t="array" ref="H12">IFERROR(_xll.FDS($F12,"EE_ACTUAL_ANNUAL(MED,+1)"),0)</f>
        <v>-0.5</v>
      </c>
      <c r="J12" cm="1">
        <f t="array" ref="J12">_xlfn.PERCENTRANK.EXC(_xlfn._xlws.FILTER(H$3:H$15, ISNUMBER(H$3:H$15)),H12)*100</f>
        <v>35.699999999999996</v>
      </c>
    </row>
    <row r="13" spans="1:10" x14ac:dyDescent="0.35">
      <c r="A13" t="s">
        <v>867</v>
      </c>
      <c r="B13" t="s">
        <v>880</v>
      </c>
      <c r="C13" t="s">
        <v>673</v>
      </c>
      <c r="D13" t="s">
        <v>875</v>
      </c>
      <c r="E13" t="s">
        <v>870</v>
      </c>
      <c r="F13" t="str">
        <f t="shared" si="0"/>
        <v>CAGDPY@NL</v>
      </c>
      <c r="G13" cm="1">
        <f t="array" ref="G13">IFERROR(_xll.FDS($F13,"EE_ACTUAL_ANNUAL(MED,0)"),0)</f>
        <v>10.0884806997308</v>
      </c>
      <c r="H13" cm="1">
        <f t="array" ref="H13">IFERROR(_xll.FDS($F13,"EE_ACTUAL_ANNUAL(MED,+1)"),0)</f>
        <v>7.6</v>
      </c>
      <c r="J13" cm="1">
        <f t="array" ref="J13">_xlfn.PERCENTRANK.EXC(_xlfn._xlws.FILTER(H$3:H$15, ISNUMBER(H$3:H$15)),H13)*100</f>
        <v>85.7</v>
      </c>
    </row>
    <row r="14" spans="1:10" x14ac:dyDescent="0.35">
      <c r="A14" t="s">
        <v>864</v>
      </c>
      <c r="B14" t="s">
        <v>881</v>
      </c>
      <c r="C14" t="s">
        <v>705</v>
      </c>
      <c r="D14" t="s">
        <v>272</v>
      </c>
      <c r="E14" t="s">
        <v>273</v>
      </c>
      <c r="F14" t="str">
        <f t="shared" si="0"/>
        <v>CAGDPY@SE</v>
      </c>
      <c r="G14" cm="1">
        <f t="array" ref="G14">IFERROR(_xll.FDS($F14,"EE_ACTUAL_ANNUAL(MED,0)"),0)</f>
        <v>6.4686639012956002</v>
      </c>
      <c r="H14" cm="1">
        <f t="array" ref="H14">IFERROR(_xll.FDS($F14,"EE_ACTUAL_ANNUAL(MED,+1)"),0)</f>
        <v>5.0999999999999996</v>
      </c>
      <c r="J14" cm="1">
        <f t="array" ref="J14">_xlfn.PERCENTRANK.EXC(_xlfn._xlws.FILTER(H$3:H$15, ISNUMBER(H$3:H$15)),H14)*100</f>
        <v>71.399999999999991</v>
      </c>
    </row>
    <row r="15" spans="1:10" x14ac:dyDescent="0.35">
      <c r="A15" t="s">
        <v>866</v>
      </c>
      <c r="B15" t="s">
        <v>882</v>
      </c>
      <c r="C15" t="s">
        <v>641</v>
      </c>
      <c r="D15" t="s">
        <v>876</v>
      </c>
      <c r="E15" t="s">
        <v>868</v>
      </c>
      <c r="F15" t="str">
        <f t="shared" si="0"/>
        <v>CAGDPY@IT</v>
      </c>
      <c r="G15" cm="1">
        <f t="array" ref="G15">IFERROR(_xll.FDS($F15,"EE_ACTUAL_ANNUAL(MED,0)"),0)</f>
        <v>0.50820581194102399</v>
      </c>
      <c r="H15" cm="1">
        <f t="array" ref="H15">IFERROR(_xll.FDS($F15,"EE_ACTUAL_ANNUAL(MED,+1)"),0)</f>
        <v>0.9</v>
      </c>
      <c r="J15" cm="1">
        <f t="array" ref="J15">_xlfn.PERCENTRANK.EXC(_xlfn._xlws.FILTER(H$3:H$15, ISNUMBER(H$3:H$15)),H15)*100</f>
        <v>57.099999999999994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N123"/>
  <sheetViews>
    <sheetView topLeftCell="Y1" workbookViewId="0">
      <selection activeCell="AP4" sqref="AP4"/>
    </sheetView>
  </sheetViews>
  <sheetFormatPr defaultRowHeight="14.5" x14ac:dyDescent="0.35"/>
  <cols>
    <col min="1" max="1" width="10.54296875" customWidth="1"/>
    <col min="2" max="2" width="14" customWidth="1"/>
    <col min="3" max="3" width="11.54296875" customWidth="1"/>
    <col min="24" max="24" width="11.1796875" bestFit="1" customWidth="1"/>
    <col min="25" max="25" width="13.54296875" bestFit="1" customWidth="1"/>
    <col min="40" max="40" width="11.453125" customWidth="1"/>
  </cols>
  <sheetData>
    <row r="1" spans="1:40" x14ac:dyDescent="0.35"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104</v>
      </c>
      <c r="I1" t="s">
        <v>105</v>
      </c>
      <c r="J1" t="s">
        <v>104</v>
      </c>
      <c r="K1" t="s">
        <v>106</v>
      </c>
      <c r="L1" t="s">
        <v>107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T1" t="s">
        <v>115</v>
      </c>
      <c r="U1" t="s">
        <v>116</v>
      </c>
      <c r="W1" t="s">
        <v>104</v>
      </c>
      <c r="Y1" t="s">
        <v>117</v>
      </c>
      <c r="AA1" t="s">
        <v>118</v>
      </c>
      <c r="AB1" t="s">
        <v>119</v>
      </c>
      <c r="AC1" t="s">
        <v>119</v>
      </c>
      <c r="AD1" t="s">
        <v>120</v>
      </c>
      <c r="AE1" t="s">
        <v>118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L1" t="s">
        <v>126</v>
      </c>
      <c r="AM1" t="s">
        <v>127</v>
      </c>
    </row>
    <row r="3" spans="1:40" x14ac:dyDescent="0.35">
      <c r="B3" t="s">
        <v>128</v>
      </c>
      <c r="C3" t="s">
        <v>129</v>
      </c>
      <c r="D3" t="s">
        <v>130</v>
      </c>
      <c r="E3" t="s">
        <v>19</v>
      </c>
      <c r="F3" t="s">
        <v>131</v>
      </c>
      <c r="G3" t="s">
        <v>17</v>
      </c>
      <c r="H3" t="s">
        <v>17</v>
      </c>
      <c r="I3" t="s">
        <v>132</v>
      </c>
      <c r="J3" t="s">
        <v>17</v>
      </c>
      <c r="K3" t="s">
        <v>133</v>
      </c>
      <c r="L3" t="s">
        <v>108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  <c r="R3" t="s">
        <v>139</v>
      </c>
      <c r="S3" t="s">
        <v>140</v>
      </c>
      <c r="T3" t="s">
        <v>141</v>
      </c>
      <c r="U3" t="s">
        <v>142</v>
      </c>
      <c r="V3" t="s">
        <v>140</v>
      </c>
      <c r="W3" t="s">
        <v>17</v>
      </c>
      <c r="X3" t="s">
        <v>140</v>
      </c>
      <c r="Y3" t="s">
        <v>143</v>
      </c>
      <c r="Z3" t="s">
        <v>140</v>
      </c>
      <c r="AA3" t="s">
        <v>18</v>
      </c>
      <c r="AB3" t="s">
        <v>14</v>
      </c>
      <c r="AC3" t="s">
        <v>14</v>
      </c>
      <c r="AD3" t="s">
        <v>144</v>
      </c>
      <c r="AE3" t="s">
        <v>18</v>
      </c>
      <c r="AF3" t="s">
        <v>15</v>
      </c>
      <c r="AG3" t="s">
        <v>145</v>
      </c>
      <c r="AH3" t="s">
        <v>146</v>
      </c>
      <c r="AI3" t="s">
        <v>147</v>
      </c>
      <c r="AJ3" t="s">
        <v>148</v>
      </c>
      <c r="AL3" t="s">
        <v>149</v>
      </c>
      <c r="AM3" t="s">
        <v>20</v>
      </c>
      <c r="AN3" t="s">
        <v>140</v>
      </c>
    </row>
    <row r="4" spans="1:40" x14ac:dyDescent="0.35">
      <c r="A4" s="2">
        <f t="array" ref="A4:A13">_xll.FDS(B3,"JULIAN(FG_YIELD(-10AY,0,CY,,""YTM"").dates)")</f>
        <v>42004</v>
      </c>
      <c r="B4" cm="1">
        <f t="array" ref="B4:B13">_xll.FDS(B3,"FG_YIELD(-10AY,0,y,,""YTM"")")</f>
        <v>7.9537000000000004</v>
      </c>
      <c r="C4" cm="1">
        <f t="array" ref="C4:C13">_xll.FDS(C3,"FG_YIELD(-10AY,0,y,,""YTM"")")</f>
        <v>2.5047999999999999</v>
      </c>
      <c r="D4" cm="1">
        <f t="array" ref="D4:D13">_xll.FDS(D3,"FG_YIELD(-10AY,0,y,,""YTM"")")</f>
        <v>2.6272000000000002</v>
      </c>
      <c r="E4" cm="1">
        <f t="array" ref="E4:E13">_xll.FDS(E3,"FG_YIELD(-10AY,0,y,,""YTM"")")</f>
        <v>0.54749999999999999</v>
      </c>
      <c r="F4" cm="1">
        <f t="array" ref="F4:F13">_xll.FDS(F3,"FG_YIELD(-10AY,0,y,,""YTM"")")</f>
        <v>1.6014999999999999</v>
      </c>
      <c r="G4" cm="1">
        <f t="array" ref="G4:G13">_xll.FDS(G3,"FG_YIELD(-10AY,0,y,,""YTM"")")</f>
        <v>3.6533310000000001</v>
      </c>
      <c r="H4" cm="1">
        <f t="array" ref="H4:H13">_xll.FDS(H3,"FG_YIELD(-10AY,0,y,,""YTM"")")</f>
        <v>3.6533310000000001</v>
      </c>
      <c r="I4" cm="1">
        <f t="array" ref="I4:I13">_xll.FDS(I3,"FG_YIELD(-10AY,0,y,,""YTM"")")</f>
        <v>7.979133</v>
      </c>
      <c r="J4" cm="1">
        <f t="array" ref="J4:J13">_xll.FDS(J3,"FG_YIELD(-10AY,0,y,,""YTM"")")</f>
        <v>3.6533310000000001</v>
      </c>
      <c r="K4" cm="1">
        <f t="array" ref="K4:K13">_xll.FDS(K3,"FG_YIELD(-10AY,0,y,,""YTM"")")</f>
        <v>0.83699999999999997</v>
      </c>
      <c r="L4" t="e" cm="1">
        <f t="array" ref="L4:L13">_xll.FDS(L3,"FG_YIELD(-10AY,0,y,,""YTM"")")</f>
        <v>#N/A</v>
      </c>
      <c r="M4" cm="1">
        <f t="array" ref="M4:M13">_xll.FDS(M3,"FG_YIELD(-10AY,0,y,,""YTM"")")</f>
        <v>0.54749999999999999</v>
      </c>
      <c r="N4" cm="1">
        <f t="array" ref="N4:N13">_xll.FDS(N3,"FG_YIELD(-10AY,0,y,,""YTM"")")</f>
        <v>0.314</v>
      </c>
      <c r="O4" cm="1">
        <f t="array" ref="O4:O13">_xll.FDS(O3,"FG_YIELD(-10AY,0,y,,""YTM"")")</f>
        <v>9.61</v>
      </c>
      <c r="P4" cm="1">
        <f t="array" ref="P4:P13">_xll.FDS(P3,"FG_YIELD(-10AY,0,y,,""YTM"")")</f>
        <v>5.681629</v>
      </c>
      <c r="Q4" cm="1">
        <f t="array" ref="Q4:Q13">_xll.FDS(Q3,"FG_YIELD(-10AY,0,y,,""YTM"")")</f>
        <v>2.81</v>
      </c>
      <c r="R4" cm="1">
        <f t="array" ref="R4:R13">_xll.FDS(R3,"FG_YIELD(-10AY,0,y,,""YTM"")")</f>
        <v>0.31380000000000002</v>
      </c>
      <c r="S4" t="e" cm="1">
        <f t="array" ref="S4:S13">_xll.FDS(S3,"FG_YIELD(-10AY,0,y,,""YTM"")")</f>
        <v>#N/A</v>
      </c>
      <c r="T4" cm="1">
        <f t="array" ref="T4:T13">_xll.FDS(T3,"FG_YIELD(-10AY,0,y,,""YTM"")")</f>
        <v>1.8154999999999999</v>
      </c>
      <c r="U4" cm="1">
        <f t="array" ref="U4:U13">_xll.FDS(U3,"FG_YIELD(-10AY,0,y,,""YTM"")")</f>
        <v>1.79</v>
      </c>
      <c r="V4" t="e" cm="1">
        <f t="array" ref="V4:V13">_xll.FDS(V3,"FG_YIELD(-10AY,0,y,,""YTM"")")</f>
        <v>#N/A</v>
      </c>
      <c r="W4" cm="1">
        <f t="array" ref="W4:W13">_xll.FDS(W3,"FG_YIELD(-10AY,0,y,,""YTM"")")</f>
        <v>3.6533310000000001</v>
      </c>
      <c r="X4" t="e" cm="1">
        <f t="array" ref="X4:X13">_xll.FDS(X3,"FG_YIELD(-10AY,0,y,,""YTM"")")</f>
        <v>#N/A</v>
      </c>
      <c r="Y4" cm="1">
        <f t="array" ref="Y4:Y13">_xll.FDS(Y3,"FG_YIELD(-10AY,0,y,,""YTM"")")</f>
        <v>3.8633000000000002</v>
      </c>
      <c r="Z4" t="e" cm="1">
        <f t="array" ref="Z4:Z13">_xll.FDS(Z3,"FG_YIELD(-10AY,0,y,,""YTM"")")</f>
        <v>#N/A</v>
      </c>
      <c r="AA4" cm="1">
        <f t="array" ref="AA4:AA13">_xll.FDS(AA3,"FG_YIELD(-10AY,0,y,,""YTM"")")</f>
        <v>7.86</v>
      </c>
      <c r="AB4" cm="1">
        <f t="array" ref="AB4:AB13">_xll.FDS(AB3,"FG_YIELD(-10AY,0,y,,""YTM"")")</f>
        <v>2.1880999999999999</v>
      </c>
      <c r="AC4" cm="1">
        <f t="array" ref="AC4:AC13">_xll.FDS(AC3,"FG_YIELD(-10AY,0,y,,""YTM"")")</f>
        <v>2.1880999999999999</v>
      </c>
      <c r="AD4" t="e" cm="1">
        <f t="array" ref="AD4:AD13">_xll.FDS(AD3,"FG_YIELD(-10AY,0,y,,""YTM"")")</f>
        <v>#N/A</v>
      </c>
      <c r="AE4" cm="1">
        <f t="array" ref="AE4:AE13">_xll.FDS(AE3,"FG_YIELD(-10AY,0,y,,""YTM"")")</f>
        <v>7.86</v>
      </c>
      <c r="AF4" cm="1">
        <f t="array" ref="AF4:AF13">_xll.FDS(AF3,"FG_YIELD(-10AY,0,y,,""YTM"")")</f>
        <v>5.8236999999999997</v>
      </c>
      <c r="AG4" cm="1">
        <f t="array" ref="AG4:AG13">_xll.FDS(AG3,"FG_YIELD(-10AY,0,y,,""YTM"")")</f>
        <v>4.1319109999999997</v>
      </c>
      <c r="AH4" t="e" cm="1">
        <f t="array" ref="AH4:AH13">_xll.FDS(AH3,"FG_YIELD(-10AY,0,y,,""YTM"")")</f>
        <v>#N/A</v>
      </c>
      <c r="AI4" cm="1">
        <f t="array" ref="AI4:AI13">_xll.FDS(AI3,"FG_YIELD(-10AY,0,y,,""YTM"")")</f>
        <v>7.9220170000000003</v>
      </c>
      <c r="AJ4" t="e" cm="1">
        <f t="array" ref="AJ4:AJ13">_xll.FDS(AJ3,"FG_YIELD(-10AY,0,y,,""YTM"")")</f>
        <v>#N/A</v>
      </c>
      <c r="AK4" t="e" cm="1">
        <f t="array" ref="AK4:AK13">_xll.FDS(AK3,"FG_YIELD(-10AY,0,y,,""YTM"")")</f>
        <v>#N/A</v>
      </c>
      <c r="AL4" cm="1">
        <f t="array" ref="AL4:AL13">_xll.FDS(AL3,"FG_YIELD(-10AY,0,y,,""YTM"")")</f>
        <v>7.3</v>
      </c>
      <c r="AM4" cm="1">
        <f t="array" ref="AM4:AM13">_xll.FDS(AM3,"FG_YIELD(-10AY,0,y,,""YTM"")")</f>
        <v>12.319731000000001</v>
      </c>
      <c r="AN4" t="e" cm="1">
        <f t="array" ref="AN4:AN13">_xll.FDS(AN3,"FG_YIELD(-10AY,0,y,,""YTM"")")</f>
        <v>#N/A</v>
      </c>
    </row>
    <row r="5" spans="1:40" x14ac:dyDescent="0.35">
      <c r="A5" s="2">
        <v>42369</v>
      </c>
      <c r="B5">
        <v>9.7513000000000005</v>
      </c>
      <c r="C5">
        <v>2.9302999999999999</v>
      </c>
      <c r="D5">
        <v>2.0851999999999999</v>
      </c>
      <c r="E5">
        <v>0.63600000000000001</v>
      </c>
      <c r="F5">
        <v>1.0149999999999999</v>
      </c>
      <c r="G5">
        <v>2.9011450000000001</v>
      </c>
      <c r="H5">
        <v>2.9011450000000001</v>
      </c>
      <c r="I5">
        <v>10.679033</v>
      </c>
      <c r="J5">
        <v>2.9011450000000001</v>
      </c>
      <c r="K5">
        <v>0.99890000000000001</v>
      </c>
      <c r="L5" t="e">
        <v>#N/A</v>
      </c>
      <c r="M5">
        <v>0.63600000000000001</v>
      </c>
      <c r="N5" t="e">
        <v>#N/A</v>
      </c>
      <c r="O5">
        <v>8.24</v>
      </c>
      <c r="P5">
        <v>7.4269170000000004</v>
      </c>
      <c r="Q5">
        <v>2.88</v>
      </c>
      <c r="R5">
        <v>0.26040000000000002</v>
      </c>
      <c r="S5" t="e">
        <v>#N/A</v>
      </c>
      <c r="T5">
        <v>2.0247999999999999</v>
      </c>
      <c r="U5">
        <v>1.39</v>
      </c>
      <c r="V5" t="e">
        <v>#N/A</v>
      </c>
      <c r="W5">
        <v>2.9011450000000001</v>
      </c>
      <c r="X5" t="e">
        <v>#N/A</v>
      </c>
      <c r="Y5">
        <v>4.0999999999999996</v>
      </c>
      <c r="Z5" t="e">
        <v>#N/A</v>
      </c>
      <c r="AA5">
        <v>7.89</v>
      </c>
      <c r="AB5">
        <v>2.2961</v>
      </c>
      <c r="AC5">
        <v>2.2961</v>
      </c>
      <c r="AD5">
        <v>2.7255995</v>
      </c>
      <c r="AE5">
        <v>7.89</v>
      </c>
      <c r="AF5">
        <v>6.2537000000000003</v>
      </c>
      <c r="AG5">
        <v>4.3456049999999999</v>
      </c>
      <c r="AH5" t="e">
        <v>#N/A</v>
      </c>
      <c r="AI5">
        <v>8.9423680000000001</v>
      </c>
      <c r="AJ5" t="e">
        <v>#N/A</v>
      </c>
      <c r="AK5" t="e">
        <v>#N/A</v>
      </c>
      <c r="AL5">
        <v>6.2774130000000001</v>
      </c>
      <c r="AM5">
        <v>15.989595</v>
      </c>
      <c r="AN5" t="e">
        <v>#N/A</v>
      </c>
    </row>
    <row r="6" spans="1:40" x14ac:dyDescent="0.35">
      <c r="A6" s="2">
        <v>42734</v>
      </c>
      <c r="B6">
        <v>8.9047000000000001</v>
      </c>
      <c r="C6">
        <v>3.6244999999999998</v>
      </c>
      <c r="D6">
        <v>2.0916000000000001</v>
      </c>
      <c r="E6">
        <v>0.22</v>
      </c>
      <c r="F6">
        <v>1.2037</v>
      </c>
      <c r="G6">
        <v>3.0709110000000002</v>
      </c>
      <c r="H6">
        <v>3.0709110000000002</v>
      </c>
      <c r="I6">
        <v>11.110785999999999</v>
      </c>
      <c r="J6">
        <v>3.0709110000000002</v>
      </c>
      <c r="K6">
        <v>0.68200000000000005</v>
      </c>
      <c r="L6" t="e">
        <v>#N/A</v>
      </c>
      <c r="M6">
        <v>0.2082</v>
      </c>
      <c r="N6">
        <v>-0.12</v>
      </c>
      <c r="O6">
        <v>7.15</v>
      </c>
      <c r="P6">
        <v>6.415413</v>
      </c>
      <c r="Q6">
        <v>2.76</v>
      </c>
      <c r="R6">
        <v>3.15E-2</v>
      </c>
      <c r="S6" t="e">
        <v>#N/A</v>
      </c>
      <c r="T6">
        <v>1.2817000000000001</v>
      </c>
      <c r="U6">
        <v>1.72</v>
      </c>
      <c r="V6" t="e">
        <v>#N/A</v>
      </c>
      <c r="W6">
        <v>3.0709110000000002</v>
      </c>
      <c r="X6" t="e">
        <v>#N/A</v>
      </c>
      <c r="Y6">
        <v>4.6280999999999999</v>
      </c>
      <c r="Z6" t="e">
        <v>#N/A</v>
      </c>
      <c r="AA6">
        <v>6.63</v>
      </c>
      <c r="AB6">
        <v>2.4752000000000001</v>
      </c>
      <c r="AC6">
        <v>2.4752000000000001</v>
      </c>
      <c r="AD6">
        <v>3.5394266000000001</v>
      </c>
      <c r="AE6">
        <v>6.63</v>
      </c>
      <c r="AF6">
        <v>7.5651000000000002</v>
      </c>
      <c r="AG6">
        <v>4.1958970000000004</v>
      </c>
      <c r="AH6" t="e">
        <v>#N/A</v>
      </c>
      <c r="AI6">
        <v>7.8973500000000003</v>
      </c>
      <c r="AJ6">
        <v>3.8912453999999999</v>
      </c>
      <c r="AK6" t="e">
        <v>#N/A</v>
      </c>
      <c r="AL6">
        <v>7.1117578000000004</v>
      </c>
      <c r="AM6">
        <v>11.062725</v>
      </c>
      <c r="AN6" t="e">
        <v>#N/A</v>
      </c>
    </row>
    <row r="7" spans="1:40" x14ac:dyDescent="0.35">
      <c r="A7" s="2">
        <v>43098</v>
      </c>
      <c r="B7">
        <v>8.5838900000000002</v>
      </c>
      <c r="C7">
        <v>3.2919999999999998</v>
      </c>
      <c r="D7">
        <v>2.4796999999999998</v>
      </c>
      <c r="E7">
        <v>0.47</v>
      </c>
      <c r="F7">
        <v>0.94779999999999998</v>
      </c>
      <c r="G7">
        <v>3.93859</v>
      </c>
      <c r="H7">
        <v>3.93859</v>
      </c>
      <c r="I7">
        <v>11.586128</v>
      </c>
      <c r="J7">
        <v>3.93859</v>
      </c>
      <c r="K7">
        <v>0.78500000000000003</v>
      </c>
      <c r="L7" t="e">
        <v>#N/A</v>
      </c>
      <c r="M7">
        <v>0.4294</v>
      </c>
      <c r="N7">
        <v>-0.09</v>
      </c>
      <c r="O7">
        <v>4.1399999999999997</v>
      </c>
      <c r="P7">
        <v>5.1671329999999998</v>
      </c>
      <c r="Q7">
        <v>2.63</v>
      </c>
      <c r="R7">
        <v>4.65E-2</v>
      </c>
      <c r="S7" t="e">
        <v>#N/A</v>
      </c>
      <c r="T7">
        <v>1.2536</v>
      </c>
      <c r="U7">
        <v>2.04</v>
      </c>
      <c r="V7" t="e">
        <v>#N/A</v>
      </c>
      <c r="W7">
        <v>3.93859</v>
      </c>
      <c r="X7" t="e">
        <v>#N/A</v>
      </c>
      <c r="Y7">
        <v>5.6985999999999999</v>
      </c>
      <c r="Z7" t="e">
        <v>#N/A</v>
      </c>
      <c r="AA7">
        <v>7.35</v>
      </c>
      <c r="AB7">
        <v>2.4325000000000001</v>
      </c>
      <c r="AC7">
        <v>2.4325000000000001</v>
      </c>
      <c r="AD7" t="e">
        <v>#N/A</v>
      </c>
      <c r="AE7">
        <v>7.35</v>
      </c>
      <c r="AF7">
        <v>7.6401000000000003</v>
      </c>
      <c r="AG7">
        <v>3.9025439999999998</v>
      </c>
      <c r="AH7">
        <v>3.3710589999999998</v>
      </c>
      <c r="AI7">
        <v>6.4626409999999996</v>
      </c>
      <c r="AJ7">
        <v>3.7299897999999998</v>
      </c>
      <c r="AK7" t="e">
        <v>#N/A</v>
      </c>
      <c r="AL7">
        <v>5.6717234000000003</v>
      </c>
      <c r="AM7">
        <v>9.8875770000000003</v>
      </c>
      <c r="AN7" t="e">
        <v>#N/A</v>
      </c>
    </row>
    <row r="8" spans="1:40" x14ac:dyDescent="0.35">
      <c r="A8" s="2">
        <v>43465</v>
      </c>
      <c r="B8">
        <v>9.3776600000000006</v>
      </c>
      <c r="C8">
        <v>2.8144</v>
      </c>
      <c r="D8">
        <v>1.9803999999999999</v>
      </c>
      <c r="E8">
        <v>0.23899999999999999</v>
      </c>
      <c r="F8">
        <v>0.86480000000000001</v>
      </c>
      <c r="G8">
        <v>3.259862</v>
      </c>
      <c r="H8">
        <v>3.259862</v>
      </c>
      <c r="I8">
        <v>15.896212999999999</v>
      </c>
      <c r="J8">
        <v>3.259862</v>
      </c>
      <c r="K8">
        <v>0.71</v>
      </c>
      <c r="L8" t="e">
        <v>#N/A</v>
      </c>
      <c r="M8">
        <v>0.23899999999999999</v>
      </c>
      <c r="N8">
        <v>-0.17599999999999999</v>
      </c>
      <c r="O8">
        <v>4.37</v>
      </c>
      <c r="P8">
        <v>5.6451140000000004</v>
      </c>
      <c r="Q8">
        <v>2.3149999999999999</v>
      </c>
      <c r="R8">
        <v>-5.1000000000000004E-3</v>
      </c>
      <c r="S8" t="e">
        <v>#N/A</v>
      </c>
      <c r="T8">
        <v>1.3339000000000001</v>
      </c>
      <c r="U8">
        <v>1.96</v>
      </c>
      <c r="V8" t="e">
        <v>#N/A</v>
      </c>
      <c r="W8">
        <v>3.259862</v>
      </c>
      <c r="X8" t="e">
        <v>#N/A</v>
      </c>
      <c r="Y8">
        <v>7.1730304</v>
      </c>
      <c r="Z8" t="e">
        <v>#N/A</v>
      </c>
      <c r="AA8">
        <v>7.35</v>
      </c>
      <c r="AB8">
        <v>2.6836000000000002</v>
      </c>
      <c r="AC8">
        <v>2.6836000000000002</v>
      </c>
      <c r="AD8" t="e">
        <v>#N/A</v>
      </c>
      <c r="AE8">
        <v>7.35</v>
      </c>
      <c r="AF8">
        <v>8.7068999999999992</v>
      </c>
      <c r="AG8">
        <v>4.2356420000000004</v>
      </c>
      <c r="AH8">
        <v>3.6940187999999998</v>
      </c>
      <c r="AI8">
        <v>8.1481829999999995</v>
      </c>
      <c r="AJ8">
        <v>4.5715503999999996</v>
      </c>
      <c r="AK8" t="e">
        <v>#N/A</v>
      </c>
      <c r="AL8">
        <v>4.7380060000000004</v>
      </c>
      <c r="AM8">
        <v>8.9360929999999996</v>
      </c>
      <c r="AN8" t="e">
        <v>#N/A</v>
      </c>
    </row>
    <row r="9" spans="1:40" x14ac:dyDescent="0.35">
      <c r="A9" s="2">
        <v>43830</v>
      </c>
      <c r="B9">
        <v>9.0117720000000006</v>
      </c>
      <c r="C9">
        <v>2.1086</v>
      </c>
      <c r="D9">
        <v>1.6728000000000001</v>
      </c>
      <c r="E9">
        <v>-0.189</v>
      </c>
      <c r="F9">
        <v>0.67200000000000004</v>
      </c>
      <c r="G9">
        <v>3.197311</v>
      </c>
      <c r="H9">
        <v>3.197311</v>
      </c>
      <c r="I9">
        <v>12.034795000000001</v>
      </c>
      <c r="J9">
        <v>3.197311</v>
      </c>
      <c r="K9">
        <v>0.11799999999999999</v>
      </c>
      <c r="L9" t="e">
        <v>#N/A</v>
      </c>
      <c r="M9">
        <v>-0.189</v>
      </c>
      <c r="N9">
        <v>-0.434</v>
      </c>
      <c r="O9">
        <v>1.45</v>
      </c>
      <c r="P9">
        <v>4.2432259999999999</v>
      </c>
      <c r="Q9">
        <v>1.375</v>
      </c>
      <c r="R9">
        <v>-2.0799999999999999E-2</v>
      </c>
      <c r="S9" t="e">
        <v>#N/A</v>
      </c>
      <c r="T9">
        <v>0.82199999999999995</v>
      </c>
      <c r="U9">
        <v>1.7</v>
      </c>
      <c r="V9" t="e">
        <v>#N/A</v>
      </c>
      <c r="W9">
        <v>3.197311</v>
      </c>
      <c r="X9" t="e">
        <v>#N/A</v>
      </c>
      <c r="Y9">
        <v>4.8475820000000001</v>
      </c>
      <c r="Z9" t="e">
        <v>#N/A</v>
      </c>
      <c r="AA9">
        <v>6.55</v>
      </c>
      <c r="AB9">
        <v>1.9185000000000001</v>
      </c>
      <c r="AC9">
        <v>1.9185000000000001</v>
      </c>
      <c r="AD9" t="e">
        <v>#N/A</v>
      </c>
      <c r="AE9">
        <v>6.55</v>
      </c>
      <c r="AF9">
        <v>6.8372999999999999</v>
      </c>
      <c r="AG9">
        <v>3.300551</v>
      </c>
      <c r="AH9">
        <v>2.5427209999999998</v>
      </c>
      <c r="AI9">
        <v>7.2635839999999998</v>
      </c>
      <c r="AJ9">
        <v>2.8775355999999999</v>
      </c>
      <c r="AK9" t="e">
        <v>#N/A</v>
      </c>
      <c r="AL9">
        <v>3.5404545999999999</v>
      </c>
      <c r="AM9">
        <v>6.8836779999999997</v>
      </c>
      <c r="AN9" t="e">
        <v>#N/A</v>
      </c>
    </row>
    <row r="10" spans="1:40" x14ac:dyDescent="0.35">
      <c r="A10" s="2">
        <v>44196</v>
      </c>
      <c r="B10">
        <v>9.1794989999999999</v>
      </c>
      <c r="C10">
        <v>1.2350000000000001</v>
      </c>
      <c r="D10">
        <v>1.7238</v>
      </c>
      <c r="E10">
        <v>-0.57499999999999996</v>
      </c>
      <c r="F10">
        <v>0.315</v>
      </c>
      <c r="G10">
        <v>3.1947999999999999</v>
      </c>
      <c r="H10">
        <v>3.1947999999999999</v>
      </c>
      <c r="I10">
        <v>12.534946</v>
      </c>
      <c r="J10">
        <v>3.1947999999999999</v>
      </c>
      <c r="K10">
        <v>-0.34399999999999997</v>
      </c>
      <c r="L10" t="e">
        <v>#N/A</v>
      </c>
      <c r="M10">
        <v>-0.57499999999999996</v>
      </c>
      <c r="N10">
        <v>-0.49</v>
      </c>
      <c r="O10">
        <v>0.61799999999999999</v>
      </c>
      <c r="P10">
        <v>3.5359829999999999</v>
      </c>
      <c r="Q10">
        <v>0.97199999999999998</v>
      </c>
      <c r="R10">
        <v>2.01E-2</v>
      </c>
      <c r="S10" t="e">
        <v>#N/A</v>
      </c>
      <c r="T10">
        <v>0.19700000000000001</v>
      </c>
      <c r="U10">
        <v>0.67</v>
      </c>
      <c r="V10" t="e">
        <v>#N/A</v>
      </c>
      <c r="W10">
        <v>3.1947999999999999</v>
      </c>
      <c r="X10" t="e">
        <v>#N/A</v>
      </c>
      <c r="Y10">
        <v>3.4208683999999998</v>
      </c>
      <c r="Z10" t="e">
        <v>#N/A</v>
      </c>
      <c r="AA10">
        <v>5.9</v>
      </c>
      <c r="AB10">
        <v>0.91739999999999999</v>
      </c>
      <c r="AC10">
        <v>0.91739999999999999</v>
      </c>
      <c r="AD10" t="e">
        <v>#N/A</v>
      </c>
      <c r="AE10">
        <v>5.9</v>
      </c>
      <c r="AF10">
        <v>5.5519999999999996</v>
      </c>
      <c r="AG10">
        <v>2.8041809999999998</v>
      </c>
      <c r="AH10">
        <v>1.7060698000000001</v>
      </c>
      <c r="AI10">
        <v>5.9022059999999996</v>
      </c>
      <c r="AJ10">
        <v>2.0844027999999999</v>
      </c>
      <c r="AK10" t="e">
        <v>#N/A</v>
      </c>
      <c r="AL10">
        <v>2.4877946</v>
      </c>
      <c r="AM10">
        <v>6.9612189999999998</v>
      </c>
      <c r="AN10" t="e">
        <v>#N/A</v>
      </c>
    </row>
    <row r="11" spans="1:40" x14ac:dyDescent="0.35">
      <c r="A11" s="2">
        <v>44561</v>
      </c>
      <c r="B11">
        <v>9.7918369999999992</v>
      </c>
      <c r="C11">
        <v>3.6215999999999999</v>
      </c>
      <c r="D11">
        <v>2.2416999999999998</v>
      </c>
      <c r="E11">
        <v>-0.18099999999999999</v>
      </c>
      <c r="F11">
        <v>0.74129999999999996</v>
      </c>
      <c r="G11">
        <v>2.7892999999999999</v>
      </c>
      <c r="H11">
        <v>2.7892999999999999</v>
      </c>
      <c r="I11">
        <v>23.870692999999999</v>
      </c>
      <c r="J11">
        <v>2.7892999999999999</v>
      </c>
      <c r="K11">
        <v>0.20100000000000001</v>
      </c>
      <c r="L11" t="e">
        <v>#N/A</v>
      </c>
      <c r="M11">
        <v>-0.18099999999999999</v>
      </c>
      <c r="N11">
        <v>-0.111</v>
      </c>
      <c r="O11">
        <v>1.3149999999999999</v>
      </c>
      <c r="P11">
        <v>5.8899059999999999</v>
      </c>
      <c r="Q11">
        <v>1.671</v>
      </c>
      <c r="R11">
        <v>6.7199999999999996E-2</v>
      </c>
      <c r="S11" t="e">
        <v>#N/A</v>
      </c>
      <c r="T11">
        <v>0.96599999999999997</v>
      </c>
      <c r="U11">
        <v>1.42</v>
      </c>
      <c r="V11" t="e">
        <v>#N/A</v>
      </c>
      <c r="W11">
        <v>2.7892999999999999</v>
      </c>
      <c r="X11" t="e">
        <v>#N/A</v>
      </c>
      <c r="Y11">
        <v>4.7967230000000001</v>
      </c>
      <c r="Z11" t="e">
        <v>#N/A</v>
      </c>
      <c r="AA11">
        <v>6.45</v>
      </c>
      <c r="AB11">
        <v>1.5119</v>
      </c>
      <c r="AC11">
        <v>1.5119</v>
      </c>
      <c r="AD11" t="e">
        <v>#N/A</v>
      </c>
      <c r="AE11">
        <v>6.45</v>
      </c>
      <c r="AF11">
        <v>7.5579999999999998</v>
      </c>
      <c r="AG11">
        <v>3.573893</v>
      </c>
      <c r="AH11">
        <v>2.0444936999999999</v>
      </c>
      <c r="AI11">
        <v>6.4582829999999998</v>
      </c>
      <c r="AJ11">
        <v>2.5113702</v>
      </c>
      <c r="AK11" t="e">
        <v>#N/A</v>
      </c>
      <c r="AL11">
        <v>2.0594030000000001</v>
      </c>
      <c r="AM11">
        <v>10.970291</v>
      </c>
      <c r="AN11" t="e">
        <v>#N/A</v>
      </c>
    </row>
    <row r="12" spans="1:40" x14ac:dyDescent="0.35">
      <c r="A12" s="2">
        <v>44925</v>
      </c>
      <c r="B12">
        <v>10.764476999999999</v>
      </c>
      <c r="C12">
        <v>6.8411</v>
      </c>
      <c r="D12">
        <v>3.6905999999999999</v>
      </c>
      <c r="E12">
        <v>2.5339999999999998</v>
      </c>
      <c r="F12">
        <v>1.2811999999999999</v>
      </c>
      <c r="G12">
        <v>2.855</v>
      </c>
      <c r="H12">
        <v>2.855</v>
      </c>
      <c r="I12">
        <v>7.3238029999999998</v>
      </c>
      <c r="J12">
        <v>2.855</v>
      </c>
      <c r="K12">
        <v>3.07</v>
      </c>
      <c r="L12" t="e">
        <v>#N/A</v>
      </c>
      <c r="M12">
        <v>2.5329999999999999</v>
      </c>
      <c r="N12">
        <v>1.617</v>
      </c>
      <c r="O12">
        <v>4.585</v>
      </c>
      <c r="P12">
        <v>7.923381</v>
      </c>
      <c r="Q12">
        <v>4.0510000000000002</v>
      </c>
      <c r="R12">
        <v>0.4224</v>
      </c>
      <c r="S12" t="e">
        <v>#N/A</v>
      </c>
      <c r="T12">
        <v>3.6619999999999999</v>
      </c>
      <c r="U12">
        <v>3.3</v>
      </c>
      <c r="V12" t="e">
        <v>#N/A</v>
      </c>
      <c r="W12">
        <v>2.855</v>
      </c>
      <c r="X12" t="e">
        <v>#N/A</v>
      </c>
      <c r="Y12">
        <v>6.9293385000000001</v>
      </c>
      <c r="Z12" t="e">
        <v>#N/A</v>
      </c>
      <c r="AA12">
        <v>7.33</v>
      </c>
      <c r="AB12">
        <v>3.8776000000000002</v>
      </c>
      <c r="AC12">
        <v>3.8776000000000002</v>
      </c>
      <c r="AD12" t="e">
        <v>#N/A</v>
      </c>
      <c r="AE12">
        <v>7.33</v>
      </c>
      <c r="AF12">
        <v>9.0222999999999995</v>
      </c>
      <c r="AG12">
        <v>4.1318469999999996</v>
      </c>
      <c r="AH12">
        <v>4.2739367000000001</v>
      </c>
      <c r="AI12">
        <v>6.9365790000000001</v>
      </c>
      <c r="AJ12">
        <v>4.6139729999999997</v>
      </c>
      <c r="AK12" t="e">
        <v>#N/A</v>
      </c>
      <c r="AL12">
        <v>4.6872259999999999</v>
      </c>
      <c r="AM12">
        <v>12.900059000000001</v>
      </c>
      <c r="AN12" t="e">
        <v>#N/A</v>
      </c>
    </row>
    <row r="13" spans="1:40" x14ac:dyDescent="0.35">
      <c r="A13" s="2">
        <v>45289</v>
      </c>
      <c r="B13">
        <v>11.358896</v>
      </c>
      <c r="C13">
        <v>5.1912000000000003</v>
      </c>
      <c r="D13">
        <v>3.1928000000000001</v>
      </c>
      <c r="E13">
        <v>2.004</v>
      </c>
      <c r="F13">
        <v>1.2110000000000001</v>
      </c>
      <c r="G13">
        <v>2.5739999999999998</v>
      </c>
      <c r="H13">
        <v>2.5739999999999998</v>
      </c>
      <c r="I13">
        <v>21.984321999999999</v>
      </c>
      <c r="J13">
        <v>2.5739999999999998</v>
      </c>
      <c r="K13">
        <v>2.5339999999999998</v>
      </c>
      <c r="L13" t="e">
        <v>#N/A</v>
      </c>
      <c r="M13">
        <v>2.004</v>
      </c>
      <c r="N13">
        <v>0.70299999999999996</v>
      </c>
      <c r="O13">
        <v>3.0990000000000002</v>
      </c>
      <c r="P13">
        <v>6.6086999999999998</v>
      </c>
      <c r="Q13">
        <v>3.9550000000000001</v>
      </c>
      <c r="R13">
        <v>0.61270000000000002</v>
      </c>
      <c r="S13" t="e">
        <v>#N/A</v>
      </c>
      <c r="T13">
        <v>3.5339999999999998</v>
      </c>
      <c r="U13">
        <v>3.0987</v>
      </c>
      <c r="V13" t="e">
        <v>#N/A</v>
      </c>
      <c r="W13">
        <v>2.5739999999999998</v>
      </c>
      <c r="X13" t="e">
        <v>#N/A</v>
      </c>
      <c r="Y13">
        <v>6.0028777</v>
      </c>
      <c r="Z13" t="e">
        <v>#N/A</v>
      </c>
      <c r="AA13">
        <v>7.19</v>
      </c>
      <c r="AB13">
        <v>3.8791000000000002</v>
      </c>
      <c r="AC13">
        <v>3.8791000000000002</v>
      </c>
      <c r="AD13" t="e">
        <v>#N/A</v>
      </c>
      <c r="AE13">
        <v>7.19</v>
      </c>
      <c r="AF13">
        <v>8.9499999999999993</v>
      </c>
      <c r="AG13">
        <v>3.7275049999999998</v>
      </c>
      <c r="AH13" t="e">
        <v>#N/A</v>
      </c>
      <c r="AI13">
        <v>6.4985710000000001</v>
      </c>
      <c r="AJ13">
        <v>4.608568</v>
      </c>
      <c r="AK13" t="e">
        <v>#N/A</v>
      </c>
      <c r="AL13">
        <v>2.9473283000000001</v>
      </c>
      <c r="AM13">
        <v>10.455909</v>
      </c>
      <c r="AN13" t="e">
        <v>#N/A</v>
      </c>
    </row>
    <row r="14" spans="1:40" x14ac:dyDescent="0.35">
      <c r="A14" s="2"/>
    </row>
    <row r="15" spans="1:40" x14ac:dyDescent="0.35">
      <c r="A15" s="2"/>
    </row>
    <row r="16" spans="1:40" x14ac:dyDescent="0.35">
      <c r="A16" s="2" t="s">
        <v>91</v>
      </c>
      <c r="B16">
        <f>MIN(_xlfn.ANCHORARRAY(B4))</f>
        <v>7.9537000000000004</v>
      </c>
      <c r="C16">
        <f t="shared" ref="C16:AN16" si="0">MIN(_xlfn.ANCHORARRAY(C4))</f>
        <v>1.2350000000000001</v>
      </c>
      <c r="D16">
        <f t="shared" si="0"/>
        <v>1.6728000000000001</v>
      </c>
      <c r="E16">
        <f t="shared" si="0"/>
        <v>-0.57499999999999996</v>
      </c>
      <c r="F16">
        <f t="shared" si="0"/>
        <v>0.315</v>
      </c>
      <c r="G16">
        <f t="shared" si="0"/>
        <v>2.5739999999999998</v>
      </c>
      <c r="H16">
        <f t="shared" si="0"/>
        <v>2.5739999999999998</v>
      </c>
      <c r="I16">
        <f t="shared" si="0"/>
        <v>7.3238029999999998</v>
      </c>
      <c r="J16">
        <f t="shared" si="0"/>
        <v>2.5739999999999998</v>
      </c>
      <c r="K16">
        <f t="shared" si="0"/>
        <v>-0.34399999999999997</v>
      </c>
      <c r="L16" t="e">
        <f t="shared" si="0"/>
        <v>#N/A</v>
      </c>
      <c r="M16">
        <f t="shared" si="0"/>
        <v>-0.57499999999999996</v>
      </c>
      <c r="N16" t="e">
        <f t="shared" si="0"/>
        <v>#N/A</v>
      </c>
      <c r="O16">
        <f t="shared" si="0"/>
        <v>0.61799999999999999</v>
      </c>
      <c r="P16">
        <f t="shared" si="0"/>
        <v>3.5359829999999999</v>
      </c>
      <c r="Q16">
        <f t="shared" si="0"/>
        <v>0.97199999999999998</v>
      </c>
      <c r="R16">
        <f t="shared" si="0"/>
        <v>-2.0799999999999999E-2</v>
      </c>
      <c r="S16" t="e">
        <f t="shared" si="0"/>
        <v>#N/A</v>
      </c>
      <c r="T16">
        <f t="shared" si="0"/>
        <v>0.19700000000000001</v>
      </c>
      <c r="U16">
        <f t="shared" si="0"/>
        <v>0.67</v>
      </c>
      <c r="V16" t="e">
        <f t="shared" si="0"/>
        <v>#N/A</v>
      </c>
      <c r="W16">
        <f t="shared" si="0"/>
        <v>2.5739999999999998</v>
      </c>
      <c r="X16" t="e">
        <f t="shared" si="0"/>
        <v>#N/A</v>
      </c>
      <c r="Y16">
        <f t="shared" si="0"/>
        <v>3.4208683999999998</v>
      </c>
      <c r="Z16" t="e">
        <f t="shared" si="0"/>
        <v>#N/A</v>
      </c>
      <c r="AA16">
        <f t="shared" si="0"/>
        <v>5.9</v>
      </c>
      <c r="AB16">
        <f t="shared" si="0"/>
        <v>0.91739999999999999</v>
      </c>
      <c r="AC16">
        <f t="shared" si="0"/>
        <v>0.91739999999999999</v>
      </c>
      <c r="AD16" t="e">
        <f t="shared" si="0"/>
        <v>#N/A</v>
      </c>
      <c r="AE16">
        <f t="shared" si="0"/>
        <v>5.9</v>
      </c>
      <c r="AF16">
        <f t="shared" si="0"/>
        <v>5.5519999999999996</v>
      </c>
      <c r="AG16">
        <f t="shared" si="0"/>
        <v>2.8041809999999998</v>
      </c>
      <c r="AH16" t="e">
        <f t="shared" si="0"/>
        <v>#N/A</v>
      </c>
      <c r="AI16">
        <f t="shared" si="0"/>
        <v>5.9022059999999996</v>
      </c>
      <c r="AJ16" t="e">
        <f t="shared" si="0"/>
        <v>#N/A</v>
      </c>
      <c r="AK16" t="e">
        <f t="shared" si="0"/>
        <v>#N/A</v>
      </c>
      <c r="AL16">
        <f t="shared" si="0"/>
        <v>2.0594030000000001</v>
      </c>
      <c r="AM16">
        <f t="shared" si="0"/>
        <v>6.8836779999999997</v>
      </c>
      <c r="AN16" t="e">
        <f t="shared" si="0"/>
        <v>#N/A</v>
      </c>
    </row>
    <row r="17" spans="1:40" x14ac:dyDescent="0.35">
      <c r="A17" s="2" t="s">
        <v>394</v>
      </c>
      <c r="B17">
        <f>MEDIAN(_xlfn.ANCHORARRAY(B4))</f>
        <v>9.2785794999999993</v>
      </c>
      <c r="C17">
        <f t="shared" ref="C17:AN17" si="1">MEDIAN(_xlfn.ANCHORARRAY(C4))</f>
        <v>3.1111499999999999</v>
      </c>
      <c r="D17">
        <f t="shared" si="1"/>
        <v>2.1666499999999997</v>
      </c>
      <c r="E17">
        <f t="shared" si="1"/>
        <v>0.35449999999999998</v>
      </c>
      <c r="F17">
        <f t="shared" si="1"/>
        <v>0.98139999999999994</v>
      </c>
      <c r="G17">
        <f t="shared" si="1"/>
        <v>3.1328554999999998</v>
      </c>
      <c r="H17">
        <f t="shared" si="1"/>
        <v>3.1328554999999998</v>
      </c>
      <c r="I17">
        <f t="shared" si="1"/>
        <v>11.810461500000001</v>
      </c>
      <c r="J17">
        <f t="shared" si="1"/>
        <v>3.1328554999999998</v>
      </c>
      <c r="K17">
        <f t="shared" si="1"/>
        <v>0.74750000000000005</v>
      </c>
      <c r="L17" t="e">
        <f t="shared" si="1"/>
        <v>#N/A</v>
      </c>
      <c r="M17">
        <f t="shared" si="1"/>
        <v>0.3342</v>
      </c>
      <c r="N17" t="e">
        <f t="shared" si="1"/>
        <v>#N/A</v>
      </c>
      <c r="O17">
        <f t="shared" si="1"/>
        <v>4.2549999999999999</v>
      </c>
      <c r="P17">
        <f t="shared" si="1"/>
        <v>5.7857675000000004</v>
      </c>
      <c r="Q17">
        <f t="shared" si="1"/>
        <v>2.6949999999999998</v>
      </c>
      <c r="R17">
        <f t="shared" si="1"/>
        <v>5.6849999999999998E-2</v>
      </c>
      <c r="S17" t="e">
        <f t="shared" si="1"/>
        <v>#N/A</v>
      </c>
      <c r="T17">
        <f t="shared" si="1"/>
        <v>1.3078000000000001</v>
      </c>
      <c r="U17">
        <f t="shared" si="1"/>
        <v>1.7549999999999999</v>
      </c>
      <c r="V17" t="e">
        <f t="shared" si="1"/>
        <v>#N/A</v>
      </c>
      <c r="W17">
        <f t="shared" si="1"/>
        <v>3.1328554999999998</v>
      </c>
      <c r="X17" t="e">
        <f t="shared" si="1"/>
        <v>#N/A</v>
      </c>
      <c r="Y17">
        <f t="shared" si="1"/>
        <v>4.8221524999999996</v>
      </c>
      <c r="Z17" t="e">
        <f t="shared" si="1"/>
        <v>#N/A</v>
      </c>
      <c r="AA17">
        <f t="shared" si="1"/>
        <v>7.26</v>
      </c>
      <c r="AB17">
        <f t="shared" si="1"/>
        <v>2.3643000000000001</v>
      </c>
      <c r="AC17">
        <f t="shared" si="1"/>
        <v>2.3643000000000001</v>
      </c>
      <c r="AD17" t="e">
        <f t="shared" si="1"/>
        <v>#N/A</v>
      </c>
      <c r="AE17">
        <f t="shared" si="1"/>
        <v>7.26</v>
      </c>
      <c r="AF17">
        <f t="shared" si="1"/>
        <v>7.5615500000000004</v>
      </c>
      <c r="AG17">
        <f t="shared" si="1"/>
        <v>4.0171954999999997</v>
      </c>
      <c r="AH17" t="e">
        <f t="shared" si="1"/>
        <v>#N/A</v>
      </c>
      <c r="AI17">
        <f t="shared" si="1"/>
        <v>7.1000814999999999</v>
      </c>
      <c r="AJ17" t="e">
        <f t="shared" si="1"/>
        <v>#N/A</v>
      </c>
      <c r="AK17" t="e">
        <f t="shared" si="1"/>
        <v>#N/A</v>
      </c>
      <c r="AL17">
        <f t="shared" si="1"/>
        <v>4.7126160000000006</v>
      </c>
      <c r="AM17">
        <f t="shared" si="1"/>
        <v>10.713100000000001</v>
      </c>
      <c r="AN17" t="e">
        <f t="shared" si="1"/>
        <v>#N/A</v>
      </c>
    </row>
    <row r="18" spans="1:40" x14ac:dyDescent="0.35">
      <c r="A18" s="2" t="s">
        <v>496</v>
      </c>
      <c r="B18">
        <f>B13</f>
        <v>11.358896</v>
      </c>
      <c r="C18">
        <f t="shared" ref="C18:AN18" si="2">C13</f>
        <v>5.1912000000000003</v>
      </c>
      <c r="D18">
        <f t="shared" si="2"/>
        <v>3.1928000000000001</v>
      </c>
      <c r="E18">
        <f t="shared" si="2"/>
        <v>2.004</v>
      </c>
      <c r="F18">
        <f t="shared" si="2"/>
        <v>1.2110000000000001</v>
      </c>
      <c r="G18">
        <f t="shared" si="2"/>
        <v>2.5739999999999998</v>
      </c>
      <c r="H18">
        <f t="shared" si="2"/>
        <v>2.5739999999999998</v>
      </c>
      <c r="I18">
        <f t="shared" si="2"/>
        <v>21.984321999999999</v>
      </c>
      <c r="J18">
        <f t="shared" si="2"/>
        <v>2.5739999999999998</v>
      </c>
      <c r="K18">
        <f t="shared" si="2"/>
        <v>2.5339999999999998</v>
      </c>
      <c r="L18" t="e">
        <f t="shared" si="2"/>
        <v>#N/A</v>
      </c>
      <c r="M18">
        <f t="shared" si="2"/>
        <v>2.004</v>
      </c>
      <c r="N18">
        <f t="shared" si="2"/>
        <v>0.70299999999999996</v>
      </c>
      <c r="O18">
        <f t="shared" si="2"/>
        <v>3.0990000000000002</v>
      </c>
      <c r="P18">
        <f t="shared" si="2"/>
        <v>6.6086999999999998</v>
      </c>
      <c r="Q18">
        <f t="shared" si="2"/>
        <v>3.9550000000000001</v>
      </c>
      <c r="R18">
        <f t="shared" si="2"/>
        <v>0.61270000000000002</v>
      </c>
      <c r="S18" t="e">
        <f t="shared" si="2"/>
        <v>#N/A</v>
      </c>
      <c r="T18">
        <f t="shared" si="2"/>
        <v>3.5339999999999998</v>
      </c>
      <c r="U18">
        <f t="shared" si="2"/>
        <v>3.0987</v>
      </c>
      <c r="V18" t="e">
        <f t="shared" si="2"/>
        <v>#N/A</v>
      </c>
      <c r="W18">
        <f t="shared" si="2"/>
        <v>2.5739999999999998</v>
      </c>
      <c r="X18" t="e">
        <f t="shared" si="2"/>
        <v>#N/A</v>
      </c>
      <c r="Y18">
        <f t="shared" si="2"/>
        <v>6.0028777</v>
      </c>
      <c r="Z18" t="e">
        <f t="shared" si="2"/>
        <v>#N/A</v>
      </c>
      <c r="AA18">
        <f t="shared" si="2"/>
        <v>7.19</v>
      </c>
      <c r="AB18">
        <f t="shared" si="2"/>
        <v>3.8791000000000002</v>
      </c>
      <c r="AC18">
        <f t="shared" si="2"/>
        <v>3.8791000000000002</v>
      </c>
      <c r="AD18" t="e">
        <f t="shared" si="2"/>
        <v>#N/A</v>
      </c>
      <c r="AE18">
        <f t="shared" si="2"/>
        <v>7.19</v>
      </c>
      <c r="AF18">
        <f t="shared" si="2"/>
        <v>8.9499999999999993</v>
      </c>
      <c r="AG18">
        <f t="shared" si="2"/>
        <v>3.7275049999999998</v>
      </c>
      <c r="AH18" t="e">
        <f t="shared" si="2"/>
        <v>#N/A</v>
      </c>
      <c r="AI18">
        <f t="shared" si="2"/>
        <v>6.4985710000000001</v>
      </c>
      <c r="AJ18">
        <f t="shared" si="2"/>
        <v>4.608568</v>
      </c>
      <c r="AK18" t="e">
        <f t="shared" si="2"/>
        <v>#N/A</v>
      </c>
      <c r="AL18">
        <f t="shared" si="2"/>
        <v>2.9473283000000001</v>
      </c>
      <c r="AM18">
        <f t="shared" si="2"/>
        <v>10.455909</v>
      </c>
      <c r="AN18" t="e">
        <f t="shared" si="2"/>
        <v>#N/A</v>
      </c>
    </row>
    <row r="19" spans="1:40" x14ac:dyDescent="0.35">
      <c r="A19" s="2"/>
    </row>
    <row r="20" spans="1:40" x14ac:dyDescent="0.35">
      <c r="A20" s="2"/>
    </row>
    <row r="21" spans="1:40" x14ac:dyDescent="0.35">
      <c r="A21" s="2"/>
    </row>
    <row r="22" spans="1:40" x14ac:dyDescent="0.35">
      <c r="A22" s="2"/>
    </row>
    <row r="23" spans="1:40" x14ac:dyDescent="0.35">
      <c r="A23" s="2"/>
    </row>
    <row r="24" spans="1:40" x14ac:dyDescent="0.35">
      <c r="A24" s="2"/>
    </row>
    <row r="25" spans="1:40" x14ac:dyDescent="0.35">
      <c r="A25" s="2"/>
    </row>
    <row r="26" spans="1:40" x14ac:dyDescent="0.35">
      <c r="A26" s="2"/>
    </row>
    <row r="27" spans="1:40" x14ac:dyDescent="0.35">
      <c r="A27" s="2"/>
    </row>
    <row r="28" spans="1:40" x14ac:dyDescent="0.35">
      <c r="A28" s="2"/>
    </row>
    <row r="29" spans="1:40" x14ac:dyDescent="0.35">
      <c r="A29" s="2"/>
    </row>
    <row r="30" spans="1:40" x14ac:dyDescent="0.35">
      <c r="A30" s="2"/>
    </row>
    <row r="31" spans="1:40" x14ac:dyDescent="0.35">
      <c r="A31" s="2"/>
    </row>
    <row r="32" spans="1:40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</sheetData>
  <pageMargins left="0.7" right="0.7" top="0.75" bottom="0.75" header="0.3" footer="0.3"/>
  <pageSetup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20E4-97B2-4EB7-897A-3D28BEFA8748}">
  <dimension ref="A1:Q25"/>
  <sheetViews>
    <sheetView workbookViewId="0">
      <selection activeCell="K1" sqref="K1:N1"/>
    </sheetView>
  </sheetViews>
  <sheetFormatPr defaultRowHeight="14.5" x14ac:dyDescent="0.35"/>
  <cols>
    <col min="1" max="1" width="10.54296875" customWidth="1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ht="25.5" customHeight="1" x14ac:dyDescent="0.35">
      <c r="A2" s="2" cm="1">
        <f t="array" ref="A2:A21">_xll.FDS(C1,"JULIAN(FMA_ROE(NTMA,-20AY,NOW,FY,""PORTAGG"",""MEANR"").dates)")</f>
        <v>38352</v>
      </c>
      <c r="B2" t="str" cm="1">
        <f t="array" ref="B2:B21">_xll.FDSB(B1,"FMA_ROE(NTMA,-20AY,NOW,FY,""PORTAGG"",""MEANR"")")</f>
        <v/>
      </c>
      <c r="C2" cm="1">
        <f t="array" ref="C2:C21">_xll.FDSB(C1,"FMA_ROE(NTMA,-20AY,NOW,FY,""PORTAGG"",""MEANR"")")</f>
        <v>15.4970825561621</v>
      </c>
      <c r="D2" cm="1">
        <f t="array" ref="D2:D21">_xll.FDSB(D1,"FMA_ROE(NTMA,-20AY,NOW,FY,""PORTAGG"",""MEANR"")")</f>
        <v>14.6738571923606</v>
      </c>
      <c r="E2" cm="1">
        <f t="array" ref="E2:E21">_xll.FDSB(E1,"FMA_ROE(NTMA,-20AY,NOW,FY,""PORTAGG"",""MEANR"")")</f>
        <v>11.827555059993299</v>
      </c>
      <c r="F2" cm="1">
        <f t="array" ref="F2:F21">_xll.FDSB(F1,"FMA_ROE(NTMA,-20AY,NOW,FY,""PORTAGG"",""MEANR"")")</f>
        <v>9.4722639547096605</v>
      </c>
      <c r="G2" cm="1">
        <f t="array" ref="G2:G21">_xll.FDSB(G1,"FMA_ROE(NTMA,-20AY,NOW,FY,""PORTAGG"",""MEANR"")")</f>
        <v>15.9587717941353</v>
      </c>
      <c r="H2" cm="1">
        <f t="array" ref="H2:H21">_xll.FDSB(H1,"FMA_ROE(NTMA,-20AY,NOW,FY,""PORTAGG"",""MEANR"")")</f>
        <v>17.001374333558701</v>
      </c>
      <c r="I2" cm="1">
        <f t="array" ref="I2:I21">_xll.FDSB(I1,"FMA_ROE(NTMA,-20AY,NOW,FY,""PORTAGG"",""MEANR"")")</f>
        <v>14.817843581598</v>
      </c>
      <c r="J2" cm="1">
        <f t="array" ref="J2:J21">_xll.FDSB(J1,"FMA_ROE(NTMA,-20AY,NOW,FY,""PORTAGG"",""MEANR"")")</f>
        <v>15.586179020045901</v>
      </c>
      <c r="K2" cm="1">
        <f t="array" ref="K2:K21">_xll.FDSB(K1,"FMA_ROE(NTMA,-20AY,NOW,FY,""PORTAGG"",""MEANR"")")</f>
        <v>15.378510988127299</v>
      </c>
      <c r="L2" cm="1">
        <f t="array" ref="L2:L21">_xll.FDSB(L1,"FMA_ROE(NTMA,-20AY,NOW,FY,""PORTAGG"",""MEANR"")")</f>
        <v>20.502702273176801</v>
      </c>
      <c r="M2" cm="1">
        <f t="array" ref="M2:M21">_xll.FDSB(M1,"FMA_ROE(NTMA,-20AY,NOW,FY,""PORTAGG"",""MEANR"")")</f>
        <v>16.226109086479301</v>
      </c>
      <c r="N2" cm="1">
        <f t="array" ref="N2:N21">_xll.FDSB(N1,"FMA_ROE(NTMA,-20AY,NOW,FY,""PORTAGG"",""MEANR"")")</f>
        <v>12.7201174133668</v>
      </c>
    </row>
    <row r="3" spans="1:14" ht="25.5" customHeight="1" x14ac:dyDescent="0.35">
      <c r="A3" s="2">
        <v>38716</v>
      </c>
      <c r="B3" t="str">
        <v/>
      </c>
      <c r="C3">
        <v>16.532509518013999</v>
      </c>
      <c r="D3">
        <v>15.7709471724654</v>
      </c>
      <c r="E3">
        <v>12.5810872006639</v>
      </c>
      <c r="F3">
        <v>9.7108092859513899</v>
      </c>
      <c r="G3">
        <v>16.670944245646201</v>
      </c>
      <c r="H3">
        <v>17.4840740170497</v>
      </c>
      <c r="I3">
        <v>15.486694777592099</v>
      </c>
      <c r="J3">
        <v>16.732203856681899</v>
      </c>
      <c r="K3">
        <v>16.630213142081299</v>
      </c>
      <c r="L3">
        <v>18.438843283905701</v>
      </c>
      <c r="M3">
        <v>17.2247287220762</v>
      </c>
      <c r="N3">
        <v>14.3538872460945</v>
      </c>
    </row>
    <row r="4" spans="1:14" ht="25.5" customHeight="1" x14ac:dyDescent="0.35">
      <c r="A4" s="2">
        <v>39080</v>
      </c>
      <c r="B4" t="str">
        <v/>
      </c>
      <c r="C4">
        <v>17.019399648616702</v>
      </c>
      <c r="D4">
        <v>15.854713654361101</v>
      </c>
      <c r="E4">
        <v>13.372977849048</v>
      </c>
      <c r="F4">
        <v>9.9459490206900902</v>
      </c>
      <c r="G4">
        <v>17.319056104251299</v>
      </c>
      <c r="H4">
        <v>19.442574250405301</v>
      </c>
      <c r="I4">
        <v>16.833970499812899</v>
      </c>
      <c r="J4">
        <v>17.387356208818399</v>
      </c>
      <c r="K4">
        <v>15.408967362426599</v>
      </c>
      <c r="L4">
        <v>17.2963282197402</v>
      </c>
      <c r="M4">
        <v>18.210010684159698</v>
      </c>
      <c r="N4">
        <v>15.068908602684299</v>
      </c>
    </row>
    <row r="5" spans="1:14" ht="25.5" customHeight="1" x14ac:dyDescent="0.35">
      <c r="A5" s="2">
        <v>39447</v>
      </c>
      <c r="B5" t="str">
        <v/>
      </c>
      <c r="C5">
        <v>15.560991405865201</v>
      </c>
      <c r="D5">
        <v>16.5705490516163</v>
      </c>
      <c r="E5">
        <v>14.712722857709</v>
      </c>
      <c r="F5">
        <v>9.9106258464836792</v>
      </c>
      <c r="G5">
        <v>18.194046530628999</v>
      </c>
      <c r="H5">
        <v>18.922548163306399</v>
      </c>
      <c r="I5">
        <v>17.9560593685279</v>
      </c>
      <c r="J5">
        <v>17.7935626477889</v>
      </c>
      <c r="K5">
        <v>15.0205314626708</v>
      </c>
      <c r="L5">
        <v>16.622012430445402</v>
      </c>
      <c r="M5">
        <v>18.887175762553799</v>
      </c>
      <c r="N5">
        <v>13.812143044596301</v>
      </c>
    </row>
    <row r="6" spans="1:14" ht="25.5" customHeight="1" x14ac:dyDescent="0.35">
      <c r="A6" s="2">
        <v>39813</v>
      </c>
      <c r="B6" t="str">
        <v/>
      </c>
      <c r="C6">
        <v>13.5690116283254</v>
      </c>
      <c r="D6">
        <v>13.8099900139916</v>
      </c>
      <c r="E6">
        <v>11.5210886767193</v>
      </c>
      <c r="F6">
        <v>6.3264501132521804</v>
      </c>
      <c r="G6">
        <v>15.513687428345399</v>
      </c>
      <c r="H6">
        <v>14.973545163604699</v>
      </c>
      <c r="I6">
        <v>16.5654843697708</v>
      </c>
      <c r="J6">
        <v>13.938459770768899</v>
      </c>
      <c r="K6">
        <v>11.8797489821456</v>
      </c>
      <c r="L6">
        <v>13.982183103512799</v>
      </c>
      <c r="M6">
        <v>13.942889841066</v>
      </c>
      <c r="N6">
        <v>10.789750222635099</v>
      </c>
    </row>
    <row r="7" spans="1:14" ht="25.5" customHeight="1" x14ac:dyDescent="0.35">
      <c r="A7" s="2">
        <v>40178</v>
      </c>
      <c r="B7" t="str">
        <v/>
      </c>
      <c r="C7">
        <v>12.8492110125335</v>
      </c>
      <c r="D7">
        <v>11.8327104416904</v>
      </c>
      <c r="E7">
        <v>11.009433764833901</v>
      </c>
      <c r="F7">
        <v>5.7137456034125096</v>
      </c>
      <c r="G7">
        <v>17.2258858021045</v>
      </c>
      <c r="H7">
        <v>14.6457818658238</v>
      </c>
      <c r="I7">
        <v>17.596574126271399</v>
      </c>
      <c r="J7">
        <v>14.004346429543</v>
      </c>
      <c r="K7">
        <v>10.993409183456601</v>
      </c>
      <c r="L7">
        <v>13.3304023919735</v>
      </c>
      <c r="M7">
        <v>10.346174503291101</v>
      </c>
      <c r="N7">
        <v>8.0585564947070996</v>
      </c>
    </row>
    <row r="8" spans="1:14" ht="25.5" customHeight="1" x14ac:dyDescent="0.35">
      <c r="A8" s="2">
        <v>40543</v>
      </c>
      <c r="B8">
        <v>10.853226729587799</v>
      </c>
      <c r="C8">
        <v>14.2386354612725</v>
      </c>
      <c r="D8">
        <v>12.6984457284378</v>
      </c>
      <c r="E8">
        <v>13.0475804034897</v>
      </c>
      <c r="F8">
        <v>7.7760884645659401</v>
      </c>
      <c r="G8">
        <v>16.663378494351999</v>
      </c>
      <c r="H8">
        <v>16.154296497439798</v>
      </c>
      <c r="I8">
        <v>20.000374237164401</v>
      </c>
      <c r="J8">
        <v>15.039943345393599</v>
      </c>
      <c r="K8">
        <v>12.025937598748101</v>
      </c>
      <c r="L8">
        <v>14.659480994909201</v>
      </c>
      <c r="M8">
        <v>15.818215992178599</v>
      </c>
      <c r="N8">
        <v>8.8199042369870302</v>
      </c>
    </row>
    <row r="9" spans="1:14" ht="25.5" customHeight="1" x14ac:dyDescent="0.35">
      <c r="A9" s="2">
        <v>40907</v>
      </c>
      <c r="B9">
        <v>10.904873441364501</v>
      </c>
      <c r="C9">
        <v>14.168071267681</v>
      </c>
      <c r="D9">
        <v>13.509284892423301</v>
      </c>
      <c r="E9">
        <v>12.3546044213534</v>
      </c>
      <c r="F9">
        <v>7.2930951173439702</v>
      </c>
      <c r="G9">
        <v>15.1353221205521</v>
      </c>
      <c r="H9">
        <v>15.199607837615799</v>
      </c>
      <c r="I9">
        <v>20.959156893823899</v>
      </c>
      <c r="J9">
        <v>15.5262408812809</v>
      </c>
      <c r="K9">
        <v>10.817665506629901</v>
      </c>
      <c r="L9">
        <v>13.0989988533626</v>
      </c>
      <c r="M9">
        <v>15.7255547384444</v>
      </c>
      <c r="N9">
        <v>8.1166013658542493</v>
      </c>
    </row>
    <row r="10" spans="1:14" ht="25.5" customHeight="1" x14ac:dyDescent="0.35">
      <c r="A10" s="2">
        <v>41274</v>
      </c>
      <c r="B10">
        <v>11.45876758647</v>
      </c>
      <c r="C10">
        <v>12.692165288154101</v>
      </c>
      <c r="D10">
        <v>12.804929450575001</v>
      </c>
      <c r="E10">
        <v>12.103787649179401</v>
      </c>
      <c r="F10">
        <v>7.6046390639022201</v>
      </c>
      <c r="G10">
        <v>15.5882414428409</v>
      </c>
      <c r="H10">
        <v>14.4781479669762</v>
      </c>
      <c r="I10">
        <v>20.792196377515399</v>
      </c>
      <c r="J10">
        <v>15.3796547722071</v>
      </c>
      <c r="K10">
        <v>10.4079638226552</v>
      </c>
      <c r="L10">
        <v>12.002383507737299</v>
      </c>
      <c r="M10">
        <v>14.800794930168999</v>
      </c>
      <c r="N10">
        <v>7.8393954249384699</v>
      </c>
    </row>
    <row r="11" spans="1:14" ht="25.5" customHeight="1" x14ac:dyDescent="0.35">
      <c r="A11" s="2">
        <v>41639</v>
      </c>
      <c r="B11">
        <v>11.083258915241499</v>
      </c>
      <c r="C11">
        <v>13.1922555858139</v>
      </c>
      <c r="D11">
        <v>12.2925364029644</v>
      </c>
      <c r="E11">
        <v>12.1465108243325</v>
      </c>
      <c r="F11">
        <v>8.9088475830290008</v>
      </c>
      <c r="G11">
        <v>15.248395144965301</v>
      </c>
      <c r="H11">
        <v>13.364031588609899</v>
      </c>
      <c r="I11">
        <v>20.047298915306001</v>
      </c>
      <c r="J11">
        <v>15.870243784691599</v>
      </c>
      <c r="K11">
        <v>10.3975296667646</v>
      </c>
      <c r="L11">
        <v>12.148614557293399</v>
      </c>
      <c r="M11">
        <v>14.1943515647563</v>
      </c>
      <c r="N11">
        <v>7.3457599670942102</v>
      </c>
    </row>
    <row r="12" spans="1:14" ht="25.5" customHeight="1" x14ac:dyDescent="0.35">
      <c r="A12" s="2">
        <v>42004</v>
      </c>
      <c r="B12">
        <v>9.9451743168813902</v>
      </c>
      <c r="C12">
        <v>12.5644042089263</v>
      </c>
      <c r="D12">
        <v>11.8034021278505</v>
      </c>
      <c r="E12">
        <v>11.887358161661499</v>
      </c>
      <c r="F12">
        <v>9.0803886544970194</v>
      </c>
      <c r="G12">
        <v>14.502800920484599</v>
      </c>
      <c r="H12">
        <v>12.232650330571399</v>
      </c>
      <c r="I12">
        <v>22.0568276514703</v>
      </c>
      <c r="J12">
        <v>15.810673900759699</v>
      </c>
      <c r="K12">
        <v>9.8706002317655095</v>
      </c>
      <c r="L12">
        <v>12.219782956479699</v>
      </c>
      <c r="M12">
        <v>13.790896513923</v>
      </c>
      <c r="N12">
        <v>7.2987048712399796</v>
      </c>
    </row>
    <row r="13" spans="1:14" ht="25.5" customHeight="1" x14ac:dyDescent="0.35">
      <c r="A13" s="2">
        <v>42369</v>
      </c>
      <c r="B13">
        <v>9.9024265265903395</v>
      </c>
      <c r="C13">
        <v>10.732136523471301</v>
      </c>
      <c r="D13">
        <v>10.9923508764539</v>
      </c>
      <c r="E13">
        <v>12.028464941777401</v>
      </c>
      <c r="F13">
        <v>8.7788981831763504</v>
      </c>
      <c r="G13">
        <v>13.2798091113486</v>
      </c>
      <c r="H13">
        <v>11.1900784012713</v>
      </c>
      <c r="I13">
        <v>21.8504635786249</v>
      </c>
      <c r="J13">
        <v>15.858031312821501</v>
      </c>
      <c r="K13">
        <v>9.8254824560818506</v>
      </c>
      <c r="L13">
        <v>12.4442703427853</v>
      </c>
      <c r="M13">
        <v>13.0367586478869</v>
      </c>
      <c r="N13">
        <v>7.2893784265994803</v>
      </c>
    </row>
    <row r="14" spans="1:14" ht="25.5" customHeight="1" x14ac:dyDescent="0.35">
      <c r="A14" s="2">
        <v>42734</v>
      </c>
      <c r="B14">
        <v>9.7998658290307095</v>
      </c>
      <c r="C14">
        <v>11.5035211675747</v>
      </c>
      <c r="D14">
        <v>11.4792366602027</v>
      </c>
      <c r="E14">
        <v>11.8967042128795</v>
      </c>
      <c r="F14">
        <v>8.62096827520989</v>
      </c>
      <c r="G14">
        <v>13.3994953105419</v>
      </c>
      <c r="H14">
        <v>12.1967915012023</v>
      </c>
      <c r="I14">
        <v>21.114607645969102</v>
      </c>
      <c r="J14">
        <v>16.049912492851799</v>
      </c>
      <c r="K14">
        <v>9.8831539131807205</v>
      </c>
      <c r="L14">
        <v>11.8415876112609</v>
      </c>
      <c r="M14">
        <v>12.322553154201101</v>
      </c>
      <c r="N14">
        <v>7.6448050780743202</v>
      </c>
    </row>
    <row r="15" spans="1:14" ht="25.5" customHeight="1" x14ac:dyDescent="0.35">
      <c r="A15" s="2">
        <v>43098</v>
      </c>
      <c r="B15">
        <v>9.8479289685659399</v>
      </c>
      <c r="C15">
        <v>11.907299006987801</v>
      </c>
      <c r="D15">
        <v>11.3979128674428</v>
      </c>
      <c r="E15">
        <v>12.246920794364801</v>
      </c>
      <c r="F15">
        <v>9.2398651910043395</v>
      </c>
      <c r="G15">
        <v>13.9322208239423</v>
      </c>
      <c r="H15">
        <v>12.7329318595365</v>
      </c>
      <c r="I15">
        <v>22.078426350894102</v>
      </c>
      <c r="J15">
        <v>16.907948658911</v>
      </c>
      <c r="K15">
        <v>10.4363064842242</v>
      </c>
      <c r="L15">
        <v>13.007558022754999</v>
      </c>
      <c r="M15">
        <v>13.8549633296522</v>
      </c>
      <c r="N15">
        <v>9.0538496506424107</v>
      </c>
    </row>
    <row r="16" spans="1:14" ht="25.5" customHeight="1" x14ac:dyDescent="0.35">
      <c r="A16" s="2">
        <v>43465</v>
      </c>
      <c r="B16">
        <v>9.5217714261901296</v>
      </c>
      <c r="C16">
        <v>12.400931175281199</v>
      </c>
      <c r="D16">
        <v>12.499008182247699</v>
      </c>
      <c r="E16">
        <v>11.651015241557801</v>
      </c>
      <c r="F16">
        <v>9.4957067852596193</v>
      </c>
      <c r="G16">
        <v>14.645799683639201</v>
      </c>
      <c r="H16">
        <v>13.1887832891224</v>
      </c>
      <c r="I16">
        <v>26.490229336787198</v>
      </c>
      <c r="J16">
        <v>18.8923615036562</v>
      </c>
      <c r="K16">
        <v>11.328389580600501</v>
      </c>
      <c r="L16">
        <v>13.222867771113201</v>
      </c>
      <c r="M16">
        <v>13.3193557094803</v>
      </c>
      <c r="N16">
        <v>10.3909656073461</v>
      </c>
    </row>
    <row r="17" spans="1:17" ht="25.5" customHeight="1" x14ac:dyDescent="0.35">
      <c r="A17" s="2">
        <v>43830</v>
      </c>
      <c r="B17">
        <v>9.0038870875203099</v>
      </c>
      <c r="C17">
        <v>11.727245321809701</v>
      </c>
      <c r="D17">
        <v>11.978678386383701</v>
      </c>
      <c r="E17">
        <v>10.4475672102116</v>
      </c>
      <c r="F17">
        <v>8.3559627813131101</v>
      </c>
      <c r="G17">
        <v>14.538819869127099</v>
      </c>
      <c r="H17">
        <v>12.871054505932801</v>
      </c>
      <c r="I17">
        <v>25.011729152832</v>
      </c>
      <c r="J17">
        <v>18.292929264234399</v>
      </c>
      <c r="K17">
        <v>10.914009650308399</v>
      </c>
      <c r="L17">
        <v>13.0917636337237</v>
      </c>
      <c r="M17">
        <v>13.453133629896801</v>
      </c>
      <c r="N17">
        <v>10.235305358457801</v>
      </c>
    </row>
    <row r="18" spans="1:17" ht="25.5" customHeight="1" x14ac:dyDescent="0.35">
      <c r="A18" s="2">
        <v>44196</v>
      </c>
      <c r="B18">
        <v>7.5322638919868998</v>
      </c>
      <c r="C18">
        <v>11.050859206460901</v>
      </c>
      <c r="D18">
        <v>11.192208682288101</v>
      </c>
      <c r="E18">
        <v>9.7147154363071309</v>
      </c>
      <c r="F18">
        <v>7.4385992870476203</v>
      </c>
      <c r="G18">
        <v>14.667779515581</v>
      </c>
      <c r="H18">
        <v>11.2050609778507</v>
      </c>
      <c r="I18">
        <v>24.534442850508999</v>
      </c>
      <c r="J18">
        <v>17.2298191446197</v>
      </c>
      <c r="K18">
        <v>8.9422344864210306</v>
      </c>
      <c r="L18">
        <v>9.7785656650372808</v>
      </c>
      <c r="M18">
        <v>11.9734316080377</v>
      </c>
      <c r="N18">
        <v>8.27578853786002</v>
      </c>
    </row>
    <row r="19" spans="1:17" ht="25.5" customHeight="1" x14ac:dyDescent="0.35">
      <c r="A19" s="2">
        <v>44561</v>
      </c>
      <c r="B19">
        <v>6.44400181202057</v>
      </c>
      <c r="C19">
        <v>12.8471719199911</v>
      </c>
      <c r="D19">
        <v>14.1061782856045</v>
      </c>
      <c r="E19">
        <v>12.199709394090799</v>
      </c>
      <c r="F19">
        <v>9.2207656765267707</v>
      </c>
      <c r="G19">
        <v>16.3837417700753</v>
      </c>
      <c r="H19">
        <v>13.922769951646799</v>
      </c>
      <c r="I19">
        <v>26.637202164256799</v>
      </c>
      <c r="J19">
        <v>20.6862902761839</v>
      </c>
      <c r="K19">
        <v>12.253955540201501</v>
      </c>
      <c r="L19">
        <v>10.899145951859399</v>
      </c>
      <c r="M19">
        <v>15.4719420327405</v>
      </c>
      <c r="N19">
        <v>11.7277999998841</v>
      </c>
    </row>
    <row r="20" spans="1:17" ht="25.5" customHeight="1" x14ac:dyDescent="0.35">
      <c r="A20" s="2">
        <v>44925</v>
      </c>
      <c r="B20">
        <v>7.7689690341126996</v>
      </c>
      <c r="C20">
        <v>14.6580605840091</v>
      </c>
      <c r="D20">
        <v>14.0029403106189</v>
      </c>
      <c r="E20">
        <v>11.818711551142201</v>
      </c>
      <c r="F20">
        <v>9.2254455739887096</v>
      </c>
      <c r="G20">
        <v>16.690651733527702</v>
      </c>
      <c r="H20">
        <v>15.8587443966116</v>
      </c>
      <c r="I20">
        <v>24.048321572288899</v>
      </c>
      <c r="J20">
        <v>20.5983105929019</v>
      </c>
      <c r="K20">
        <v>13.147634170684601</v>
      </c>
      <c r="L20">
        <v>12.015889153241799</v>
      </c>
      <c r="M20">
        <v>14.7406058144791</v>
      </c>
      <c r="N20">
        <v>13.320278986082799</v>
      </c>
    </row>
    <row r="21" spans="1:17" ht="25.5" customHeight="1" x14ac:dyDescent="0.35">
      <c r="A21" s="2">
        <v>45289</v>
      </c>
      <c r="B21">
        <v>6.5791075391831502</v>
      </c>
      <c r="C21">
        <v>13.226137995013501</v>
      </c>
      <c r="D21">
        <v>13.147116166704</v>
      </c>
      <c r="E21">
        <v>11.9489916743573</v>
      </c>
      <c r="F21">
        <v>9.2993760884677705</v>
      </c>
      <c r="G21">
        <v>19.299686812780902</v>
      </c>
      <c r="H21">
        <v>14.720728882990199</v>
      </c>
      <c r="I21">
        <v>25.319915596617101</v>
      </c>
      <c r="J21">
        <v>20.350503776156899</v>
      </c>
      <c r="K21">
        <v>13.220962408242601</v>
      </c>
      <c r="L21">
        <v>12.745985665341101</v>
      </c>
      <c r="M21">
        <v>15.368050598586001</v>
      </c>
      <c r="N21">
        <v>13.3572149047324</v>
      </c>
    </row>
    <row r="23" spans="1:17" x14ac:dyDescent="0.35">
      <c r="A23" t="s">
        <v>91</v>
      </c>
      <c r="B23" s="8">
        <f t="shared" ref="B23:N23" si="0">MIN(_xlfn.ANCHORARRAY(B2))</f>
        <v>6.44400181202057</v>
      </c>
      <c r="C23" s="8">
        <f t="shared" si="0"/>
        <v>10.732136523471301</v>
      </c>
      <c r="D23" s="8">
        <f t="shared" si="0"/>
        <v>10.9923508764539</v>
      </c>
      <c r="E23" s="8">
        <f t="shared" si="0"/>
        <v>9.7147154363071309</v>
      </c>
      <c r="F23" s="8">
        <f t="shared" si="0"/>
        <v>5.7137456034125096</v>
      </c>
      <c r="G23" s="8">
        <f t="shared" si="0"/>
        <v>13.2798091113486</v>
      </c>
      <c r="H23" s="8">
        <f t="shared" si="0"/>
        <v>11.1900784012713</v>
      </c>
      <c r="I23" s="8">
        <f t="shared" si="0"/>
        <v>14.817843581598</v>
      </c>
      <c r="J23" s="8">
        <f t="shared" si="0"/>
        <v>13.938459770768899</v>
      </c>
      <c r="K23" s="8">
        <f t="shared" si="0"/>
        <v>8.9422344864210306</v>
      </c>
      <c r="L23" s="8">
        <f t="shared" si="0"/>
        <v>9.7785656650372808</v>
      </c>
      <c r="M23" s="8">
        <f t="shared" si="0"/>
        <v>10.346174503291101</v>
      </c>
      <c r="N23" s="8">
        <f t="shared" si="0"/>
        <v>7.2893784265994803</v>
      </c>
      <c r="O23" s="8"/>
      <c r="P23" s="8"/>
      <c r="Q23" s="8"/>
    </row>
    <row r="24" spans="1:17" x14ac:dyDescent="0.35">
      <c r="A24" t="s">
        <v>394</v>
      </c>
      <c r="B24" s="8">
        <f t="shared" ref="B24:N24" si="1">MEDIAN(_xlfn.ANCHORARRAY(B2))</f>
        <v>9.8238973987983247</v>
      </c>
      <c r="C24" s="8">
        <f t="shared" si="1"/>
        <v>13.020733299173699</v>
      </c>
      <c r="D24" s="8">
        <f t="shared" si="1"/>
        <v>12.7516875895064</v>
      </c>
      <c r="E24" s="8">
        <f t="shared" si="1"/>
        <v>11.988728308067351</v>
      </c>
      <c r="F24" s="8">
        <f t="shared" si="1"/>
        <v>8.994618118763011</v>
      </c>
      <c r="G24" s="8">
        <f t="shared" si="1"/>
        <v>15.55096443559315</v>
      </c>
      <c r="H24" s="8">
        <f t="shared" si="1"/>
        <v>14.561964916400001</v>
      </c>
      <c r="I24" s="8">
        <f t="shared" si="1"/>
        <v>21.036882269896502</v>
      </c>
      <c r="J24" s="8">
        <f t="shared" si="1"/>
        <v>16.391058174766847</v>
      </c>
      <c r="K24" s="8">
        <f t="shared" si="1"/>
        <v>11.16089938202855</v>
      </c>
      <c r="L24" s="8">
        <f t="shared" si="1"/>
        <v>13.04966082823935</v>
      </c>
      <c r="M24" s="8">
        <f t="shared" si="1"/>
        <v>14.4674786896177</v>
      </c>
      <c r="N24" s="8">
        <f t="shared" si="1"/>
        <v>9.6445775045501065</v>
      </c>
      <c r="O24" s="8"/>
      <c r="P24" s="8"/>
      <c r="Q24" s="8"/>
    </row>
    <row r="25" spans="1:17" x14ac:dyDescent="0.35">
      <c r="A25" t="s">
        <v>496</v>
      </c>
      <c r="B25" s="8">
        <f t="shared" ref="B25:N25" si="2">B21</f>
        <v>6.5791075391831502</v>
      </c>
      <c r="C25" s="8">
        <f t="shared" si="2"/>
        <v>13.226137995013501</v>
      </c>
      <c r="D25" s="8">
        <f t="shared" si="2"/>
        <v>13.147116166704</v>
      </c>
      <c r="E25" s="8">
        <f t="shared" si="2"/>
        <v>11.9489916743573</v>
      </c>
      <c r="F25" s="8">
        <f t="shared" si="2"/>
        <v>9.2993760884677705</v>
      </c>
      <c r="G25" s="8">
        <f t="shared" si="2"/>
        <v>19.299686812780902</v>
      </c>
      <c r="H25" s="8">
        <f t="shared" si="2"/>
        <v>14.720728882990199</v>
      </c>
      <c r="I25" s="8">
        <f t="shared" si="2"/>
        <v>25.319915596617101</v>
      </c>
      <c r="J25" s="8">
        <f t="shared" si="2"/>
        <v>20.350503776156899</v>
      </c>
      <c r="K25" s="8">
        <f t="shared" si="2"/>
        <v>13.220962408242601</v>
      </c>
      <c r="L25" s="8">
        <f t="shared" si="2"/>
        <v>12.745985665341101</v>
      </c>
      <c r="M25" s="8">
        <f t="shared" si="2"/>
        <v>15.368050598586001</v>
      </c>
      <c r="N25" s="8">
        <f t="shared" si="2"/>
        <v>13.3572149047324</v>
      </c>
      <c r="O25" s="8"/>
      <c r="P25" s="8"/>
      <c r="Q25" s="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83CA-1521-42D4-B4D5-EABE25AFEA35}">
  <dimension ref="A1:T20"/>
  <sheetViews>
    <sheetView topLeftCell="G1" zoomScale="88" zoomScaleNormal="10" workbookViewId="0">
      <selection activeCell="O10" sqref="O10"/>
    </sheetView>
  </sheetViews>
  <sheetFormatPr defaultRowHeight="14.5" x14ac:dyDescent="0.35"/>
  <cols>
    <col min="1" max="1" width="19.54296875" hidden="1" customWidth="1"/>
    <col min="2" max="2" width="12.54296875" hidden="1" customWidth="1"/>
    <col min="3" max="3" width="15.54296875" hidden="1" customWidth="1"/>
    <col min="4" max="4" width="13.81640625" hidden="1" customWidth="1"/>
    <col min="5" max="5" width="23.54296875" hidden="1" customWidth="1"/>
    <col min="6" max="6" width="9.54296875" hidden="1" customWidth="1"/>
    <col min="7" max="9" width="19.453125" customWidth="1"/>
    <col min="10" max="10" width="34.453125" customWidth="1"/>
    <col min="11" max="11" width="19.453125" customWidth="1"/>
    <col min="12" max="12" width="11" customWidth="1"/>
    <col min="13" max="13" width="11" bestFit="1" customWidth="1"/>
    <col min="16" max="16" width="11.453125" customWidth="1"/>
    <col min="17" max="17" width="10.453125" bestFit="1" customWidth="1"/>
    <col min="18" max="18" width="13.453125" customWidth="1"/>
    <col min="28" max="28" width="13" customWidth="1"/>
  </cols>
  <sheetData>
    <row r="1" spans="1:20" ht="18.5" x14ac:dyDescent="0.55000000000000004">
      <c r="K1" s="62" t="s">
        <v>771</v>
      </c>
      <c r="L1" s="186">
        <f ca="1">EDATE(TODAY(), -1)</f>
        <v>45426</v>
      </c>
      <c r="M1" s="116"/>
    </row>
    <row r="2" spans="1:20" ht="15" thickBot="1" x14ac:dyDescent="0.4">
      <c r="K2" s="12" t="s">
        <v>772</v>
      </c>
      <c r="L2" s="187">
        <f ca="1">EDATE(TODAY(), -4)</f>
        <v>45336</v>
      </c>
    </row>
    <row r="3" spans="1:20" ht="50.25" customHeight="1" x14ac:dyDescent="0.35">
      <c r="E3" t="s">
        <v>747</v>
      </c>
      <c r="F3" t="s">
        <v>748</v>
      </c>
      <c r="H3" t="s">
        <v>764</v>
      </c>
      <c r="I3" t="s">
        <v>561</v>
      </c>
      <c r="J3" t="s">
        <v>518</v>
      </c>
      <c r="M3" s="114" t="s">
        <v>765</v>
      </c>
      <c r="N3" t="str" cm="1">
        <f t="array" aca="1" ref="N3" ca="1">_xll.FDSRC("-","DUMMY","ECON_DATE("&amp;$L$1&amp;",,, 'MM/YYYY')")</f>
        <v>05/2024</v>
      </c>
      <c r="O3" t="str" cm="1">
        <f t="array" aca="1" ref="O3" ca="1">_xll.FDSRC("-","DUMMY","ECON_DATE("&amp;$L$2&amp;",,, 'MM/YYYY')")</f>
        <v>02/2024</v>
      </c>
      <c r="P3" s="114" t="s">
        <v>768</v>
      </c>
      <c r="Q3" s="114" t="s">
        <v>774</v>
      </c>
      <c r="R3" s="117" t="s">
        <v>775</v>
      </c>
      <c r="S3" s="117" t="s">
        <v>550</v>
      </c>
      <c r="T3" s="117" t="s">
        <v>737</v>
      </c>
    </row>
    <row r="4" spans="1:20" x14ac:dyDescent="0.35">
      <c r="A4" t="s">
        <v>431</v>
      </c>
      <c r="B4" t="s">
        <v>446</v>
      </c>
      <c r="C4" t="s">
        <v>431</v>
      </c>
      <c r="D4" t="s">
        <v>750</v>
      </c>
      <c r="E4">
        <v>53.7</v>
      </c>
      <c r="F4">
        <v>5.3</v>
      </c>
      <c r="G4" t="s">
        <v>197</v>
      </c>
      <c r="H4" s="111" t="s">
        <v>755</v>
      </c>
      <c r="I4" s="112" t="s">
        <v>674</v>
      </c>
      <c r="J4" s="113" t="str" cm="1">
        <f t="array" ref="J4">_xll.FDS(K4,"FG_COMPANY_NAME")</f>
        <v>iShares MSCI New Zealand ETF</v>
      </c>
      <c r="K4" s="113" t="s">
        <v>431</v>
      </c>
      <c r="L4" t="s">
        <v>750</v>
      </c>
      <c r="M4" cm="1">
        <f t="array" ref="M4">IF(_xll.FDSRC(,"DUMMY","ECON_EXPR_DATA('FDS_ECON["&amp;H4&amp;"]',,,M)")=0,$J$19,_xll.FDSRC(,"DUMMY","ECON_EXPR_DATA('FDS_ECON["&amp;H4&amp;"]',,,M)"))</f>
        <v>47.158290000000001</v>
      </c>
      <c r="N4" cm="1">
        <f t="array" aca="1" ref="N4" ca="1">_xll.FDSRC("-","DUMMY","ECON_EXPR_DATA('FDS_ECON["&amp;H4&amp;"]',"&amp;$N$3&amp;",,Q)")</f>
        <v>47.779373</v>
      </c>
      <c r="O4" cm="1">
        <f t="array" aca="1" ref="O4" ca="1">_xll.FDSRC("-","DUMMY","ECON_EXPR_DATA('FDS_ECON["&amp;H4&amp;"]',"&amp;$O$3&amp;",,Q)")</f>
        <v>44.485992000000003</v>
      </c>
      <c r="P4">
        <f t="shared" ref="P4:P12" ca="1" si="0">IFERROR(N4-O4,$M$20)</f>
        <v>3.2933809999999966</v>
      </c>
      <c r="Q4" cm="1">
        <f t="array" ref="Q4">_xlfn.PERCENTRANK.EXC(_xlfn._xlws.FILTER(M$4:M$16, ISNUMBER(M$4:M$16)),M4)*100</f>
        <v>35.699999999999996</v>
      </c>
      <c r="R4" cm="1">
        <f t="array" aca="1" ref="R4" ca="1">_xlfn.PERCENTRANK.EXC(_xlfn._xlws.FILTER(P$4:P$16, ISNUMBER(P$4:P$16)),P4)*100</f>
        <v>78.5</v>
      </c>
      <c r="S4">
        <f ca="1">Q4*Assumption!$E$27 + R4*Assumption!$F$27</f>
        <v>52.82</v>
      </c>
      <c r="T4" cm="1">
        <f t="array" aca="1" ref="T4" ca="1">_xlfn.PERCENTRANK.EXC(_xlfn._xlws.FILTER(S$4:S$16, ISNUMBER(S$4:S$16)),S4)*100</f>
        <v>64.2</v>
      </c>
    </row>
    <row r="5" spans="1:20" x14ac:dyDescent="0.35">
      <c r="A5" t="s">
        <v>44</v>
      </c>
      <c r="B5" t="s">
        <v>45</v>
      </c>
      <c r="C5" t="s">
        <v>44</v>
      </c>
      <c r="D5" t="s">
        <v>750</v>
      </c>
      <c r="E5">
        <v>53</v>
      </c>
      <c r="F5">
        <v>4.5</v>
      </c>
      <c r="G5" t="s">
        <v>113</v>
      </c>
      <c r="H5" s="111" t="s">
        <v>753</v>
      </c>
      <c r="I5" s="112" t="s">
        <v>576</v>
      </c>
      <c r="J5" s="113" t="str" cm="1">
        <f t="array" ref="J5">_xll.FDS(K5,"FG_COMPANY_NAME")</f>
        <v>iShares MSCI Australia ETF</v>
      </c>
      <c r="K5" s="113" t="s">
        <v>44</v>
      </c>
      <c r="L5" t="s">
        <v>750</v>
      </c>
      <c r="M5" cm="1">
        <f t="array" ref="M5">IF(_xll.FDSRC(,"DUMMY","ECON_EXPR_DATA('FDS_ECON["&amp;H5&amp;"]',,,M)")=0,$J$19,_xll.FDSRC(,"DUMMY","ECON_EXPR_DATA('FDS_ECON["&amp;H5&amp;"]',,,M)"))</f>
        <v>49.677512999999998</v>
      </c>
      <c r="N5" cm="1">
        <f t="array" aca="1" ref="N5" ca="1">_xll.FDSRC("-","DUMMY","ECON_EXPR_DATA('FDS_ECON["&amp;H5&amp;"]',"&amp;$N$3&amp;",,Q)")</f>
        <v>48.395470000000003</v>
      </c>
      <c r="O5" cm="1">
        <f t="array" aca="1" ref="O5" ca="1">_xll.FDSRC("-","DUMMY","ECON_EXPR_DATA('FDS_ECON["&amp;H5&amp;"]',"&amp;$O$3&amp;",,Q)")</f>
        <v>47.862293000000001</v>
      </c>
      <c r="P5">
        <f t="shared" ca="1" si="0"/>
        <v>0.53317700000000201</v>
      </c>
      <c r="Q5" cm="1">
        <f t="array" ref="Q5">_xlfn.PERCENTRANK.EXC(_xlfn._xlws.FILTER(M$4:M$16, ISNUMBER(M$4:M$16)),M5)*100</f>
        <v>50</v>
      </c>
      <c r="R5" cm="1">
        <f t="array" aca="1" ref="R5" ca="1">_xlfn.PERCENTRANK.EXC(_xlfn._xlws.FILTER(P$4:P$16, ISNUMBER(P$4:P$16)),P5)*100</f>
        <v>14.2</v>
      </c>
      <c r="S5">
        <f ca="1">Q5*Assumption!$E$27 + R5*Assumption!$F$27</f>
        <v>35.68</v>
      </c>
      <c r="T5" cm="1">
        <f t="array" aca="1" ref="T5" ca="1">_xlfn.PERCENTRANK.EXC(_xlfn._xlws.FILTER(S$4:S$16, ISNUMBER(S$4:S$16)),S5)*100</f>
        <v>21.4</v>
      </c>
    </row>
    <row r="6" spans="1:20" x14ac:dyDescent="0.35">
      <c r="A6" t="s">
        <v>49</v>
      </c>
      <c r="B6" t="s">
        <v>50</v>
      </c>
      <c r="C6" t="s">
        <v>49</v>
      </c>
      <c r="D6" t="s">
        <v>750</v>
      </c>
      <c r="E6">
        <v>53.7</v>
      </c>
      <c r="F6">
        <v>5.3</v>
      </c>
      <c r="G6" t="s">
        <v>116</v>
      </c>
      <c r="H6" s="111" t="s">
        <v>752</v>
      </c>
      <c r="I6" s="112" t="s">
        <v>598</v>
      </c>
      <c r="J6" s="113" t="str" cm="1">
        <f t="array" ref="J6">_xll.FDS(K6,"FG_COMPANY_NAME")</f>
        <v>iShares MSCI Canada ETF</v>
      </c>
      <c r="K6" s="113" t="s">
        <v>49</v>
      </c>
      <c r="L6" t="s">
        <v>750</v>
      </c>
      <c r="M6" cm="1">
        <f t="array" ref="M6">IF(_xll.FDSRC(,"DUMMY","ECON_EXPR_DATA('FDS_ECON["&amp;H6&amp;"]',,,M)")=0,$J$19,_xll.FDSRC(,"DUMMY","ECON_EXPR_DATA('FDS_ECON["&amp;H6&amp;"]',,,M)"))</f>
        <v>49.275509999999997</v>
      </c>
      <c r="N6" cm="1">
        <f t="array" aca="1" ref="N6" ca="1">_xll.FDSRC("-","DUMMY","ECON_EXPR_DATA('FDS_ECON["&amp;H6&amp;"]',"&amp;$N$3&amp;",,Q)")</f>
        <v>49.300910000000002</v>
      </c>
      <c r="O6" cm="1">
        <f t="array" aca="1" ref="O6" ca="1">_xll.FDSRC("-","DUMMY","ECON_EXPR_DATA('FDS_ECON["&amp;H6&amp;"]',"&amp;$O$3&amp;",,Q)")</f>
        <v>47.255585000000004</v>
      </c>
      <c r="P6">
        <f t="shared" ca="1" si="0"/>
        <v>2.0453249999999983</v>
      </c>
      <c r="Q6" cm="1">
        <f t="array" ref="Q6">_xlfn.PERCENTRANK.EXC(_xlfn._xlws.FILTER(M$4:M$16, ISNUMBER(M$4:M$16)),M6)*100</f>
        <v>42.8</v>
      </c>
      <c r="R6" cm="1">
        <f t="array" aca="1" ref="R6" ca="1">_xlfn.PERCENTRANK.EXC(_xlfn._xlws.FILTER(P$4:P$16, ISNUMBER(P$4:P$16)),P6)*100</f>
        <v>35.699999999999996</v>
      </c>
      <c r="S6">
        <f ca="1">Q6*Assumption!$E$27 + R6*Assumption!$F$27</f>
        <v>39.959999999999994</v>
      </c>
      <c r="T6" cm="1">
        <f t="array" aca="1" ref="T6" ca="1">_xlfn.PERCENTRANK.EXC(_xlfn._xlws.FILTER(S$4:S$16, ISNUMBER(S$4:S$16)),S6)*100</f>
        <v>28.499999999999996</v>
      </c>
    </row>
    <row r="7" spans="1:20" x14ac:dyDescent="0.35">
      <c r="A7" t="s">
        <v>11</v>
      </c>
      <c r="B7" t="s">
        <v>39</v>
      </c>
      <c r="C7" t="s">
        <v>11</v>
      </c>
      <c r="D7" t="s">
        <v>750</v>
      </c>
      <c r="E7">
        <v>54.2</v>
      </c>
      <c r="F7">
        <v>3.4</v>
      </c>
      <c r="G7" t="s">
        <v>102</v>
      </c>
      <c r="H7" s="111" t="s">
        <v>756</v>
      </c>
      <c r="I7" s="112" t="s">
        <v>625</v>
      </c>
      <c r="J7" s="113" t="str" cm="1">
        <f t="array" ref="J7">_xll.FDS(K7,"FG_COMPANY_NAME")</f>
        <v>iShares MSCI Germany ETF</v>
      </c>
      <c r="K7" s="113" t="s">
        <v>11</v>
      </c>
      <c r="L7" t="s">
        <v>750</v>
      </c>
      <c r="M7" cm="1">
        <f t="array" ref="M7">IF(_xll.FDSRC(,"DUMMY","ECON_EXPR_DATA('FDS_ECON["&amp;H7&amp;"]',,,M)")=0,$J$19,_xll.FDSRC(,"DUMMY","ECON_EXPR_DATA('FDS_ECON["&amp;H7&amp;"]',,,M)"))</f>
        <v>45.385258</v>
      </c>
      <c r="N7" cm="1">
        <f t="array" aca="1" ref="N7" ca="1">_xll.FDSRC("-","DUMMY","ECON_EXPR_DATA('FDS_ECON["&amp;H7&amp;"]',"&amp;$N$3&amp;",,Q)")</f>
        <v>43.319096000000002</v>
      </c>
      <c r="O7" cm="1">
        <f t="array" aca="1" ref="O7" ca="1">_xll.FDSRC("-","DUMMY","ECON_EXPR_DATA('FDS_ECON["&amp;H7&amp;"]',"&amp;$O$3&amp;",,Q)")</f>
        <v>42.238945000000001</v>
      </c>
      <c r="P7">
        <f t="shared" ca="1" si="0"/>
        <v>1.0801510000000007</v>
      </c>
      <c r="Q7" cm="1">
        <f t="array" ref="Q7">_xlfn.PERCENTRANK.EXC(_xlfn._xlws.FILTER(M$4:M$16, ISNUMBER(M$4:M$16)),M7)*100</f>
        <v>7.1</v>
      </c>
      <c r="R7" cm="1">
        <f t="array" aca="1" ref="R7" ca="1">_xlfn.PERCENTRANK.EXC(_xlfn._xlws.FILTER(P$4:P$16, ISNUMBER(P$4:P$16)),P7)*100</f>
        <v>28.499999999999996</v>
      </c>
      <c r="S7">
        <f ca="1">Q7*Assumption!$E$27 + R7*Assumption!$F$27</f>
        <v>15.659999999999998</v>
      </c>
      <c r="T7" cm="1">
        <f t="array" aca="1" ref="T7" ca="1">_xlfn.PERCENTRANK.EXC(_xlfn._xlws.FILTER(S$4:S$16, ISNUMBER(S$4:S$16)),S7)*100</f>
        <v>7.1</v>
      </c>
    </row>
    <row r="8" spans="1:20" x14ac:dyDescent="0.35">
      <c r="A8" t="s">
        <v>46</v>
      </c>
      <c r="B8" t="s">
        <v>47</v>
      </c>
      <c r="C8" t="s">
        <v>46</v>
      </c>
      <c r="D8" t="s">
        <v>750</v>
      </c>
      <c r="E8">
        <v>52.9</v>
      </c>
      <c r="F8">
        <v>2.2000000000000002</v>
      </c>
      <c r="G8" t="s">
        <v>114</v>
      </c>
      <c r="H8" s="111" t="s">
        <v>754</v>
      </c>
      <c r="I8" s="112" t="s">
        <v>643</v>
      </c>
      <c r="J8" s="113" t="str" cm="1">
        <f t="array" ref="J8">_xll.FDS(K8,"FG_COMPANY_NAME")</f>
        <v>iShares MSCI Japan ETF</v>
      </c>
      <c r="K8" s="113" t="s">
        <v>46</v>
      </c>
      <c r="L8" t="s">
        <v>750</v>
      </c>
      <c r="M8" cm="1">
        <f t="array" ref="M8">IF(_xll.FDSRC(,"DUMMY","ECON_EXPR_DATA('FDS_ECON["&amp;H8&amp;"]',,,M)")=0,$J$19,_xll.FDSRC(,"DUMMY","ECON_EXPR_DATA('FDS_ECON["&amp;H8&amp;"]',,,M)"))</f>
        <v>50.359417000000001</v>
      </c>
      <c r="N8" cm="1">
        <f t="array" aca="1" ref="N8" ca="1">_xll.FDSRC("-","DUMMY","ECON_EXPR_DATA('FDS_ECON["&amp;H8&amp;"]',"&amp;$N$3&amp;",,Q)")</f>
        <v>47.808857000000003</v>
      </c>
      <c r="O8" cm="1">
        <f t="array" aca="1" ref="O8" ca="1">_xll.FDSRC("-","DUMMY","ECON_EXPR_DATA('FDS_ECON["&amp;H8&amp;"]',"&amp;$O$3&amp;",,Q)")</f>
        <v>48.318770000000001</v>
      </c>
      <c r="P8">
        <f t="shared" ca="1" si="0"/>
        <v>-0.5099129999999974</v>
      </c>
      <c r="Q8" cm="1">
        <f t="array" ref="Q8">_xlfn.PERCENTRANK.EXC(_xlfn._xlws.FILTER(M$4:M$16, ISNUMBER(M$4:M$16)),M8)*100</f>
        <v>64.2</v>
      </c>
      <c r="R8" cm="1">
        <f t="array" aca="1" ref="R8" ca="1">_xlfn.PERCENTRANK.EXC(_xlfn._xlws.FILTER(P$4:P$16, ISNUMBER(P$4:P$16)),P8)*100</f>
        <v>7.1</v>
      </c>
      <c r="S8">
        <f ca="1">Q8*Assumption!$E$27 + R8*Assumption!$F$27</f>
        <v>41.36</v>
      </c>
      <c r="T8" cm="1">
        <f t="array" aca="1" ref="T8" ca="1">_xlfn.PERCENTRANK.EXC(_xlfn._xlws.FILTER(S$4:S$16, ISNUMBER(S$4:S$16)),S8)*100</f>
        <v>35.699999999999996</v>
      </c>
    </row>
    <row r="9" spans="1:20" x14ac:dyDescent="0.35">
      <c r="A9" t="s">
        <v>42</v>
      </c>
      <c r="B9" t="s">
        <v>43</v>
      </c>
      <c r="C9" t="s">
        <v>42</v>
      </c>
      <c r="D9" t="s">
        <v>750</v>
      </c>
      <c r="E9">
        <v>53.7</v>
      </c>
      <c r="F9">
        <v>5.3</v>
      </c>
      <c r="G9" t="s">
        <v>110</v>
      </c>
      <c r="H9" s="111" t="s">
        <v>758</v>
      </c>
      <c r="I9" s="112" t="s">
        <v>706</v>
      </c>
      <c r="J9" s="113" t="str" cm="1">
        <f t="array" ref="J9">_xll.FDS(K9,"FG_COMPANY_NAME")</f>
        <v>iShares MSCI Switzerland ETF</v>
      </c>
      <c r="K9" s="113" t="s">
        <v>42</v>
      </c>
      <c r="L9" t="s">
        <v>750</v>
      </c>
      <c r="M9" cm="1">
        <f t="array" ref="M9">IF(_xll.FDSRC(,"DUMMY","ECON_EXPR_DATA('FDS_ECON["&amp;H9&amp;"]',,,M)")=0,$J$19,_xll.FDSRC(,"DUMMY","ECON_EXPR_DATA('FDS_ECON["&amp;H9&amp;"]',,,M)"))</f>
        <v>46.441544</v>
      </c>
      <c r="N9" cm="1">
        <f t="array" aca="1" ref="N9" ca="1">_xll.FDSRC("-","DUMMY","ECON_EXPR_DATA('FDS_ECON["&amp;H9&amp;"]',"&amp;$N$3&amp;",,Q)")</f>
        <v>44.08605</v>
      </c>
      <c r="O9" cm="1">
        <f t="array" aca="1" ref="O9" ca="1">_xll.FDSRC("-","DUMMY","ECON_EXPR_DATA('FDS_ECON["&amp;H9&amp;"]',"&amp;$O$3&amp;",,Q)")</f>
        <v>41.921543</v>
      </c>
      <c r="P9">
        <f t="shared" ca="1" si="0"/>
        <v>2.1645070000000004</v>
      </c>
      <c r="Q9" cm="1">
        <f t="array" ref="Q9">_xlfn.PERCENTRANK.EXC(_xlfn._xlws.FILTER(M$4:M$16, ISNUMBER(M$4:M$16)),M9)*100</f>
        <v>28.499999999999996</v>
      </c>
      <c r="R9" cm="1">
        <f t="array" aca="1" ref="R9" ca="1">_xlfn.PERCENTRANK.EXC(_xlfn._xlws.FILTER(P$4:P$16, ISNUMBER(P$4:P$16)),P9)*100</f>
        <v>42.8</v>
      </c>
      <c r="S9">
        <f ca="1">Q9*Assumption!$E$27 + R9*Assumption!$F$27</f>
        <v>34.22</v>
      </c>
      <c r="T9" cm="1">
        <f t="array" aca="1" ref="T9" ca="1">_xlfn.PERCENTRANK.EXC(_xlfn._xlws.FILTER(S$4:S$16, ISNUMBER(S$4:S$16)),S9)*100</f>
        <v>14.2</v>
      </c>
    </row>
    <row r="10" spans="1:20" x14ac:dyDescent="0.35">
      <c r="A10" t="s">
        <v>48</v>
      </c>
      <c r="B10" t="s">
        <v>447</v>
      </c>
      <c r="C10" t="s">
        <v>48</v>
      </c>
      <c r="D10" t="s">
        <v>750</v>
      </c>
      <c r="E10">
        <v>54.9</v>
      </c>
      <c r="F10">
        <v>6.4</v>
      </c>
      <c r="G10" t="s">
        <v>115</v>
      </c>
      <c r="H10" s="111" t="s">
        <v>757</v>
      </c>
      <c r="I10" s="112" t="s">
        <v>447</v>
      </c>
      <c r="J10" s="113" t="str" cm="1">
        <f t="array" ref="J10">_xll.FDS(K10,"FG_COMPANY_NAME")</f>
        <v>iShares MSCI United Kingdom ETF</v>
      </c>
      <c r="K10" s="113" t="s">
        <v>48</v>
      </c>
      <c r="L10" t="s">
        <v>750</v>
      </c>
      <c r="M10" cm="1">
        <f t="array" ref="M10">IF(_xll.FDSRC(,"DUMMY","ECON_EXPR_DATA('FDS_ECON["&amp;H10&amp;"]',,,M)")=0,$J$19,_xll.FDSRC(,"DUMMY","ECON_EXPR_DATA('FDS_ECON["&amp;H10&amp;"]',,,M)"))</f>
        <v>51.211129999999997</v>
      </c>
      <c r="N10" cm="1">
        <f t="array" aca="1" ref="N10" ca="1">_xll.FDSRC("-","DUMMY","ECON_EXPR_DATA('FDS_ECON["&amp;H10&amp;"]',"&amp;$N$3&amp;",,Q)")</f>
        <v>48.247959999999999</v>
      </c>
      <c r="O10" cm="1">
        <f t="array" aca="1" ref="O10" ca="1">_xll.FDSRC("-","DUMMY","ECON_EXPR_DATA('FDS_ECON["&amp;H10&amp;"]',"&amp;$O$3&amp;",,Q)")</f>
        <v>46.058700000000002</v>
      </c>
      <c r="P10">
        <f t="shared" ca="1" si="0"/>
        <v>2.1892599999999973</v>
      </c>
      <c r="Q10" cm="1">
        <f t="array" ref="Q10">_xlfn.PERCENTRANK.EXC(_xlfn._xlws.FILTER(M$4:M$16, ISNUMBER(M$4:M$16)),M10)*100</f>
        <v>71.399999999999991</v>
      </c>
      <c r="R10" cm="1">
        <f t="array" aca="1" ref="R10" ca="1">_xlfn.PERCENTRANK.EXC(_xlfn._xlws.FILTER(P$4:P$16, ISNUMBER(P$4:P$16)),P10)*100</f>
        <v>50</v>
      </c>
      <c r="S10">
        <f ca="1">Q10*Assumption!$E$27 + R10*Assumption!$F$27</f>
        <v>62.839999999999996</v>
      </c>
      <c r="T10" cm="1">
        <f t="array" aca="1" ref="T10" ca="1">_xlfn.PERCENTRANK.EXC(_xlfn._xlws.FILTER(S$4:S$16, ISNUMBER(S$4:S$16)),S10)*100</f>
        <v>71.399999999999991</v>
      </c>
    </row>
    <row r="11" spans="1:20" x14ac:dyDescent="0.35">
      <c r="A11" t="s">
        <v>51</v>
      </c>
      <c r="B11" t="s">
        <v>448</v>
      </c>
      <c r="C11" t="s">
        <v>51</v>
      </c>
      <c r="D11" t="s">
        <v>750</v>
      </c>
      <c r="E11">
        <v>53.4</v>
      </c>
      <c r="F11">
        <v>6.5</v>
      </c>
      <c r="G11" t="s">
        <v>119</v>
      </c>
      <c r="H11" s="111" t="s">
        <v>751</v>
      </c>
      <c r="I11" s="112" t="s">
        <v>763</v>
      </c>
      <c r="J11" s="113" t="str" cm="1">
        <f t="array" ref="J11">_xll.FDS(K11,"FG_COMPANY_NAME")</f>
        <v>Invesco QQQ Trust Series I</v>
      </c>
      <c r="K11" s="113" t="s">
        <v>51</v>
      </c>
      <c r="L11" t="s">
        <v>750</v>
      </c>
      <c r="M11" cm="1">
        <f t="array" ref="M11">IF(_xll.FDSRC(,"DUMMY","ECON_EXPR_DATA('FDS_ECON["&amp;H11&amp;"]',,,M)")=0,$J$19,_xll.FDSRC(,"DUMMY","ECON_EXPR_DATA('FDS_ECON["&amp;H11&amp;"]',,,M)"))</f>
        <v>51.294792000000001</v>
      </c>
      <c r="N11" cm="1">
        <f t="array" aca="1" ref="N11" ca="1">_xll.FDSRC("-","DUMMY","ECON_EXPR_DATA('FDS_ECON["&amp;H11&amp;"]',"&amp;$N$3&amp;",,Q)")</f>
        <v>51.582687</v>
      </c>
      <c r="O11" cm="1">
        <f t="array" aca="1" ref="O11" ca="1">_xll.FDSRC("-","DUMMY","ECON_EXPR_DATA('FDS_ECON["&amp;H11&amp;"]',"&amp;$O$3&amp;",,Q)")</f>
        <v>49.098827</v>
      </c>
      <c r="P11">
        <f t="shared" ca="1" si="0"/>
        <v>2.48386</v>
      </c>
      <c r="Q11" cm="1">
        <f t="array" ref="Q11">_xlfn.PERCENTRANK.EXC(_xlfn._xlws.FILTER(M$4:M$16, ISNUMBER(M$4:M$16)),M11)*100</f>
        <v>78.5</v>
      </c>
      <c r="R11" cm="1">
        <f t="array" aca="1" ref="R11" ca="1">_xlfn.PERCENTRANK.EXC(_xlfn._xlws.FILTER(P$4:P$16, ISNUMBER(P$4:P$16)),P11)*100</f>
        <v>57.099999999999994</v>
      </c>
      <c r="S11">
        <f ca="1">Q11*Assumption!$E$27 + R11*Assumption!$F$27</f>
        <v>69.94</v>
      </c>
      <c r="T11" cm="1">
        <f t="array" aca="1" ref="T11" ca="1">_xlfn.PERCENTRANK.EXC(_xlfn._xlws.FILTER(S$4:S$16, ISNUMBER(S$4:S$16)),S11)*100</f>
        <v>78.5</v>
      </c>
    </row>
    <row r="12" spans="1:20" x14ac:dyDescent="0.35">
      <c r="A12" t="s">
        <v>1</v>
      </c>
      <c r="B12" t="s">
        <v>1</v>
      </c>
      <c r="C12" t="s">
        <v>1</v>
      </c>
      <c r="D12" t="s">
        <v>750</v>
      </c>
      <c r="E12">
        <v>53.4</v>
      </c>
      <c r="F12">
        <v>6.5</v>
      </c>
      <c r="G12" t="s">
        <v>119</v>
      </c>
      <c r="H12" s="111" t="s">
        <v>751</v>
      </c>
      <c r="I12" s="112" t="s">
        <v>763</v>
      </c>
      <c r="J12" s="113" t="str" cm="1">
        <f t="array" ref="J12">_xll.FDS(K12,"FG_COMPANY_NAME")</f>
        <v>SPDR S&amp;P 500 ETF Trust</v>
      </c>
      <c r="K12" s="113" t="s">
        <v>1</v>
      </c>
      <c r="L12" t="s">
        <v>750</v>
      </c>
      <c r="M12" cm="1">
        <f t="array" ref="M12">IF(_xll.FDSRC(,"DUMMY","ECON_EXPR_DATA('FDS_ECON["&amp;H12&amp;"]',,,M)")=0,$J$19,_xll.FDSRC(,"DUMMY","ECON_EXPR_DATA('FDS_ECON["&amp;H12&amp;"]',,,M)"))</f>
        <v>51.294792000000001</v>
      </c>
      <c r="N12" cm="1">
        <f t="array" aca="1" ref="N12" ca="1">_xll.FDSRC("-","DUMMY","ECON_EXPR_DATA('FDS_ECON["&amp;H12&amp;"]',"&amp;$N$3&amp;",,Q)")</f>
        <v>51.582687</v>
      </c>
      <c r="O12" cm="1">
        <f t="array" aca="1" ref="O12" ca="1">_xll.FDSRC("-","DUMMY","ECON_EXPR_DATA('FDS_ECON["&amp;H12&amp;"]',"&amp;$O$3&amp;",,Q)")</f>
        <v>49.098827</v>
      </c>
      <c r="P12">
        <f t="shared" ca="1" si="0"/>
        <v>2.48386</v>
      </c>
      <c r="Q12" cm="1">
        <f t="array" ref="Q12">_xlfn.PERCENTRANK.EXC(_xlfn._xlws.FILTER(M$4:M$16, ISNUMBER(M$4:M$16)),M12)*100</f>
        <v>78.5</v>
      </c>
      <c r="R12" cm="1">
        <f t="array" aca="1" ref="R12" ca="1">_xlfn.PERCENTRANK.EXC(_xlfn._xlws.FILTER(P$4:P$16, ISNUMBER(P$4:P$16)),P12)*100</f>
        <v>57.099999999999994</v>
      </c>
      <c r="S12">
        <f ca="1">Q12*Assumption!$E$27 + R12*Assumption!$F$27</f>
        <v>69.94</v>
      </c>
      <c r="T12" cm="1">
        <f t="array" aca="1" ref="T12" ca="1">_xlfn.PERCENTRANK.EXC(_xlfn._xlws.FILTER(S$4:S$16, ISNUMBER(S$4:S$16)),S12)*100</f>
        <v>78.5</v>
      </c>
    </row>
    <row r="13" spans="1:20" x14ac:dyDescent="0.35">
      <c r="G13" t="s">
        <v>106</v>
      </c>
      <c r="H13" s="111" t="s">
        <v>883</v>
      </c>
      <c r="I13" t="s">
        <v>621</v>
      </c>
      <c r="J13" s="113" t="str" cm="1">
        <f t="array" ref="J13">_xll.FDS(K13,"FG_COMPANY_NAME")</f>
        <v>iShares MSCI France ETF</v>
      </c>
      <c r="K13" t="s">
        <v>865</v>
      </c>
      <c r="L13" t="s">
        <v>750</v>
      </c>
      <c r="M13" cm="1">
        <f t="array" ref="M13">IF(_xll.FDSRC(,"DUMMY","ECON_EXPR_DATA('FDS_ECON["&amp;H13&amp;"]',,,M)")=0,$J$19,_xll.FDSRC(,"DUMMY","ECON_EXPR_DATA('FDS_ECON["&amp;H13&amp;"]',,,M)"))</f>
        <v>46.413870000000003</v>
      </c>
      <c r="N13" cm="1">
        <f t="array" aca="1" ref="N13" ca="1">_xll.FDSRC("-","DUMMY","ECON_EXPR_DATA('FDS_ECON["&amp;H13&amp;"]',"&amp;$N$3&amp;",,Q)")</f>
        <v>45.498753000000001</v>
      </c>
      <c r="O13" cm="1">
        <f t="array" aca="1" ref="O13" ca="1">_xll.FDSRC("-","DUMMY","ECON_EXPR_DATA('FDS_ECON["&amp;H13&amp;"]',"&amp;$O$3&amp;",,Q)")</f>
        <v>42.573967000000003</v>
      </c>
      <c r="P13">
        <f t="shared" ref="P13:P16" ca="1" si="1">IFERROR(N13-O13,$M$20)</f>
        <v>2.9247859999999974</v>
      </c>
      <c r="Q13" cm="1">
        <f t="array" ref="Q13">_xlfn.PERCENTRANK.EXC(_xlfn._xlws.FILTER(M$4:M$16, ISNUMBER(M$4:M$16)),M13)*100</f>
        <v>21.4</v>
      </c>
      <c r="R13" cm="1">
        <f t="array" aca="1" ref="R13" ca="1">_xlfn.PERCENTRANK.EXC(_xlfn._xlws.FILTER(P$4:P$16, ISNUMBER(P$4:P$16)),P13)*100</f>
        <v>71.399999999999991</v>
      </c>
      <c r="S13">
        <f ca="1">Q13*Assumption!$E$27 + R13*Assumption!$F$27</f>
        <v>41.4</v>
      </c>
      <c r="T13" cm="1">
        <f t="array" aca="1" ref="T13" ca="1">_xlfn.PERCENTRANK.EXC(_xlfn._xlws.FILTER(S$4:S$16, ISNUMBER(S$4:S$16)),S13)*100</f>
        <v>42.8</v>
      </c>
    </row>
    <row r="14" spans="1:20" x14ac:dyDescent="0.35">
      <c r="G14" t="s">
        <v>875</v>
      </c>
      <c r="H14" s="111" t="s">
        <v>884</v>
      </c>
      <c r="I14" t="s">
        <v>673</v>
      </c>
      <c r="J14" s="113" t="str" cm="1">
        <f t="array" ref="J14">_xll.FDS(K14,"FG_COMPANY_NAME")</f>
        <v>iShares MSCI Netherlands ETF</v>
      </c>
      <c r="K14" t="s">
        <v>867</v>
      </c>
      <c r="L14" t="s">
        <v>750</v>
      </c>
      <c r="M14" cm="1">
        <f t="array" ref="M14">IF(_xll.FDSRC(,"DUMMY","ECON_EXPR_DATA('FDS_ECON["&amp;H14&amp;"]',,,M)")=0,$J$19,_xll.FDSRC(,"DUMMY","ECON_EXPR_DATA('FDS_ECON["&amp;H14&amp;"]',,,M)"))</f>
        <v>52.487343000000003</v>
      </c>
      <c r="N14" cm="1">
        <f t="array" aca="1" ref="N14" ca="1">_xll.FDSRC("-","DUMMY","ECON_EXPR_DATA('FDS_ECON["&amp;H14&amp;"]',"&amp;$N$3&amp;",,Q)")</f>
        <v>49.325873999999999</v>
      </c>
      <c r="O14" cm="1">
        <f t="array" aca="1" ref="O14" ca="1">_xll.FDSRC("-","DUMMY","ECON_EXPR_DATA('FDS_ECON["&amp;H14&amp;"]',"&amp;$O$3&amp;",,Q)")</f>
        <v>44.495136000000002</v>
      </c>
      <c r="P14">
        <f t="shared" ca="1" si="1"/>
        <v>4.8307379999999966</v>
      </c>
      <c r="Q14" cm="1">
        <f t="array" ref="Q14">_xlfn.PERCENTRANK.EXC(_xlfn._xlws.FILTER(M$4:M$16, ISNUMBER(M$4:M$16)),M14)*100</f>
        <v>92.800000000000011</v>
      </c>
      <c r="R14" cm="1">
        <f t="array" aca="1" ref="R14" ca="1">_xlfn.PERCENTRANK.EXC(_xlfn._xlws.FILTER(P$4:P$16, ISNUMBER(P$4:P$16)),P14)*100</f>
        <v>92.800000000000011</v>
      </c>
      <c r="S14">
        <f ca="1">Q14*Assumption!$E$27 + R14*Assumption!$F$27</f>
        <v>92.800000000000011</v>
      </c>
      <c r="T14" cm="1">
        <f t="array" aca="1" ref="T14" ca="1">_xlfn.PERCENTRANK.EXC(_xlfn._xlws.FILTER(S$4:S$16, ISNUMBER(S$4:S$16)),S14)*100</f>
        <v>92.800000000000011</v>
      </c>
    </row>
    <row r="15" spans="1:20" x14ac:dyDescent="0.35">
      <c r="G15" t="s">
        <v>272</v>
      </c>
      <c r="H15" s="111"/>
      <c r="I15" t="s">
        <v>705</v>
      </c>
      <c r="J15" s="113" t="str" cm="1">
        <f t="array" ref="J15">_xll.FDS(K15,"FG_COMPANY_NAME")</f>
        <v>iShares MSCI Sweden ETF</v>
      </c>
      <c r="K15" t="s">
        <v>864</v>
      </c>
      <c r="L15" t="s">
        <v>750</v>
      </c>
      <c r="M15" cm="1">
        <f t="array" ref="M15">IF(_xll.FDSRC(,"DUMMY","ECON_EXPR_DATA('FDS_ECON["&amp;H15&amp;"]',,,M)")=0,$J$19,_xll.FDSRC(,"DUMMY","ECON_EXPR_DATA('FDS_ECON["&amp;H15&amp;"]',,,M)"))</f>
        <v>49.999670000000002</v>
      </c>
      <c r="N15" t="str" cm="1">
        <f t="array" aca="1" ref="N15" ca="1">_xll.FDSRC("-","DUMMY","ECON_EXPR_DATA('FDS_ECON["&amp;H15&amp;"]',"&amp;$N$3&amp;",,Q)")</f>
        <v>-</v>
      </c>
      <c r="O15" t="str" cm="1">
        <f t="array" aca="1" ref="O15" ca="1">_xll.FDSRC("-","DUMMY","ECON_EXPR_DATA('FDS_ECON["&amp;H15&amp;"]',"&amp;$O$3&amp;",,Q)")</f>
        <v>-</v>
      </c>
      <c r="P15">
        <f t="shared" ca="1" si="1"/>
        <v>0.88645700000000005</v>
      </c>
      <c r="Q15" cm="1">
        <f t="array" ref="Q15">_xlfn.PERCENTRANK.EXC(_xlfn._xlws.FILTER(M$4:M$16, ISNUMBER(M$4:M$16)),M15)*100</f>
        <v>57.099999999999994</v>
      </c>
      <c r="R15" cm="1">
        <f t="array" aca="1" ref="R15" ca="1">_xlfn.PERCENTRANK.EXC(_xlfn._xlws.FILTER(P$4:P$16, ISNUMBER(P$4:P$16)),P15)*100</f>
        <v>21.4</v>
      </c>
      <c r="S15">
        <f ca="1">Q15*Assumption!$E$27 + R15*Assumption!$F$27</f>
        <v>42.82</v>
      </c>
      <c r="T15" cm="1">
        <f t="array" aca="1" ref="T15" ca="1">_xlfn.PERCENTRANK.EXC(_xlfn._xlws.FILTER(S$4:S$16, ISNUMBER(S$4:S$16)),S15)*100</f>
        <v>57.099999999999994</v>
      </c>
    </row>
    <row r="16" spans="1:20" x14ac:dyDescent="0.35">
      <c r="G16" t="s">
        <v>876</v>
      </c>
      <c r="H16" s="111" t="s">
        <v>885</v>
      </c>
      <c r="I16" t="s">
        <v>641</v>
      </c>
      <c r="J16" s="113" t="str" cm="1">
        <f t="array" ref="J16">_xll.FDS(K16,"FG_COMPANY_NAME")</f>
        <v>iShares MSCI Italy ETF</v>
      </c>
      <c r="K16" t="s">
        <v>866</v>
      </c>
      <c r="L16" t="s">
        <v>750</v>
      </c>
      <c r="M16" cm="1">
        <f t="array" ref="M16">IF(_xll.FDSRC(,"DUMMY","ECON_EXPR_DATA('FDS_ECON["&amp;H16&amp;"]',,,M)")=0,$J$19,_xll.FDSRC(,"DUMMY","ECON_EXPR_DATA('FDS_ECON["&amp;H16&amp;"]',,,M)"))</f>
        <v>45.618243999999997</v>
      </c>
      <c r="N16" cm="1">
        <f t="array" aca="1" ref="N16" ca="1">_xll.FDSRC("-","DUMMY","ECON_EXPR_DATA('FDS_ECON["&amp;H16&amp;"]',"&amp;$N$3&amp;",,Q)")</f>
        <v>49.208153000000003</v>
      </c>
      <c r="O16" cm="1">
        <f t="array" aca="1" ref="O16" ca="1">_xll.FDSRC("-","DUMMY","ECON_EXPR_DATA('FDS_ECON["&amp;H16&amp;"]',"&amp;$O$3&amp;",,Q)")</f>
        <v>44.859454999999997</v>
      </c>
      <c r="P16">
        <f t="shared" ca="1" si="1"/>
        <v>4.3486980000000059</v>
      </c>
      <c r="Q16" cm="1">
        <f t="array" ref="Q16">_xlfn.PERCENTRANK.EXC(_xlfn._xlws.FILTER(M$4:M$16, ISNUMBER(M$4:M$16)),M16)*100</f>
        <v>14.2</v>
      </c>
      <c r="R16" cm="1">
        <f t="array" aca="1" ref="R16" ca="1">_xlfn.PERCENTRANK.EXC(_xlfn._xlws.FILTER(P$4:P$16, ISNUMBER(P$4:P$16)),P16)*100</f>
        <v>85.7</v>
      </c>
      <c r="S16">
        <f ca="1">Q16*Assumption!$E$27 + R16*Assumption!$F$27</f>
        <v>42.8</v>
      </c>
      <c r="T16" cm="1">
        <f t="array" aca="1" ref="T16" ca="1">_xlfn.PERCENTRANK.EXC(_xlfn._xlws.FILTER(S$4:S$16, ISNUMBER(S$4:S$16)),S16)*100</f>
        <v>50</v>
      </c>
    </row>
    <row r="18" spans="8:13" x14ac:dyDescent="0.35">
      <c r="K18" t="str" cm="1">
        <f t="array" aca="1" ref="K18" ca="1">_xll.FDSRC("-","DUMMY","ECON_DATE("&amp;$L$1&amp;",,, 'MM/YYYY')")</f>
        <v>05/2024</v>
      </c>
      <c r="L18" t="str" cm="1">
        <f t="array" aca="1" ref="L18" ca="1">_xll.FDSRC("-","DUMMY","ECON_DATE("&amp;$L$2&amp;",,, 'MM/YYYY')")</f>
        <v>02/2024</v>
      </c>
      <c r="M18" t="s">
        <v>773</v>
      </c>
    </row>
    <row r="19" spans="8:13" x14ac:dyDescent="0.35">
      <c r="H19" s="111" t="s">
        <v>759</v>
      </c>
      <c r="I19" s="111" t="s">
        <v>760</v>
      </c>
      <c r="J19" cm="1">
        <f t="array" ref="J19">IF(_xll.FDSRC("-","DUMMY","ECON_EXPR_DATA('FDS_ECON["&amp;H19&amp;"]',,,M)") = "-",$K$19,_xll.FDSRC("-","DUMMY","ECON_EXPR_DATA('FDS_ECON["&amp;H19&amp;"]',,,M)"))</f>
        <v>49.999670000000002</v>
      </c>
      <c r="K19" cm="1">
        <f t="array" aca="1" ref="K19" ca="1">_xll.FDSRC("-","DUMMY","ECON_EXPR_DATA('FDS_ECON["&amp;H19&amp;"]',"&amp;$K$18&amp;",,Q)")</f>
        <v>49.135413999999997</v>
      </c>
      <c r="L19" cm="1">
        <f t="array" aca="1" ref="L19" ca="1">_xll.FDSRC("-","DUMMY","ECON_EXPR_DATA('FDS_ECON["&amp;H19&amp;"]',"&amp;$L$18&amp;",,Q)")</f>
        <v>47.377968000000003</v>
      </c>
      <c r="M19">
        <f ca="1">K19-L19</f>
        <v>1.7574459999999945</v>
      </c>
    </row>
    <row r="20" spans="8:13" x14ac:dyDescent="0.35">
      <c r="H20" s="111" t="s">
        <v>761</v>
      </c>
      <c r="I20" s="111" t="s">
        <v>762</v>
      </c>
      <c r="J20" cm="1">
        <f t="array" ref="J20">IF(_xll.FDSRC("-","DUMMY","ECON_EXPR_DATA('FDS_ECON["&amp;H20&amp;"]',,,M)") = "-",$K$20,_xll.FDSRC("-","DUMMY","ECON_EXPR_DATA('FDS_ECON["&amp;H20&amp;"]',,,M)"))</f>
        <v>51.967289999999998</v>
      </c>
      <c r="K20" cm="1">
        <f t="array" aca="1" ref="K20" ca="1">_xll.FDSRC("-","DUMMY","ECON_EXPR_DATA('FDS_ECON["&amp;H20&amp;"]',"&amp;$K$18&amp;",,Q)")</f>
        <v>51.510579999999997</v>
      </c>
      <c r="L20" cm="1">
        <f t="array" aca="1" ref="L20" ca="1">_xll.FDSRC("-","DUMMY","ECON_EXPR_DATA('FDS_ECON["&amp;H20&amp;"]',"&amp;$L$18&amp;",,Q)")</f>
        <v>50.624122999999997</v>
      </c>
      <c r="M20">
        <f ca="1">K20-L20</f>
        <v>0.88645700000000005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34B6-486A-4E0E-9818-F32B844CF5DC}">
  <dimension ref="A1:G17"/>
  <sheetViews>
    <sheetView workbookViewId="0">
      <selection activeCell="F21" sqref="F21"/>
    </sheetView>
  </sheetViews>
  <sheetFormatPr defaultRowHeight="14.5" x14ac:dyDescent="0.35"/>
  <cols>
    <col min="1" max="1" width="14.1796875" customWidth="1"/>
    <col min="2" max="2" width="34.453125" bestFit="1" customWidth="1"/>
    <col min="3" max="3" width="9.54296875" bestFit="1" customWidth="1"/>
    <col min="4" max="4" width="15.453125" customWidth="1"/>
    <col min="5" max="5" width="17.54296875" customWidth="1"/>
    <col min="6" max="6" width="19.453125" customWidth="1"/>
    <col min="7" max="7" width="18" customWidth="1"/>
  </cols>
  <sheetData>
    <row r="1" spans="1:7" x14ac:dyDescent="0.35">
      <c r="A1" t="s">
        <v>740</v>
      </c>
      <c r="B1" t="s">
        <v>519</v>
      </c>
      <c r="C1" t="s">
        <v>820</v>
      </c>
      <c r="D1" t="s">
        <v>846</v>
      </c>
      <c r="E1" t="s">
        <v>561</v>
      </c>
      <c r="F1" t="s">
        <v>847</v>
      </c>
      <c r="G1" t="s">
        <v>848</v>
      </c>
    </row>
    <row r="2" spans="1:7" x14ac:dyDescent="0.35">
      <c r="A2" t="s">
        <v>198</v>
      </c>
      <c r="B2" t="s">
        <v>446</v>
      </c>
      <c r="C2" t="s">
        <v>431</v>
      </c>
      <c r="D2" s="143" cm="1">
        <f t="array" ref="D2">_xll.FDS(C2,"FREF_MARKET_VALUE_COMPANY(0,,,USD,,0,,""LEGACY"")")</f>
        <v>85.174000000000007</v>
      </c>
      <c r="E2" t="s">
        <v>674</v>
      </c>
      <c r="F2" t="str">
        <f t="shared" ref="F2:F14" si="0">_xlfn.CONCAT("FC0000",RIGHT(A2,2))</f>
        <v>FC0000NZ</v>
      </c>
      <c r="G2" s="142" cm="1">
        <f t="array" ref="G2">_xll.FDSZ(F2,"FMA_MCAP(0,,,USD,""PORTAGG"")")</f>
        <v>93283.5</v>
      </c>
    </row>
    <row r="3" spans="1:7" x14ac:dyDescent="0.35">
      <c r="A3" t="s">
        <v>174</v>
      </c>
      <c r="B3" t="s">
        <v>45</v>
      </c>
      <c r="C3" t="s">
        <v>44</v>
      </c>
      <c r="D3" s="143" cm="1">
        <f t="array" ref="D3">_xll.FDS(C3,"FREF_MARKET_VALUE_COMPANY(0,,,USD,,0,,""LEGACY"")")</f>
        <v>1644.828</v>
      </c>
      <c r="E3" t="s">
        <v>576</v>
      </c>
      <c r="F3" t="str">
        <f t="shared" si="0"/>
        <v>FC0000AU</v>
      </c>
      <c r="G3" s="142" cm="1">
        <f t="array" ref="G3">_xll.FDSZ(F3,"FMA_MCAP(0,,,USD,""PORTAGG"")")</f>
        <v>1689419</v>
      </c>
    </row>
    <row r="4" spans="1:7" x14ac:dyDescent="0.35">
      <c r="A4" t="s">
        <v>157</v>
      </c>
      <c r="B4" t="s">
        <v>50</v>
      </c>
      <c r="C4" t="s">
        <v>49</v>
      </c>
      <c r="D4" s="143" cm="1">
        <f t="array" ref="D4">_xll.FDS(C4,"FREF_MARKET_VALUE_COMPANY(0,,,USD,,0,,""LEGACY"")")</f>
        <v>2411.94</v>
      </c>
      <c r="E4" t="s">
        <v>598</v>
      </c>
      <c r="F4" t="str">
        <f t="shared" si="0"/>
        <v>FC0000CA</v>
      </c>
      <c r="G4" s="142" cm="1">
        <f t="array" ref="G4">_xll.FDSZ(F4,"FMA_MCAP(0,,,USD,""PORTAGG"")")</f>
        <v>2660496.5</v>
      </c>
    </row>
    <row r="5" spans="1:7" s="1" customFormat="1" x14ac:dyDescent="0.35">
      <c r="A5" s="145" t="s">
        <v>555</v>
      </c>
      <c r="B5" s="145" t="s">
        <v>39</v>
      </c>
      <c r="C5" s="145" t="s">
        <v>11</v>
      </c>
      <c r="D5" s="143" cm="1">
        <f t="array" ref="D5">_xll.FDS(C5,"FREF_MARKET_VALUE_COMPANY(0,,,USD,,0,,""LEGACY"")")</f>
        <v>936.66600000000005</v>
      </c>
      <c r="E5" s="145" t="s">
        <v>625</v>
      </c>
      <c r="F5" s="145" t="str">
        <f t="shared" si="0"/>
        <v>FC0000DE</v>
      </c>
      <c r="G5" s="146" cm="1">
        <f t="array" ref="G5">_xll.FDSZ(F5,"FMA_MCAP(0,,,USD,""PORTAGG"")")</f>
        <v>2241649.5</v>
      </c>
    </row>
    <row r="6" spans="1:7" x14ac:dyDescent="0.35">
      <c r="A6" t="s">
        <v>164</v>
      </c>
      <c r="B6" t="s">
        <v>47</v>
      </c>
      <c r="C6" t="s">
        <v>46</v>
      </c>
      <c r="D6" s="143" cm="1">
        <f t="array" ref="D6">_xll.FDS(C6,"FREF_MARKET_VALUE_COMPANY(0,,,USD,,0,,""LEGACY"")")</f>
        <v>15612.375</v>
      </c>
      <c r="E6" t="s">
        <v>643</v>
      </c>
      <c r="F6" t="str">
        <f t="shared" si="0"/>
        <v>FC0000JP</v>
      </c>
      <c r="G6" s="142" cm="1">
        <f t="array" ref="G6">_xll.FDSZ(F6,"FMA_MCAP(0,,,USD,""PORTAGG"")")</f>
        <v>6325763.5</v>
      </c>
    </row>
    <row r="7" spans="1:7" x14ac:dyDescent="0.35">
      <c r="A7" t="s">
        <v>276</v>
      </c>
      <c r="B7" t="s">
        <v>43</v>
      </c>
      <c r="C7" t="s">
        <v>42</v>
      </c>
      <c r="D7" s="143" cm="1">
        <f t="array" ref="D7">_xll.FDS(C7,"FREF_MARKET_VALUE_COMPANY(0,,,USD,,0,,""LEGACY"")")</f>
        <v>1168.6812500000001</v>
      </c>
      <c r="E7" t="s">
        <v>706</v>
      </c>
      <c r="F7" t="str">
        <f t="shared" si="0"/>
        <v>FC0000CH</v>
      </c>
      <c r="G7" s="142" cm="1">
        <f t="array" ref="G7">_xll.FDSZ(F7,"FMA_MCAP(0,,,USD,""PORTAGG"")")</f>
        <v>2205332.7999999998</v>
      </c>
    </row>
    <row r="8" spans="1:7" x14ac:dyDescent="0.35">
      <c r="A8" t="s">
        <v>167</v>
      </c>
      <c r="B8" t="s">
        <v>447</v>
      </c>
      <c r="C8" t="s">
        <v>48</v>
      </c>
      <c r="D8" s="143" cm="1">
        <f t="array" ref="D8">_xll.FDS(C8,"FREF_MARKET_VALUE_COMPANY(0,,,USD,,0,,""LEGACY"")")</f>
        <v>2800.1819999999998</v>
      </c>
      <c r="E8" t="s">
        <v>719</v>
      </c>
      <c r="F8" t="str">
        <f t="shared" si="0"/>
        <v>FC0000GB</v>
      </c>
      <c r="G8" s="142" cm="1">
        <f t="array" ref="G8">_xll.FDSZ(F8,"FMA_MCAP(0,,,USD,""PORTAGG"")")</f>
        <v>3242559</v>
      </c>
    </row>
    <row r="9" spans="1:7" x14ac:dyDescent="0.35">
      <c r="A9" t="s">
        <v>170</v>
      </c>
      <c r="B9" t="s">
        <v>448</v>
      </c>
      <c r="C9" t="s">
        <v>51</v>
      </c>
      <c r="D9" s="143" cm="1">
        <f t="array" ref="D9">_xll.FDS(C9,"FREF_MARKET_VALUE_COMPANY(0,,,USD,,0,,""LEGACY"")")</f>
        <v>284983.21600000001</v>
      </c>
      <c r="E9" t="s">
        <v>720</v>
      </c>
      <c r="F9" t="str">
        <f t="shared" si="0"/>
        <v>FC0000US</v>
      </c>
      <c r="G9" s="142" cm="1">
        <f t="array" ref="G9">_xll.FDSZ(F9,"FMA_MCAP(0,,,USD,""PORTAGG"")")</f>
        <v>56151130</v>
      </c>
    </row>
    <row r="10" spans="1:7" x14ac:dyDescent="0.35">
      <c r="A10" t="s">
        <v>170</v>
      </c>
      <c r="B10" t="s">
        <v>1</v>
      </c>
      <c r="C10" t="s">
        <v>1</v>
      </c>
      <c r="D10" s="143" cm="1">
        <f t="array" ref="D10">_xll.FDS(C10,"FREF_MARKET_VALUE_COMPANY(0,,,USD,,0,,""LEGACY"")")</f>
        <v>536907.30014499999</v>
      </c>
      <c r="E10" t="s">
        <v>720</v>
      </c>
      <c r="F10" t="str">
        <f t="shared" si="0"/>
        <v>FC0000US</v>
      </c>
      <c r="G10" s="142" cm="1">
        <f t="array" ref="G10">_xll.FDSZ(F10,"FMA_MCAP(0,,,USD,""PORTAGG"")")</f>
        <v>56151130</v>
      </c>
    </row>
    <row r="11" spans="1:7" x14ac:dyDescent="0.35">
      <c r="A11" t="s">
        <v>869</v>
      </c>
      <c r="B11" t="s">
        <v>874</v>
      </c>
      <c r="C11" t="s">
        <v>865</v>
      </c>
      <c r="D11" s="143" cm="1">
        <f t="array" ref="D11">_xll.FDS(C11,"FREF_MARKET_VALUE_COMPANY(0,,,USD,,0,,""LEGACY"")")</f>
        <v>615.41</v>
      </c>
      <c r="E11" t="s">
        <v>621</v>
      </c>
      <c r="F11" t="str">
        <f t="shared" si="0"/>
        <v>FC0000FR</v>
      </c>
      <c r="G11" s="142" cm="1">
        <f t="array" ref="G11">_xll.FDSZ(F11,"FMA_MCAP(0,,,USD,""PORTAGG"")")</f>
        <v>3227415.8</v>
      </c>
    </row>
    <row r="12" spans="1:7" x14ac:dyDescent="0.35">
      <c r="A12" t="s">
        <v>870</v>
      </c>
      <c r="B12" t="s">
        <v>872</v>
      </c>
      <c r="C12" t="s">
        <v>867</v>
      </c>
      <c r="D12" s="143" cm="1">
        <f t="array" ref="D12">_xll.FDS(C12,"FREF_MARKET_VALUE_COMPANY(0,,,USD,,0,,""LEGACY"")")</f>
        <v>283.93799999999999</v>
      </c>
      <c r="E12" t="s">
        <v>673</v>
      </c>
      <c r="F12" t="str">
        <f t="shared" si="0"/>
        <v>FC0000NL</v>
      </c>
      <c r="G12" s="142" cm="1">
        <f t="array" ref="G12">_xll.FDSZ(F12,"FMA_MCAP(0,,,USD,""PORTAGG"")")</f>
        <v>1185687.1000000001</v>
      </c>
    </row>
    <row r="13" spans="1:7" x14ac:dyDescent="0.35">
      <c r="A13" t="s">
        <v>273</v>
      </c>
      <c r="B13" t="s">
        <v>873</v>
      </c>
      <c r="C13" t="s">
        <v>864</v>
      </c>
      <c r="D13" s="143" cm="1">
        <f t="array" ref="D13">_xll.FDS(C13,"FREF_MARKET_VALUE_COMPANY(0,,,USD,,0,,""LEGACY"")")</f>
        <v>384.1875</v>
      </c>
      <c r="E13" t="s">
        <v>705</v>
      </c>
      <c r="F13" t="str">
        <f t="shared" si="0"/>
        <v>FC0000SE</v>
      </c>
      <c r="G13" s="142" cm="1">
        <f t="array" ref="G13">_xll.FDSZ(F13,"FMA_MCAP(0,,,USD,""PORTAGG"")")</f>
        <v>1032775.25</v>
      </c>
    </row>
    <row r="14" spans="1:7" x14ac:dyDescent="0.35">
      <c r="A14" t="s">
        <v>868</v>
      </c>
      <c r="B14" t="s">
        <v>871</v>
      </c>
      <c r="C14" t="s">
        <v>866</v>
      </c>
      <c r="D14" s="143" cm="1">
        <f t="array" ref="D14">_xll.FDS(C14,"FREF_MARKET_VALUE_COMPANY(0,,,USD,,0,,""LEGACY"")")</f>
        <v>430.392</v>
      </c>
      <c r="E14" t="s">
        <v>641</v>
      </c>
      <c r="F14" t="str">
        <f t="shared" si="0"/>
        <v>FC0000IT</v>
      </c>
      <c r="G14" s="142" cm="1">
        <f t="array" ref="G14">_xll.FDSZ(F14,"FMA_MCAP(0,,,USD,""PORTAGG"")")</f>
        <v>863832.4</v>
      </c>
    </row>
    <row r="15" spans="1:7" x14ac:dyDescent="0.35">
      <c r="D15" s="143"/>
      <c r="G15" s="142"/>
    </row>
    <row r="17" spans="1:7" x14ac:dyDescent="0.35">
      <c r="A17" s="46" t="s">
        <v>366</v>
      </c>
      <c r="B17" s="46" t="str" cm="1">
        <f t="array" ref="B17">_xll.FDS(C17,"FG_COMPANY_NAME")</f>
        <v>Nasdaq South Africa</v>
      </c>
      <c r="C17" s="46" t="s">
        <v>852</v>
      </c>
      <c r="D17" s="149" cm="1">
        <f t="array" ref="D17">_xll.FDSZ(C17,"FMA_MCAP(0,,,USD,""PORTAGG"")")</f>
        <v>0</v>
      </c>
      <c r="E17" s="46" t="str" cm="1">
        <f t="array" ref="E17">_xll.FDS(A17,"FG_COMPANY_NAME")</f>
        <v>South Africa</v>
      </c>
      <c r="F17" s="46" t="str">
        <f>_xlfn.CONCAT("FC0000",RIGHT(A17,2))</f>
        <v>FC0000ZA</v>
      </c>
      <c r="G17" s="149" cm="1">
        <f t="array" ref="G17">_xll.FDS(F17,"FG_MCAP_IDX(0,,,USD)")</f>
        <v>305865.65999999997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8361178"><![CDATA[{"FC0000IT^FMA_MCAP(0,,,USD,\"PORTAGG\")":863832.4,"EWD^FREF_MARKET_VALUE_COMPANY(0,,,USD,,0,,\"LEGACY\")":384.1875,"EWN^FREF_MARKET_VALUE_COMPANY(0,,,USD,,0,,\"LEGACY\")":283.938,"FC0000NL^FMA_MCAP(0,,,USD,\"PORTAGG\")":1185687.1,"EWQ^FREF_MARKET_VALUE_COMPANY(0,,,USD,,0,,\"LEGACY\")":615.41,"FC0000FR^FMA_MCAP(0,,,USD,\"PORTAGG\")":3227415.8,"SPY^FREF_MARKET_VALUE_COMPANY(0,,,USD,,0,,\"LEGACY\")":536907.300145,"FC0000US^FMA_MCAP(0,,,USD,\"PORTAGG\")":56151130.0,"QQQ^FREF_MARKET_VALUE_COMPANY(0,,,USD,,0,,\"LEGACY\")":284983.216,"EWU^FREF_MARKET_VALUE_COMPANY(0,,,USD,,0,,\"LEGACY\")":2800.182,"FC0000GB^FMA_MCAP(0,,,USD,\"PORTAGG\")":3242559.0,"EWL^FREF_MARKET_VALUE_COMPANY(0,,,USD,,0,,\"LEGACY\")":1168.68125,"FC0000CH^FMA_MCAP(0,,,USD,\"PORTAGG\")":2205332.8,"EWJ^FREF_MARKET_VALUE_COMPANY(0,,,USD,,0,,\"LEGACY\")":15612.375,"FC0000JP^FMA_MCAP(0,,,USD,\"PORTAGG\")":6325763.5,"EWG^FREF_MARKET_VALUE_COMPANY(0,,,USD,,0,,\"LEGACY\")":936.666,"FC0000DE^FMA_MCAP(0,,,USD,\"PORTAGG\")":2241649.5,"EWC^FREF_MARKET_VALUE_COMPANY(0,,,USD,,0,,\"LEGACY\")":2411.94,"FC0000CA^FMA_MCAP(0,,,USD,\"PORTAGG\")":2660496.5,"EWA^FREF_MARKET_VALUE_COMPANY(0,,,USD,,0,,\"LEGACY\")":1644.828,"FC0000AU^FMA_MCAP(0,,,USD,\"PORTAGG\")":1689419.0,"ENZL^FREF_MARKET_VALUE_COMPANY(0,,,USD,,0,,\"LEGACY\")":85.174,"FC0000NZ^FMA_MCAP(0,,,USD,\"PORTAGG\")":93283.5,"NQG00809^FG_COMPANY_NAME":"Nasdaq South Africa","CC_ZA^FG_COMPANY_NAME":"South Africa","NQG00809^FMA_MCAP(0,,,USD,\"PORTAGG\")":null,"FC0000ZA^FG_MCAP_IDX(0,,,USD)":305865.66,"EWI^FREF_MARKET_VALUE_COMPANY(0,,,USD,,0,,\"LEGACY\")":430.392,"FC0000SE^FMA_MCAP(0,,,USD,\"PORTAGG\")":1032775.25,"DUMMY^ECON_EXPR_DATA('FDS_ECON[NTCPMIMFGSA@IT]',,,M)":45.618244,"DUMMY^ECON_EXPR_DATA('FDS_ECON[NTCPMIMFGSA@NL]',,,M)":52.487343,"DUMMY^ECON_EXPR_DATA('FDS_ECON[NTCPMIMFGMESA@US]',,,M)":51.294792,"DUMMY^ECON_EXPR_DATA('FDS_ECON[NTCPMIMFGSA@DE]',,,M)":45.385258,"DUMMY^ECON_EXPR_DATA('FDS_ECON[NTCPMIMFGSA@FR]',,,M)":46.41387,"DUMMY^ECON_EXPR_DATA('FDS_ECON[NTCPMIMFGSA@CA]',,,M)":49.27551,"DUMMY^ECON_EXPR_DATA('FDS_ECON[]',,,M)":null,"DUMMY^ECON_EXPR_DATA('FDS_ECON[NTCPMIMFGSA@JP]',,,M)":50.359417,"DUMMY^ECON_EXPR_DATA('FDS_ECON[NTCPMIMFGSA@GB]',,,M)":51.21113,"DUMMY^ECON_EXPR_DATA('FDS_ECON[NTCPMIMFGSA@AU]',,,M)":49.677513,"DUMMY^ECON_EXPR_DATA('FDS_ECON[NTCPMIMFGSA@CH]',,,M)":46.441544,"DUMMY^ECON_EXPR_DATA('FDS_ECON[NTCPMIMFGSA@NZ]',,,M)":47.15829,"CAGDPY@FR^EE_ACTUAL_ANNUAL(MED,+1)":-0.5,"CAGDPY@AU^EE_ACTUAL_ANNUAL(MED,+1)":0.5,"USDITL^FG_PRICE_CHANGE(0,-3AM)":1.5968084,"USDANG^FG_PRICE_CHANGE(0,-3AM)":0.0,"USDUSD^FG_PRICE_CHANGE(0,-3AM)":0.0,"USDGBP^FG_PRICE_CHANGE(0,-3AM)":0.2428174,"USDJPY^FG_PRICE_CHANGE(0,-3AM)":6.2134147,"USDCAD^FG_PRICE_CHANGE(0,-3AM)":2.1081567,"USDNZD^FG_PRICE_CHANGE(0,-3AM)":-0.21071434,"EWA^FMA_EPS(NTMA,-20AY,0,CY,,\"PORTAGG\",\"MEANR\")":[1.18421421757289,1.35622936034371,1.68223219538503,2.01218211762237,1.47822239950882,1.49861477471222,2.04832230944667,2.08841813329258,1.8915836506348,1.71909344341549,1.51920222936301,1.20321447580294,1.28201594869045,1.44580701527009,1.37894957605166,1.3179970851092,1.26256164176903,1.41909398824033,1.56850336770513,1.47892717787447],"ENZL^JULIAN(P_PRICE_RETURNS_PR('52W',2,-10AY,0,AM).DATES)":[41803,41831,41864,41894,41925,41956,41985,42017,42048,42076,42107,42137,42167,42198,42229,42258,42290,42321,42349,42382,42412,42440,42473,42503,42534,42564,42594,42626,42656,42685,42717,42748,42779,42807,42838,42867,42899,42929,42958,42991,43021,43052,43082,43112,43144,43172,43203,43231,43264,43294,43325,43356,43385,43417,43447,43476,43509,43537,43567,43598,43629,43658,43690,43721,43749,43782,43812,43843,43874,43903,43934,43964,43994,44025,44056,44085,44117,44148,44176,44209,44239,44267,44299,44329,44358,44390,44421,44452,44482,44512,44543,44574,44603,44631,44664,44694,44725,44755,44785,44817,44847,44876,44908,44939,44970,44998,45029,45058,45090,45120,45149,45182,45212,45243,45273,45303,45335,45364,45394,45425,45456],"EWD^FMA_DIV_YLD(NTMA,-10AY,0,AM,\"PORTAGG\",\"MEANR\")":[4.09985389996815,4.22063823734161,4.28214394595399,4.22047377924378,4.56260080491807,4.16228357135201,4.18745699090756,4.09742215021225,3.69143980802822,3.66961632479926,3.60594600581758,3.84205934751671,3.92024969248168,3.90823399309765,4.02325547566358,4.33107058101237,4.37108572528465,4.27171881297169,4.4659113915458,4.54567953184026,4.66418460022768,4.24082423501161,4.30097130259627,4.50342036797399,4.62569029146125,4.40254339221566,4.22174436836216,4.26856051791405,4.16408444816993,4.10678132346761,3.84623353603887,3.88572117946763,3.64903083104478,3.61795867453613,3.6684849386335,3.51828255882125,3.55662900617582,3.53089483725071,3.77350324160059,3.70109614481077,3.55888289875184,3.61498520144832,3.67180851933194,3.64644225551985,3.99647813972683,3.86847253562471,4.11540745083266,3.97680499455087,4.13072598484065,4.17081175416842,4.11529093907348,4.1084349096724,4.31993114086404,4.41733660498172,4.54311163316248,4.51309182651059,4.17178207536677,4.1663523168625,4.03031485292811,4.2853916999688,4.20889969772709,4.13440190746786,4.25412157813781,3.85356974806673,3.87484673789006,3.67109285905047,3.61881679811322,3.56256892085804,3.4127733106588,4.63963113655042,3.62388243993096,3.40256504106711,3.12958103079513,2.96218460839604,2.95912171889146,2.97242361494776,3.01357910794831,3.05028741200152,3.06491459569105,2.99471119729259,2.98512129371177,2.77384250084342,2.71591184318315,2.8679737348274,2.67979345871395,2.6400513460018,2.68963777876816,2.76632300251786,2.8718789436496,2.93344582869156,2.92328641520437,2.89900238022823,2.91111913172772,3.21557112211881,3.14770152426343,3.40054631029772,3.46761806538455,3.69874765893224,3.47544812426449,3.65492084502165,3.80272442074748,3.52731068899338,3.55266363043826,3.48879663161168,3.51363559112557,3.7148383130788,3.65221444713875,3.73459545083292,3.66437604507197,3.74857853016903,3.88842617300702,4.01140106445714,3.75715799967548,3.86385299855463,3.0402728899238,2.99345003143033,3.4074094148087,3.19316124423699,3.29871089887232,3.17831657974598,3.1921882517028],"EWQ^FMA_PE(NTMA,-10AY,0,AM,\"PORTAGG\",\"MEANR\")":[14.325964218381,13.5881141677996,13.184985571759,13.776792837184,12.6225269920366,13.1051617091704,13.2450955020514,13.9056732534632,15.8488584265041,16.4818424227142,17.1282990164354,16.0747234152909,15.7148232250822,15.7513433905636,15.4053657416402,14.1123860445249,14.4608796046594,14.9247815566812,14.2868704415095,14.0007754300274,13.0724355785714,14.6751205161635,14.6964433357284,14.1462465728977,13.6156681391833,13.8771557111246,14.2110563818159,13.7816653738024,13.6761631126654,13.6999609196774,14.4980509921594,14.7056745434906,14.3732596977268,14.5254822018695,14.7212955994013,15.4449960293393,14.9484104436737,14.8759186117676,14.3750450674355,14.8510035592725,15.1514289187621,14.8672540564453,15.0814802681243,15.2610205624904,14.1301914997781,14.4772354277013,14.4984968865028,14.8437202251711,14.3960029733676,14.1446834610285,13.8368594133899,13.5410445130212,12.7696063528263,12.7933953241201,12.3359016645472,12.2246420766778,13.0014843015607,13.5678126829475,13.9819519930681,13.3086308167253,13.5377375782483,14.0005031473928,13.5583367634257,14.2115092834687,14.2294376206063,14.7591186905188,14.7805671887177,14.9954381204471,15.191422536858,10.9983815765493,14.5164649865079,16.1130385603031,18.2989596874985,19.5775171372405,20.1144339982554,19.2720556953931,18.3363529221868,18.9086632261095,18.482260879385,18.0171261445072,17.8841413416659,18.4694012066389,18.2283463505734,17.5606551803666,17.9957746529484,17.2678232832737,16.9206085505731,16.1900519410193,15.4030270604815,15.9250982239416,15.5560726454874,15.6950119719554,14.6435495162003,13.00273296428,13.1559531090524,12.2353151259507,11.3999064408282,11.1475916230664,11.8433831406594,11.2440149649078,10.4194817672044,11.8858695831373,12.2703572119808,12.9479256564523,13.2452383801231,12.7713085159313,13.6134053139395,13.3698802715171,13.1690422207463,13.2609939690986,13.0827653065931,12.7273855796824,12.2258720459005,12.5023342450345,13.3127509923539,13.3585988219751,13.7715395342977,14.6941657614045,14.3724725025721,14.7610796292092,14.1059265451474],"QQQ^FMA_PE(LTMA,-10AY,0,AM,\"PORTAGG\",\"MEANR\")":[18.9082508072172,19.1398682903092,19.080516034954,19.3997030773728,18.4196737863617,19.9832516952939,19.935976692912,19.6948581086628,20.5031059244572,20.5977290581868,20.4830606194033,20.2456701689477,20.0988882694733,19.9924300686758,20.2127567783095,19.5311811452464,19.5009476420562,19.7947644689412,19.8636286828396,18.4753428958699,17.6074768266086,18.2664480602178,18.4842575100189,18.3073068622234,18.4798714881793,18.9586380728671,19.5557290844995,19.4329638450149,19.7996039645534,19.5979289954878,20.4279021010306,21.0330392307996,21.6336535375518,21.6957575410759,21.5288296751513,21.8417708303109,21.8902193211551,21.9252524378561,21.9412261552739,22.364455522542,22.6404777915012,22.9756600534365,23.3015673059791,24.7973158807691,23.2241735005895,24.1136973169082,23.5066934333558,23.3662295775586,23.3411929508164,23.3931313026631,23.08097692313,23.1816348697582,22.112471239717,20.6220856709921,20.0990550048242,19.5479829189366,20.6595451928311,20.9581380019141,21.2375851783933,21.0172599874858,21.2714683744589,22.0715741859966,21.8341181860624,22.2942348215395,22.3590161294615,23.4722786419345,24.5110099975939,26.3452477507587,27.1127152614491,23.529123029894,24.0507136251758,25.4915256609377,26.8460780978105,28.6196797954394,29.3057638387955,29.7589488952463,32.6182080275371,32.0005079239386,33.7056634565056,35.2153582931886,35.5964685538244,32.7438575839471,32.9298461392544,31.3590321965158,31.558010404828,32.0550256618222,31.3416059519543,31.4087447352996,30.1976960711856,31.9140198758575,31.4101241771063,30.1687091921699,26.9185130660352,26.3272997594652,26.5051271129833,25.3602704101215,24.0985691366147,24.1700211412357,26.4409387397847,24.2925026910743,22.6770726467963,23.9368884060968,23.6328856726995,23.9337093831897,26.044652426957,25.138263238552,25.6731992600113,25.738106672514,26.999074942906,27.7970428281559,26.3352865893327,26.6679449682456,26.3938528810756,26.9422211010256,28.7458451547726,29.7582531178066,30.4996780125067,31.0077711380649,30.6778728844164,30.5074272721143,30.4608546390619],"DDR3512M-FDS^FG_PRICE(0)":0.9549733,"PASP-FDS^FG_PRICE(0)":915.0,"PLATI-FDS^FG_PRICE(0)":965.0,"W-FDS^FG_PRICE(0)":6.2,"COPP-FDS^FG_PRICE(0)":4.5075,"FC0000US^FG_PRICE(0)":405.11874,"FC0000GR^FG_PRICE(0)":9.619458,"EWI^FG_PRICE(0)":36.32,"SPY^FG_PRICE(0)":542.45,"EWJ^FG_PRICE(0)":67.15,"ENZL^FG_PRICE(0)":46.04,"EWA^FG_COMPANY_NAME":"iShares MSCI Australia ETF","FXI^P_PRICE(0)/P_PRICE_LOW_PR(0,,,,,,\"PRICE\",\"INTRA\",\"52W\")-1":0.2651006,"SPY^FMA_PCT_ABOVE_MAVG(200,0,,,,\"PORTAGG\")":65.6686626746507,"URTH^PERCENT_CHANGE(FMA_EPS(+1,0,,,,\"PORTAGG\",\"MEAN\"),FMA_EPS(+1,-3AM,,,,\"PORTAGG\",\"MEAN\"))":1.56274410171236,"VGK^FG_TOTAL_RETURNC(0,-3AM)":2.1762967,"EWD^P_PRICE(0)/P_PRICE_HIGH_PR(0,,,,,,\"PRICE\",\"INTRA\",\"52W\")":0.96084404,"EWQ^FG_TOTAL_RETURNC(0,-12AM)":7.114589,"SPY^PERCENT_CHANGE(FMA_EPS(+1,0,,,,\"PORTAGG\",\"MEAN\"),FMA_EPS(+1,-1AM,,,,\"PORTAGG\",\"MEAN\"))":3.09295530104642,"EWU^FG_TOTAL_RETURNC(0,-1AM)":-1.0860205,"EWJ^FG_TOTAL_RETURNC(0,-6AM)":7.1791887,"EWC^P_PRICE(0)/P_PRICE_LOW_PR(0,,,,,,\"PRICE\",\"INTRA\",\"52W\")-1":0.16523397,"EWA^FMA_PCT_ABOVE_MAVG(200,0,,,,\"PORTAGG\")":61.0169491525424,"EWJ^SIZE(FG_CONSTITUENTS)":205,"DUMMY^ECON_EXPR_DATA('FDS_ECON[NTCPMIMFGSA@EME]',,,M)":51.96729,"EWD^FMA_ROE(NTMA,-20AY,NOW,FY,\"PORTAGG\",\"MEANR\")":[16.2261090864793,17.2247287220762,18.2100106841597,18.8871757625538,13.942889841066,10.3461745032911,15.8182159921786,15.7255547384444,14.800794930169,14.1943515647563,13.790896513923,13.0367586478869,12.3225531542011,13.8549633296522,13.3193557094803,13.4531336298968,11.9734316080377,15.4719420327405,14.7406058144791,15.368050598586],"^FG_YIELD(-10AY,0,Y,,\"YTM\")":[null,null,null,null,null,null,null,null,null,null],"TRYCA10Y-FDS^FG_YIELD(-10AY,0,Y,,\"YTM\")":[1.79,1.39,1.72,2.04,1.96,1.7,0.67,1.42,3.3,3.0987],"TRYDE10Y-FDS^FG_YIELD(-10AY,0,Y,,\"YTM\")":[0.5475,0.636,0.22,0.47,0.239,-0.189,-0.575,-0.181,2.534,2.004],"VGK^FG_TOTAL_RETURNC(0,-1AM)":-0.3769815,"EWD^FG_TOTAL_RETURNC(0,-6AM)":11.290037,"EWQ^P_PRICE(0)/P_PRICE_LOW_PR(0,,,,,,\"PRICE\",\"INTRA\",\"52W\")-1":0.1571598,"EWU^PERCENT_CHANGE(FMA_EPS(+1,0,,,,\"PORTAGG\",\"MEAN\"),FMA_EPS(+1,-3AM,,,,\"PORTAGG\",\"MEAN\"))":3.13974148765821,"EWJ^FG_TOTAL_RETURNC(0,-3AM)":-2.4767935,"EWC^P_PRICE(0)/P_PRICE_HIGH_PR(0,,,,,,\"PRICE\",\"INTRA\",\"52W\")":0.94427246,"ENZL^FG_TOTAL_RETURNC(0,-12AM)":-1.4807045,"EWJ^FMA_COS_DOWN(\"EPS\",\"1M\",+1,0,,,\"PORTAGG\",\"MEANR\")":86.0,"EWD^FMA_COS_UP(\"EPS\",\"1M\",+1,0,,,\"PORTAGG\",\"MEANR\")":14.0,"EWL^SIZE(FG_CONSTITUENTS)":47,"SPY^FG_ROE(0)":18.4226034329665,"EWC^FG_COMPANY_NAME":"iShares MSCI Canada ETF","REFEUREFI-FDS^PROPER_NAME(0,,,\"SECURITY\",\"NAME\")":"Eurozone Main Refinancing Operations Minimum Bid Rate","TRYUS10Y-FDS^FG_YIELD(0,,,,\"YTM\")":4.2389,"CAGDPY@FR^EE_ACTUAL_ANNUAL(MED,0)":-0.756817157305732,"CAGDPY@AU^EE_ACTUAL_ANNUAL(MED,0)":0.275776825503169,"USDITL^FG_PRICE_CHANGE(0,-1AM)":0.29706955,"USDANG^FG_PRICE_CHANGE(0,-1AM)":0.0,"USDUSD^FG_PRICE_CHANGE(0,-1AM)":0.0,"USDGBP^FG_PRICE_CHANGE(0,-1AM)":-1.597935,"USDJPY^FG_PRICE_CHANGE(0,-1AM)":0.63488483,"USDCAD^FG_PRICE_CHANGE(0,-1AM)":0.6217718,"USDNZD^FG_PRICE_CHANGE(0,-1AM)":-2.3502707,"ENZL^FMA_EPS(NTMA,-20AY,0,CY,,\"PORTAGG\",\"MEANR\")":[null,null,null,null,null,null,2.40890596176463,2.24117429803946,2.40285148565594,2.31210808961864,2.19492193820354,2.04943671601749,2.14962845087329,2.26706810161072,2.29721148308571,2.24732564412744,1.98522618259249,1.82093688879477,2.11037846476333,2.11106621771878],"EWI^FG_TOTAL_RETURNC(-10AY,0,AM)":[3.995359,-4.922688,-8.076012,4.392767,-11.324257,-1.605022,-2.5531948,-4.948032,11.333847,-1.3850391,5.266857,4.336226,-0.5754471,-0.7904589,3.100264,-4.7984657,1.0752678,-6.781912,-2.0684779,-6.3456774,-13.650549,14.272809,-4.2687774,-2.0644069,-4.384482,-0.6879747,3.0136943,-1.4184356,-3.0575573,2.4582624,9.280216,2.636814,-2.9735208,4.0302277,-0.121068954,12.727272,1.5412211,3.509295,2.569449,4.5362115,0.32383204,-1.2911558,1.013732,7.6804996,-4.0810227,2.23763,3.0826092,0.29904842,-8.527136,-1.8219113,-5.836177,1.7035127,-7.9116163,-2.9798806,0.9174347,1.8382788,2.3977995,4.491365,4.4452667,-5.803728,2.240467,8.052993,-8.324594,6.8676114,-0.67833066,5.5715322,-0.40858388,2.176559,0.87600946,-30.494326,1.3935685,-3.8862526,17.209076,4.6170354,6.7858577,-2.3592114,-2.5331259,9.116352,6.3393116,4.161334,3.1687856,2.1985173,1.4235973,0.90454817,5.4745436,-4.924357,5.897033,-3.5061836,-1.1603057,4.788387,-5.12439,5.9249997,-4.403448,-16.433239,8.752335,-7.1575346,-7.3857727,-5.418718,10.28645,-6.8870544,-7.0160627,24.363636,2.6166677,7.0860505,3.2748103,-4.8708735,8.969069,-1.2298942,0.49101114,7.9752564,-3.708166,-2.0037591,-3.9297104,4.3565035,7.966864,1.2914896,-1.3573289,11.426867,-3.4362376,6.5332174,-2.8719366],"EWN^FMA_DIV_YLD(NTMA,-10AY,0,AM,\"PORTAGG\",\"MEANR\")":[2.79833170280322,2.89347782002791,3.0845112351302,3.00312785407198,3.20828816233682,3.10822072014976,3.13475473373686,3.08024763038109,2.83180979558115,2.62806858070778,2.57837090140805,2.77502748139512,2.92179443853623,2.86995674841658,3.18245722471757,3.50502890783083,3.47596918449856,3.24652605435845,3.3703178124924,3.2660182797629,3.66522513263701,3.3070368016115,3.26365323805729,3.41557741930806,3.33182907553567,3.26623150309424,3.13896510352899,3.20777615163782,3.1650874905794,3.18868506839284,3.02233729015695,2.94438739934246,2.89558928975287,2.7757896523662,2.77082339462495,2.69470200247365,2.73121289886105,2.78000044550396,2.81879214633753,2.82399692913698,2.7549358622198,2.81365949594347,2.8071514857527,2.78955391180591,3.01338197897866,2.93477376992107,2.93074126161989,2.90794126440471,2.85811318328518,2.92914478460565,2.91583042677493,3.03987244995373,3.2226147030557,3.16349661887889,3.32300575835983,3.38437527772502,3.15939100848085,3.11106828175684,3.00134530181539,3.11890361846191,3.0545352068845,2.97536640737763,3.02191760981392,2.83797260293687,2.74741717089089,2.65891702582024,2.61646598492515,2.58368870456185,2.45989612176605,3.56941217342088,2.88763297570715,2.66043424243167,2.46502180877839,2.292501166308,2.32623010195805,2.32122518056387,2.24697470996654,2.18632035394661,2.07826912388842,1.9633845949084,1.88278995619088,2.02377356840099,1.92026132716326,2.02544664314679,1.97589729034351,1.99557089680133,1.94658494356893,1.85349180549905,1.98563022362514,1.84147942389919,1.9770197803366,1.98522992405944,2.21584445906126,2.45050247290314,2.3100917164353,2.55245121123474,2.75047177384402,3.42296936644953,3.05380147167044,3.67924870252977,3.13851504922575,2.70869262830335,2.60319243877857,2.5713686318426,2.55585561497803,2.7803734109418,2.67863453652182,2.72305297187372,2.63969023089845,2.65759761077405,2.77621023414872,2.99137516338207,3.04244131556991,2.8889221563746,2.70138114626897,2.71901916775392,2.50336500133965,2.57885189416403,2.55451560536782,2.48276214652229,2.43311096537863],"SPY^FMA_PE(NTMA,-10AY,0,AM,\"PORTAGG\",\"MEANR\")":[15.2208671061235,15.3433437721194,14.981043294154,15.1731429771878,14.2780380143617,15.6324000997892,15.4666051675582,15.885624421852,16.8655024277584,16.4715700397736,16.6636278052973,16.5537632078645,16.3842740921224,16.3552255029645,16.2451495023367,15.2817631966567,15.6620971195901,15.8518400680542,15.7300489831403,14.8820179378534,15.5099438140132,15.5167363536305,16.5004635460184,16.5226770167304,16.3787449536364,16.8877248607289,16.9893615444774,16.4159086120171,16.342573954939,16.5261030604819,17.1487678382057,16.9866013196807,17.4329022171593,17.676807467638,17.1920351489964,17.4302331447348,17.630996135763,17.5461980748764,17.3716829759511,17.6398012475247,17.9062776252455,17.920926271216,18.2583062374482,18.4026634406931,16.6843713365911,17.146570539825,16.3370571512776,16.4505081458464,16.5511528205218,16.5410134438428,16.4265040851223,16.755726813373,15.8733227670383,15.5495534024904,15.1323597510045,15.0726387797725,16.0264011439228,16.3198781338215,16.841229554086,16.100952402533,16.4421799284672,17.143858749979,16.6244410993786,16.9726645345148,16.7891810900059,17.4608348367435,17.8300929122335,18.4151052952686,18.9196439777945,15.4518513111389,17.8759605040879,20.110603179469,21.4402587735129,21.9350972234534,22.3722036318378,21.6520384594938,22.2112249164989,21.8795328712155,21.8321034056647,22.5048213011813,22.2725246233836,21.9021086802485,22.5232981937537,21.0182913825809,21.3215030144352,21.5451743021269,21.1247877807905,20.8862131271427,20.2505221010779,21.3661311387133,20.9724254046958,20.7296019810734,19.4146286063082,18.1868428978354,18.9679113539203,16.9880237787917,15.6511747170775,15.872328775565,18.0699305430277,16.5173332145028,15.5540464972203,17.3034950408957,17.3970866573715,17.4305504720552,18.2499532682089,16.9235600718091,18.2458447444756,17.9387731436317,18.7861799149026,19.3670008074261,18.9019037865603,18.6141089003067,17.9374506266959,18.2277311955346,19.2895447285692,19.9993831938924,20.523306285436,21.1964073938526,20.9420125616925,21.0078174953666,20.7559183470507],"EWU^FMA_PE(LTMA,-10AY,0,AM,\"PORTAGG\",\"MEANR\")":[14.3668182943823,14.2744493993483,14.1274773848745,14.1692022582628,13.4607811563717,13.9102167300975,13.2758443481195,13.5738203616608,14.6601635158196,15.1195627248523,15.4589224887731,15.6791866444035,15.6456275393428,15.6773190566652,15.6395442506655,15.018967059324,15.5822700623152,15.3701191934467,15.0845130535522,14.9850650050683,14.4445419127267,15.6255820413721,15.9463696069775,15.8312454919475,15.8097066250498,16.4440346130474,16.9476907494451,16.5931683218175,16.8507667869479,16.3174182826211,16.9739729780077,17.3701048915432,17.3722236028117,17.2659250612454,17.0231368797814,16.8844672209117,16.6377628813487,16.4599624765778,16.1329607142966,15.9772095972201,15.908369719248,15.2954664817511,15.2780976901192,15.7490795361722,14.3791795177215,13.9521102089314,13.9760879557659,14.1292551417902,13.9613793500304,13.837812378318,13.7507305135365,13.3534572186179,12.9027782632447,12.8376886860097,12.2722914883503,12.3033933231619,12.7856044415234,12.9332659971328,13.0231609895238,12.8342137292874,12.969532032999,13.1114565812661,12.7696314603571,13.1259521892408,13.120744372717,13.4166664357575,13.7872665510304,14.2100697964495,13.9563660322508,11.9796715863848,12.8421927669546,13.8985351543437,14.8368077344094,15.3869645293039,16.436026023793,16.7737634359504,17.119366161111,18.3007622295555,19.2835860663072,20.2181772161384,19.5026367307804,18.6633672789291,17.989822322843,17.4030407990062,16.9539767159684,16.1013042496385,15.2508189677149,14.3797653201857,13.8083449377289,13.2937801097009,12.518250410842,12.7574292941863,12.8897101201569,12.4077864211837,12.2406737374755,11.7572441368683,11.3481670502764,10.9441171638804,10.8233562063295,10.2555776753775,9.3909731587667,9.68732007620547,9.91913110200089,10.1921051359069,10.2318215353435,10.1856957747148,10.3975403065454,10.3489360835645,10.3298615140991,10.4289228778984,10.5418493104009,10.538243082409,10.5667134506574,10.5106935565787,10.9013483972056,11.2607118245469,11.0855572107772,11.4833190905329,11.5498416787897,11.763882069329,11.683677153033],"WL-FDS^MAX(FG_PRICE(0,-5AY))":763.4,"NI-FDS^MAX(FG_PRICE(0,-5AY))":48241.0,"CPALM-FDS^MAX(FG_PRICE(0,-5AY))":8163.0,"BRENT-FDS^MAX(FG_PRICE(0,-5AY))":140.85,"TIOS-FDS^MAX(FG_PRICE(0,-5AY))":219.77,"FC0000GB^FG_PRICE(0)":127.1915,"FC0000CA^FG_PRICE(0)":283.8682,"EWD^FG_PRICE_MAVG(0,,,,200)":37.287876,"QQQ^FG_PRICE_MAVG(0,,,,200)":410.40515,"EWG^FG_PRICE_MAVG(0,,,,200)":29.16815,"EWI^FG_COMPANY_NAME":"iShares MSCI Italy ETF","ENZL^FG_COMPANY_NAME":"iShares MSCI New Zealand ETF","FXI^P_PRICE(0)/P_PRICE_HIGH_PR(0,,,,,,\"PRICE\",\"INTRA\",\"52W\")":0.8641126,"EWJ^FG_TOTAL_RETURNC(0,-12AM)":8.022987,"URTH^PERCENT_CHANGE(FMA_EPS(+1,0,,,,\"PORTAGG\",\"MEAN\"),FMA_EPS(+1,-1AM,,,,\"PORTAGG\",\"MEAN\"))":1.94875945137319,"ENZL^FMA_COS_DOWN(\"EPS\",\"1M\",+1,0,,,\"PORTAGG\",\"MEANR\")":8.0,"EWD^FMA_RBICS_REV_CURRENT(30, LOC, \"PORTAGG\")":26.1566900370565,"TRYCH10Y-FDS^FG_YIELD_NAME":"Treasury - Switzerland Benchmark Bond 10Y","REFFFUND-FDS^FG_YIELD(NOW,,,0)":5.5,"TRYFR10Y-FDS^PCTCHG(FG_YIELD(0,,,,\"YTM\"),FG_YIELD(-3AM,,,,\"YTM\"))":13.732516,"TRYAU10Y-FDS^PCTCHG(FG_YIELD(0,,,,\"YTM\"),FG_YIELD(-3AM,,,,\"YTM\"))":4.305621,"DUMMY^ECON_EXPR_DATA('FDS_ECON[PMIDMMANHE]',,,M)":49.99967,"EWN^FMA_ROE(NTMA,-20AY,NOW,FY,\"PORTAGG\",\"MEANR\")":[20.5027022731768,18.4388432839057,17.2963282197402,16.6220124304454,13.9821831035128,13.3304023919735,14.6594809949092,13.0989988533626,12.0023835077373,12.1486145572934,12.2197829564797,12.4442703427853,11.8415876112609,13.007558022755,13.2228677711132,13.0917636337237,9.77856566503728,10.8991459518594,12.0158891532418,12.7459856653411],"TRYSA10Y-FDS^FG_YIELD(-10AY,0,Y,,\"YTM\")":[null,null,3.8912454,3.7299898,4.5715504,2.8775356,2.0844028,2.5113702,4.613973,4.608568],"TRYGB10Y-FDS^FG_YIELD(-10AY,0,Y,,\"YTM\")":[1.8155,2.0248,1.2817,1.2536,1.3339,0.822,0.197,0.966,3.662,3.534],"TRYKR10Y-FDS^FG_YIELD(-10AY,0,Y,,\"YTM\")":[2.6272,2.0852,2.0916,2.4797,1.9804,1.6728,1.7238,2.2417,3.6906,3.1928],"FXI^FG_TOTAL_RETURNC(0,-6AM)":13.852083,"EWJ^P_PRICE(0)/P_PRICE_LOW_PR(0,,,,,,\"PRICE\",\"INTRA\",\"52W\")-1":0.17395103,"EWD^FG_TOTAL_RETURNC(0,-3AM)":0.5076647,"QQQ^FG_TOTAL_RETURNC(0,-12AM)":32.107353,"EWU^PERCENT_CHANGE(FMA_EPS(+1,0,,,,\"PORTAGG\",\"MEAN\"),FMA_EPS(+1,-1AM,,,,\"PORTAGG\",\"MEAN\"))":2.27408724344345,"EWJ^FG_TOTAL_RETURNC(0,-1AM)":-0.04159212,"EWC^FG_TOTAL_RETURNC(0,-6AM)":4.6380043,"ENZL^FMA_COS_UP(\"EPS\",\"1M\",+1,0,,,\"PORTAGG\",\"MEANR\")":5.0,"QQQ^FG_ROE(0)":22.6944366928874,"REFCATARG-FDS^(SUBARRAY(NOT_NA(NO_REPEAT_F(FG_YIELD(NOW,-10AY,D))),0,1)-SUBARRAY(NOT_NA(NO_REPEAT_F(FG_YIELD(NOW,-10AY,D))),1,1))*100":-25.0,"TRYFR10Y-FDS^PCTCHG(FG_YIELD(0,,,,\"YTM\"),FG_YIELD(-1AM,,,,\"YTM\"))":6.4786787,"TRYAU10Y-FDS^PCTCHG(FG_YIELD(0,,,,\"YTM\"),FG_YIELD(-1AM,,,,\"YTM\"))":-3.1654363,"TRYUS10Y-FDS^FG_YIELD_NAME":"US Benchmark Bond - 10 Year","CC_SE^IMF_IFS_RCPI_Q(0)":4.6701536,"VWO^FG_PE_NTM(0,,,90,0)":12.7485222048707,"EWI^JULIAN(FMA_DIV_YLD(NTMA,NOW,NOW,M,\"PORTAGG\",\"MEANR\").DATES)":45443,"EWQ^FMA_EVAL_EBITDA(NTMA,0,,,\"PORTAGG\",\"MEANR\")":9.26534941278307,"QQQ^FMA_DIV_YLD(NTMA,NOW,NOW,M,\"PORTAGG\",\"MEANR\")":0.896391194420397,"EWL^FMA_PE(LTM,0,,,\"PORTAGG\",\"MEANR\")":16.6539351111273,"ENZL^FG_FCF_YIELD_NTM(0)":-0.166434628393187,"QQQ^FG_TOTAL_RETURNC(0,-3AM)":8.425867,"FXI^FG_TOTAL_RETURNC(0,-3AM)":7.445395,"CAGDPY@US^EE_ACTUAL_ANNUAL(MED,+1)":-3.0,"CAGDPY@NZ^EE_ACTUAL_ANNUAL(MED,+1)":-5.6,"USDITL^FG_PRICE_CHANGE(0,-1AY)":0.28779507,"USDANG^FG_PRICE_CHANGE(0,-1AY)":0.0,"USDUSD^FG_PRICE_CHANGE(0,-1AY)":0.0,"USDGBP^FG_PRICE_CHANGE(0,-1AY)":-1.2650311,"USDJPY^FG_PRICE_CHANGE(0,-1AY)":12.2375965,"USDCAD^FG_PRICE_CHANGE(0,-1AY)":3.47538,"USDNZD^FG_PRICE_CHANGE(0,-1AY)":-0.17829537,"EWA^JULIAN(FMA_EPS(NTMA,-20AY,0,CY,,\"PORTAGG\",\"MEANR\").DATES)":[38352,38716,39080,39447,39813,40178,40543,40907,41274,41639,42004,42369,42734,43098,43465,43830,44196,44561,44925,45289],"EWD^FG_TOTAL_RETURNC(-10AY,0,AM)":[-0.701195,-4.009211,-1.367873,-1.7999411,-7.99278,7.1848392,-1.9805014,-3.774768,9.079075,-1.8794775,1.6722441,1.7344594,1.5873075,-2.592039,-1.2300193,-3.268987,-1.1586785,-5.0146523,-3.0167937,-4.3336926,-2.2559166,11.350739,3.0580997,-5.802834,-1.4700711,1.9648314,4.599774,-1.0387778,-1.6445041,-2.1344721,5.597961,1.6352296,3.7262917,1.8288732,-0.06414652,8.472395,1.6272187,4.206431,-3.4285724,3.8165689,2.6218295,-3.5823286,-1.6417027,6.235862,-5.874157,1.0056257,-3.6017656,3.9185882,-1.9877255,-3.86163,0.64935684,2.870965,-4.954529,-3.3322334,-1.9453943,1.4528394,2.7463078,0.4677534,7.349515,-7.4659166,3.0800104,3.3691406,-7.7821016,7.0675135,-2.8571427,7.7755213,4.203272,0.6744027,2.633977,-23.539824,1.1188269,2.0221353,13.01421,8.21476,9.815955,-0.8100569,1.8586278,5.8888674,3.1853795,5.311656,3.727901,5.344224,4.275584,0.3186822,4.4090867,-1.3491094,3.0296683,-2.6138484,-3.187251,5.414772,-5.7035327,3.134942,-10.873824,-12.004889,7.5298667,-10.49096,-4.382926,-5.0947485,10.736502,-10.434532,-8.811879,23.488962,2.0455003,2.1663785,1.2157202,-6.508374,8.75411,-1.0164917,0.0,2.331388,-7.648492,-4.8164425,2.715218,-0.600785,15.865814,0.9727359,-2.329266,12.2764225,-6.517017,5.0865054,2.3103833],"EWQ^FMA_DIV_YLD(NTMA,-10AY,0,AM,\"PORTAGG\",\"MEANR\")":[3.38170060164439,3.53094993660286,3.6638380977773,3.50817932606881,3.84433321060912,3.7310518427735,3.77124410594999,3.62429152095257,3.23508532695014,3.20569973465628,3.08087605254262,3.2995190347834,3.36378958681836,3.32316337622495,3.3662125496247,3.69712942805825,3.60405265488104,3.50314760571842,3.66685130327929,3.81818292539712,4.12483905729615,3.69147797520485,3.68878641504818,3.81422781927042,3.92404272402895,3.82127231781463,3.68360356948952,3.76549096008301,3.78792169050569,3.73859146001,3.50505060473783,3.42321925511695,3.46844751711358,3.42357634490259,3.39030113551082,3.19646113125766,3.28860112804737,3.32610698236387,3.4446711197802,3.34631508289784,3.29175786120145,3.33339606026533,3.26898654025027,3.21265992845555,3.48092764840834,3.40154651398449,3.38687472864202,3.28066449848566,3.37093797843676,3.394472954806,3.44945375487997,3.50783911761596,3.70639423314567,3.71240430054304,3.87081076432062,3.95068378533836,3.76663275108575,3.61382259412216,3.50679918678585,3.68126376717465,3.6193756173443,3.5184357746829,3.66817948368943,3.48883304338569,3.50187539976796,3.37693399513679,3.3788319656751,3.32577447343189,3.28829120646146,4.76490030796165,3.95072043862483,3.64217718608403,3.22340179309283,3.07411386173699,3.07638819296571,3.11640589954594,3.19381224873052,2.96640418300514,2.94201646074577,2.90536427440596,2.8844599957975,2.7377327704454,2.71085718961961,2.73912752024867,2.64213019261365,2.69641487398363,2.66960781853893,2.77455544501451,2.86617533495362,2.72800505611113,2.78956507222819,2.74399718318566,2.89460584986674,3.29293793487384,3.14669771537806,3.26921457727609,3.47514740107148,3.50714549767892,3.2522523045064,3.45940689595159,3.71700936973085,3.32180000621021,3.24730765671345,3.11816040060207,3.13349345295458,3.29502021527713,3.1111162873439,3.18818136267546,3.25327183288318,3.24928523373059,3.30006984019525,3.37627468869245,3.49345735261531,3.44509541995809,3.24978657987027,3.25393664943362,3.20913362609912,3.04955985201435,3.13186292110701,3.05277390552014,3.2139834631317],"QQQ^FMA_PE(NTMA,-10AY,0,AM,\"PORTAGG\",\"MEANR\")":[17.2196500379218,17.6110670683091,17.3955996615078,17.6767686852003,16.3074506516635,17.9225001710234,17.5899395414054,17.0657632508197,17.9161326809444,17.5774806600673,17.9379311578918,17.7728481633322,17.7599237226918,17.7941835139865,18.3078405530031,17.422084545231,17.4995392611174,18.0491442946264,18.1011851659073,16.7898703019994,16.2335874734538,17.4343936503334,18.1050675593301,17.3670650173386,17.5625102769885,18.179330206648,18.8250707244361,18.22417446631,18.3058316609082,17.9364907802065,18.4187156170418,18.7052007770418,19.8450870296071,20.1362394214583,19.7520475929053,20.7111332124772,20.6464719917724,20.4934537399556,20.349037668167,20.6519108608126,20.6459027679879,20.8573350816465,20.8553254562749,21.7719607257055,20.0598591103314,21.2827991924805,19.832218086232,20.196240228418,20.6421737237916,20.9741453050148,20.5472759761547,20.7562948546556,19.5348109136791,18.4733344647458,18.2971472014544,18.1372047182048,19.4076503447229,20.0494115671558,20.9504580309277,19.9797631366338,20.3124871043834,21.4580699956696,20.6555406268131,20.8971302320021,20.6079454175599,21.5284363289257,22.1199045288424,23.4965987201614,24.2848169870799,20.3392333778782,22.5598723615289,25.7828912023658,27.4277932948509,29.3517280810758,29.3281042506334,28.6459694217191,30.6711573942244,29.1890780655368,29.6192077554355,30.0544414031218,30.3313841706796,27.7459490459471,29.6852069115507,26.0424259412394,27.400508478962,28.7856698290403,28.0002626448063,28.2136796929443,26.9293135263548,29.3974665714559,28.7203885935108,27.5536480216763,25.076205103321,23.0478843996981,24.4561222769761,21.4935467710649,19.4190592713663,20.3408663662348,24.1950769118847,21.3073044434312,19.7200943166488,22.0148633063543,21.9703436856387,22.0460347150199,24.1668351051234,22.7678113615425,24.8145064077967,24.5950426296875,26.700592966979,27.2822370377403,24.4462687531717,24.2850226553076,23.5012096787415,23.8822589190878,24.996970090285,25.8542191320774,26.7625787777411,27.1588433842241,26.7573180334082,26.76555591929,26.8396717940978],"EWL^FMA_PE(LTMA,-10AY,0,AM,\"PORTAGG\",\"MEANR\")":[17.185362217148,17.0572744019681,17.0873147969289,17.3949110072358,16.5734707300512,17.5449392453303,17.1279019254896,17.4900681250986,17.3349180242138,17.9792582948901,18.1879612229442,18.0094561467898,17.9499873531111,18.0639990407606,17.9666700005711,17.304875112429,17.353144756734,17.3100798028196,17.009780886121,16.5715762965619,16.1151152552656,16.6658410291933,16.7665125743963,16.8396802499462,16.8339254756181,17.31300771791,17.9483342957115,17.9040791104128,17.7388792354625,17.6093166174343,18.0481232347527,18.7173341123518,18.6882514527018,19.6328125992848,19.4216073651036,19.5670433299075,19.4481267391281,19.3941628502066,19.1066122872748,19.2830693926488,19.8352477782488,20.1085957094591,20.5638088865557,21.0736052692754,20.1363036511826,21.022013459154,20.5095504297549,20.2243768769774,19.5644091940286,19.3212938870117,18.9360644922415,18.6453352674483,17.6443748157601,17.816780595905,17.1800605200127,16.970166277382,17.7107505487419,18.2933620707766,18.2895294226761,18.0170626429843,18.2912807629713,18.2455741632582,18.2142467934843,18.46555732748,18.4238054997665,18.860834927958,19.1787937502588,19.6051311240488,19.9987161093825,17.4910328649663,18.1239154677145,18.7559328357414,19.083678442177,19.9810938524605,20.4434991993425,20.8774630508209,21.1279796405468,21.1987925841711,21.0825476094379,22.02842805021,21.2469123004081,20.4640769373124,20.5734478809247,20.3697371402388,20.8677443041449,21.0334536184955,21.213066692147,20.7686549320484,20.3045195679541,21.0671234391185,21.0987971381865,21.026060453774,18.6843066457989,18.3477996915388,18.6539793626178,18.1588891094123,17.5666571297466,17.6690052402687,18.3716163503941,17.9490244262098,16.8783781091758,19.7506849150101,20.5630095901633,21.3842478550432,21.3356398556632,20.4643699610026,20.3923288557642,20.1950110571782,19.4891852905046,19.1961623244983,18.9493671581674,18.6494312180114,18.3420822320292,17.6006460339284,18.3522761896433,18.4583991509618,18.6739500230676,19.2456064999813,18.9382417795892,18.8752795942642,18.9179312645722],"WL-FDS^FG_PRICE(0)/MAX(FG_PRICE(0,-1AY))":0.743253864291328,"NI-FDS^FG_PRICE(0)/MAX(FG_PRICE(0,-1AY))":0.758426966292135,"CPALM-FDS^FG_PRICE(0)/MAX(FG_PRICE(0,-1AY))":0.859139550120114,"BRENT-FDS^FG_PRICE(0)/MAX(FG_PRICE(0,-1AY))":0.870614479821537,"TIOS-FDS^FG_PRICE(0)/MAX(FG_PRICE(0,-1AY))":0.743063263041066,"EWD^FG_PRICE_MAVG(0,,,,60)":40.368084,"QQQ^FG_PRICE_MAVG(0,,,,60)":444.02917,"EWG^FG_PRICE_MAVG(0,,,,60)":31.429167,"EWD^FG_COMPANY_NAME":"iShares MSCI Sweden ETF","URTH^FMA_PCT_ABOVE_MAVG(200,0,,,,\"PORTAGG\")":68.5353889278206,"VGK^PERCENT_CHANGE(FMA_EPS(+1,0,,,,\"PORTAGG\",\"MEAN\"),FMA_EPS(+1,-3AM,,,,\"PORTAGG\",\"MEAN\"))":-1.87116091588412,"EWQ^P_PRICE(0)/P_PRICE_HIGH_PR(0,,,,,,\"PRICE\",\"INTRA\",\"52W\")":0.9143193,"ENZL^P_PRICE(0)/P_PRICE_LOW_PR(0,,,,,,\"PRICE\",\"INTRA\",\"52W\")-1":0.122102976,"EWJ^FMA_COS_UP(\"EPS\",\"1M\",+1,0,,,\"PORTAGG\",\"MEANR\")":103.0,"EWN^SIZE(FG_CONSTITUENTS)":54,"EWL^FMA_COS_DOWN(\"EPS\",\"1M\",+1,0,,,\"PORTAGG\",\"MEANR\")":10.0,"EWN^FMA_RBICS_REV_CURRENT(30, LOC, \"PORTAGG\")":25.3332048466313,"TRYJP10Y-FDS^FG_YIELD_NAME":"Japan Benchmark Bond - 10 Year","REFFFUND-FDS^PROPER_NAME(0,,,\"SECURITY\",\"NAME\")":"US Federal Funds Target Rate","EWC^FMA_EVAL_EBIT(LTMA,NOW,NOW,M,\"PORTAGG\",\"MEANR\")":16.2526948234728,"EWQ^FG_COMPANY_NAME":"iShares MSCI France ETF","VWO^FG_TOTAL_RETURNC(0,-3AM)":4.025686,"EWD^FG_PRICE_MAVG(0,,,,30)":41.186,"QQQ^FG_PRICE_MAVG(0,,,,30)":452.97433,"EWG^FG_PRICE_MAVG(0,,,,30)":31.885334,"EWJ^P_PRICE(0)/P_PRICE_HIGH_PR(0,,,,,,\"PRICE\",\"INTRA\",\"52W\")":0.9317977,"EWQ^FMA_ROE(NTMA,-20AY,NOW,FY,\"PORTAGG\",\"MEANR\")":[15.3785109881273,16.6302131420813,15.4089673624266,15.0205314626708,11.8797489821456,10.9934091834566,12.0259375987481,10.8176655066299,10.4079638226552,10.3975296667646,9.87060023176551,9.82548245608185,9.88315391318072,10.4363064842242,11.3283895806005,10.9140096503084,8.94223448642103,12.2539555402015,13.1476341706846,13.2209624082426],"TRYID10Y-FDS^FG_YIELD(-10AY,0,Y,,\"YTM\")":[7.922017,8.942368,7.89735,6.462641,8.148183,7.263584,5.902206,6.458283,6.936579,6.498571],"TRY10Y-FDS^FG_YIELD(-10AY,0,Y,,\"YTM\")":[null,null,null,null,null,null,null,null,null,null],"TRYPL10Y-FDS^FG_YIELD(-10AY,0,Y,,\"YTM\")":[2.5048,2.9303,3.6245,3.292,2.8144,2.1086,1.235,3.6216,6.8411,5.1912],"CAGDPY@NZ^EE_ACTUAL_ANNUAL(MED,0)":-6.9,"USDGBP^FG_PRICE(0)":0.78330004,"EWN^FG_TOTAL_RETURNC(-10AY,0,AM)":[1.1262178,-3.0897975,-3.8740933,3.4005046,-7.9171715,5.687821,-0.37546754,-2.2210956,7.047701,0.5620241,3.5129786,2.738142,-1.0510445,0.87087154,-1.4840245,-6.7207394,0.49690008,-0.16481876,-2.6826262,-4.1640043,-3.294748,11.924494,1.8922329,-3.0278563,-1.3738573,0.20403862,5.1709414,-1.053232,-0.3318131,-2.0189524,2.0184994,2.7498603,1.9910574,5.976093,0.48872232,8.380091,1.6223669,1.3635159,3.0529141,2.5016427,2.3763657,-2.132994,1.6987085,4.084003,-4.263091,2.7353644,1.2383938,-1.8042803,0.4048586,-1.9986928,-1.6082346,-0.8980036,-6.5158486,0.38814545,-3.0579984,-1.2307525,6.6027284,2.3875475,4.8665166,-3.2871425,3.3655405,2.2627711,-2.260977,5.684066,-1.0944366,3.0667067,2.9447913,1.458013,1.9610763,-25.350689,5.346763,3.3836007,12.877977,7.512307,4.777348,-0.8724928,4.5428634,4.3997765,4.2924047,6.6083074,7.9108,-2.4363756,6.57748,-1.2133837,6.0343146,-2.3723364,5.518949,3.649485,-6.1382055,6.3390136,-8.110416,1.5454412,-8.664775,-14.419013,5.996883,-8.93951,-5.2031937,-2.6731849,13.5853405,-11.54446,-10.052908,23.36601,5.818641,5.6675076,0.6674528,-5.991,7.25441,-1.996249,3.7858963,5.3700686,-5.096388,-7.996738,-4.7582808,7.1676016,9.796119,-0.5688429,5.575943,6.389916,-1.5117526,5.247879,1.9652009],"SPY^FMA_DIV_YLD(NTMA,-10AY,0,AM,\"PORTAGG\",\"MEANR\")":[2.1156816090426,2.09999318935238,2.13912612323729,2.11026912673755,2.24908557675713,2.09037704356061,2.14980447837433,2.14506927069527,2.10604062913922,2.19237359466593,2.15819447606483,2.1653065726601,2.17634430099422,2.17226613432488,2.21912106557447,2.3678583434001,2.32404216598056,2.33448330452586,2.34103294675335,2.51088632127853,2.45182025901469,2.47519773454617,2.29179874134034,2.29270141173246,2.29668982589615,2.22743228147714,2.20341664155043,2.26534279019436,2.25959891932686,2.23891481056996,2.15218139741852,2.1612069884052,2.13119339653493,2.10086397438693,2.15093950389525,2.10952993394301,2.07969317701584,2.09821557924266,2.11521825969821,2.07643834672002,2.03870731281238,2.01767195695952,1.96554197585356,1.89000774206863,2.01054143621513,1.95843017561762,2.05575943027115,2.02027602670771,1.99726061815355,2.00323932845769,2.00689971436239,1.95871880015685,2.06684288990431,2.10708545123778,2.18207498198797,2.24375147571903,2.13155736561017,2.09366184282584,2.04142467108021,2.1240531763447,2.08044330528164,2.00642321887985,2.07467502390283,2.02950472846538,2.06478356511096,1.99671772289655,1.96231167176912,1.90573949663748,1.87217060691564,2.33416209139675,2.24350500072908,2.15156783265489,1.98159846011006,1.89002705129976,1.7656406163289,1.78685498467693,1.70236574236798,1.66991381899266,1.64069499288334,1.55969306356427,1.52505351692165,1.53153744291914,1.46660315049112,1.48645613899748,1.4510659079588,1.42812648794376,1.41039247556718,1.4202122438822,1.46261215260073,1.36993187360092,1.38351919021116,1.38893541542865,1.48778686865678,1.57135822541424,1.481713632295,1.64737853577806,1.78170150036522,1.77021717084618,1.58623958918524,1.74090969242748,1.87235407572399,1.73184263173671,1.72402247752236,1.73957494130317,1.69282884317824,1.82488590783422,1.70379832843668,1.71057302112043,1.62653958684018,1.57809980246117,1.60613834910376,1.61213523172045,1.67867815097328,1.6519791811547,1.55424825780147,1.54010351852182,1.50961501015109,1.45397329606388,1.47021468873125,1.46232228813219,1.42946990030341],"EWU^FMA_PE(NTMA,-10AY,0,AM,\"PORTAGG\",\"MEANR\")":[13.6281941834329,13.4705476197054,13.301606863856,13.37645788891,12.5667276099915,13.3633703295638,13.2067531288074,13.8201665883999,15.5036702680426,15.161945669856,15.9992839919417,16.1181135730982,15.5874338361336,15.3798690630206,15.1533422188202,14.325634596936,15.0833044719642,14.8289045462216,14.5504639555129,15.0185294148567,14.8392059698641,16.020247807802,16.52423654255,15.6788972623022,15.2420542767305,16.0777523996552,16.325565105227,15.4156914270613,15.2475113740924,14.3743852810301,14.4539562543368,14.4966975516942,14.5531744012715,14.4076962399868,14.4367506231128,14.6808018038584,14.651711822219,14.6161260308024,14.4243020492942,14.599717865476,14.6816732470311,14.2799082340475,14.4515663010917,14.8397820257274,13.476627101045,13.4262006770087,13.5914747108807,13.9891439125936,13.5411372474713,13.2353429998222,12.9837428799903,12.4147256731397,11.8366036319624,11.8892279099673,11.5782725452687,11.8642334111706,12.4161727251229,12.4490443844869,12.7885761071576,12.1720078877387,12.4636191744842,12.6404035341792,11.9917213864487,12.4316986448491,12.4399017044762,12.870889868635,13.1988559192803,13.4720283809776,13.4003061504047,10.1416588327211,13.3054459145319,15.0444418609109,15.9019814225927,15.7812708229612,15.8538210812858,15.0329871236299,14.3710218849985,14.6973204693436,14.7996997701666,14.5650162191562,14.0836389003849,14.0751557248093,13.343523320388,13.1588867746246,13.2186602423752,12.6464703655401,12.4290976497705,12.0329452730269,12.1148485834403,12.1230139523591,11.9373582331542,12.4917404496407,12.4026246604778,11.3002413464471,11.1770451177592,10.2130343109544,9.7477676400155,9.49734711674211,9.81826625597988,9.34133586197806,8.56971902248786,9.39165873373761,9.98726905691435,10.4369494076572,10.6381050685843,10.0794290742351,10.8006807687964,10.5060933341202,10.3279688007433,10.4499348236045,10.503761804625,10.4042173283405,10.3452531340027,10.1892051290263,10.6055057930486,10.99522377176,10.9123177541986,11.3924683472154,11.5034990791076,11.9011990693443,11.5536772783788],"EWJ^FMA_PE(LTMA,-10AY,0,AM,\"PORTAGG\",\"MEANR\")":[15.3231129784518,15.1876667938493,15.0198896292049,15.2585615979241,14.6677555453729,15.8994241445046,15.6711940372779,15.4824404845503,16.0616306388166,16.932912698453,16.897886422739,16.955045908153,17.0182069184101,16.6240038179955,16.8258777364241,15.4554872071275,15.4558570640475,16.1374401491894,15.7344265555179,14.7187240337656,12.4005548182792,13.8980621957561,13.7821664064796,13.8150023298499,13.8059799282254,14.0323917871213,14.1438707735123,14.2424809255706,14.3220392236251,14.726368354767,16.5316023317927,16.6314603625066,16.439621818134,15.9471994908653,15.5214720725998,15.6974544801761,15.6207340714556,15.4866938423682,15.1952121941301,14.8407603772546,15.1285208372042,15.717403814778,16.2215182385451,16.8554473808461,15.0228583656402,14.4161681823747,14.2381202740088,14.3065771505919,14.2048346028656,13.8786754005506,13.512540098574,13.4579545883964,13.2519175787343,12.6924279903707,12.4589556838932,11.7916340124008,12.4655639381955,12.680047825754,12.7270650621839,12.6021186584093,12.7548885304622,12.9844538691513,12.6594022904562,13.5142273934765,13.5026267323471,14.4663843551294,15.3019185915254,15.4539187111327,15.4200647467762,13.5416684257252,13.8716230321811,14.5083024960276,16.3134710553222,17.4224365884533,18.146048489477,19.5249453821875,20.6075184079326,21.715572196722,22.7323813412554,24.0371448188486,23.7008482682245,21.592602997539,21.1473882480134,20.2634470588467,20.1178244133301,19.6504144526528,18.8983753430726,18.7991831470875,17.569633775442,17.5921173301574,16.4080912690371,16.1074246157997,15.4117521931391,14.5151456089611,14.4575699434698,14.215028982755,14.073946345936,13.8266915766038,14.0392784969186,13.8159569376338,12.9683441807967,13.5397537492169,13.390033738667,12.8891003587554,13.5029757757118,13.6554141381607,13.6726534210385,13.876641707318,14.438724389169,14.468097536048,14.6602819293284,15.0227963302764,14.7955166788368,14.9880806603912,15.1654293494821,16.2149168370899,16.7532867523127,16.9336644131697,16.9482636239835,16.7141715758182,16.8101082814224],"WL-FDS^FG_PRICE_CHANGE(0,-1AY)":-16.5588235294118,"EWN^FG_COMPANY_NAME":"iShares MSCI Netherlands ETF","VWO^FG_TOTAL_RETURNC(0,-12AM)":9.523106,"CAGDPY@US^EE_ACTUAL_ANNUAL(MED,0)":-2.99561673751749,"USDITL^FG_PRICE(0)":1797.5862,"USDANG^FG_PRICE(0)":1.79,"USDUSD^FG_PRICE(0)":1.0,"USDJPY^FG_PRICE(0)":156.925,"USDCAD^FG_PRICE(0)":1.37555,"USDNZD^FG_PRICE(0)":1.6208769,"EWI^P_PRICE_RETURNS_PR('52W',2,-10AY,0,AM)":[41.03261,39.275753,14.482856,19.685268,-4.1614475,-5.2651167,-3.3575594,-15.541583,-10.152167,-12.726188,-11.986142,-7.5315895,-11.595768,-7.753557,3.4619331,-6.054282,7.545972,1.8876314,-0.07815957,0.88882446,-21.479733,-9.896982,-17.541105,-22.59965,-25.56492,-25.488031,-25.645733,-22.907347,-26.059555,-20.764833,-9.312409,-0.61445236,11.674476,1.6647935,6.0695767,20.464611,29.656197,35.135902,35.031963,42.680584,47.657333,42.253876,31.493114,38.575745,36.380184,34.03013,38.32923,24.101437,10.874498,5.1639557,-3.4542918,-6.070471,-13.808846,-15.256065,-15.336859,-18.651522,-14.521986,-12.637699,-11.217367,-16.868752,-7.0830765,2.6831865,-0.43979287,4.6154737,12.832737,22.77788,21.16462,21.567095,19.760418,-20.33763,-22.66522,-21.090984,-8.738285,-12.414813,2.0214677,-5.02373,-8.527666,-5.456257,1.8901587,2.9105663,4.34345,72.124626,54.800842,62.516914,49.77491,32.908237,31.801987,30.253733,32.088352,29.993069,13.174475,15.090752,7.3375583,-12.605101,-6.4975796,-13.968247,-24.457937,-24.850727,-21.155035,-24.477959,-28.95226,-15.555531,-8.800197,-7.8005433,-0.39514303,13.386273,13.6122465,24.116528,31.145525,49.7175,31.808674,37.574886,42.14132,19.274176,25.492847,18.622185,13.378167,32.80237,18.468369,26.933516,22.68567],"NI-FDS^FG_PRICE_CHANGE(0,-1AY)":-17.4117647058823,"CPALM-FDS^FG_PRICE_CHANGE(0,-1AY)":14.3272304562627,"BRENT-FDS^FG_PRICE_CHANGE(0,-1AY)":16.1525974025974,"TIOS-FDS^FG_PRICE_CHANGE(0,-1AY)":-4.73988439306359,"SPY^FMA_ROE(NTMA,-20AY,NOW,FY,\"PORTAGG\",\"MEANR\")":[15.5861790200459,16.7322038566819,17.3873562088184,17.7935626477889,13.9384597707689,14.004346429543,15.0399433453936,15.5262408812809,15.3796547722071,15.8702437846916,15.8106739007597,15.8580313128215,16.0499124928518,16.907948658911,18.8923615036562,18.2929292642344,17.2298191446197,20.6862902761839,20.5983105929019,20.3505037761569],"TRYAE10Y-FDS^FG_YIELD(-10AY,0,Y,,\"YTM\")":[null,null,null,3.371059,3.6940188,2.542721,1.7060698,2.0444937,4.2739367,null],"TRYJP10Y-FDS^FG_YIELD(-10AY,0,Y,,\"YTM\")":[0.3138,0.2604,0.0315,0.0465,-0.0051,-0.0208,0.0201,0.0672,0.4224,0.6127],"TRYZA10Y-FDS^FG_YIELD(-10AY,0,Y,,\"YTM\")":[7.9537,9.7513,8.9047,8.58389,9.37766,9.011772,9.179499,9.791837,10.764477,11.358896],"EWG^FMA_PE(LTMA,-10AY,0,AM,\"PORTAGG\",\"MEANR\")":[14.6801581144297,14.4068300416694,13.9888732032318,14.2773260602564,13.2735121244735,13.6318654120916,14.0426136947858,14.4702867803735,15.8521558227276,16.5565247450152,16.6320700376243,16.0269524165077,15.6856312016131,15.6468000748393,15.0669784451428,14.1879545370979,13.818017950639,14.3772036149549,13.7111668565447,12.9808547862912,11.8821369605081,12.7194321345345,12.8211988526383,12.7834179318133,12.6174632973649,12.82532462693,13.4364864067603,13.3908528684512,13.5086331501282,13.7021570143689,14.4631366243547,14.9405384559455,15.046812639456,14.9678295162378,14.88237161468,14.9118486583776,14.7778541475363,14.6546489953627,14.1397285354081,14.3874738401328,14.7957171222489,15.225482041872,15.4843513945666,15.5807821514817,14.1674723422873,14.1883483694528,14.1430577168787,14.2223580899837,14.1807687047069,14.0322196984777,13.9493816145777,13.7918104760047,13.2492303707181,13.1043732244307,12.5649197945265,12.4286019601991,12.8833079364791,13.2067134777946,13.2891373410779,13.1992217919352,13.236905413469,13.4989856607263,13.3279089748493,14.0684475231483,14.2074658759574,15.1302869925974,15.4104144504806,15.7232959940034,16.2701624529362,13.4496531080948,14.2793709568494,15.1771881096776,16.8837185007981,18.6733890413011,19.5850610286922,20.4414630495581,20.7369241107972,20.5346440571437,20.7392148199832,22.1809063715795,21.4635791605094,20.2176521756913,19.9291359523044,19.0180127261744,18.7485671370333,18.1895708917139,17.348984166244,16.5864580369809,15.8073664846358,15.379874329784,14.3821211134293,14.2053572544034,13.3543936908569,12.3681779584845,12.3319656208387,12.0748773171004,11.7371349004283,11.2777157254033,11.3225522616112,10.8990774394755,10.0832786138601,11.0081201475376,10.8828342851946,11.3918455050471,11.5981030261432,11.2887812382696,11.4051350004889,11.3301790308254,11.3180754731439,11.2860310206711,11.1961324924858,11.1769003278701,10.9290077790697,11.0402410205239,11.9266159665166,11.8873157908649,11.9930104354702,12.5478860533936,12.5078892828866,12.624721216526,12.5434251689608],"CC_US^FG_COMPANY_NAME":"United States","USDITL^FG_COMPANY_NAME":"Italian Lira per U.S. Dollar","USDANG^FG_COMPANY_NAME":"Netherlands Antilles Guilder per U.S. Dollar","USDUSD^FG_COMPANY_NAME":"U.S. Dollar per U.S. Dollar","USDGBP^FG_COMPANY_NAME":"British Pounds per U.S. Dollar","USDJPY^FG_COMPANY_NAME":"Japanese Yen per U.S. Dollar","USDCAD^FG_COMPANY_NAME":"Canadian Dollar per U.S. Dollar","USDNZD^FG_COMPANY_NAME":"New Zealand Dollar per U.S. Dollar","EWD^P_PRICE_RETURNS_PR('52W',2,-10AY,0,AM)":[16.727638,11.52178,4.028535,0.95881224,-7.0561466,1.8980861,1.7658949,-8.892738,-2.353245,-4.430312,-3.1850994,-4.932475,-2.5297105,-1.305598,-1.1676431,-2.4409533,4.5850873,-7.3185086,-10.114515,-8.831024,-17.59193,-7.5143695,-6.0257015,-12.988061,-15.606779,-11.658752,-5.1750603,-4.287505,-4.7579584,-4.1375694,6.8466306,13.513124,20.460451,10.159599,6.8221807,21.64818,26.877546,29.666828,19.425034,25.588072,31.035662,29.09708,20.246338,27.023363,14.056182,13.134074,9.129262,5.013907,0.829041,-6.9775343,-3.049463,-3.9325297,-11.000281,-10.794199,-11.069637,-14.31014,-7.2955728,-7.7892303,2.6551485,-8.563173,-3.8354218,3.4644961,-5.264342,-1.3996661,1.0428548,12.355995,19.401443,18.485296,18.355751,-9.926313,-15.154296,-6.454575,2.8613925,7.3684573,27.857708,20.548702,24.20063,22.026455,23.47343,26.400316,26.515984,90.48357,81.50086,78.47036,68.848274,50.30931,41.020668,38.456177,31.597317,32.46068,19.722414,17.247831,1.357913,-15.792447,-13.22217,-22.57275,-29.092693,-31.784946,-26.184887,-32.570152,-36.487698,-25.26018,-19.483858,-20.239998,-9.420931,-3.763014,-2.6673377,11.43111,12.56907,21.377373,0.9869218,7.575214,21.1738,-2.4643123,10.745239,9.420431,5.6179404,26.83922,10.763062,15.750944,18.425226],"EWQ^FG_TOTAL_RETURNC(-10AY,0,AM)":[0.06651878,-3.9799094,-5.088335,2.4199486,-10.687023,2.5641084,-2.2619128,-1.4055431,8.766103,-3.2085538,5.051303,2.4417758,-1.100117,-0.57049394,1.0997295,-6.414098,1.7635226,-2.3237526,-2.9435456,-5.6827307,-3.2714486,11.106038,0.9049773,-2.4867535,-1.546824,1.1844516,4.2186856,-1.4869809,-0.83857775,-0.12684464,4.403043,2.7198434,-0.71315765,2.9529095,1.2015581,10.953653,1.4152527,1.2095332,0.06842613,3.8632393,2.271235,-1.6736388,2.2913337,5.246961,-5.0625267,2.152264,1.6352177,1.6089082,-1.6747832,-0.8196771,-3.092128,1.6118407,-5.503398,-3.0147374,-3.0377924,-1.1138022,3.8860083,5.308163,3.382945,-4.31937,3.522575,3.6645055,-4.0822983,3.881514,-0.55719614,4.3177247,1.4849901,2.0225406,-1.0703444,-26.955175,1.6927719,-3.4124076,16.372263,3.858173,6.0279846,-0.50761104,-1.9727886,10.097158,4.412234,3.1340122,0.52940845,4.0959716,2.3046613,3.1318665,5.372882,-3.55317,4.8502564,-1.8958569,-2.2159278,5.559945,-3.826481,4.7745943,-4.8879805,-12.981802,5.8136106,-5.7267485,-4.288268,-2.9850721,11.487186,-8.739651,-6.518817,18.296194,4.0506363,6.858146,1.3439417,-3.382951,10.504198,-1.8504441,-1.1176467,5.6608796,-3.3864021,-4.2898235,-5.1380215,3.0250669,9.004474,-0.84632635,-0.7031262,9.152889,-4.8294067,6.1095595,-5.175245],"QQQ^FMA_DIV_YLD(NTMA,-10AY,0,AM,\"PORTAGG\",\"MEANR\")":[1.30244503276166,1.25295638039516,1.25109047619058,1.21899396306363,1.32100979673513,1.2145675251637,1.2343405232945,1.22730443220211,1.22393974869272,1.2770310211224,1.2572274054031,1.25679301017019,1.25645393428369,1.24777643389527,1.28270929892008,1.34946956388827,1.3438738434801,1.31674365074279,1.31058183502697,1.38532546822325,1.4698693982285,1.36792810606793,1.31592133682235,1.39899173975275,1.37463674186681,1.32496257792833,1.27553203786919,1.30562636329844,1.28164417277931,1.30955856276947,1.27729906621974,1.25394655088973,1.23376321072552,1.2139450017184,1.23117429046041,1.17332644505465,1.17032530897151,1.18719120171483,1.18881283492331,1.15867247870187,1.14403636962419,1.11272545264067,1.10761951953795,1.04544876277119,1.10291331116669,1.04129402483161,1.11865661543598,1.08179633413312,1.05174669070435,1.03205641056176,1.07951215167455,1.06761375382907,1.1354286671093,1.20750331371688,1.23572174071203,1.26893623605216,1.20677797372898,1.15495909533607,1.10470758827079,1.16131797812843,1.14215138652176,1.0787266771886,1.11484169633773,1.09216343096593,1.10539224339597,1.06476325793819,1.06922344500458,1.01103947203099,0.961224117296642,1.16086598624648,1.11448754792927,1.015049932328,0.939960940167681,0.859322875465578,0.817338799537418,0.825129872969276,0.759806258260241,0.775451368216124,0.753044145720861,0.759967592269928,0.721027809118542,0.775199106347858,0.719733171966849,0.771648148412461,0.729243330776988,0.690369815358683,0.698512348971834,0.688295238785283,0.725540286722476,0.66544005352602,0.676485042985885,0.705508115300016,0.778889564216713,0.845466163150408,0.793641913475308,0.915841215757212,1.01217363962016,0.982824660000964,0.853200765541202,0.969713301156673,1.0664828128925,1.00380449202661,0.999038447984705,0.987446699478789,0.923117000887362,0.973294029845615,0.889629506065696,0.859842342455212,0.776435912018878,0.74659449964867,0.898413038778294,0.883352775717144,0.931517465258051,0.913246000538389,0.862063805119553,0.913721282027064,0.897407050804406,0.882344081816873,0.898253083882641,0.909639352447627,0.855224105702383],"EWL^FMA_PE(NTMA,-10AY,0,AM,\"PORTAGG\",\"MEANR\")":[16.2469404220411,15.8759194942779,15.780132908521,16.1418752325687,15.054899624823,16.1001915846021,15.6489850724165,15.9963527577887,17.0092735242894,17.5406999845865,18.2086989668853,17.5525480700947,17.3256641821199,17.4801878848919,17.3565372763972,16.4383634756011,16.416745417321,16.6495905761574,16.3629039781085,16.1559663191244,15.6779693546216,16.6850509645926,16.7258263826535,16.6291498538371,16.3488334557028,16.9626522306106,17.6160580413198,17.1712707674338,16.6884494904653,16.4589581239384,16.7564061989647,17.2527591954783,17.3668374536645,17.66708250042,17.3892783728153,18.0923990885338,17.8713490757536,17.8508869532176,17.4298361216625,17.6647191405819,18.0385061798631,17.6115902112006,17.6830837511253,17.8993111783041,16.4109382394089,16.401478618772,16.0816321124181,16.3319589528541,15.7531475037279,15.9640795564181,15.9830352451556,15.9681586538937,15.1319977221845,15.637360818597,15.2355908794092,15.2151961802266,15.7685473956124,16.3573754072213,16.7920948899664,16.263858664528,17.0278816202932,16.9318110130903,16.8866679887893,17.190042058638,17.0625929798254,17.3890781413719,17.5061231896488,17.8016025833769,18.3979245331025,14.1564919315447,17.1880797765855,18.5062640710173,18.7766596875593,19.7291301648517,19.6692928429659,19.5541471928664,19.1824497845932,18.977057114399,18.4091986008489,19.0293073823947,19.000922289717,18.53647495722,19.2480721829162,18.7501550205251,19.8934381358954,19.9349309435939,20.0525721432916,19.2279437415399,18.521026674607,19.4462035681926,19.3398855423122,19.1355206903275,18.345573487205,17.2783782289093,18.4685911049293,16.8835129230028,15.6124661572855,15.984628931675,16.9119963160218,16.1586569719802,14.8203729415534,16.9796219447775,16.9224034188222,17.2338498684833,17.212179261984,16.5148033032831,17.3965604345799,17.5272074274308,16.568951116666,16.5349872875196,16.5933964586186,16.3840256876623,16.1190760988368,15.7515788549192,16.7153272574115,17.0253220949818,17.0883682236581,17.9261889048796,17.021068542227,17.1697086072457,17.3747150332983],"QQQ^FMA_ROE(NTMA,-20AY,NOW,FY,\"PORTAGG\",\"MEANR\")":[14.817843581598,15.4866947775921,16.8339704998129,17.9560593685279,16.5654843697708,17.5965741262714,20.0003742371644,20.9591568938239,20.7921963775154,20.047298915306,22.0568276514703,21.8504635786249,21.1146076459691,22.0784263508941,26.4902293367872,25.011729152832,24.534442850509,26.6372021642568,24.0483215722889,25.3199155966171],"TRYMY10Y-FDS^FG_YIELD(-10AY,0,Y,,\"YTM\")":[4.131911,4.345605,4.195897,3.902544,4.235642,3.300551,2.804181,3.573893,4.131847,3.727505],"TRYAU10Y-FDS^FG_YIELD(-10AY,0,Y,,\"YTM\")":[2.81,2.88,2.76,2.63,2.315,1.375,0.972,1.671,4.051,3.955],"USDCHF^STD(FG_PRICE_CHANGE(0,-3AY,M))":2.45992337040698,"USDEUR^STD(FG_PRICE_CHANGE(0,-3AY,M))":2.17865114035896,"USDAUD^STD(FG_PRICE_CHANGE(0,-3AY,M))":3.09147426487896,"EWI^FMA_EPS(NTMA,-20AY,0,CY,,\"PORTAGG\",\"MEANR\")":[3.169168339117,3.12405993279458,5.04981282066684,5.56224784875388,4.17624790880873,3.08892808052067,3.32359348097665,2.98712765861625,2.83099275676073,2.51709042577162,2.20451072320163,1.95489186317479,1.78844259381098,2.35129536081733,2.64924756496654,2.59251661571796,1.99711745729498,2.96400297596909,3.54736708862932,3.81180271683843],"EWN^P_PRICE_RETURNS_PR('52W',2,-10AY,0,AM)":[20.833588,14.053869,3.0005932,6.683719,-3.6014915,-1.8344343,0.66150427,-7.4036956,-0.060522556,2.349639,3.7872434,5.718076,3.0856729,7.669568,10.3466625,-0.25199652,8.64147,2.6252747,-1.7267227,-1.7433643,-10.950476,-0.7315695,-2.7539372,-8.211702,-8.511156,-9.115964,-3.9779365,2.918446,2.0697594,-2.7945817,5.013263,12.589192,18.743206,12.432421,10.883724,22.563326,27.693153,29.170715,26.312721,31.116629,34.67933,34.522568,34.100914,36.563503,27.512192,23.612904,24.535084,13.57752,11.48082,7.7830195,2.9079318,-0.505203,-8.832574,-6.806678,-11.165577,-14.714802,-6.134081,-6.4518633,-3.0400455,-4.562652,-1.7484546,2.8215408,1.8437386,8.607912,15.723062,17.972326,25.277351,28.687752,23.084497,-10.26085,-9.849864,-3.6317825,5.304599,10.638905,18.606174,12.407864,17.58871,19.109608,22.198141,26.794315,33.864044,82.08716,77.433945,69.54428,62.91033,44.622242,45.645844,52.2899,36.730553,41.18017,22.707808,16.880358,0.08087158,-14.104062,-13.695801,-20.445663,-28.876835,-29.096,-23.105484,-34.86409,-37.580723,-26.896626,-16.609324,-13.224215,-4.3578386,5.0609946,6.307411,18.641317,25.26244,35.614334,14.380062,17.853975,24.7913,8.405757,12.4804735,6.6300154,11.002838,25.621819,16.752863,23.881102,21.70788],"SPY^FG_TOTAL_RETURNC(-10AY,0,AM)":[2.1952033,1.7616391,-0.9002626,2.2018075,-5.445242,8.953691,-1.6161442,1.1451602,3.81037,-1.8842638,2.0346045,0.4447937,-0.0047683716,0.37379265,-0.52915215,-5.7126403,2.3222566,1.1435628,-0.3258586,-5.897677,-1.1650681,8.642769,3.1115532,-1.5580714,1.8017292,3.6426663,1.6471267,-2.3940384,0.40344,1.6008615,5.2398086,0.27695894,2.5192738,2.1652222,-1.802522,2.7826786,2.3307443,0.43418407,-0.122737885,2.4782896,2.4156094,1.3257504,3.2593966,4.7157288,-4.289007,4.0300727,-3.797859,2.9040217,1.8984795,1.0130644,0.8977413,3.0946374,-4.6865883,-1.4096797,-2.4590194,-1.8259525,6.1819315,2.3091793,3.587091,-3.2051325,3.1047463,4.3283463,-2.6941657,2.9191613,-1.1410773,4.3269873,2.6593328,3.8558364,2.7778625,-20.09731,2.982843,2.154827,8.029116,3.9524317,6.984496,-0.82237124,5.2350283,2.2763014,2.2898555,4.126525,3.3834456999999998,0.36164522,5.1145673,-0.624907,3.4196138,2.9988527,2.371502,0.14799833,-2.237451,7.373965,-0.14980435,-0.08294582,-5.1815805,-4.6292486,5.8567047,-9.381694,-6.6514015,1.4567375,12.741863,-7.960665,-6.516081,8.891439,0.868237,-0.4024744,3.595984,-6.654072,7.7088594,-0.45468807,6.0910106,3.3380628,-0.86973906,0.192976,-3.0165553,2.0139098,6.8856597,1.7249584,3.650248,4.430449,-0.68256855,1.9692659,4.135084],"USDSEK^STD(FG_PRICE_CHANGE(0,-3AY,M))":2.99737222103518,"USDUSD^STD(FG_PRICE_CHANGE(0,-3AY,M))":0.0,"EWU^FMA_DIV_YLD(NTMA,-10AY,0,AM,\"PORTAGG\",\"MEANR\")":[3.85984902929679,3.9071045523781,3.98030838680288,3.92980686965837,4.22542625357369,4.06351445907626,4.29163473287798,4.19389374609069,3.96921039819391,4.06917449986335,3.91070763247883,3.88397466218959,4.01767392468039,4.09213445390017,4.15215977010275,4.48866255992631,4.28012352910766,4.39711418117795,4.47156315389068,4.50324856915863,4.65940023851053,4.37186829960877,4.23453783235757,4.38282741137914,4.44737907042384,4.1680299562905,4.06085857639101,4.24421496541911,4.28867351022781,4.44036754672159,4.31759784447588,4.22318648939383,4.24570260123534,4.30980903435956,4.34263509161154,4.25799264108268,4.27564130448031,4.29377347676979,4.36570533902133,4.32210150358923,4.2509955131102,4.3730296513339,4.31120465820417,4.137597051683,4.47785845043472,4.51066524463035,4.42221295537622,4.2620540999122,4.33860009878677,4.39811235034254,4.4707911584304,4.6480670652562,4.85521550953691,4.86475278031624,5.09567907230357,5.17625245358321,4.96783816193874,4.95693452634589,4.81619065104957,5.02637128633923,4.81267372985113,4.78301237754297,5.0833460636097,4.90812995118534,4.91666690379973,4.79515621170465,4.67015390346899,4.57177203793083,4.66888270046709,6.64820306649573,5.73265796071139,4.49729498625126,4.15143676028155,4.10589630915173,3.91557254217119,4.11042161433814,4.23511855198527,4.03996569212022,3.91345421092467,3.84985170469854,3.98490795425713,3.96184287709847,4.01074762685507,3.95245966901668,3.88337557890241,4.00549584290456,4.12219732073417,4.21140433227933,4.12761717227333,4.01891917699804,4.02122919390466,3.80059773458136,3.76214169445237,4.16608307017141,3.95632222599554,4.17832329886968,4.31553239305534,4.37013072631176,4.18285711377286,4.38852571971094,4.69881483736908,4.38093656749228,4.19859751620386,4.05017056911156,4.05629627242246,4.31604195243747,4.09419636853704,4.2731009809116,4.3493494955404,4.37181903848481,4.42687625577262,4.46394949219196,4.47333744460498,4.56798001169764,4.40072752332694,4.32363993244216,4.35150173160256,4.09675280596695,4.01726668590963,3.82705107240532,3.92344867656482],"EWJ^FMA_PE(NTMA,-10AY,0,AM,\"PORTAGG\",\"MEANR\")":[13.6718209818312,13.6263013982414,13.5329040347114,13.9407136115072,13.1357226959151,14.5511881646789,14.2531287900094,13.8502112553513,14.4092456046216,15.4135775920773,15.5982904794474,15.85564361343,15.9038899955519,15.1793161644762,15.4934630523172,13.6481190642019,13.8409709336778,14.6459822527216,14.1751031803682,13.0923666734639,11.0013808009965,12.9482155711046,12.7408683820814,12.8965821603457,12.8868155197019,13.2836306879284,13.4356193501105,13.3948651469751,13.3914597679175,13.6887554780824,15.0367385156023,14.8336948170236,14.5460981568319,14.4207879642293,13.3281886615521,14.3116276988095,14.3232958071027,14.2621266344128,13.9592770856528,13.7224394205167,14.1903557112306,14.6937971696064,14.7004475652942,15.2294733698464,13.5901267212946,13.0993027473332,12.8753621804691,13.3479615239113,13.2925290402908,12.8050528997419,12.3861846458701,12.5099531550318,12.421521541262,11.95668846254,11.9392656229836,11.4645766704021,12.1939766511177,12.4474090193771,12.6040049477169,12.1790802730184,12.5417692239424,12.9252039909403,12.268034930029,13.4384650221798,13.2674939400206,14.1502722809929,14.7145606081421,14.6432435296825,14.4467073329917,10.9717308261822,12.819831892946,14.3794760695947,17.2579852597822,17.8783583323037,17.9930338127877,18.3689634808634,18.1902928849567,18.2440394916343,18.4829222083748,18.7823716461648,18.9153675496674,17.9626793651948,17.4057581250793,15.9440400381486,16.4803933562981,16.2911492076733,15.6944561171095,16.1388947949121,15.0131216127297,15.4044342063269,14.5322843047632,14.5345639579475,13.9109997001789,12.3255869581283,12.8840961492871,12.5939107116688,12.6321102164766,12.4245762101439,12.963529437688,12.9413172609699,12.0086994859578,12.881688610306,12.7688885567288,12.3663690576801,12.9996591233268,13.1362788176558,13.2239626640068,13.7481712266717,14.8005291618753,14.5028010974994,14.5312546806313,14.7880406698967,14.2665248340334,14.1872676997058,14.0871273955101,14.8100779759283,15.2742674868701,15.222404538663,15.7071419333269,15.2766834052553,15.6247245899874],"EWC^FMA_PE(LTMA,-10AY,0,AM,\"PORTAGG\",\"MEANR\")":[16.2574871176846,16.266517579643,16.277794114582,16.4250048759668,15.3254694060965,15.7720392194064,14.8072666396075,15.1347703555332,16.6524746640292,16.9688255904431,17.2146386473457,17.1819807477526,17.1208002137,17.0111221465262,16.9214268060618,16.4451589072329,16.9453230586472,16.3304639807208,15.8825064152861,14.7498952020458,14.9497150856927,15.9050554668237,16.1397856265466,16.4473021211926,16.7171105865973,17.1164617932067,17.4514686515311,17.3733140514384,17.9314964669953,18.267031202304,19.2795750685049,19.5543775533161,19.8191172354275,19.2852323781468,18.9603326297772,18.6533510647507,18.2754664192189,17.9717994551006,17.7475737700226,17.3592360442104,17.5562818092178,17.3953670650977,17.2918546549736,17.271454816987,15.8710847298456,15.8147204487877,15.5799164297714,15.6290746823206,15.5965017740533,15.5761536672732,15.3515777796484,15.0177035989532,14.5102549502659,14.0830488325443,13.6290651006058,13.7305129754452,14.7513196584053,14.736011706985,14.7010571244936,14.4594168582115,14.4238110738301,14.4831957247194,14.4003788802069,14.6400822436633,14.5619943785231,15.0838116324771,15.158617801813,15.4174572400345,15.7564579014322,14.0171229787097,14.7190051471851,16.2618981693648,17.0070582743184,17.5266682905442,18.191367149845,18.2152915262953,18.8540171618699,19.1834456162841,20.21175959142,21.1869679386802,20.9761429933679,19.8566267002582,19.4657749735764,18.9828560280149,18.6776812581821,18.2181702467549,17.5551770236694,16.9779500559651,16.5438002558164,16.6119244869799,15.5465493038929,15.4991987685435,15.7028059969481,15.1225456270506,14.9314046125198,14.3108687395819,13.8783288414719,13.1189485133625,13.3467989073145,12.8108054712851,12.1173322321697,12.704139651641,12.5745645253393,12.632659695047,12.9118727587828,12.524192901702,12.7337898828182,12.8459512623024,12.9174038925264,13.2363371629726,13.48258250372,13.5996673828233,13.2483908993354,13.4380380216607,14.2192669149866,14.9493836991622,14.6580171723233,15.3108601520707,15.2664334043967,15.3330309642312,15.0328125963509],"WL-FDS^FG_PRICE_CHANGE(0,-3AM)":-7.67979173446145,"NI-FDS^FG_PRICE_CHANGE(0,-3AM)":-3.38563170933113,"CPALM-FDS^FG_PRICE_CHANGE(0,-3AM)":-7.32626619552414,"BRENT-FDS^FG_PRICE_CHANGE(0,-3AM)":0.0,"EWU^FMA_ROE(NTMA,-20AY,NOW,FY,\"PORTAGG\",\"MEANR\")":[17.0013743335587,17.4840740170497,19.4425742504053,18.9225481633064,14.9735451636047,14.6457818658238,16.1542964974398,15.1996078376158,14.4781479669762,13.3640315886099,12.2326503305714,11.1900784012713,12.1967915012023,12.7329318595365,13.1887832891224,12.8710545059328,11.2050609778507,13.9227699516468,15.8587443966116,14.7207288829902],"TRYMX10Y-FDS^FG_YIELD(-10AY,0,Y,,\"YTM\")":[5.8237,6.2537,7.5651,7.6401,8.7069,6.8373,5.552,7.558,9.0223,8.95],"TRYPE10Y-FDS^FG_YIELD(-10AY,0,Y,,\"YTM\")":[5.681629,7.426917,6.415413,5.167133,5.645114,4.243226,3.535983,5.889906,7.923381,6.6087],"CAGDPY@GB^EE_ACTUAL_ANNUAL(MED,+1)":-2.8,"CC_GB^FG_COMPANY_NAME":"United Kingdom","USDSEK^STD(FG_PRICE_CHANGE(0,-1AY,AM))":3.81592728248721,"USDCHF^STD(FG_PRICE_CHANGE(0,-1AY,AM))":2.69958631793985,"USDUSD^STD(FG_PRICE_CHANGE(0,-1AY,AM))":0.0,"USDEUR^STD(FG_PRICE_CHANGE(0,-1AY,AM))":2.1150803678562,"USDAUD^STD(FG_PRICE_CHANGE(0,-1AY,AM))":2.75263672023715,"EWD^FMA_EPS(NTMA,-20AY,0,CY,,\"PORTAGG\",\"MEANR\")":[1.55275820794805,1.54581744522321,2.18886161040082,2.54439610565031,1.55027933568846,1.36361799599867,2.27207932583515,2.18253517023992,2.32063293486455,2.31545066006368,2.02872425818202,1.94857888922314,1.75138174890933,2.10390186893761,2.115438961001,2.04039298067199,2.20793118453467,2.4827867979632,2.558848337072,2.51009258677616],"EWQ^P_PRICE_RETURNS_PR('52W',2,-10AY,0,AM)":[23.036062,18.745577,5.4141283,7.7589035,-8.143145,-6.164151,-6.2788067,-10.819477,-5.017638,-7.412946,-5.6479874,-6.5906286,-7.9854546,-4.4016004,1.8312335,-6.918204,6.019175,0.9666681,-1.6541004,-4.0870485,-14.604235,-2.125913,-5.951852,-10.476565,-10.880923,-9.307945,-6.85944,-1.5880167,-4.104418,-4.5268774,5.4744244,14.870989,17.909122,9.256768,9.577894,22.933805,28.43237,28.4642,23.501469,30.047453,34.1259,32.048607,29.37771,33.193897,26.753675,25.767946,26.306879,16.838657,12.144709,9.896255,6.4252853,4.118347,-4.043764,-5.1088276,-10.052413,-14.339071,-7.522726,-4.6657443,-2.9061913,-8.684206,-3.8573503,0.93997717,-0.53727627,1.6843796,7.264042,15.096939,20.465624,24.286402,18.356752,-17.904293,-19.246452,-18.48098,-8.392745,-8.19127,1.485908,-1.7392039,-4.1856527,1.1226773,5.1525354,5.1729083,6.151724,63.366936,53.221714,63.60322,51.161755,37.568367,36.040306,34.1421,33.809387,30.47434,18.171776,20.051575,14.217067,-4.5960546,-1.795268,-10.230666,-18.461205,-17.98092,-12.212217,-18.87306,-22.442972,-12.714994,-5.9666214,-4.096675,2.187097,13.459217,18.48873,27.204704,27.447247,38.80533,20.992172,26.152372,28.015757,11.489904,16.797935,9.004629,6.1876774,19.96529,4.914522,11.6980915,7.114589],"QQQ^FG_TOTAL_RETURNC(-10AY,0,AM)":[4.5645,3.472495,1.2175918,3.1629205,-6.331831,10.692776,-0.22352338,-0.7534504,5.3093076,-1.4685333,2.264738,0.4838109,0.6944418,0.9594083,0.7303238,-4.323,0.7500887,3.524971,0.86489916,-7.7375116,-3.807658,8.6411,4.4588923,-4.8778296,2.3980975,3.2300234,5.3767323,-1.6296923,1.7374873,-1.025641,4.024172,2.5448322,4.011047,2.7400374,-0.7131219,6.2883496,1.2698412,0.73827505,0.7730007,3.040111,1.5336037,3.7279248,1.3777971,5.668032,-2.9181123,7.527089,-5.8662534,5.0133348,3.7531018,2.3746014,0.39530993,2.3347378,-5.363578,-4.5032144,-0.8229673,-2.3858309,6.422293,3.5085678,5.1735163,-3.901416,2.710271,5.744982,-2.6559174,2.2028685,-0.5425453,5.4837465,2.7779222,6.8716526,5.8927417,-17.792881,5.782461,8.033299,7.54081,9.795057,5.3918123,-0.7450104,9.0580225,-1.2189329,3.7534833,4.8912644,6.458044,-6.238675,8.103073,-6.2419295,6.857896,6.329155,1.7659068,2.0362139,-4.231,9.638893,-0.6181896,-3.5977483,-8.1025305,-6.5291286,6.898606,-12.8222885,-8.786511,3.9126992,15.662527,-11.105061,-8.308154,7.1200013,0.2396226,-2.4241567,8.374559,-4.5353055,9.966839,1.8360019,11.761999,4.5176506,-3.4049869,2.1761656,-2.2453249,3.2659888,7.033217,1.6962409,4.636681,2.730143,-0.3192544,1.0975003,7.5923085],"EWL^FMA_DIV_YLD(NTMA,-10AY,0,AM,\"PORTAGG\",\"MEANR\")":[3.23382354955647,3.36141895138386,3.40893880741159,3.29357269738732,3.52108780063019,3.26112223676955,3.32257632241545,3.24494408550853,3.27185207080714,3.15842228343829,3.03288578148061,3.12696497916667,3.17743579390929,3.16057122453224,3.15519452479835,3.35073926683314,3.35823706455441,3.30946987018078,3.38242276260618,3.4428672349751,3.6480781466079,3.46838611723425,3.50230211345803,3.55533808979782,3.61762782251653,3.50535851885687,3.41297798451788,3.48228173357002,3.57894514056166,3.63136955205799,3.56959346510691,3.45879132170879,3.41862161475025,3.34274851973776,3.42841148640405,3.28749648857413,3.3484461406632,3.27274880549204,3.33824926094887,3.28081698924648,3.21961293608313,3.28462258469973,3.21623464769205,3.16540207840941,3.43651184649439,3.4304004861899,3.4875735385117,3.42151360552011,3.53465319082625,3.47283507290576,3.43387255112803,3.42202671667377,3.63205222229507,3.52680632233229,3.58678662293759,3.53945959907157,3.42242720882071,3.35426838465193,3.27446593401154,3.38277357399435,3.24118025679265,3.26441827039413,3.25937844986806,3.18947284758149,3.21834761065463,3.13558320868398,3.10462021890715,3.04459704878604,2.94169049434643,3.8644203878979,3.40624572688513,3.27625958782419,3.17601842030721,3.03672339425945,2.92959697906761,2.89918818250058,2.9220868907864,2.89148987521942,2.91314693195398,2.81310684955147,2.80591910359979,2.85211612839531,2.7673242729802,2.79752238268063,2.6223880357757,2.60342645308139,2.54745794229308,2.63420220886938,2.72578103160315,2.56947660468959,2.58037771128618,2.59914688717595,2.74675653096951,2.9374052576004,2.76078121090079,2.97746865915342,3.19802129040707,3.16863523760687,3.06429911257959,3.18937446232146,3.46279847923876,3.09084637929833,3.10022137975118,3.06506108755898,3.06728710326905,3.27307606884126,3.11079231455823,3.06762147093331,3.1579115860394,3.18363888684982,3.21438809099203,3.30157220150138,3.36741551234152,3.48167472697244,3.30158140387024,3.27644494083802,3.39652986662703,3.20860515155914,3.3569118581579,3.26781326136475,3.19066010058001],"EWG^FMA_PE(NTMA,-10AY,0,AM,\"PORTAGG\",\"MEANR\")":[13.2939779082844,12.842789239977,12.276151973326,12.7640312246931,11.6216993951635,12.2045775511523,12.6140545513023,13.0391081585999,14.2886855812265,15.4349626366232,15.8513037207656,14.1885512343222,13.7275961497461,13.938136543276,13.3050242377125,12.2720804956214,12.3332474221168,13.3288568991972,12.9023751221756,12.3681566821467,11.3732567940769,12.5412986546212,12.7629956117659,12.4370012438733,11.9242712494259,12.2548287528067,13.1512439580967,12.752921242417,12.721847054736,12.8149234703325,13.4703138846275,13.7707020331007,13.7528572373677,13.8831538673516,13.804441353196,14.0443225095291,13.806626215438,13.6273518932152,12.9152603873323,13.40231529663,13.8209267650486,13.8995062582199,14.0068203487844,14.0563175615472,12.9066768630476,12.9377083431511,13.0612487600414,13.4341788607517,13.3353932170361,12.9864254568374,12.7967765427821,12.5085878480786,11.8801994813437,11.7553954357993,11.3411407792207,11.3205128750578,11.7595908426657,12.2030184818375,12.6627812798449,12.366926237581,12.4356890649291,12.8080491134829,12.3792900789786,13.1471170088523,13.1175008100439,13.8870510853754,14.1713357375567,14.3110063656471,14.548490512091,9.97865038780621,13.4760929638703,15.0235897039623,17.3288670006862,18.5118039216338,18.1527838314084,17.7496713341572,16.8897228687665,16.10004981814,15.7093616352893,16.1457992332235,15.8623852203609,15.8912871550136,16.1426178405066,14.6905643466465,15.0185377861553,14.7927119863594,14.4279584480642,14.05365663544,13.5007758282953,13.8013981351481,13.2990535981244,13.4402662734328,12.8248312926141,11.0770534048936,11.2735587067365,10.7558756782235,10.2335164453711,9.72012696197874,10.3435591734168,9.85740925110591,9.15472107390242,10.7045980218153,10.8005587012726,11.4050094727,11.6718028056019,11.1258295307037,11.3968110065384,11.0469310197081,10.9431904000138,10.7953140192922,10.6329017311486,10.5148807651167,10.1590332224886,10.3377721577047,11.2124926976365,11.1140155919587,11.4700375278302,12.1868956855802,11.9669821214855,12.2141454735562,11.9196932818141],"EWA^FMA_PE(LTMA,-10AY,0,AM,\"PORTAGG\",\"MEANR\")":[15.1298565139047,15.2998893822455,15.2998025723277,15.2487152257446,14.5002296710014,15.0867808107576,14.1659501262923,14.7773756914232,15.992758416721,16.146771947462,16.3614575580153,16.2973134716784,15.9774469485795,15.8179265839181,15.7857736277013,15.2345937139231,15.5664984814587,15.1281328575469,15.1460539267285,15.0130574853666,14.5687737263046,15.1551611205159,15.1830360379131,15.6158153964433,15.7706415591343,16.0530401424549,16.609676108332,16.0447129877352,16.7649155569083,16.9991673123515,17.4439704209265,17.8994780160689,17.8120213062352,17.4528392985212,17.3439459848615,17.1268254270935,16.8748332716225,16.7725904715355,16.6679885377975,16.6066000794137,16.5366616559205,16.83898554702,16.681849087212,16.7844566738707,16.1742746387279,16.5004993606249,16.2718284249743,16.3708513830814,16.1190025406918,16.324867049336,16.2626889938992,15.9492070614026,15.414780971712,15.2767577831374,14.7802990434887,14.9955251256875,15.6559801755776,15.8626453341995,15.8579386987641,15.8463466714089,16.0933713044586,16.2652980835206,16.2559269745746,16.7062563116354,16.8178855295161,17.3943677981836,17.691391181435,18.2146149418453,18.8072143050708,16.5009586256373,16.7823258493276,17.3996677701008,18.2982321148561,18.6872092996504,19.5482356561855,19.2094278903286,20.1262259411476,21.1583679077484,22.528460991956,23.2826760368674,22.9374277053511,21.6524389955929,21.2202522352833,20.748708055069,20.5733404174323,19.5842035121632,19.328353597446,18.7654269340136,18.5101913387429,18.4226841181656,17.788655147071,17.9778918851769,16.1147456180129,15.6568677021589,15.6402491741832,15.0694966852221,14.6100733181597,14.0512804507477,14.6190928816561,14.2470842354409,13.1640242985524,14.1967677109023,14.306169324007,14.5110175390165,14.6973276816431,14.2055700000532,14.3563969485025,14.3444266458699,14.4450220294625,14.8097100707253,15.0102017999146,14.9687360880603,14.6812870456116,14.7285739003071,15.5445352046589,16.26735961798,16.3489400321978,16.621185864292,16.6272764321085,16.6922418169927,16.7646377487099],"WL-FDS^FG_PRICE_CHANGE(0,-1AM)":3.16363636363637,"SPY^FG_COMPANY_NAME":"SPDR S&P 500 ETF Trust","EWL^FMA_ROE(NTMA,-20AY,NOW,FY,\"PORTAGG\",\"MEANR\")":[15.9587717941353,16.6709442456462,17.3190561042513,18.194046530629,15.5136874283454,17.2258858021045,16.663378494352,15.1353221205521,15.5882414428409,15.2483951449653,14.5028009204846,13.2798091113486,13.3994953105419,13.9322208239423,14.6457996836392,14.5388198691271,14.667779515581,16.3837417700753,16.6906517335277,19.2996868127809],"TRYIN10Y-FDS^FG_YIELD(-10AY,0,Y,,\"YTM\")":[7.86,7.89,6.63,7.35,7.35,6.55,5.9,6.45,7.33,7.19],"TRYGR10Y-FDS^FG_YIELD(-10AY,0,Y,,\"YTM\")":[9.61,8.24,7.15,4.14,4.37,1.45,0.618,1.315,4.585,3.099],"CAGDPY@GB^EE_ACTUAL_ANNUAL(MED,0)":-3.3,"CC_CH^FG_COMPANY_NAME":"Switzerland","USDSEK^FG_PRICE_CHANGE(0,-6AM)":0.1603961,"USDCHF^FG_PRICE_CHANGE(0,-6AM)":2.083218,"USDUSD^FG_PRICE_CHANGE(0,-6AM)":0.0,"USDEUR^FG_PRICE_CHANGE(0,-6AM)":0.21352768,"USDAUD^FG_PRICE_CHANGE(0,-6AM)":-0.8358419,"EWN^FMA_EPS(NTMA,-20AY,0,CY,,\"PORTAGG\",\"MEANR\")":[1.49109929215903,1.5900517234348,2.15625739003115,2.62697068480407,1.79921066251297,1.65442974417331,2.1135843669069,1.84050659390711,1.84155905202006,1.85694784607263,1.61003576125895,1.5506283745409,1.60511092021475,1.99467947715871,2.00955458235889,1.99085799541384,2.00892946055423,2.43601807945448,2.4294142632387,2.95560750497075],"SPY^P_PRICE_RETURNS_PR('52W',2,-10AY,0,AM)":[20.604086,19.729614,17.133713,20.180428,12.211204,16.692947,14.968145,13.397169,16.86573,13.320017,17.443382,12.71826,10.627996,8.787584,9.19497,0.15053749,9.0145,1.2000084,0.87023973,-4.61185,-8.809787,1.2128592,1.6216159,-0.40470362,1.394558,4.696691,6.8541527,10.7528925,8.675981,6.4347386,15.263104,22.826218,27.404892,19.808733,14.098871,18.09188,19.74908,16.041994,13.922405,19.713234,22.112392,21.78173,19.490028,25.065697,16.4927,18.619072,16.208792,16.15156,15.854513,16.52229,17.712843,18.420815,10.342873,7.2334647,1.2949705,-4.4139266,5.3565383,3.6136866,11.240339,4.944098,6.1864257,9.757864,5.76725,5.587232,11.035895,15.887249,21.968306,29.027187,24.89072,-2.4612963,-3.0302584,2.3393989,7.6696634,6.840849,17.467928,13.514161,20.498371,18.129803,18.790268,18.011427,18.580128,61.84759,52.187836,48.04664,43.42694,40.42952,34.374428,35.689175,26.054228,34.169186,29.18074,23.958408,14.250398,8.180655,8.797908,-0.78920126,-10.450363,-11.791116,-2.6786447,-10.720926,-14.628273,-12.768346,-12.539017,-12.818718,-4.748142,-6.770438,-5.139226,6.6970587,18.430185,20.626247,7.8582883,15.458703,19.78085,12.21553,18.90992,21.921026,21.513474,35.942806,27.016699,28.404045,26.036728],"EWU^FG_TOTAL_RETURNC(-10AY,0,AM)":[-0.18331409,-0.23601055,-2.8005779,-0.496763,-8.287567,3.3206224,-6.269753,0.71269274,7.626641,-5.393976,3.801012,6.1389327,-2.9426694,-1.3710678,-1.2412369,-7.3770404,1.4749289,-3.372091,-2.6474178,-6.5764904,-1.2145698,7.1721315,2.3581862,-2.6151896,-1.3427138,2.53402,2.0077705,-1.2698412,-2.5723517,-0.66006184,4.119599,1.3524055,2.1385312,-0.031250715,1.3441682,5.089462,0.469625,0.36125183,-0.41666627,2.6897788,2.8812528,-2.7439833,3.1704426,6.600511,-6.41337,0.0,4.462993,1.3506055,-1.1966228,-1.2284815,-3.3951461,-1.7129421,-2.8846145,-1.0210395,-4.5326653,2.28647,4.023552,3.6478043,2.9732943,-4.655266,1.2360811,1.0008335,-6.6955924,5.0830483,0.031614304,3.0973434,4.5370936,0.6169319,-1.927644,-27.366192,2.8725982,-0.8903265,7.1457744,-0.37986636,5.3592205,-4.20199,0.0,8.926511,3.7442684,5.7949424,-0.58593154,4.354942,0.47066212,4.153645,2.8788686,-1.9857764,1.9655347,-2.0759225,0.63596964,0.842607,-2.4598598,8.425034,-0.08698702,-8.589667,8.190477,-7.4823976,-3.2671452,-2.8046727,7.4201345,-7.6750875,-6.962246,11.206257,6.831038,3.7531734,0.64378977,-4.447156,7.6824903,-1.657778,-0.7886052,1.886785,-1.335758,-1.5076995,-1.0621607,-1.2630224,5.4684997,1.6197205,-3.2966971,6.5656543,-0.11847615,7.265711,-1.0860205],"EWJ^FMA_DIV_YLD(NTMA,-10AY,0,AM,\"PORTAGG\",\"MEANR\")":[2.09275198343229,2.09376186010652,2.09662962782922,2.03087911859775,2.1639994340859,1.94567613347326,1.98230305646273,2.03632781494883,1.9646430271835,1.8498009923156,1.84665129154845,1.87829439688547,1.88186802131432,1.94642836369547,1.89916568057802,2.15276343281783,2.12467432530249,2.02257399959464,2.07737373551735,2.26061939708488,2.72611818648658,2.36690275269492,2.41278442712358,2.43054599167972,2.46320943686843,2.42068861295412,2.38061433558784,2.38541274185245,2.37802821617411,2.32742917500156,2.08613218619568,2.0992942701875,2.11606169976065,2.11673553649264,2.29404287345227,2.1557088412763,2.17927164021719,2.16460656561645,2.18696468023619,2.19446270235801,2.12405738967706,2.06229171440626,2.05631814802024,1.99754769207599,2.220782870301,2.21333444311236,2.25800327933796,2.19318180309022,2.21118790417377,2.29955192372787,2.37877834961279,2.34948366700499,2.3726804706327,2.48321123909355,2.52831954894327,2.69154535046905,2.59793084364098,2.58757087771525,2.58356196883387,2.68809513142825,2.70415301576782,2.64662366261939,2.80519682133709,2.57818344947752,2.61505757434187,2.46632642291133,2.41241539765511,2.43070800842809,2.45492760404959,3.29129253596066,2.94397224731239,2.77702339752959,2.5086080546618,2.48450945958523,2.38790134960434,2.3623667193667,2.35543846329375,2.28235482513153,2.16157404850999,2.07802388790746,2.02971241420767,2.0545321834033,2.0736260749494,2.23930604697373,2.16490572070782,2.18132106686765,2.21960550297136,2.12698821045198,2.26931755622134,2.21599921579603,2.31946217840483,2.31579628432933,2.41809457537003,2.70573520467102,2.59022662765537,2.65636633553598,2.6507323457762,2.68236250249059,2.5720348000852,2.58463848672169,2.78100942441523,2.59856581885832,2.63541835362737,2.72701553258591,2.61747470741402,2.61338084648549,2.61096865623034,2.53162841040017,2.34027285979379,2.38877835548944,2.36540008457289,2.31309254251935,2.3958408501973,2.40779844779854,2.4258488914706,2.29752108534399,2.2360355606343,2.23498261116316,2.176254535898,2.24033138566999,2.22170148101999],"EWC^FMA_PE(NTMA,-10AY,0,AM,\"PORTAGG\",\"MEANR\")":[14.9419446970441,14.9990897095961,14.9391621901103,15.1331289476547,13.725420255169,14.5812974257576,14.4756396890698,15.2455441189781,17.4078061118425,16.8889986361693,17.3537763405399,16.6860081166481,16.2098284864258,15.75106421151,15.3906465369742,14.6495285211832,15.0889753677022,14.2643654664393,13.9753990109654,13.4126021946093,14.2089876539957,15.764855796024,16.1937384784058,16.4751897592953,16.485766319701,16.5883072831732,16.5464967313097,15.8374322697327,15.9671135716175,15.6758626920737,16.0167807332234,15.9586827809231,16.2633973096534,15.924783042634,15.7418719508532,15.6157592980341,15.3963740659967,15.2673618711012,15.4348748627939,15.2617643007059,15.7554105015151,15.9110606789953,15.9933672432543,15.8605221565807,14.4162165090862,14.4990401977598,13.9519023587795,14.3439645129227,14.3778707816372,14.3758713952182,13.9580076968251,13.5204855317619,12.8759536274433,12.5834913282579,12.4847131636745,12.9128227284111,13.7965918234432,14.2176707600971,14.0674127514822,13.4727893994194,13.5019688592823,13.6863297284055,13.6040822110636,13.9564269021485,13.769537392674,14.34493646084,14.3742179183141,14.5098101508883,14.9897557272527,12.1382675883925,14.6562363639567,17.4105358741666,17.698490819762,17.4279094218549,17.4998385306417,16.747630176199,16.3854754004786,15.9816436076636,16.1704747839626,16.1223346147106,16.2879756623633,15.4849233659695,15.5450343466162,15.271938880119,15.5821467785511,15.4202177626693,15.070826504876,14.8703695172058,14.6892171025618,15.0832653452175,14.2121602392571,14.3989790802271,14.3682561642342,13.5264539735141,13.3818264738679,12.1170865169325,11.7522931777312,10.8618406810513,11.8424093117307,11.5012593506848,10.8988544073951,11.9564720952585,12.2045881574325,12.6686151277673,12.9538085312067,12.345202345514,12.9824133070998,13.0549092090132,12.9157168339873,13.208341873311,13.2612575674658,13.1170857701732,12.5129370194488,12.5337954167832,13.3429695834736,13.9590769250466,13.9255285891966,14.9655931842351,14.6935024869981,14.7723067334025,13.9988174459701],"ENZL^FMA_PE(LTMA,-10AY,0,AM,\"PORTAGG\",\"MEANR\")":[17.9694723488328,17.9096378356181,17.8256814244648,17.9183637763083,17.7074310414407,18.7147168779829,18.9364000454241,19.4951732465757,20.0170029440265,20.459712180041,20.1962277808419,20.0363899192999,19.9608641740254,19.5647061246624,19.4392605913674,19.0525039041733,18.8205944143256,19.3736745263038,19.4732059544712,19.2214774563727,18.4106846123147,19.3356460295648,19.3315292605761,19.6297764744358,19.6954652915803,19.9723247121541,20.6738365589074,20.7899363677752,20.4398896859487,19.5124372077911,19.7622577747892,20.4151542588447,20.6331399685053,19.7920189947747,19.8158037117437,20.0152583091748,19.9546421773666,20.0943161337835,20.4946706374448,20.5717983249532,20.9045520888902,21.0491944150414,21.985063180124,21.8488627491897,20.6262746160719,22.5836223053219,22.3788953397548,22.4615906030511,22.782088710484,22.9221282452391,22.9884954892708,23.5363230357291,22.730182309972,22.9650495925175,22.8673381654254,23.2702327107766,24.1621774130004,24.07815155579,24.0774912388268,24.2714798880156,24.3166220233186,25.0577862933579,25.4249217558567,28.5598213671919,28.7125919732495,28.9071096550953,31.3729911298711,32.2672528691842,33.48955191211,30.2237769179724,30.7407358287059,32.2013933703718,32.0777544676088,33.3097973260319,33.7645518273545,33.7593155996043,35.4227440561232,36.065183193669,37.1212536720626,37.8568208313231,34.9563876207825,34.4423549580636,34.5079162143619,34.7574548808754,35.3670873351657,36.6173132394434,36.9693838698734,38.6433202672553,38.5560806647369,38.7604880513004,39.3060316456823,38.6032416101094,36.833960226324,35.072985904635,34.5064765713296,34.065085494555,32.9619324751312,33.0851941804768,33.3462320873665,34.2184067712643,31.0513809820993,31.2948009576031,29.4660220686702,29.6400465486256,29.7206267066944,29.1817236773082,28.7277596189854,28.2728400774899,26.3274486395928,25.8615947991424,24.8749917649049,24.093327626821,23.3600010527978,22.5392548498262,23.9200835637246,24.0566025420845,22.8616124631801,23.784117262134,24.0945513504803,24.5576831281289,24.1988131096092],"WL-FDS^FG_PRICE_MAVG(0,,,,30)":554.35333,"NI-FDS^FG_PRICE_MAVG(0,,,,30)":19108.834,"CPALM-FDS^FG_PRICE_MAVG(0,,,,30)":3913.8333,"BRENT-FDS^FG_PRICE_MAVG(0,,,,30)":85.86,"TIOS-FDS^FG_PRICE_MAVG(0,,,,30)":114.53833,"FC0000CH^FG_PRICE(0)":333.19852,"FC0000AU^FG_PRICE(0)":359.88345,"EWN^FG_PRICE_MAVG(0,,,,30)":51.092667,"EWU^FG_PRICE_MAVG(0,,,,30)":36.028,"EWC^FG_PRICE_MAVG(0,,,,30)":37.887,"QQQ^FG_COMPANY_NAME":"Invesco QQQ Trust Series I","EWJ^FMA_ROE(NTMA,-20AY,NOW,FY,\"PORTAGG\",\"MEANR\")":[9.47226395470966,9.71080928595139,9.94594902069009,9.91062584648368,6.32645011325218,5.71374560341251,7.77608846456594,7.29309511734397,7.60463906390222,8.908847583029,9.08038865449702,8.77889818317635,8.62096827520989,9.23986519100434,9.49570678525962,8.35596278131311,7.43859928704762,9.22076567652677,9.22544557398871,9.29937608846777],"TRYQA10Y-FDS^FG_YIELD(-10AY,0,Y,,\"YTM\")":[null,2.7255995,3.5394266,null,null,null,null,null,null,null],"TRYCH10Y-FDS^FG_YIELD(-10AY,0,Y,,\"YTM\")":[0.314,null,-0.12,-0.09,-0.176,-0.434,-0.49,-0.111,1.617,0.703],"CAGDPY@CH^EE_ACTUAL_ANNUAL(MED,+1)":8.1,"CC_JP^FG_COMPANY_NAME":"Japan","USDSEK^FG_PRICE_CHANGE(0,-3AM)":2.2179127,"USDCHF^FG_PRICE_CHANGE(0,-3AM)":1.8506885,"USDEUR^FG_PRICE_CHANGE(0,-3AM)":1.5968084,"USDAUD^FG_PRICE_CHANGE(0,-3AM)":-0.25601983,"EWQ^FMA_EPS(NTMA,-20AY,0,CY,,\"PORTAGG\",\"MEANR\")":[2.02293794620879,2.09338204215347,2.69740018358616,3.1669085058651,2.36664992614361,2.07401175960449,2.36258917800502,2.15605314606315,2.15764377090538,2.15768724966229,1.78907537429816,1.66363137331966,1.69319582409989,2.10907755629154,2.23155948612122,2.19705971628031,1.85109750631934,2.46081747041971,2.80266518747483,2.92070468056675],"QQQ^P_PRICE_RETURNS_PR('52W',2,-10AY,0,AM)":[28.897,29.031647,26.994646,29.483116,19.058586,24.989975,22.62621,19.839155,21.104717,19.301832,29.203785,23.68226,19.454002,16.21188,15.652418,6.71314,15.369785,7.8991175,7.8887105,1.4003634,-6.583029,2.348566,4.3162704,-1.2498617,0.42089224,2.6794075999999998,7.2407603,10.439467,11.521816,3.5098672,9.959221,22.213804,32.147587,24.969732,18.782162,32.236908,31.263315,28.094912,22.58234,28.313887,28.056728,34.207058,30.792831,35.237564,25.79763,31.65902,24.825727,23.60481,26.3525,28.404903,27.92362,27.047909,18.874311,9.020734,6.65406,-0.75089335,8.004308,3.9679527,15.559519,6.2999606,5.2315235,8.786821,5.392468,5.2566648,13.697254,22.187126,26.623451,38.632107,37.94228,9.554577,10.1888895,23.87352,30.467583,34.66692,45.800243,41.675793,55.262924,45.397152,48.35974,44.05738,44.640957,79.1736,68.80546,46.49997,46.726643,40.97446,36.124374,39.938713,22.8868,37.5908,30.647266,20.073795,4.230273,2.491641,2.1785855,-4.992759,-18.902195,-20.745241,-9.606457,-21.523708,-24.864668,-25.818407,-25.957233,-25.055843,-11.618453,-9.733194,-7.142329,12.49094,32.907284,33.68101,13.81681,28.322935,36.807884,31.885742,40.824116,47.780643,41.7086,52.49349,40.936375,37.227104,32.107353],"EWL^FG_TOTAL_RETURNC(-10AY,0,AM)":[-0.20006895,-0.88035464,-2.7634025,1.2158036,-8.108103,6.6993475,-1.8376768,-1.2480497,3.69668,-1.0664165,5.3587914,3.683138,-1.6633749,-0.19480586,-1.8529415,-4.7947226,-0.37771463,-3.2859385,-0.32669306,-4.2936745,-3.527397,5.7152987,2.0819306,-1.4473677,-0.80106854,2.5585055,3.5028577,-1.3016582,-2.3079455,-1.5187263,0.85674524,3.7683964,0.85190535,2.9239774,0.94696283,6.941843,0.9941578,1.7240882,-1.1627972,2.1176457,1.9873261,-3.5300791,2.6346684,4.1928053,-4.379958,-0.14314055,-1.3188183,0.23243427,-1.7101467,0.63341856,2.2228837,2.3508787,-6.689638,1.3230801,-1.1843264,0.89120865,1.7666698,4.100561,2.3864388,-1.26369,6.4846396,0.74658394,1.3257623,1.0146856,-1.1102378,3.4750104,1.8858194,3.0426025,2.8051138,-17.687887,4.5071244,2.2815824,5.0326467,4.968822,4.739213,1.1491537,-0.49703717,1.8553734,1.6581059,4.1665077,0.08826256,-3.1084657,4.7554016,1.3683677,8.325684,-0.40290356,3.236246,-3.154391,-2.8727531,6.3736796,-0.3720343,0.88443756,-5.2211165,-7.173693,9.588135,-11.456865,-6.9714904,2.7284145,7.212472,-6.7954597,-8.997804,16.050375,0.23088455,2.741301,0.67265034,-4.07573,9.867657,2.1766663,-3.041768,2.9880047,-1.5247822,-3.1612933,-2.1763265,-2.20204,9.09934,1.8723369,-4.6992483,6.793773,-6.484711,4.696071,4.751289],"EWG^FMA_DIV_YLD(NTMA,-10AY,0,AM,\"PORTAGG\",\"MEANR\")":[2.98037365682393,3.10477820995579,3.25728131543411,3.12056939103687,3.43700461962687,3.35119754767499,3.25471664018052,3.15255239136667,2.87514862004182,2.67702364842334,2.61521367148495,2.92112354785214,3.01079436468088,2.95706552797237,3.10065522127063,3.37282846320245,3.33204842347232,3.02524501940281,3.14603142088753,3.27899429746369,3.66381175684841,3.33529131160523,3.28318412841855,3.35534822446799,3.48325273565303,3.39652613183596,3.14439179500874,3.23610541380981,3.18615973344681,3.17717326560003,3.01493044968802,2.94285311543887,2.94835187192445,2.95002036865828,2.94226077264417,2.87009759506073,2.91918341141442,2.96620457877159,3.13089452200739,3.041094047399,2.95209275135233,2.9402374375491,2.90244157643599,2.8856312831675,3.18053814566082,3.19268667480609,3.18301752127529,3.09773286075758,3.11804121607694,3.21353332551167,3.26819571976133,3.34979326186468,3.54638743823307,3.60163060845669,3.80562674847313,3.82866141842785,3.72058332055474,3.60225070035588,3.47734890093575,3.57195080448465,3.55526287779126,3.48411784281128,3.59723866016183,3.37548867014192,3.37765149597833,3.14053861165905,3.0852074531355,3.05792025456712,3.0004099207967,4.44654209242416,3.59071181663498,3.4163263548973,2.98053909761156,2.81820491671445,2.80209445497468,2.79508690718946,2.80993186776067,2.84558790355991,2.82475335742733,2.70907843642345,2.72719660767588,2.75622450019718,2.69661595543326,2.84686351604012,2.77464175476478,2.77960844032403,2.81370646764527,2.86896951416379,2.98413761963552,2.93907158194582,3.05881481150264,3.04270903720283,3.20265534385878,3.68999096418112,3.64035587129347,3.83154949135508,4.01604075051555,4.2396203622485,3.91826729961644,4.09228801878157,4.39911896204976,3.80626273294324,3.71166327466486,3.53760930042526,3.46983236190053,3.65224740504335,3.52016197437958,3.58322180204801,3.58506744636717,3.64245945699518,3.72068936754222,3.77671245857854,3.91242363643238,3.85382776077671,3.55586580255432,3.59782287993812,3.55017260862241,3.29942135012334,3.35546372313263,3.28952631030785,3.36948543914335],"EWA^FMA_PE(NTMA,-10AY,0,AM,\"PORTAGG\",\"MEANR\")":[14.2249325725567,14.6345834112356,14.6396057746101,14.5786822689824,13.5691681427788,14.3496707216571,13.8352476645141,14.5777792063276,16.0754891492834,15.8692904621087,16.5009324935691,16.1225375992447,15.2840573795958,15.033370135738,15.006729468169,14.3028006920765,14.9145572182361,14.5676168893394,14.7746093515713,14.8543684818508,14.5938031739194,16.1166036707772,15.6134038168183,16.3934742125734,16.2377334367675,16.3079784670803,16.8040362042355,15.6157057306616,16.1333681047195,15.9164664958631,15.7994431586473,15.9297274751967,15.9400705009487,15.7443525858325,15.9096511088234,15.6329438891962,15.4416399279802,15.5116764000405,15.5353954973803,15.6740402017407,15.6684220501209,16.0755612580081,15.9144463387428,15.9867360248566,15.1989726957528,15.4540586907237,14.927285916368,15.5073397881885,15.049311135768,15.5897173357398,15.5023821479073,15.1093827956191,14.4148796462855,14.408033603675,14.0535698704675,14.4239379752127,15.0318079118358,15.1960186139755,15.3265918464317,15.3468268614808,15.9075659685829,16.129652036632,15.9380162641592,16.5538849823196,16.5104808010076,17.0473343986615,17.2003385655731,17.6030117754955,18.2193807071804,14.3139277873065,15.9518416194923,17.3178289769049,18.895941818929,19.0110700958965,19.5476260968282,18.4732198250566,18.9751502485634,19.0276964392018,19.2541317673783,19.2159636949322,19.0516314575525,18.058742089099,17.9248792721267,17.6443138876858,18.1272075763175,17.0442949532051,17.3014483183187,17.0466319970377,17.161469641004,17.5305935160992,17.2544537420896,17.7356835453782,15.9710431809822,15.4753693266256,15.5849594147033,14.1023480797516,13.4377724824258,12.8544293799105,14.1165804759574,13.8150445963238,12.6910896939485,14.26953039134,14.3839290910489,14.5858706406704,14.8644567438658,14.1398961350204,14.7094575657798,14.5721761784515,14.7014962758147,15.2772499469978,15.4037629449184,15.208543825818,14.698931050412,14.7048064677222,15.5042814024609,16.1770275885291,16.2799720754324,16.6140310613695,16.553236676077,16.6576908668705,16.7429612216722],"ENZL^JULIAN(FMA_DIV_YLD(LTMA,-10AY,0,AM,\"PORTAGG\",\"MEANR\").DATES)":[41803,41831,41864,41894,41925,41956,41985,42017,42048,42076,42107,42137,42167,42198,42229,42258,42290,42321,42349,42382,42412,42440,42473,42503,42534,42564,42594,42626,42656,42685,42717,42748,42779,42807,42838,42867,42899,42929,42958,42991,43021,43052,43082,43112,43144,43172,43203,43231,43264,43294,43325,43356,43385,43417,43447,43476,43509,43537,43567,43598,43629,43658,43690,43721,43749,43782,43812,43843,43874,43903,43934,43964,43994,44025,44056,44085,44117,44148,44176,44209,44239,44267,44299,44329,44358,44390,44421,44452,44482,44512,44540,44574,44603,44631,44664,44694,44725,44755,44785,44817,44847,44876,44908,44939,44970,44998,45029,45058,45090,45120,45149,45182,45212,45243,45273,45303,45335,45364,45394,45425,45453],"WL-FDS^FG_PRICE(0)":567.4,"NI-FDS^FG_PRICE(0)":17550.0,"CPALM-FDS^FG_PRICE(0)":3934.0,"BRENT-FDS^FG_PRICE(0)":85.86,"TIOS-FDS^FG_PRICE(0)":107.12,"EWU^FG_COMPANY_NAME":"iShares MSCI United Kingdom ETF","EWG^FMA_ROE(NTMA,-20AY,NOW,FY,\"PORTAGG\",\"MEANR\")":[11.8275550599933,12.5810872006639,13.372977849048,14.712722857709,11.5210886767193,11.0094337648339,13.0475804034897,12.3546044213534,12.1037876491794,12.1465108243325,11.8873581616615,12.0284649417774,11.8967042128795,12.2469207943648,11.6510152415578,10.4475672102116,9.71471543630713,12.1997093940908,11.8187115511422,11.9489916743573],"TRYUS10Y-FDS^FG_YIELD(-10AY,0,Y,,\"YTM\")":[2.1881,2.2961,2.4752,2.4325,2.6836,1.9185,0.9174,1.5119,3.8776,3.8791],"TRYEU10Y-FDS^FG_YIELD(-10AY,0,Y,,\"YTM\")":[0.5475,0.636,0.2082,0.4294,0.239,-0.189,-0.575,-0.181,2.533,2.004],"ENZL^FMA_PE(NTMA,-10AY,0,AM,\"PORTAGG\",\"MEANR\")":[17.2542515033684,17.1045994736078,16.892919304211,17.1659816472428,16.8492398611937,18.0356424307614,18.0288878184422,18.6367029176258,19.1156929591577,19.1081788411142,18.4146770977364,18.2589118288323,18.2507511166599,17.7139284599617,17.7622721007449,17.3210124041124,17.2328703694225,17.8848303692998,18.0727813724927,17.7156815358848,16.7380149465432,18.153055509205,18.4938154834133,19.2524747814934,19.1461537205692,19.5013546137178,20.3174118407016,20.2635159348456,19.5216106988551,18.2548768664489,18.3869668898028,18.8846328835275,19.2507979323317,18.9697896008183,19.1344785577349,19.6615443414974,19.3169912754762,19.4426490962194,19.8077907127297,19.8160843430855,20.051564504366,20.0163206320003,20.6432152502727,20.4087889258835,19.3296895246372,20.5152678576169,20.1302282453117,20.5529675364946,21.274091164884,21.2359422087086,21.1320075902186,21.6268366370135,20.3722606214412,20.3665727076022,20.0472778227183,20.3463813494912,21.3218620499043,21.5138716298856,22.1372194626763,22.9500243614572,23.0376650358806,24.3683662054496,24.588675389168,25.9268190306857,25.265198976926,24.5032527782114,25.5440818691918,25.7241543026478,27.0875197006164,22.45583983255,26.3703792008833,30.7178647637311,29.9774854899252,31.6658526456423,31.8293093236518,32.1004820471733,33.4644695407041,33.1558479683695,33.229776290467,33.9360605704155,31.9788038876862,32.2025418379061,32.3496953909803,32.4324631748088,33.1492931193202,34.5380649869161,33.8784792315548,35.0243077874777,33.6755240592695,33.0293827518222,32.437050414225,31.633250582996,30.002821874121,28.6664040408046,28.2139813995506,27.4362369243776,25.4411484369171,26.0397821423538,26.4242316214815,26.8629320331861,23.3108248595315,23.5166884132962,23.2407105411859,23.5995512556761,24.1463870692123,22.902851971246,23.4311302725013,23.5461593745766,20.5825927476694,21.1101073852181,20.5081165159715,20.2451470203979,19.8057004111295,20.0815369347298,22.5552647790465,22.9520355266951,21.7963772052784,24.6712738120217,24.9411610829869,25.3210784060963,24.0579982596121],"PASP-FDS^MAX(FG_PRICE(0,-5AY))":3158.12,"PLATI-FDS^MAX(FG_PRICE(0,-5AY))":1272.59,"W-FDS^MAX(FG_PRICE(0,-5AY))":14.2525,"COPP-FDS^MAX(FG_PRICE(0,-5AY))":5.119,"TRYZA10Y-FDS^JULIAN(FG_YIELD(-10AY,0,CY,,\"YTM\").DATES)":[42004,42369,42734,43098,43465,43830,44196,44561,44925,45289],"CAGDPY@CH^EE_ACTUAL_ANNUAL(MED,0)":7.64221110543266,"CC_DE^FG_COMPANY_NAME":"Germany","USDSEK^FG_PRICE_CHANGE(0,-1AM)":-3.3572316,"USDCHF^FG_PRICE_CHANGE(0,-1AM)":-1.3186216,"USDEUR^FG_PRICE_CHANGE(0,-1AM)":0.29706955,"USDAUD^FG_PRICE_CHANGE(0,-1AM)":-0.29367208,"SPY^FMA_EPS(NTMA,-20AY,0,CY,,\"PORTAGG\",\"MEANR\")":[7.60742439139767,8.83942892152885,9.84578104860351,10.5833561911057,8.05373941846298,8.02297532880562,9.85143912569227,10.9336154938693,11.5093609233453,12.2962726199201,12.8692035676989,12.7487032117915,13.3024280719142,14.7240376920018,17.3558464695548,17.7294354307027,16.6617703337835,22.2767073880581,22.9687104706434,24.3449868014255],"EWU^P_PRICE_RETURNS_PR('52W',2,-10AY,0,AM)":[18.762089,18.136002,11.473131,8.541322,-0.3014326,0.14212132,-4.859805,-8.347118,-2.3568392,-5.3394136,-2.8464615,-3.3566654,-5.941921,-7.097453,-5.607051,-12.090075,-2.7809083,-9.078396,-8.3966255,-12.399465,-19.211079,-9.371752,-10.181886,-17.589891,-16.231388,-12.914669,-10.489904,-4.118723,-7.942897,-8.015739,1.219368,9.809899,13.537205,5.9060097,4.8568487,12.077737,15.231252,12.789429,9.899402,14.524687,20.935322,18.39838,17.31906,23.670244,13.06237,13.097704,16.578245,12.961149,10.566055,8.814669,5.560076,1.0342956,-4.330367,-2.938497,-10.185492,-12.547672,-4.209316,-0.7150769,-2.0499349,-7.9305053,-5.6635857,-3.4241378,-6.8300486,-0.38787723,2.826035,6.872511,17.025805,15.11569,8.529913,-23.944933,-24.019306,-21.019005,-16.306288,-17.55119,-6.8989096,-14.285147,-15.152049,-10.354721,-8.041233,-6.456208,-5.746472,42.03029,33.054615,39.826157,37.132133,32.093502,27.838696,30.67584,31.506908,23.624956,14.466488,17.312157,19.584667,3.9938807,11.211384,-1.2131512,-7.1146965,-7.890737,-2.4426281,-8.511818,-15.419364,-6.810397,2.1574855,-2.2443175,-1.5293181,2.9331565,2.4498343,12.35634,11.690056,17.081142,8.125603,14.721417,21.996582,8.317411,6.9359064,5.545926,0.63626766,12.234974,5.162668,13.55052,13.210106],"EWJ^FG_TOTAL_RETURNC(-10AY,0,AM)":[4.6902657,1.6206145,-0.083744526,-1.1735141,-7.3791323,7.78389,-3.4834385,-1.0053515,6.7084074,4.6102166,2.964747,1.2451291,-0.38431883,-0.50362945,0.70148706,-9.13313,2.1294713,3.0025125,-2.7530372,-4.723561,-8.362675,10.758888,2.6886463,-2.6182473,-0.78057647,4.846394,3.6134481,-0.97323656,1.0647058,0.28363466,3.7373662,0.26654005,1.3558745,0.03876686,-1.918602,3.4775734,4.1817904,-1.3111293,1.0654211,1.9974113,4.0435195,2.509582,2.261138,6.2098145,-6.2716665,1.8493652,-0.5777538,1.7433167,-0.9464741,-4.4303417,-0.69493055,0.54234266,-1.2876332,-4.5478525,-1.0711014,-0.59769154,1.8925071,0.7986665,1.4556885,-4.0138063,2.4408698,2.678585,-2.5957525,5.982113,0.4923582,4.461944,1.7252922,-0.26200414,-1.6204476,-21.429783,8.428788,4.444897,7.137406,-0.3474176,4.252255,1.192534,1.5029907,6.646478,4.054904,5.3391457,3.3959627,-3.6477983,1.0733962,-5.32434,5.177474,-0.6823361,0.33620596,7.532048,-8.305102,3.5461068,-3.2846272,0.62789917,-4.9769697,-8.474046,0.034165382,-3.82514,-4.508078,-0.9951174,8.15475,-9.977203,-4.2267265,11.734796,2.009976,1.5200377,2.3251653,-3.184712,4.694164,2.24185,6.2431097,-0.51959753,-2.8648317,1.4828086,-4.3352547,1.4434338,5.906689,5.2434325,0.46665668,3.9406776,-0.44688582,-1.9982576,-0.04159212],"EWC^FMA_DIV_YLD(NTMA,-10AY,0,AM,\"PORTAGG\",\"MEANR\")":[2.82850573881603,2.80717271384625,2.80747521133306,2.75966064471016,3.04258145413309,2.93772301806042,3.12805441277927,3.04638765993461,2.83919569314153,2.94728738109468,2.82492149008133,2.89972059036429,2.95679757740146,3.02469603532439,3.07953130629037,3.25702790268895,3.18310139178313,3.38484276603167,3.4645427904955,3.61299235346312,3.45973871518972,3.13247927740252,3.11000744100921,3.09416081386268,3.0737281647734,2.99703738916391,2.94639855111516,3.02728938780009,2.95162802479778,2.96792492493677,2.81957978459056,2.81112142195296,2.79314810519137,2.89843231164015,2.93663049030182,2.95319853189571,3.00028105061522,3.04776507217708,3.07048197542642,3.08727216363092,2.9507302059102,2.91640242533394,2.90754107044466,2.89618561555678,3.15759244791312,3.12131315350128,3.21874850736278,3.08208078040371,3.05968216481966,3.02921272572134,3.09774414838837,3.18038207666807,3.33450563755827,3.40181152660332,3.48762984553493,3.4558842174348,3.33032387924838,3.26239157826816,3.19934838128118,3.30500483597095,3.34564787486286,3.30692695815727,3.38825432948463,3.32146467356768,3.36744233887423,3.25359652258398,3.25862360279777,3.22780574075392,3.20419048340219,4.20415315458589,4.09247341441309,3.83708485038199,3.60569963088323,3.52506880862679,3.35122647725241,3.40981523896615,3.37557425564437,3.33243732239772,3.11411761245382,3.03247628364727,2.93004478567325,2.84287861092634,2.76406134215121,2.76451621783848,2.57534671046452,2.70244807396916,2.69165430836072,2.74416496310694,2.75919745752346,2.66321960706979,2.83914609760133,2.77585275568162,2.76645078205049,2.85013774417484,2.84944344496494,3.19589021391299,3.27271180638586,3.48688623570517,3.25785974228348,3.40692063709256,3.60183175426064,3.3239846603069,3.37602941645407,3.35626827084282,3.2486196327703998,3.45414209312345,3.25920384771525,3.26096236903705,3.30210117895707,3.21575979536719,3.42131480981552,3.49147255480297,3.65754749999529,3.58466468707155,3.41914433982615,3.26251978720182,3.29935361381673,3.04104104901935,3.0353178105642,2.96619483082807,3.33501683498195],"DDR3512M-FDS^MAX(FG_PRICE(0,-5AY))":3.3053632,"FC0000JP^FG_PRICE(0)":170.70012,"FC0000NZ^FG_PRICE(0)":395.41663,"EWQ^FG_PRICE_MAVG(0,,,,200)":38.661427,"EWL^FG_COMPANY_NAME":"iShares MSCI Switzerland ETF","EWC^FMA_ROE(NTMA,-20AY,NOW,FY,\"PORTAGG\",\"MEANR\")":[14.6738571923606,15.7709471724654,15.8547136543611,16.5705490516163,13.8099900139916,11.8327104416904,12.6984457284378,13.5092848924233,12.804929450575,12.2925364029644,11.8034021278505,10.9923508764539,11.4792366602027,11.3979128674428,12.4990081822477,11.9786783863837,11.1922086822881,14.1061782856045,14.0029403106189,13.147116166704],"TIPSCL10Y-FDS^FG_YIELD(-10AY,0,Y,,\"YTM\")":[null,null,null,null,null,null,null,null,null,null],"CAGDPY@IT^EE_ACTUAL_ANNUAL(MED,+1)":0.9,"CAGDPY@JP^EE_ACTUAL_ANNUAL(MED,+1)":3.65,"CC_CA^FG_COMPANY_NAME":"Canada","USDSEK^FG_PRICE_CHANGE(0,-1AY)":-2.287829,"USDCHF^FG_PRICE_CHANGE(0,-1AY)":-1.231432,"USDEUR^FG_PRICE_CHANGE(0,-1AY)":0.28779507,"USDAUD^FG_PRICE_CHANGE(0,-1AY)":2.2590399,"QQQ^FMA_EPS(NTMA,-20AY,0,CY,,\"PORTAGG\",\"MEANR\")":[1.41943121352323,1.68578719870209,1.94027371724036,2.37669563100619,2.17042637250219,2.60687130060486,3.60763505413585,4.63179037237028,4.97239360017991,5.01453468918522,5.91894771391699,6.05997516056538,6.56529580140728,7.49098519655955,8.94438586016391,9.35231845695688,10.4260783076313,13.6402697494705,12.7503134568906,16.3243001938228],"EWL^P_PRICE_RETURNS_PR('52W',2,-10AY,0,AM)":[19.017529,15.799856,9.987235,11.946392,1.1086464,4.278326,4.6156883,-1.7378986,0.4916191,-0.8619368,2.9875517,3.7014961,1.6569734,2.887702,3.85108,-2.5500536,5.901718,-4.008931,-3.969562,-5.5374146,-12.0646,-4.804039,-9.014702,-13.516885,-12.758517,-10.351807,-5.3179083,-1.991111,-3.8900852,-4.046088,-0.97192526,7.3699594,12.243938,9.280229,8.065248,16.178417,19.38635,18.415047,13.0772,16.994644,22.138596,19.644081,21.753168,22.733711,15.909147,12.4550705,9.930981,3.8845658,0.27512312,-0.8000314,2.598071,2.8323889,-5.6500196,-1.1833608,-4.8603,-7.009506,-1.9530535,2.2137403,6.2368035,4.4686437,13.1785755,13.750065,12.311459,10.845256,17.872084,19.968044,23.695385,26.333046,27.622175,0.910604,3.0007243,6.699109,5.413127,9.654951,13.348997,13.111186,14.203668,12.416113,12.938011,13.388264,9.787345,40.04383,30.253433,29.090464,34.390842,26.324522,24.511814,19.214272,16.367935,22.994923,19.103039,15.35033,9.183205,4.0564775,9.476185,-4.3748674,-17.878538,-15.296656,-11.146397,-15.341461,-20.680206,-12.918925,-12.9408655,-11.338472,-5.8251143,-2.6821375,-2.433914,14.762676,17.34494,17.641472,8.5724945,12.267494,20.683014,1.701963,10.700596,10.134708,3.9072871,15.681351,-0.29313564,0.89155436,9.000742],"EWG^FG_TOTAL_RETURNC(-10AY,0,AM)":[0.25236607,-1.9311368,-6.382978,1.2587309,-11.1533165,4.5083523,2.7891397,-2.2069395,7.991123,0.0,3.5628557,-1.5216649,-1.91468,0.30697584,-2.7092755,-5.4623365,-1.8126845,0.19230843,-1.0364652,-5.9348345,-4.65979,8.607268,2.5089622,-1.126647,-2.750492,1.1883974,8.384455,-2.264154,-1.0038614,-0.5850196,3.3346415,2.9966593,1.1430621,2.2967577,0.3207445,8.49024,2.58677,0.5157471,-1.5862703,4.868424,3.0112982,-0.51766634,1.2549877,4.58616,-5.882353,-0.24629831,1.5123367,0.7905245,-2.1116138,-3.3296049,-3.4280121,0.574708,-6.05042,-3.0411482,-4.243541,0.6551027,0.5742669,3.9969563,3.294289,-2.480507,1.7441869,1.3830662,-4.958373,4.7600865,-0.79970956,5.8263063,1.8351793,1.46209,-1.2734592,-27.970129,6.880307,0.26454926,17.941952,4.8479915,7.1505547,1.6431928,-1.3856828,0.13382435,3.2408953,6.2737226,1.6034603,0.72836876,4.609835,0.05760193,4.2752624,-2.1336257,1.3769388,-1.7260909,-5.1252484,3.5204887,-4.4978023,3.2313824,-5.308938,-15.394365,2.3212314,-5.6714177,-4.1460094,-8.719235,10.603296,-8.719009,-7.8768673,22.014736,3.5386205,8.132291,0.8636236,-3.853017,8.237469,-1.0970175,1.107645,3.4519196,-4.290092,-3.6641777,-5.1698685,2.8426766,11.662245,-0.9103775,-1.403147,9.024644,-3.6930919,6.347096,-2.5022507],"EWA^FMA_DIV_YLD(NTMA,-10AY,0,AM,\"PORTAGG\",\"MEANR\")":[4.84038529184913,4.74636694716592,4.76537663922127,4.8052723800259,5.19415421576357,4.92110881091806,5.14562330070198,4.99285422988058,4.618311590846,4.68187158745944,4.5668932333916,4.68308745257731,4.90949735949374,4.9929149271326,5.08266467119291,5.44583403731053,5.23807609991899,5.41668061144677,5.40701911427671,5.45239775765319,5.3109486475608,4.7275102218109,4.84931470682949,4.59766981783266,4.61069825426459,4.55761242715108,4.45046731935085,4.7504224302929,4.55166798700927,4.59867088536719,4.54400368110432,4.47686615468953,4.50821150357544,4.55351331740898,4.49241857908844,4.56118458433826,4.61039570927087,4.60152747383019,4.63807191236003,4.55845475010572,4.53685515543787,4.42789738355169,4.48433334176753,4.45728095530157,4.69011398727565,4.63338349285824,4.78323949451702,4.6041341656191,4.75778945165032,4.56211945827358,4.61603279717488,4.79748950061754,5.02426204733035,5.1367729153705,5.34035234895541,5.19983738357043,4.96855410337719,4.97150489747039,4.89112712028865,4.87916630181323,4.69347700593133,4.61857063885436,4.67798400133548,4.47937054324022,4.48307177315998,4.36765091986989,4.3029217614979,4.2067880355229,4.09163935573898,5.20012743401364,4.5153970448008,3.81655433647367,3.46658433815306,3.44206766029803,3.35539597690318,3.61444189221331,3.5269676576057,3.53253549938006,3.53310169428924,3.55072224525102,3.61076405482337,3.8938234026468,3.91062806291433,3.96616233392958,3.88196959154853,4.07761827458794,4.00076630991481,4.07743619808342,4.07263921030826,3.95580794033634,3.92975079911162,3.8252044196532,4.26377505883025,4.37534610690502,4.35797319774219,4.75718159489333,4.93791685118481,5.19407168917857,4.72951926897852,4.78523033855277,5.20496045763754,4.62663861339013,4.48402327723096,4.39724632312393,4.32474973341795,4.58665791038363,4.40457562565899,4.44080452883409,4.39749524704184,4.2095803542314,4.17803667592156,4.22477751508477,4.37051189686638,4.42530244823934,4.20874382107881,4.04808637053868,4.02596656244763,3.96207304293051,3.96370943113466,3.97473622593384,3.9468041944362],"ENZL^JULIAN(FMA_DIV_YLD(NTMA,-10AY,0,AM,\"PORTAGG\",\"MEANR\").DATES)":[41803,41831,41864,41894,41925,41956,41985,42017,42048,42076,42107,42137,42167,42198,42229,42258,42290,42321,42349,42382,42412,42440,42473,42503,42534,42564,42594,42626,42656,42685,42717,42748,42779,42807,42838,42867,42899,42929,42958,42991,43021,43052,43082,43112,43144,43172,43203,43231,43264,43294,43325,43356,43385,43417,43447,43476,43509,43537,43567,43598,43629,43658,43690,43721,43749,43782,43812,43843,43874,43903,43934,43964,43994,44025,44056,44085,44117,44148,44176,44209,44239,44267,44299,44329,44358,44390,44421,44452,44482,44512,44540,44574,44603,44631,44664,44694,44725,44755,44785,44817,44847,44876,44908,44939,44970,44998,45029,45058,45090,45120,45149,45182,45212,45243,45273,45303,45335,45364,45394,45425,45453],"DDR3512M-FDS^FG_PRICE(0)/MAX(FG_PRICE(0,-1AY))":0.918243557692308,"PASP-FDS^FG_PRICE(0)/MAX(FG_PRICE(0,-1AY))":0.648936170212766,"PLATI-FDS^FG_PRICE(0)/MAX(FG_PRICE(0,-1AY))":0.902712815715622,"W-FDS^FG_PRICE(0)/MAX(FG_PRICE(0,-1AY))":0.815521210128247,"COPP-FDS^FG_PRICE(0)/MAX(FG_PRICE(0,-1AY))":0.880543074819301,"EWQ^FG_PRICE_MAVG(0,,,,60)":41.044834,"EWL^FG_PRICE_MAVG(0,,,,60)":47.4205,"EWA^FG_PRICE_MAVG(0,,,,60)":24.348167,"EWJ^FG_COMPANY_NAME":"iShares MSCI Japan ETF","SPY^P_PRICE(0)/P_PRICE_HIGH_PR(0,,,,,,\"PRICE\",\"INTRA\",\"52W\")":0.99693084,"URTH^FG_TOTAL_RETURNC(0,-12AM)":21.548378,"VWO^PERCENT_CHANGE(FMA_EPS(+1,0,,,,\"PORTAGG\",\"MEAN\"),FMA_EPS(+1,-1AM,,,,\"PORTAGG\",\"MEAN\"))":0.0,"EWI^FG_TOTAL_RETURNC(0,-1AM)":-2.8719366,"EWN^FG_TOTAL_RETURNC(0,-6AM)":18.042315,"SPY^P_PRICE(0)/P_PRICE_LOW_PR(0,,,,,,\"PRICE\",\"INTRA\",\"52W\")-1":0.325603,"QQQ^FMA_PCT_ABOVE_MAVG(200,0,,,,\"PORTAGG\")":62.7450980392157,"EWL^PERCENT_CHANGE(FMA_EPS(+1,0,,,,\"PORTAGG\",\"MEAN\"),FMA_EPS(+1,-3AM,,,,\"PORTAGG\",\"MEAN\"))":3.02708415168564,"EWG^FG_TOTAL_RETURNC(0,-3AM)":-0.14318824,"EWA^P_PRICE(0)/P_PRICE_HIGH_PR(0,,,,,,\"PRICE\",\"INTRA\",\"52W\")":0.96117276,"FXI^SIZE(FG_CONSTITUENTS)":53,"VGK^FMA_COS_DOWN(\"EPS\",\"1M\",+1,0,,,\"PORTAGG\",\"MEANR\")":540.0,"SPY^FMA_COS_UP(\"EPS\",\"1M\",+1,0,,,\"PORTAGG\",\"MEANR\")":164.0,"EWC^SIZE(FG_CONSTITUENTS)":88,"EWC^FMA_RBICS_REV_CURRENT(30, LOC, \"PORTAGG\")":39.7998235576264,"TRYIT10Y-FDS^FG_YIELD_NAME":"Italy Benchmark Bond - 10 Year","EWA^FMA_ROE(NTMA,-20AY,NOW,FY,\"PORTAGG\",\"MEANR\")":[15.4970825561621,16.532509518014,17.0193996486167,15.5609914058652,13.5690116283254,12.8492110125335,14.2386354612725,14.168071267681,12.6921652881541,13.1922555858139,12.5644042089263,10.7321365234713,11.5035211675747,11.9072990069878,12.4009311752812,11.7272453218097,11.0508592064609,12.8471719199911,14.6580605840091,13.2261379950135],"TRYFR10Y-FDS^FG_YIELD(-10AY,0,Y,,\"YTM\")":[0.837,0.9989,0.682,0.785,0.71,0.118,-0.344,0.201,3.07,2.534],"CAGDPY@IT^EE_ACTUAL_ANNUAL(MED,0)":0.508205811941024,"CAGDPY@JP^EE_ACTUAL_ANNUAL(MED,0)":3.61295912215857,"CC_AU^FG_COMPANY_NAME":"Australia","USDSEK^FG_PRICE(0)":10.45955,"USDCHF^FG_PRICE(0)":0.8943,"USDEUR^FG_PRICE(0)":0.9283758,"USDAUD^FG_PRICE(0)":1.5060241,"EWU^FMA_EPS(NTMA,-20AY,0,CY,,\"PORTAGG\",\"MEANR\")":[2.78829402631307,2.94932484667975,3.75488864741091,4.07523919059458,2.818707383858,2.6972177795125,3.36495665882676,3.43468170545609,3.30605625416888,3.23218168522276,2.60589751741525,2.12294202915382,2.123898319152,2.42405089418043,2.57732227429949,2.53485794585659,2.03463841720374,2.71427224340632,3.12760121442787,3.0028044332351],"EWJ^P_PRICE_RETURNS_PR('52W',2,-10AY,0,AM)":[6.762016,1.9407988,4.5844793,3.6258698,-7.2362003,-0.015574694,-3.0926704,-5.6436596,5.707228,13.154518,20.500792,16.602898,11.516476,8.631599,9.485316,0.32684803,11.001884,6.0777545,5.855489,2.8661132,-10.613335,-4.3235006,-6.7208886,-10.280305,-10.637194,-5.832064,-2.353239,5.5918336,4.4909596,0.2713561,8.522606,14.206481,26.318598,14.092482,8.9735985,14.210153,21.586407,14.445745,11.090732,14.980102,18.369055,20.996452,19.274616,27.14405,16.836512,18.951118,20.577288,18.85146,12.720596,9.1579075,7.2566032,5.7265162,1.5479326,-6.5968156,-9.640426,-15.164638,-8.065737,-9.014148,-7.153267,-12.406975,-9.411555,-1.7686605,-4.53611,0.6288886,2.67874,12.113142,15.282213,15.671515,11.6835,-12.9453,-6.9619894,1.2369037,5.7610273,2.7579308,9.982336,6.9489717,6.068063,8.2862015,11.33436,16.986525,21.875525,55.725502,40.549873,27.403568,27.318108,24.652576,19.970226,27.486122,15.167308,13.411784,3.932035,-0.716275,-8.1916275,-12.180096,-14.21774,-12.859374,-20.883953,-21.13312,-14.7266445,-28.829962,-25.664484,-18.624657,-15.394574,-14.64448,-8.085251,-2.7734518,1.7557621,10.409665,20.353949,20.932007,10.0384,22.436846,22.298098,11.033797,15.275216,20.010471,17.332602,25.968002,21.453094,14.814747,8.022987],"EWC^FG_TOTAL_RETURNC(-10AY,0,AM)":[2.8049588,2.4996758,-0.4677236,0.81453323,-10.379118,4.022193,-8.66667,0.1969099,3.692758,-5.413109,6.2123537,2.1269083,-4.338771,-4.349107,-3.860855,-6.799203,4.4795156,-7.799101,-4.472989,-8.932739,5.3147554,14.600682,4.2325735,-0.98441243,3.1483054,1.8060923,2.3061633,-3.731048,2.4626493,-2.0882547,9.336019,0.85048676,2.027285,-3.6849737,0.11253357,-2.173096,2.4511695,3.010857,-0.43908358,4.7041535,2.702701,-0.20505786,0.2739668,4.1517377,-7.57224,-0.21559,0.64817667,3.8282633,0.103378296,0.86336136,-1.3415873,-0.94142556,-4.012668,-2.8969586,-3.0589104,1.8724084,4.8211455,3.3011913,2.2980213,-3.0186057,1.701057,4.10465,-2.8285623,2.378416,-1.0055482,3.5026312,0.43994188,3.0078292,1.0938048,-26.229507,3.111112,1.4224172,9.137273,2.3438811,8.839357,-1.5536726,1.9727468,1.2662649,9.169853,2.9267073,2.9108047,4.866171,1.7401457,3.4492612,4.8575044,-1.8244267,1.5620708,-0.9281337,2.1413207,4.821801,-6.479943,5.686426,-0.48680305,-0.82389116,3.3489108,-9.821653,-1.7802238,-5.6857166,9.784925,-5.463582,-8.902508,12.271714,-2.3359299,3.201902,2.6429176,-8.368313,8.39951,-1.9442141,-0.23495555,3.3750415,-1.6042769,-1.0297477,-4.104042,0.84388256,6.963539,2.835238,-2.809143,8.104277,-2.6212335,2.5841117,-3.0529082],"ENZL^FMA_DIV_YLD(NTMA,-10AY,0,AM,\"PORTAGG\",\"MEANR\")":[4.19889697221484,4.47065595228737,4.56439140523192,4.56760556350107,4.66485136763884,4.46329456240992,4.47531369672272,4.37640147762663,4.27316629263775,4.28238922483162,4.42649785481596,4.47122867908393,4.46107606351032,4.73156838933365,4.71291041035842,5.14860233606005,5.18833966563807,4.91325377011427,4.80690185897919,4.8794742776151,5.05120432421511,4.69045024862221,4.58192116027846,4.48155712038826,4.40268105897041,4.29204636356455,4.13615234542724,4.29742905943129,4.47137155912095,4.75551146868518,4.64118638924414,4.53771713130711,4.48254749987984,4.55302182745498,4.56539463799295,4.44974736439804,4.47325562845419,4.43185354300656,4.37462018184818,4.40251772454556,4.36155552520008,4.46249101247098,4.27445334377918,4.30555839122596,4.55668019776514,4.19163761506404,4.27616846295696,4.16891396826759,4.01315170452193,4.0358404436902,4.09733500119558,3.96540139549611,4.23112928737054,4.1972286118118,4.15360920321673,4.10424526837896,3.96896691831919,3.90706120101657,3.79097998423093,3.67411108214977,3.66727066419534,3.44144533023379,3.40221028207077,3.35165354600795,3.33908241893286,3.36009107810022,3.25209090957933,3.16752264053174,3.05119467504918,3.65272794114443,2.99796309390987,2.58788093369132,2.6142356262672,2.48225155501121,2.43923741565566,2.42285264645463,2.33081996462843,2.35636821420605,2.37329087515197,2.43185740446065,2.56823549901218,2.57817915413614,2.56910824902662,2.65932397059227,2.68127948986522,2.59313267595663,2.6658135152186,2.58107532598273,2.66928124593111,2.71152542435697,2.78182117206002,2.81965725465453,2.97607356038104,3.08455783962233,3.14699753135688,3.22762495671221,3.34526641281096,3.31504204348244,3.2048321336856,3.19454755647745,3.49832297749494,3.38689405810595,3.41721324987161,3.39250912530448,3.30841327300675,3.51558682631992,3.39721415554008,3.48642904628922,3.5035987596188,3.4026919485859,3.44218672125393,3.40048298348267,3.4487987563606,3.48194765102132,3.02229151616615,2.97030149297866,3.05271687630358,2.77015787461601,2.78314335737249,2.7400253785202,2.74651997484081],"EWI^FMA_PE(LTMA,-10AY,0,AM,\"PORTAGG\",\"MEANR\")":[17.3614483231483,17.0932738479799,16.7319561344178,17.9588402743147,16.5330988776316,17.1212211911693,17.8569320977873,18.9910542151029,42.4697962851809,44.0588153560876,41.3673958868418,38.4597896650529,35.4727126625504,32.6267867543922,30.1650414781975,26.8197849684988,24.3219651500257,22.1415681880193,19.3443437809919,16.9833907630738,14.7026285261242,15.491198863705,15.2703574622871,15.4172564617177,14.607878242486,14.5785379015028,15.1614797734865,14.7161144815371,14.4847339195343,14.4928546227796,16.1165998868778,27.708500491864,20.9020852759435,82.9905098910197,75.6114101750278,69.1389552954863,61.5137537784748,54.6640099473089,47.6640328840124,40.1806750977884,33.4113498425122,26.2924338303054,19.5950206458892,15.9424340507552,14.1785976943701,14.1881695258378,14.1213183550001,14.1342325651946,13.5353451475359,13.2622659063843,12.8407163617887,12.4970784398138,11.640564339924,11.4304248126372,10.9541326764414,10.9245469207095,11.0535185979235,11.2791958666872,11.3506178726661,11.0934933940549,11.0016390503922,11.3631178857439,10.8681611000361,11.3828438390413,11.4178771454536,12.0153598341587,11.9679603417242,12.2467817657152,12.7747632243036,10.8037466285777,11.4067698529858,13.4562399400701,15.4533738878511,17.0203969382225,17.9243443576045,18.2445832226643,18.9848752104379,20.5296220030303,22.2710727259828,23.8874484322123,20.6366449810922,20.1309793845693,19.5435566817783,18.7380150347697,18.4783752081425,17.6591693427907,16.4158750835144,15.1635494158739,14.3542052103764,13.9049102710615,12.3618843121288,12.2585520291659,11.7749939214889,10.4997690057126,10.5060785197462,10.2592860068825,9.56722530078096,9.18206692017695,8.7859305006206,8.51597840284146,7.86775673798863,8.46508007121735,7.77622102557451,8.03862081581855,8.31523598458805,8.22891978106875,8.37810637777368,8.3060522317684,8.5043049199642,8.66997991115989,8.24483947741719,8.35359945386408,8.2127689211674,8.18265196059485,8.78257616940369,8.98914691491619,9.07701373708342,9.41442040785571,9.42047152760325,9.56750835434018,9.5893971882502],"DDR3512M-FDS^FG_PRICE_CHANGE(0,-1AY)":-6.80075826290494,"PASP-FDS^FG_PRICE_CHANGE(0,-1AY)":-33.695652173913,"PLATI-FDS^FG_PRICE_CHANGE(0,-1AY)":-3.5,"W-FDS^FG_PRICE_CHANGE(0,-1AY)":-2.55402750491158,"COPP-FDS^FG_PRICE_CHANGE(0,-1AY)":17.7354055112969,"EWG^FG_COMPANY_NAME":"iShares MSCI Germany ETF","ENZL^FMA_ROE(NTMA,-20AY,NOW,FY,\"PORTAGG\",\"MEANR\")":[null,null,null,null,null,null,10.8532267295878,10.9048734413645,11.45876758647,11.0832589152415,9.94517431688139,9.90242652659034,9.79986582903071,9.84792896856594,9.52177142619013,9.00388708752031,7.5322638919869,6.44400181202057,7.7689690341127,6.57910753918315],"TRYCN10Y-FDS^FG_YIELD(-10AY,0,Y,,\"YTM\")":[3.653331,2.901145,3.070911,3.93859,3.259862,3.197311,3.1948,2.7893,2.855,2.574],"EWD^FMA_PE(LTMA,-10AY,0,AM,\"PORTAGG\",\"MEANR\")":[15.7408257747952,15.6998568725583,15.9001830461187,15.5418822235997,15.1435848683315,16.7455181103026,17.0741162601201,17.5577323861558,19.8055481475861,20.1337936825262,19.8834837386549,19.1394895757498,18.9313195328227,18.7259854906557,18.392747070943,17.2793039634111,16.8004732321002,16.5792087847535,15.838998612314,15.0062598291327,14.3012901753472,15.6817963226905,15.6812733798701,15.4022254971138,15.222379802988,15.5457924696233,16.0431876198889,15.9699232431105,16.8039341269025,17.0412387106005,18.3016080344576,18.2725905117401,17.9388471910009,17.530883578801,17.5466888677906,17.669918177105,17.6074005633452,17.7323166166455,16.846638162441,17.1318021169706,17.5798358947982,18.1637773614727,18.1699520499783,18.241840340287,16.2974999143402,16.952705402022,16.7353320689096,16.8282702397389,16.5153845948916,16.4665786105997,16.5465152538417,16.6048173644084,15.6954705019185,15.1007181996695,14.4498109466835,14.4829776621313,17.1476205871825,18.0276013501022,17.8625117461428,17.4292029454917,17.1891077322336,17.1068951540671,15.9679283127921,16.4398271142619,16.4706516566175,16.9620466548855,16.1242754807422,16.4488226570394,14.538890807463,12.5449837315607,13.782984986912,15.2664532628635,16.2001972454812,18.1497513539158,17.8458093409632,17.7061851474242,18.3547680104409,16.6892213967119,17.415634061863,19.020787827342,17.9855587435841,18.2893627446752,18.7188791492426,17.7593969209359,18.1784531944014,18.1431675466754,17.9419131537633,17.6947284019436,17.3907715802687,17.1561084310364,16.6973429916879,16.3661598930897,12.3962735109965,11.7778221811225,12.260911207435,13.3499522656522,13.400692466611,13.8542319987676,14.9630545678509,14.9517201186361,14.6147164296115,14.3299390120556,16.0493637553739,16.6984621949651,25.833460427759,24.7058351365723,23.6192545193098,22.5014638055016,21.4410630060365,20.1476389078141,18.7690901737017,17.2195936876151,16.2433158719354,15.4493662133689,17.6791771504781,17.4294384523652,15.0969865905291,15.918793686463,15.8911607232096,16.10243373183,16.0699969341677],"PASP-FDS^FG_PRICE_CHANGE(0,-6AM)":-7.57575757575758,"CAGDPY@SE^EE_ACTUAL_ANNUAL(MED,+1)":5.1,"CAGDPY@DE^EE_ACTUAL_ANNUAL(MED,+1)":6.5,"CC_NZ^FG_COMPANY_NAME":"New Zealand","USDSEK^FG_COMPANY_NAME":"Swedish Krona per U.S. Dollar","USDCHF^FG_COMPANY_NAME":"Swiss Franc per U.S. Dollar","USDEUR^FG_COMPANY_NAME":"Euro per U.S. Dollar","USDAUD^FG_COMPANY_NAME":"Australian Dollar per U.S. Dollar","EWL^FMA_EPS(NTMA,-20AY,0,CY,,\"PORTAGG\",\"MEANR\")":[1.15167978614637,1.184604896687,1.51903625271091,1.83335061944152,1.66417500457453,1.62932904763549,1.96787353815353,1.86668659044302,1.99956682614325,2.16083764016243,2.02137608124255,1.83898355626911,1.75546716180555,2.01138269666406,2.17519879472254,2.28084252382762,2.36864078682371,2.66234515884581,2.58388720632297,2.86429657487096],"EWG^P_PRICE_RETURNS_PR('52W',2,-10AY,0,AM)":[21.930468,21.458626,8.626008,9.56502,-7.2799325,-6.4696493,-4.9626646,-10.614991,-5.3738475,0.50235987,0.81670284,-4.1938543,-6.6173973,-4.1255655,-0.3632903,-7.2968063,2.8030276,-1.4425993,-7.126766,-8.727896,-19.447815,-11.941486,-13.375097,-13.027632,-13.76875,-13.011021,-3.6765754,0.18640757,1.0117054,-1.43677,4.6549797,14.591969,21.566582,14.503086,12.05883,22.19001,29.706419,28.844177,16.8625,25.529062,30.620373,30.708874,28.078281,30.681301,21.021235,18.012691,19.414436,11.965954,5.858493,1.8087506,-0.09651184,-4.1869345,-12.615431,-14.832038,-19.456982,-21.506298,-17.166632,-13.643127,-11.886102,-14.979017,-11.630064,-7.0489287,-8.790695,-4.9950542,0.71099997,9.488988,16.439486,17.373026,15.216648,-20.199198,-17.428791,-15.104508,-1.2363374,1.7742634,14.74098,12.430584,10.6695175,4.7165155,7.366729,11.196518,13.512063,67.862785,56.63172,56.308437,40.235184,28.993786,22.04318,17.99767,13.523066,19.15406,8.565342,5.4574013,-1.5378892,-17.671728,-19.2545,-23.877764,-30.025393,-34.734108,-28.266483,-33.861053,-35.779255,-24.239391,-17.936443,-14.040482,-8.437098,4.0533185,10.0697155,18.534052,21.73283,37.964394,20.431746,25.997889,29.70029,9.320604,17.897903,8.116377,5.6105494,19.755733,7.84961,14.575672,10.48491],"EWA^FG_TOTAL_RETURNC(-10AY,0,AM)":[-0.67567825,1.8511295,-0.48964024,-1.930356,-9.880352,6.1241984,-10.290564,3.2958865,4.451442,-2.4537206,2.162397,1.6846657,-6.924391,-3.1862915,-3.9594412,-7.843137,4.473543,-5.4308057,-0.11044145,-4.4238987,0.71344376,16.706026,-1.4162898,-0.46177506,-0.77319145,6.6336155,3.0632496,-7.5743017,7.2095394,-1.1611044,4.3563366,3.2036424,2.4731636,0.7286072,1.4014482,-3.0316532,1.2413859,1.6417742,1.5525103,3.2823682,-0.043535233,0.21777153,0.6953478,4.6733975,-4.520488,1.7699122,-2.6956558,2.1000981,-0.7439852,2.6302338,-2.1024942,-2.0581722,-5.9387803,2.1369576,-3.043276,2.9425383,2.6224732,3.2786846,2.0541549,-2.6989937,5.124593,3.1837344,-4.4670525,4.444444,-1.8617034,2.1680236,1.1052132,2.712822,-0.17368793,-24.92388,-3.9976835,-0.48279762,16.434204,2.275312,6.2532306,-1.9941628,3.2258034,6.682694,7.030189,3.9483666,2.655232,0.03979206,1.6308665,2.7397275,4.252124,-3.9273798,2.6224494,-2.25479,-0.9996176,1.2427211,-4.2327223,3.285253,-4.903537,3.0431032,8.69565,-10.8301935,-6.4676642,-2.5221825,11.403931,-7.0107517,-7.076782,13.489294,3.2024503,3.9393902,1.9158602,-9.644455,7.1460843,-3.3769548,1.1779547,3.079629,-5.036277,-1.5730381,-3.3789933,1.5595436,9.911596,2.4492145,-3.078866,7.006097,-2.8060198,2.594149,0.86758137],"DDR3512M-FDS^FG_PRICE_CHANGE(0,-6AM)":-4.20430088370443,"EWA^JULIAN(FMA_ROE(NTMA,-20AY,NOW,FY,\"PORTAGG\",\"MEANR\").DATES)":[38352,38716,39080,39447,39813,40178,40543,40907,41274,41639,42004,42369,42734,43098,43465,43830,44196,44561,44925,45289],"TRYPH10Y-FDS^FG_YIELD(-10AY,0,Y,,\"YTM\")":[3.8633,4.1,4.6281,5.6986,7.1730304,4.847582,3.4208684,4.796723,6.9293385,6.0028777],"TRYTR7Y-FDS^FG_YIELD(-10AY,0,Y,,\"YTM\")":[7.979133,10.679033,11.110786,11.586128,15.896213,12.034795,12.534946,23.870693,7.323803,21.984322],"CAGDPY@SE^EE_ACTUAL_ANNUAL(MED,0)":6.4686639012956,"CAGDPY@DE^EE_ACTUAL_ANNUAL(MED,0)":6.09959759767018,"USDITL^STD(FG_PRICE_CHANGE(0,-3AY,M))":2.17865071558857,"USDANG^STD(FG_PRICE_CHANGE(0,-3AY,M))":0.0594600681310969,"USDGBP^STD(FG_PRICE_CHANGE(0,-3AY,M))":2.37816350296202,"USDJPY^STD(FG_PRICE_CHANGE(0,-3AY,M))":3.04350180805915,"USDCAD^STD(FG_PRICE_CHANGE(0,-3AY,M))":1.82099997018593,"USDNZD^STD(FG_PRICE_CHANGE(0,-3AY,M))":3.51758480344381,"EWJ^FMA_EPS(NTMA,-20AY,0,CY,,\"PORTAGG\",\"MEANR\")":[2.83572005832403,2.84830335934349,3.29156932486821,3.66778515674736,2.74393009109397,1.93733358061505,3.17729322550467,3.09458124193192,2.8747287105461,3.27496071085416,3.14456301788536,3.44827515089069,3.33160709427031,4.07233312791291,4.56488250158257,4.07638230861392,3.67789542177964,4.61613856769821,4.46089543101883,4.5665392599763],"EWC^P_PRICE_RETURNS_PR('52W',2,-10AY,0,AM)":[16.987669,19.659496,17.215466,17.075657,3.3049226,4.3489695,-1.0899127,-3.430134,-0.9020865,-7.354796,-2.333188,-4.0296555,-10.070783,-16.665363,-19.506306,-25.861835,-13.247842,-23.106533,-20.903772,-26.903893,-25.495165,-10.187304,-11.728644,-14.417857,-7.7196417,-1.7813265,3.2059312,7.9598308,5.875778,9.381807,28.686596,42.5112,38.062595,16.033352,11.446857,8.891022,9.364759,10.658956,7.314205,17.125475,17.399883,19.65791,9.740353,13.878298,2.6694179,6.3676953,6.9368124,13.323426,10.896111,8.584225,7.599926,1.7982006,-4.5971813,-7.424408,-10.501421,-12.168371,-0.7220864,2.7768493,4.2378306,-2.4270535,-0.869751,2.3510456,0.7737279,4.15107,7.968235,14.49306,18.625402,19.94754,15.682316,-17.387777,-16.731155,-12.918073,-6.2170267,-8.131313,2.8998613,-0.98357797,1.9246459,-0.27762055,8.719599,8.30456,9.85496,73.709045,54.640327,57.730686,54.187214,45.373165,35.65315,36.515118,36.74079,42.23353,21.251465,24.502516,20.722507,14.490461,15.659964,0.8226156,-5.5597124,-9.27409,-1.980567,-6.418234,-16.536581,-9.381306,-6.6434145,-8.838081,-5.9710207,-13.123882,-8.878308,1.9789934,0.64035654,10.308862,-0.17054677,3.5021663,8.954037,-2.1360934,7.1824074,7.1401477,1.1286378,19.308495,8.586097,12.128305,8.961142],"ENZL^FG_TOTAL_RETURNC(-10AY,0,AM)":[-1.1088014,0.3739357,-5.011308,-0.40100217,-4.1016636,7.084751,-1.1761785,2.167976,-0.5736053,-0.3415346,1.0975957,-1.2450755,-4.993701,-6.916976,-1.7261565,-5.0610304,6.553781,2.7957678,3.4354448,-1.9243896,-0.66120625,12.1019125,7.1280956,-0.62680244,4.318285,6.0328126,3.265214,-1.8928826,-4.1219053,-6.151378,4.044831,1.685977,2.7638793,-3.4648716,1.6197681,1.8671632,5.614853,3.4116864,0.9738207,0.3214836,1.8585801,-5.68372,5.625975,2.3071408,-1.3527691,5.9211254,0.58209896,-2.7539432,4.247892,-3.4208715,-3.0466318,2.9713511,-5.708945,4.5794845,0.46316385,1.8199563,3.8131118,1.5136242,2.5248528,-0.29087067,0.40841103,7.4299335,-2.2144914,-1.179117,-0.15150905,0.30349493,6.978059,3.1692147,0.48122406,-14.385229,-5.227828,5.2801013,9.21998,5.841887,1.8465877,1.5516043,6.1459303,5.14313,4.2762637,1.7517209,-3.7688792,-2.7735472,-0.6112814,-0.33117533,-0.9151161,-0.8701265,0.16254187,3.7812471,-2.8459728,-0.9657204,-4.293269,0.017237663,-7.722807,0.6538391,-1.5033424,-12.794423,-4.1170597,2.7131796,11.4539385,-8.185619,-11.47505,12.42342,9.42074,1.1409163,1.8009067,-6.920677,5.534661,-1.0686636,-2.878201,6.6985726,-8.16924,-5.7324767,-2.1171212,-0.71329474,10.938585,2.6141286,-7.4812946,2.8077245,-2.4907112,0.4929304,3.4398794],"EWI^FMA_PE(NTMA,-10AY,0,AM,\"PORTAGG\",\"MEANR\")":[14.5888732738745,13.8617157517757,13.0822758618966,14.0367275641081,12.4443952701973,12.4137463124913,12.2693076711912,12.0605506082431,14.62394735332,15.5851339871113,16.2690907438053,15.6946238778842,15.2023251459669,15.098762487809,15.3891495616431,14.3746031426826,14.4417595874021,14.5157390606785,13.8996972130561,13.5925634486648,11.8941230188023,13.7408450918804,13.2109223160834,13.5082172291081,12.1296405777364,12.2141603992126,12.7699715220756,11.9591046971915,11.5686195691367,11.8434378398969,13.3318663337915,13.4553553952506,13.1751433026066,13.3017934298196,12.9901808620348,13.8504926056749,13.3886767944608,13.5589938239109,13.1548267937409,13.4082962225567,13.5552089361186,13.3453851127927,13.403678141514,13.6443184132609,12.313842583482,12.6600925898479,12.7955426561836,12.9419183625077,11.7195001232315,11.4306726135023,11.0087014712868,10.7205325101886,9.87071874186469,9.77856617853882,9.56224992344095,9.69421551586197,10.2539975249675,10.5154161825235,10.9293200999984,10.2456673081369,10.1860719914715,10.9466900290377,10.1015117727867,10.8849673323702,10.8571929792904,11.3923288979785,11.3340184750654,11.560128124245,11.8698174621875,7.9326352342542,10.730329675563,14.6965886318865,17.0033739989701,17.4134389421216,16.7568251612477,15.7376439361044,14.7830287561672,14.7260320543259,14.7921811915182,14.9394196583796,14.3642110167861,13.9810237556396,13.9108320033379,13.1853891789428,13.7436947531938,13.1776504998165,12.4683343205807,11.7415614669485,11.558964431707,11.7934113909717,10.8563034542595,11.2447752790885,10.6758535162701,9.18218897849224,9.655302664965,9.15376002476104,7.97665658951546,7.65982895355728,7.73687142592396,7.76278952443309,7.23390911000965,8.29033705698233,7.89352305059477,8.21542692016361,8.45170574838788,8.22043956355398,8.70604048968413,8.39269248312189,8.70843970171993,8.84967529769906,8.28216617494314,8.41802976242076,8.17609613715501,8.20137394254574,8.81276874629493,8.98289165285478,8.97535952855524,9.59328230978695,9.51388194092688,9.7823740884043,9.69643585829533],"EWN^FMA_PE(LTMA,-10AY,0,AM,\"PORTAGG\",\"MEANR\")":[16.8403987094338,16.4947158935547,16.2063463865015,16.7564180225009,15.9427885076902,17.2711524968956,17.1197986578401,17.8338361179552,19.2336068246071,20.1240020383847,20.0229181075615,19.4595723274357,19.0927020763043,19.0861597984635,18.3964303198273,17.0888624814137,16.835888308925,17.7350351908805,16.9058584507065,15.9912935002846,14.7508105727415,16.4239900373995,16.3807807322347,16.1434028920266,15.8735799391609,15.9452388777696,16.2220108363401,15.863992820777,15.7108541275612,15.4974932696237,16.0104277232538,16.4408764074805,16.3196132503737,16.4995383194206,16.5432632357665,16.7432103059388,16.6774051028133,16.6605732474827,16.5481185923892,16.8020755128261,17.2642493918652,17.2898202261013,17.3739666060192,17.5270297534334,16.3866135540823,16.6452944270499,16.6149063581327,16.5893750068721,16.721434779816,16.6290856453298,16.5890432362894,16.257829461461,15.4917908262192,15.7029461414691,14.9923872517882,14.670371538714,15.7461245050194,16.1258950236245,16.2517276393038,16.071724557512,16.2845252041347,16.4380431753788,16.2472772685266,17.1385577862349,17.2091382149649,17.9204230371233,18.4615896047333,18.6968333590072,19.8598865828822,16.6897483665973,17.2957725593645,17.9614881611371,19.0325354546946,20.3254113691629,21.0324451439947,21.5243174272252,22.9568777573757,24.5840096470684,25.9801910504561,28.0109138965656,29.8989610822043,28.7582831676733,28.4209143746249,27.2598148761522,27.073149352726,26.4451205395886,26.0552632333128,25.6004648993382,23.972894377593,24.556316459495,22.6955153336399,22.0400320843809,20.0096138945917,18.162327039589,18.4127762986207,17.9994770380311,17.9505042739273,18.1291954352543,19.7354951321007,18.6037786311373,16.7400906452953,18.4667032012753,18.9078499097178,19.3902702993623,20.918872951598,20.3866236887494,20.1735129849,19.6042671688917,19.411361055051,19.3074161819155,18.3333591197029,17.2505821643199,16.4035641600875,16.2510420139455,16.6666491670617,16.4202802236002,17.6523097175029,18.4672625285679,18.3018106108189,18.2700873530395,18.4694371941692],"DDR3512M-FDS^FG_PRICE_CHANGE(0,-3AM)":-0.833592246236969,"PASP-FDS^FG_PRICE_CHANGE(0,-3AM)":-15.668202764977,"PLATI-FDS^FG_PRICE_CHANGE(0,-3AM)":3.20855614973261,"W-FDS^FG_PRICE_CHANGE(0,-3AM)":16.4866134335369,"COPP-FDS^FG_PRICE_CHANGE(0,-3AM)":11.22763726095,"PASP-FDS^FG_PRICE_CHANGE(0,-1AM)":-7.9476861167002,"PLATI-FDS^FG_PRICE_CHANGE(0,-1AM)":-4.45544554455446,"W-FDS^FG_PRICE_CHANGE(0,-1AM)":-7.49720253636702,"COPP-FDS^FG_PRICE_CHANGE(0,-1AM)":-6.18170465188885,"EWI^FG_PRICE_MAVG(0,,,,60)":37.633335,"SPY^FG_PRICE_MAVG(0,,,,60)":519.4768,"EWJ^FG_PRICE_MAVG(0,,,,60)":68.86266,"ENZL^FG_PRICE_MAVG(0,,,,60)":45.268047,"CAGDPY@NL^EE_ACTUAL_ANNUAL(MED,+1)":7.6,"CAGDPY@CA^EE_ACTUAL_ANNUAL(MED,+1)":-0.35,"USDITL^STD(FG_PRICE_CHANGE(0,-1AY,AM))":2.11508254339528,"USDANG^STD(FG_PRICE_CHANGE(0,-1AY,AM))":0.0,"USDGBP^STD(FG_PRICE_CHANGE(0,-1AY,AM))":2.2777656577589,"USDJPY^STD(FG_PRICE_CHANGE(0,-1AY,AM))":2.57524214440693,"USDCAD^STD(FG_PRICE_CHANGE(0,-1AY,AM))":1.42963414780913,"USDNZD^STD(FG_PRICE_CHANGE(0,-1AY,AM))":2.99160607446761,"EWG^FMA_EPS(NTMA,-20AY,0,CY,,\"PORTAGG\",\"MEANR\")":[1.52066411043583,1.60643474084628,2.11909900762238,2.80661608339197,1.99715132688841,1.74300870329695,2.17390808983831,2.1750966873774,2.27358500860511,2.40616014173578,2.13415894814862,1.96165601541568,1.94158660997406,2.40362877806351,2.32116072306873,2.08815829612982,1.98003612030208,2.44944590598376,2.36386839889078,2.65863143369802],"EWA^P_PRICE_RETURNS_PR('52W',2,-10AY,0,AM)":[15.75054,17.63792,13.816917,7.3985577,-6.200063,-0.87623,-1.6705453,-3.803289,-0.5066395,-4.6622157,-7.71327,-7.391441,-13.217646,-17.509777,-20.3861,-25.985998,-13.27011,-22.713423,-15.239411,-20.374477,-21.604145,-7.325971,-11.361599,-13.232649,-7.498354,1.8841624,9.00532,9.653091,12.524736,16.130245,22.864067,32.669342,34.987415,16.507233,19.837261,15.082312,19.113504,13.537443,10.600698,25.014221,16.556608,18.18266,14.036632,15.17694,7.766962,8.881021,4.481721,9.507608,7.8537583,8.902634,4.9830914,-0.44540167,-4.950815,-4.5229015,-8.067787,-9.088654,-2.8240979,-1.3834298,3.430438,-1.431179,4.3967605,4.593265,2.4246454,9.224892,14.5713215,13.993895,18.871355,18.606102,15.3744335,-16.131145,-21.104599,-19.30762,-10.586506,-11.41333,-1.4725268,-6.8860054,-2.7535677,1.5436172,8.06129,8.787357,11.241198,70.16665,57.808125,62.91821,48.581196,37.02595,32.34364,31.991695,26.588762,21.668983,7.4919105,6.806195,-0.9399712,1.7098308,8.996463,-5.399847,-15.127158,-13.885773,-5.8802547,-11.065489,-16.524761,-5.5944977,0.8373976,1.4760256,8.752918,-4.6376886,-5.997181,5.568075,10.186375,16.51852,0.22882223,5.131662,9.315276,-2.1757126,4.183805,3.4658074,-2.342552,15.653586,6.302321,11.394572,11.052823],"ENZL^JULIAN(FG_TOTAL_RETURNC(-10AY,0,AM).DATES)":[41803,41831,41864,41894,41925,41956,41985,42017,42048,42076,42107,42137,42167,42198,42229,42258,42290,42321,42349,42382,42412,42440,42473,42503,42534,42564,42594,42626,42656,42685,42717,42748,42779,42807,42838,42867,42899,42929,42958,42991,43021,43052,43082,43112,43144,43172,43203,43231,43264,43294,43325,43356,43385,43417,43447,43476,43509,43537,43567,43598,43629,43658,43690,43721,43749,43782,43812,43843,43874,43903,43934,43964,43994,44025,44056,44085,44117,44148,44176,44209,44239,44267,44299,44329,44358,44390,44421,44452,44482,44512,44543,44574,44603,44631,44664,44694,44725,44755,44785,44817,44847,44876,44908,44939,44970,44998,45029,45058,45090,45120,45149,45182,45212,45243,45273,45303,45335,45364,45394,45425,45456],"EWD^FMA_PE(NTMA,-10AY,0,AM,\"PORTAGG\",\"MEANR\")":[15.7145761225623,15.2762404082585,15.1543407883137,14.0724987313292,13.4291831667139,15.3494590328369,15.2689985606935,15.6285954167272,16.760723561582,17.0897756019165,17.1153902383695,15.8489039212111,15.923576783166,16.1108856783213,15.9461782677559,14.8109783630453,14.851447385766,15.0614441361468,14.4552181498819,14.1949342666512,14.1745717619362,15.6747655272162,15.4242527102543,14.5829935872032,14.1941225843009,14.8810554964818,15.535038698419,15.3183170119911,15.8736381539374,15.9534793962779,16.7747408289672,16.5547418345694,16.5518824037397,16.9187910662947,16.8858483378652,17.1026099700259,16.8043835419234,16.8102888953383,15.7500476247099,16.1894229655877,16.8249473271525,16.8240117824833,16.5169075723377,16.6348710617046,15.7119099683095,16.2528126536431,15.5811461935551,16.0129220680866,15.4042611481118,15.3754366442772,15.4994389889761,15.5190305575281,14.5692607356763,14.2968188745401,13.8712122284503,13.9631171629353,14.788643382206,14.7983147666873,15.268900399777,14.7083167292755,14.8346194864289,15.1203259459954,13.7351534831635,14.8120227613254,15.093347026263,15.8888061239894,16.0281058450019,16.3740882414569,16.986908143117,12.2641123030728,15.6639992285845,17.6971064294877,18.4494313322504,19.9584190986617,18.960170706592,18.2925313514629,18.1876392945187,17.1355878815278,17.2313036233655,18.8437287918503,18.8852892269268,20.1890320000781,20.5899666404356,17.895558409175,18.7581625263533,18.8835366450979,18.8320975297981,18.5262988420792,18.1124926655418,19.0388071999185,19.0546314698264,17.9380268131366,16.4946077517061,14.7863246406007,15.0952602802544,15.9850243885547,14.8872853485689,14.5817606487447,15.1625536375391,14.1477082875758,13.0824901344398,13.2688626679521,13.437318797666,13.6854568782108,14.1935533825206,13.4680893289768,13.7743753455341,13.5052550615143,13.8814702375468,13.4835007220941,13.0924612303311,12.8526058319129,13.0898083597431,12.8244028641241,15.1086584667979,15.4400868561774,15.6896255404746,16.7051473519225,16.1460935127456,16.406896749402,16.1268941501946],"EWQ^FMA_PE(LTMA,-10AY,0,AM,\"PORTAGG\",\"MEANR\")":[15.8668394492878,15.4514760346479,15.1211375763603,15.5301553522875,14.5286901003824,14.8188686487337,14.6271358430067,15.1039978265434,16.7149799557503,17.5575236900491,17.7316312837581,17.3815022382355,17.2157728087021,17.2310396643062,16.9268343288853,15.8479709675718,15.9159838288006,16.1027094154616,15.2843130643889,14.5779901750901,13.963219371119,15.2184878228901,15.2375157044028,15.061149734187,14.8457229089295,14.9332890192948,15.0967390108048,14.8193978016344,14.7636315266757,14.7815856200756,15.6060747146846,15.9757532534259,15.6138154888087,15.6084200995598,15.6146239154482,15.8646644684196,15.6968271926021,15.7086204042439,15.3988447690825,15.7258132031197,16.0495563317293,15.8710179458265,16.1913448290313,16.5394323685896,15.4690590481272,15.5665410119534,15.5200405675091,15.612696251901,15.3722359791573,15.2903902974495,15.0760086875951,14.8558976154443,14.224698213194,14.1241437109161,13.4764949624905,13.1270548197616,13.9959467503631,14.5623980334225,14.6353468837481,14.3961770246101,14.4854847911977,14.7922855417036,14.5678029487244,15.1215960365358,15.2320561854942,15.9993876456939,16.225610013948,16.6196608025279,16.7062627468557,14.1193430828462,14.9863892157258,15.9532611328548,17.6365808021251,19.7143793806849,22.2501272938719,23.2316284651282,24.0516601764108,26.7590689987523,27.8729522120465,29.1002276692942,27.3901243338876,26.8348015580523,25.9774751463527,24.9526344301994,24.4091929800519,23.2219453330008,21.9956840146379,20.6038298898433,19.1379365993059,18.6459077135107,17.5094176741266,17.1573671696577,16.1184286085688,15.2608608632233,15.0729699215183,14.5061854295733,13.8496148922581,13.3430911182219,13.2473204592294,12.4915524774266,11.4291890997553,12.2316324380644,12.1332696846358,12.6038589486739,12.7911104240243,12.8415467760998,13.12728660794,13.1470065412983,13.1839107080921,13.3306755241162,13.3331684422688,13.1528211000206,12.7494411274212,12.9530437696887,13.8980991104059,14.0963509234823,14.6801473997824,15.5721374598907,15.4548745293503,15.5609684938758,15.2762425934672],"DDR3512M-FDS^FG_PRICE_CHANGE(0,-1AM)":-1.31894890561515,"TRYBR10Y-FDS^FG_YIELD(-10AY,0,Y,,\"YTM\")":[12.319731,15.989595,11.062725,9.887577,8.936093,6.883678,6.961219,10.970291,12.900059,10.455909],"EWI^FMA_DIV_YLD(NTMA,-10AY,0,AM,\"PORTAGG\",\"MEANR\")":[3.39136304444844,3.50256229449532,3.74143522667353,3.51543329623409,3.98703608627639,4.05893321471276,4.13076116290824,4.16021189851282,3.63234371246209,3.24224568698529,3.07060944839761,3.19174891051091,3.30007642644915,3.25592775464568,3.14185828239391,3.41146122623376,3.5955959416566,3.6858353651983,3.86957175168544,4.09167066657622,4.81654836132896,4.17694949415063,4.42310455340204,4.52733402111726,4.92641807670071,4.82308324209362,4.68540837418352,4.9024377815612,5.03280432536995,4.78241754393465,4.39121722146641,4.28902672126053,4.40674713539044,4.0515122123309,4.05345804219064,3.76320828119867,3.7637838573842,3.73854336999393,3.83046937246452,3.72791262398543,3.80324046632163,3.85019656712946,3.87210827632045,3.75590048320343,4.05607936606013,4.02322911135735,3.97183940807466,3.89538532686457,4.35865622254133,4.46257301717596,4.6080991286748,4.65472749993113,5.04516185646594,5.07712740249552,5.20160432570628,5.17574795645191,4.96950996209654,4.78481487032746,4.60573267049852,4.93079680949019,4.96835009208324,4.63363573748548,5.04894267945203,4.70821635919761,4.7333996357681,4.51835598405834,4.52960154149881,4.45945605089597,4.4307764711402,6.82627287687372,5.80567880104967,5.06326000305229,4.3719146224742,4.27336214624298,3.88620213078819,4.02482703489546,4.10045676667587,4.02388761022947,3.9945362949049,3.90210553477827,3.91190722889868,4.04639910196407,4.06756659132507,4.2125918357505,4.0376420161648,4.17815172794649,4.22900145640868,4.47960397558075,4.48476285795121,4.30408854354832,4.6461787413316,4.54924447272488,4.79913352155837,5.46323114399036,5.0694829818105,5.1828956207796,5.78914108564182,5.96827281377975,5.55776897783925,5.57999330695904,6.19522251924086,5.40669456173364,5.70545748600147,5.43108017361592,5.40584032640907,5.57671115104713,5.3319519783375,5.50974108942095,5.3696184168316,5.23359801471571,5.53065548535624,5.46015279122617,5.57875546866944,5.58526433968946,5.47985189887594,5.41268848837577,5.52883201139658,5.15574368488674,5.26978852056497,5.17354222163735,5.26419167069935],"SPY^FMA_PE(LTMA,-10AY,0,AM,\"PORTAGG\",\"MEANR\")":[16.3092176938252,16.4061713621471,16.2272193754051,16.4536586232447,15.7668499743705,16.8893448390625,16.6886501133442,16.9860160339227,17.5494875429706,17.5030515248939,17.536277227099,17.5053562037937,17.4577741585105,17.4743187768083,17.4266631502481,16.7380542891142,17.0069449824204,17.0159669718827,16.8741555215366,15.8637772617823,16.2966838906097,16.18819342752,16.4452153070474,16.565182572191,16.735797146648,17.1961593236981,17.5214305052838,17.4018094593175,17.5971166608252,17.9034217539695,18.9182337374197,19.0233107786646,19.2758652705837,19.4479737927027,19.2070548104936,19.1845115873076,19.2103487563967,19.145321085296,18.996217932583,19.1948078045286,19.5510217651472,19.6132607604751,20.1515579514961,20.9981464084675,19.5558135553168,19.7491178253693,19.3137726161765,19.1192241658292,18.9360882193246,18.7507653360432,18.5170877495636,18.6219363528265,17.8149109554598,17.2035638738972,16.5223765031123,16.0581802784709,16.9270696425445,17.1168154267796,17.2579523709202,17.0413116703749,17.2206489552745,17.6891546594218,17.5012079913308,17.9046492896832,17.9258770909434,18.6908130466183,19.3381208953261,20.1941263096042,20.4864841432036,17.6446337337643,18.2772830272402,19.4707061213507,20.652926900225,21.7263208067181,22.7577442172589,23.0686106960665,24.5453119083262,24.8600215202272,25.799554263603,27.5764271639661,27.430274730116,26.2151677081304,26.0598286949278,25.2006846060918,24.9985388815836,24.7912428375722,24.1138366728083,23.6584511907215,22.8735860622303,23.4119556787583,22.9207480535333,22.6220640985211,21.0611907636365,20.5004977585334,20.5464646977486,19.7265749922789,18.859968792309,18.6261463985812,19.705838755221,18.468411444679,17.443826702958,18.4569392169563,18.3282078757894,18.1304510051977,18.7960847431544,17.9431822921594,18.3073355618071,18.2949501632028,18.8243861824065,19.3941559456807,19.3625547386727,19.5074753498606,19.2232433644658,19.7410265130092,21.1691331187443,22.1443359550488,22.5779296756215,23.141316878803,22.9872994472782,22.9414625600533,22.8189686508357],"PASP-FDS^FG_PRICE_MAVG(0,,,,30)":969.13336,"PLATI-FDS^FG_PRICE_MAVG(0,,,,30)":1013.06665,"W-FDS^FG_PRICE_MAVG(0,,,,30)":6.5270834,"COPP-FDS^FG_PRICE_MAVG(0,,,,30)":4.72325,"EWI^FG_PRICE_MAVG(0,,,,30)":38.240334,"SPY^FG_PRICE_MAVG(0,,,,30)":526.9617,"EWJ^FG_PRICE_MAVG(0,,,,30)":68.572,"ENZL^FG_PRICE_MAVG(0,,,,30)":45.616665,"FXI^FG_TOTAL_RETURNC(0,-12AM)":-3.1831324,"URTH^FG_TOTAL_RETURNC(0,-1AM)":2.715218,"VGK^FG_TOTAL_RETURNC(0,-6AM)":9.661591,"EWN^FMA_PCT_ABOVE_MAVG(200,0,,,,\"PORTAGG\")":66.0377358490566,"SPY^PERCENT_CHANGE(FMA_EPS(+1,0,,,,\"PORTAGG\",\"MEAN\"),FMA_EPS(+1,-3AM,,,,\"PORTAGG\",\"MEAN\"))":2.77222972174988,"EWU^FG_TOTAL_RETURNC(0,-3AM)":5.9750795,"EWC^FG_TOTAL_RETURNC(0,-12AM)":8.961142,"EWA^PERCENT_CHANGE(FMA_EPS(+1,0,,,,\"PORTAGG\",\"MEAN\"),FMA_EPS(+1,-1AM,,,,\"PORTAGG\",\"MEAN\"))":-2.62998087478129,"EWD^SIZE(FG_CONSTITUENTS)":46,"EWU^FMA_COS_DOWN(\"EPS\",\"1M\",+1,0,,,\"PORTAGG\",\"MEANR\")":26.0,"CAGDPY@NL^EE_ACTUAL_ANNUAL(MED,0)":10.0884806997308,"CAGDPY@CA^EE_ACTUAL_ANNUAL(MED,0)":-0.725414399026327,"USDITL^FG_PRICE_CHANGE(0,-6AM)":0.21352768,"USDANG^FG_PRICE_CHANGE(0,-6AM)":0.0,"USDGBP^FG_PRICE_CHANGE(0,-6AM)":-1.8877506,"USDJPY^FG_PRICE_CHANGE(0,-6AM)":8.10858,"USDCAD^FG_PRICE_CHANGE(0,-6AM)":1.3408542,"USDNZD^FG_PRICE_CHANGE(0,-6AM)":-0.72939396,"EWC^FMA_EPS(NTMA,-20AY,0,CY,,\"PORTAGG\",\"MEANR\")":[1.20309203563583,1.51116357259943,1.75142389864603,2.13167450038286,1.71974218387406,1.79551827424964,2.09754276006241,2.2894893869441,2.21761530023934,2.02017545762442,1.86130476812284,1.52246252495242,1.66157074539786,1.86172454535832,1.97740509819126,2.07393921799229,1.95784087398727,2.66448337817763,2.74920456102042,2.68263358415049],"ENZL^P_PRICE_RETURNS_PR('52W',2,-10AY,0,AM)":[25.44458,25.300968,18.68266,13.207542,2.5747895,5.936599,10.927284,7.55558,7.020557,0.11053085,-0.72289705,-3.6756516,-8.061039,-14.1816025,-11.2136,-16.481596,-5.964094,-9.730446,-5.984229,-9.302515,-9.108484,4.0916443,8.012449,8.688677,19.341755,35.944664,39.81091,47.616302,32.82654,20.130657,21.980022,26.470364,30.830908,12.663376,6.8704367,8.551847,10.914183,8.17238,5.658245,8.159471,14.9060135,15.478587,17.23349,18.062126,13.224638,24.233318,22.964752,16.628874,15.867245,8.211732,3.903091,6.647563,-0.22950172,9.467125,4.116559,3.4255147,9.047079,4.5094967,6.591928,9.226286,5.203438,16.444016,18.027615,13.270271,21.851086,15.042019,22.502338,24.125671,20.141876,1.3254881,-6.3364925,-1.1032999,7.6381564,5.985391,10.387039,11.142933,20.591843,26.410389,22.654093,21.52487,15.659534,43.169083,38.607822,31.220222,21.244324,11.49441,9.650839,12.058294,2.5655508,-2.6449263,-11.332762,-12.844211,-17.338526,-13.08403,-14.255661,-24.977701,-27.402061,-24.777824,-15.405637,-25.949532,-32.52659,-24.119658,-12.428838,-11.444986,-2.3054302,-9.657264,-3.201884,10.86775,11.232555,15.5484915,-3.9346159,-2.2518635,8.081043,-4.5482635,-3.2242,-0.2150178,-10.767115,-1.4407277,-7.3499975,-7.4982347,-1.4807045],"EWN^FMA_PE(NTMA,-10AY,0,AM,\"PORTAGG\",\"MEANR\")":[14.5116842271613,14.0701072000707,13.8137393451007,14.6202063653862,13.7083022679716,14.743014665001,14.5120042300371,14.8770201428969,16.1618023240271,17.5215378807294,17.8308798559578,16.7156514288883,16.3770760510902,16.7351828576205,16.0179244031779,14.559729005272,14.8403754448652,15.8843692170388,15.2061614074946,14.6882143047197,13.605002475377,15.303880693061,15.3349018220921,14.7373383813247,14.2350997769634,14.4632447492935,15.0113317918091,14.6296602348364,14.6110665271798,14.4101590514397,14.8975298601526,15.0630903257718,15.372873861171,16.0356059715939,16.115731773968,16.5092772337628,16.1259119199914,15.945953192606,15.70057747508,15.8804752643569,16.2009077344754,16.0596192666378,16.1324077139827,16.2257148449815,15.1531161729397,15.6199427825257,15.6594941513437,15.7079210668555,15.9874821448579,15.7128073876759,15.5699399182855,14.9336395882478,14.0187873257544,14.365900283083,13.7186615962607,13.4132960063511,14.6783927874871,14.9352636237222,15.5421307089545,14.965751592973,15.3527159765368,15.5320360973095,15.0876187246097,16.1181213310252,16.2028148063799,16.6789387394031,16.9839682495427,17.1363924078988,18.2403988486678,12.7281715927993,15.8340587395076,17.3293964591816,18.9755303928697,20.4303220343925,20.1529887816564,19.5586880386938,20.1435839850444,20.6206156253231,20.2011656746262,21.0143990772005,22.6498308645117,21.7226899216766,22.5940663307976,20.851550624197,21.6370786908485,21.3520986355989,21.6936533213419,21.7272426646121,20.2268086487732,21.6160294510135,20.2110599892131,20.0003450364659,18.4049098222676,16.6233333739332,17.6516338676948,16.3451223716021,15.8846200813349,15.9721264664424,17.8869214966046,16.0089835034738,14.0140559868967,16.2938652611738,16.5888504351928,16.9773889745446,17.0365253502119,15.8322847032466,16.331261729855,15.5724399339578,15.9004309409629,16.1638014844584,15.2821923786263,14.1088091661035,13.4636668232915,14.2393302503546,15.0134529920789,14.8052593904608,16.0262604260841,16.151201124973,15.9973256066722,16.1573048950441,16.6164272183828],"DDR3512M-FDS^FG_PRICE_MAVG(0,,,,30)":0.9633727,"EWD^P_PRICE(0)/P_PRICE_LOW_PR(0,,,,,,\"PRICE\",\"INTRA\",\"52W\")-1":0.33550596,"EWI^FMA_ROE(NTMA,-20AY,NOW,FY,\"PORTAGG\",\"MEANR\")":[12.7201174133668,14.3538872460945,15.0689086026843,13.8121430445963,10.7897502226351,8.0585564947071,8.81990423698703,8.11660136585425,7.83939542493847,7.34575996709421,7.29870487123998,7.28937842659948,7.64480507807432,9.05384965064241,10.3909656073461,10.2353053584578,8.27578853786002,11.7277999998841,13.3202789860828,13.3572149047324],"TRYVN10Y-FDS^FG_YIELD(-10AY,0,Y,,\"YTM\")":[7.3,6.277413,7.1117578,5.6717234,4.738006,3.5404546,2.4877946,2.059403,4.687226,2.9473283],"TRYTW10Y-FDS^FG_YIELD(-10AY,0,Y,,\"YTM\")":[1.6015,1.015,1.2037,0.9478,0.8648,0.672,0.315,0.7413,1.2812,1.211],"EWD^FMA_COS_DOWN(\"EPS\",\"1M\",+1,0,,,\"PORTAGG\",\"MEANR\")":12.0,"EWU^FMA_COS_UP(\"EPS\",\"1M\",+1,0,,,\"PORTAGG\",\"MEANR\")":44.0,"ENZL^SIZE(FG_CONSTITUENTS)":14,"EWI^FMA_RBICS_REV_CURRENT(30, LOC, \"PORTAGG\")":37.3007280733583,"EWQ^FG_ROE(0)":12.8431304453786,"TRYGB10Y-FDS^FG_YIELD_NAME":"United Kingdom Benchmark Bond - 10 Year","REFFFUND-FDS^(SUBARRAY(NOT_NA(NO_REPEAT_F(FG_YIELD(NOW,-10AY,D))),0,1)-SUBARRAY(NOT_NA(NO_REPEAT_F(FG_YIELD(NOW,-10AY,D))),1,1))*100":25.0,"REFEUREFI-FDS^FG_YIELD(NOW,,,0)":4.25,"TRYNL10Y-FDS^PCTCHG(FG_YIELD(0,,,,\"YTM\"),FG_YIELD(-1AM,,,,\"YTM\"))":1.8604583,"TRYCA10Y-FDS^PCTCHG(FG_YIELD(0,,,,\"YTM\"),FG_YIELD(-1AM,,,,\"YTM\"))":-9.600974,"TRYNZ10Y-FDS^FG_YIELD_NAME":"New Zealand Benchmark Bond - 10 Year","VWO^FG_FCF_YIELD_NTM(0)":5.38301205579797,"WL-FDS^FG_PRICE_CHANGE(0,-6AM)":-9.59209687699172,"VWO^P_PRICE(0)/P_PRICE_HIGH_PR(0,,,,,,\"PRICE\",\"INTRA\",\"52W\")":0.97051316,"EWQ^FG_TOTAL_RETURNC(0,-3AM)":-4.241127,"EWJ^PERCENT_CHANGE(FMA_EPS(+1,0,,,,\"PORTAGG\",\"MEAN\"),FMA_EPS(+1,-3AM,,,,\"PORTAGG\",\"MEAN\"))":-4.59492111249102,"SPY^FMA_COS_DOWN(\"EPS\",\"1M\",+1,0,,,\"PORTAGG\",\"MEANR\")":151.0,"EWA^SIZE(FG_CONSTITUENTS)":60,"EWA^FG_ROE(0)":12.6094423204978,"TRYUS10Y-FDS^PCTCHG(FG_YIELD(0,,,,\"YTM\"),FG_YIELD(-1AM,,,,\"YTM\"))":-5.457667,"EWN^FMA_PE(LTM,0,,,\"PORTAGG\",\"MEANR\")":20.7523189074417,"EWU^FMA_PE(NTMA,0,,,\"PORTAGG\",\"MEANR\")":11.5536772783788,"EWC^FMA_PE(NTMA,0,,,\"PORTAGG\",\"MEANR\")":13.9988174459701,"SPY^FG_TOTAL_RETURNC(0,-6AM)":16.122616,"TLT^FG_TOTAL_RETURNC(0,-3AM)":0.44734478,"SPY^FG_TOTAL_RETURNC(0,-3AM)":5.4609776,"EWQ^FG_FCF_YIELD_NTM(0)":5.80004921234364,"EWG^P_PRICE(0)/P_PRICE_HIGH_PR(0,,,,,,\"PRICE\",\"INTRA\",\"52W\")":0.93472785,"VWO^FG_TOTAL_RETURNC(0,-1AM)":-0.365299,"REFCHMPR-FDS^(SUBARRAY(NOT_NA(NO_REPEAT_F(FG_YIELD(NOW,-10AY,D))),0,1)-SUBARRAY(NOT_NA(NO_REPEAT_F(FG_YIELD(NOW,-10AY,D))),1,1))*100":-25.0,"EWQ^JULIAN(FMA_DIV_YLD(NTMA,NOW,NOW,M,\"PORTAGG\",\"MEANR\").DATES)":45443,"EWL^JULIAN(FMA_DIV_YLD(NTMA,NOW,NOW,M,\"PORTAGG\",\"MEANR\").DATES)":45443,"USO^FG_TOTAL_RETURNC(0,-1AM)":-0.5122781,"TRYCA10Y-FDS^PCTCHG(FG_YIELD(0,,,,\"YTM\"),FG_YIELD(-3AM,,,,\"YTM\"))":-2.8075292,"EWI^FG_TOTAL_RETURNC(0,-6AM)":11.242723,"REFJPTON-FDS^PROPER_NAME(0,,,\"SECURITY\",\"NAME\")":"Japan Policy Rate","TRYNZ10Y-FDS^PCTCHG(FG_YIELD(0,,,,\"YTM\"),FG_YIELD(-3AM,,,,\"YTM\"))":0.51522017,"EWJ^FMA_DIV_YLD(NTMA,NOW,NOW,M,\"PORTAGG\",\"MEANR\")":2.22796624506812,"QQQ^FMA_RBICS_REV_CURRENT(30, LOC, \"PORTAGG\")":0.853987069260758,"QQQ^FMA_EVAL_EBIT(LTMA,NOW,NOW,M,\"PORTAGG\",\"MEANR\")":24.3335701457271,"EWJ^JULIAN(FMA_DIV_YLD(NTMA,NOW,NOW,M,\"PORTAGG\",\"MEANR\").DATES)":45443,"CC_CH^IMF_IFS_RCPI_Q(0)":1.1636324,"CC_JP^IMF_IFS_RCPI_Q(0)":2.5231562,"EWL^FG_TOTAL_RETURNC(0,-3AM)":2.5586605,"NI-FDS^FG_PRICE_CHANGE(0,-6AM)":9.00621118012421,"VWO^FG_TOTAL_RETURNC(0,-6AM)":9.443628,"EWQ^FG_TOTAL_RETURNC(0,-1AM)":-5.175245,"EWJ^PERCENT_CHANGE(FMA_EPS(+1,0,,,,\"PORTAGG\",\"MEAN\"),FMA_EPS(+1,-1AM,,,,\"PORTAGG\",\"MEAN\"))":-0.676967138243988,"URTH^SIZE(FG_CONSTITUENTS)":1432,"EWA^FMA_COS_DOWN(\"EPS\",\"1M\",+1,0,,,\"PORTAGG\",\"MEANR\")":33.0,"ENZL^FG_ROE(0)":5.00833786470608,"TRYUS10Y-FDS^PCTCHG(FG_YIELD(0,,,,\"YTM\"),FG_YIELD(-3AM,,,,\"YTM\"))":1.1574088,"VGK^FMA_EVAL_EBITDA(NTMA,0,,,\"PORTAGG\",\"MEANR\")":8.84021404539311,"EWN^JULIAN(FMA_DIV_YLD(NTMA,NOW,NOW,M,\"PORTAGG\",\"MEANR\").DATES)":45443,"VGK^FG_FCF_YIELD_NTM(0)":5.34772248371043,"TLT^FG_TOTAL_RETURNC(0,-1AM)":4.256749,"EWL^FMA_EVAL_EBITDA(NTMA,0,,,\"PORTAGG\",\"MEANR\")":12.9470800748405,"EWA^FMA_EVAL_EBIT(LTMA,NOW,NOW,M,\"PORTAGG\",\"MEANR\")":12.4410798879827,"REFEUREFI-FDS^(SUBARRAY(NOT_NA(NO_REPEAT_F(FG_YIELD(NOW,-10AY,D))),0,1)-SUBARRAY(NOT_NA(NO_REPEAT_F(FG_YIELD(NOW,-10AY,D))),1,1))*100":-25.0,"QQQ^FG_FCF_YIELD_NTM(0)":3.53498259226178,"EWG^FMA_EVAL_EBIT(LTMA,NOW,NOW,M,\"PORTAGG\",\"MEANR\")":13.3890558261127,"TRYFR10Y-FDS^FG_YIELD(0,,,,\"YTM\")":3.172,"NI-FDS^FG_PRICE_CHANGE(0,-1AM)":-7.19196192490745,"EWI^FG_PRICE_MAVG(0,,,,200)":34.2438,"EWQ^PERCENT_CHANGE(FMA_EPS(+1,0,,,,\"PORTAGG\",\"MEAN\"),FMA_EPS(+1,-3AM,,,,\"PORTAGG\",\"MEAN\"))":0.0159167308333491,"EWJ^FMA_PCT_ABOVE_MAVG(200,0,,,,\"PORTAGG\")":71.078431372549,"URTH^FMA_COS_DOWN(\"EPS\",\"1M\",+1,0,,,\"PORTAGG\",\"MEANR\")":474.0,"EWA^FMA_COS_UP(\"EPS\",\"1M\",+1,0,,,\"PORTAGG\",\"MEANR\")":22.0,"TRYSE10Y-FDS^FG_YIELD_NAME":"Sweden Benchmark Bond - 10 Year","TRYJP10Y-FDS^FG_YIELD(0,,,,\"YTM\")":0.9789,"EWQ^FMA_EVAL_EBIT(LTMA,NOW,NOW,M,\"PORTAGG\",\"MEANR\")":13.2734432451935,"EWU^FMA_PE(LTM,0,,,\"PORTAGG\",\"MEANR\")":12.7982430531843,"EWC^FMA_PE(LTM,0,,,\"PORTAGG\",\"MEANR\")":16.8214668603451,"SPY^FG_TOTAL_RETURNC(0,-1AM)":4.135084,"EWQ^PERCENT_CHANGE(FMA_EPS(+1,0,,,,\"PORTAGG\",\"MEAN\"),FMA_EPS(+1,-1AM,,,,\"PORTAGG\",\"MEAN\"))":1.11049444830559,"URTH^FMA_COS_UP(\"EPS\",\"1M\",+1,0,,,\"PORTAGG\",\"MEANR\")":574.0,"TRYNL10Y-FDS^FG_YIELD_NAME":"Netherlands Benchmark Bond - 10 Year","TRYDE10Y-FDS^FG_YIELD(0,,,,\"YTM\")":2.519,"VGK^FMA_DIV_YLD(NTMA,NOW,NOW,M,\"PORTAGG\",\"MEANR\")":3.51828355632521,"USO^FG_TOTAL_RETURNC(0,-3AM)":0.86562634,"TRYAU10Y-FDS^FG_YIELD_NAME":"Australia Benchmark Bond - 10 Year","TRYDE10Y-FDS^PCTCHG(FG_YIELD(0,,,,\"YTM\"),FG_YIELD(-1AM,,,,\"YTM\"))":0.88106024,"EWN^FMA_COS_UP(\"EPS\",\"1M\",+1,0,,,\"PORTAGG\",\"MEANR\")":17.0,"CC_FR^IMF_IFS_RCPI_Q(0)":2.79402,"EWQ^FMA_COS_UP(\"EPS\",\"1M\",+1,0,,,\"PORTAGG\",\"MEANR\")":22.0,"ENZL^FMA_PE(LTM,0,,,\"PORTAGG\",\"MEANR\")":32.3891061176791,"PLATI-FDS^FG_PRICE_CHANGE(0,-6AM)":4.21166306695464,"EWD^FG_PRICE(0)":40.98,"EWG^FG_TOTAL_RETURNC(0,-12AM)":10.48491,"EWU^JULIAN(FMA_DIV_YLD(NTMA,NOW,NOW,M,\"PORTAGG\",\"MEANR\").DATES)":45443,"VWO^P_PRICE(0)/P_PRICE_HIGH_PR(0,,,USD,,,\"PRICE\",\"INTRA\",\"52W\")":0.97051316,"VWO^FMA_COS_DOWN(\"EPS\",\"1M\",+1,0,,,\"PORTAGG\",\"MEANR\")":1618.0,"USO^P_PRICE(0)/P_PRICE_HIGH_PR(0,,,USD,,,\"PRICE\",\"INTRA\",\"52W\")":0.9080445,"SPY^FMA_EVAL_EBIT(LTMA,NOW,NOW,M,\"PORTAGG\",\"MEANR\")":20.483884578052,"REFJPTON-FDS^(SUBARRAY(NOT_NA(NO_REPEAT_F(FG_YIELD(NOW,-10AY,D))),0,1)-SUBARRAY(NOT_NA(NO_REPEAT_F(FG_YIELD(NOW,-10AY,D))),1,1))*100":10.0,"SPY^FMA_EVAL_EBITDA(NTMA,0,,,\"PORTAGG\",\"MEANR\")":14.4645745107867,"EWJ^FG_FCF_YIELD_NTM(0)":3.91493271717402,"SPY^FMA_RBICS_REV_CURRENT(30, LOC, \"PORTAGG\")":12.3968672783064,"EWI^PERCENT_CHANGE(FMA_EPS(+1,0,,,,\"PORTAGG\",\"MEAN\"),FMA_EPS(+1,-1AM,,,,\"PORTAGG\",\"MEAN\"))":0.378823891148141,"TRYIT10Y-FDS^FG_YIELD(0,,,,\"YTM\")":3.976,"CPALM-FDS^FG_PRICE_CHANGE(0,-6AM)":9.73500697350069,"EWN^FG_PRICE_MAVG(0,,,,200)":44.775303,"VWO^PERCENT_CHANGE(FMA_EPS(+1,0,,,,\"PORTAGG\",\"MEAN\"),FMA_EPS(+1,-3AM,,,,\"PORTAGG\",\"MEAN\"))":-2.61660581570786,"EWQ^FMA_PCT_ABOVE_MAVG(200,0,,,,\"PORTAGG\")":64.5161290322581,"EWG^P_PRICE(0)/P_PRICE_LOW_PR(0,,,,,,\"PRICE\",\"INTRA\",\"52W\")-1":0.23902047,"VWO^SIZE(FG_CONSTITUENTS)":1,"TRYFR10Y-FDS^FG_YIELD_NAME":"France Benchmark Bond - 10 Year","TRYGB10Y-FDS^PCTCHG(FG_YIELD(0,,,,\"YTM\"),FG_YIELD(-3AM,,,,\"YTM\"))":1.1695873,"EWQ^FMA_DIV_YLD(NTMA,NOW,NOW,M,\"PORTAGG\",\"MEANR\")":3.15898100881901,"EWL^FMA_EVAL_EBIT(LTMA,NOW,NOW,M,\"PORTAGG\",\"MEANR\")":16.5943928309281,"EWC^JULIAN(FMA_DIV_YLD(NTMA,NOW,NOW,M,\"PORTAGG\",\"MEANR\").DATES)":45443,"CPALM-FDS^FG_PRICE_CHANGE(0,-1AM)":0.665301944728758,"EWN^FG_PRICE_MAVG(0,,,,60)":49.921333,"VWO^FMA_PCT_ABOVE_MAVG(200,0,,,,\"PORTAGG\")":46.8958109559613,"SPY^FG_TOTAL_RETURNC(0,-12AM)":26.036728,"REFGBBANK-FDS^(SUBARRAY(NOT_NA(NO_REPEAT_F(FG_YIELD(NOW,-10AY,D))),0,1)-SUBARRAY(NOT_NA(NO_REPEAT_F(FG_YIELD(NOW,-10AY,D))),1,1))*100":25.0,"CC_IT^IMF_IFS_RCPI_Q(0)":0.92385906,"EWA^JULIAN(FMA_DIV_YLD(NTMA,NOW,NOW,M,\"PORTAGG\",\"MEANR\").DATES)":45443,"EWQ^FMA_PE(NTMA,0,,,\"PORTAGG\",\"MEANR\")":14.1059265451474,"EWQ^FMA_PE(LTM,0,,,\"PORTAGG\",\"MEANR\")":16.1584831085531,"EWL^FMA_DIV_YLD(NTMA,NOW,NOW,M,\"PORTAGG\",\"MEANR\")":3.19702705627753,"DBA^P_PRICE(0)/P_PRICE_HIGH_PR(0,,,USD,,,\"PRICE\",\"INTRA\",\"52W\")":0.97162193,"CC_NL^IMF_IFS_RCPI_Q(0)":3.0237906,"EWI^FMA_DIV_YLD(NTMA,NOW,NOW,M,\"PORTAGG\",\"MEANR\")":5.24661167333255,"EWC^PERCENT_CHANGE(FMA_EPS(+1,0,,,,\"PORTAGG\",\"MEAN\"),FMA_EPS(+1,-1AM,,,,\"PORTAGG\",\"MEAN\"))":1.28514447212788,"SPY^SIZE(FG_CONSTITUENTS)":504,"EWG^FMA_RBICS_REV_CURRENT(30, LOC, \"PORTAGG\")":23.4356830968268,"EWN^FG_ROE(0)":11.7296788704561,"TRYIT10Y-FDS^PCTCHG(FG_YIELD(0,,,,\"YTM\"),FG_YIELD(-3AM,,,,\"YTM\"))":10.937499,"W-FDS^FG_PRICE_CHANGE(0,-6AM)":5.93763348996155,"EWN^FG_PRICE(0)":51.16,"VGK^FG_TOTAL_RETURNC(0,-12AM)":14.277399,"EWG^FG_TOTAL_RETURNC(0,-6AM)":6.3637376,"VWO^FMA_COS_UP(\"EPS\",\"1M\",+1,0,,,\"PORTAGG\",\"MEANR\")":857.0,"REFGBBANK-FDS^FG_YIELD(NOW,,,0)":5.25,"TRYGB10Y-FDS^PCTCHG(FG_YIELD(0,,,,\"YTM\"),FG_YIELD(-1AM,,,,\"YTM\"))":-0.048142873,"TRYDE10Y-FDS^FG_YIELD_NAME":"Germany Benchmark Bond - 10 Year","VGK^FG_PE_NTM(0,,,90,0)":13.3039597645461,"EWL^FG_FCF_YIELD_NTM(0)":4.84547452349708,"EWA^FMA_EVAL_EBITDA(NTMA,0,,,\"PORTAGG\",\"MEANR\")":8.63050300299101,"USO^FG_TOTAL_RETURNC(0,-6AM)":15.934479,"BRENT-FDS^FG_PRICE_CHANGE(0,-6AM)":0.0,"EWQ^FG_PRICE_MAVG(0,,,,30)":41.463,"VGK^P_PRICE(0)/P_PRICE_LOW_PR(0,,,,,,\"PRICE\",\"INTRA\",\"52W\")-1":0.24791133,"EWG^FG_TOTAL_RETURNC(0,-1AM)":-2.5022507,"VGK^SIZE(FG_CONSTITUENTS)":1281,"TRYCH10Y-FDS^PCTCHG(FG_YIELD(0,,,,\"YTM\"),FG_YIELD(-3AM,,,,\"YTM\"))":2.207795,"TRYCA10Y-FDS^FG_YIELD(0,,,,\"YTM\")":3.3303,"VGK^FG_PE(0)":12.9336206201944,"EWG^PERCENT_CHANGE(FMA_EPS(+1,0,,,,\"PORTAGG\",\"MEAN\"),FMA_EPS(+1,-1AM,,,,\"PORTAGG\",\"MEAN\"))":0.510159850077686,"EWA^FMA_DIV_YLD(NTMA,NOW,NOW,M,\"PORTAGG\",\"MEANR\")":3.99280646326719,"REFCATARG-FDS^FG_YIELD(NOW,,,0)":4.75,"EWJ^FMA_PE(NTMA,0,,,\"PORTAGG\",\"MEANR\")":15.6247245899874,"ENZL^JULIAN(FMA_DIV_YLD(NTMA,NOW,NOW,M,\"PORTAGG\",\"MEANR\").DATES)":45443,"UUP^FG_TOTAL_RETURNC(0,-6AM)":5.253947,"EWA^PERCENT_CHANGE(FMA_EPS(+1,0,,,,\"PORTAGG\",\"MEAN\"),FMA_EPS(+1,-3AM,,,,\"PORTAGG\",\"MEAN\"))":-3.89817046709621,"CC_US^IMF_IFS_RCPI_Q(0)":3.209516,"VGK^JULIAN(FMA_DIV_YLD(NTMA,NOW,NOW,M,\"PORTAGG\",\"MEANR\").DATES)":45412,"EWA^FMA_PE(LTM,0,,,\"PORTAGG\",\"MEANR\")":18.9178203016696,"DBA^FG_TOTAL_RETURNC(0,-3AM)":12.587118,"EWQ^SIZE(FG_CONSTITUENTS)":63,"EWI^FMA_PE(NTMA,0,,,\"PORTAGG\",\"MEANR\")":9.69643585829533,"EWA^FG_TOTAL_RETURNC(0,-12AM)":11.052823,"SPY^FMA_PE(NTMA,0,,,\"PORTAGG\",\"MEANR\")":20.7559183470507,"REFCATARG-FDS^PROPER_NAME(0,,,\"SECURITY\",\"NAME\")":"Canada Target Rate","EWD^FMA_EVAL_EBITDA(NTMA,0,,,\"PORTAGG\",\"MEANR\")":11.2151279299786,"QQQ^FG_TOTAL_RETURNC(0,-1AM)":7.5923085,"EWN^FMA_EVAL_EBIT(LTMA,NOW,NOW,M,\"PORTAGG\",\"MEANR\")":21.8192755017014,"BRENT-FDS^FG_PRICE_CHANGE(0,-1AM)":0.0,"EWQ^FG_PRICE(0)":38.95,"VGK^P_PRICE(0)/P_PRICE_HIGH_PR(0,,,,,,\"PRICE\",\"INTRA\",\"52W\")":0.97219664,"EWG^PERCENT_CHANGE(FMA_EPS(+1,0,,,,\"PORTAGG\",\"MEAN\"),FMA_EPS(+1,-3AM,,,,\"PORTAGG\",\"MEAN\"))":0.860840706944117,"VGK^FMA_COS_UP(\"EPS\",\"1M\",+1,0,,,\"PORTAGG\",\"MEANR\")":466.0,"TRYCA10Y-FDS^FG_YIELD_NAME":"Canada Benchmark Bond - 10 Year","REFGBBANK-FDS^PROPER_NAME(0,,,\"SECURITY\",\"NAME\")":"UK Bank Rate","TRYCH10Y-FDS^PCTCHG(FG_YIELD(0,,,,\"YTM\"),FG_YIELD(-1AM,,,,\"YTM\"))":1.2870001,"EWL^FMA_PE(NTMA,0,,,\"PORTAGG\",\"MEANR\")":17.3747150332983,"EWA^FG_FCF_YIELD_NTM(0)":5.17541985227699,"VGK^PERCENT_CHANGE(FMA_EPS(+1,0,,,,\"PORTAGG\",\"MEAN\"),FMA_EPS(+1,-1AM,,,,\"PORTAGG\",\"MEAN\"))":0.0,"EWI^SIZE(FG_CONSTITUENTS)":28,"TRYJP10Y-FDS^PCTCHG(FG_YIELD(0,,,,\"YTM\"),FG_YIELD(-3AM,,,,\"YTM\"))":28.717949,"EWA^FMA_PE(NTMA,0,,,\"PORTAGG\",\"MEANR\")":16.7429612216722,"EWJ^FMA_EVAL_EBITDA(NTMA,0,,,\"PORTAGG\",\"MEANR\")":10.4500983628174,"EWI^FG_FCF_YIELD_NTM(0)":6.09493884351382,"DBA^FG_TOTAL_RETURNC(0,-6AM)":24.452782,"REFJPTON-FDS^FG_YIELD(NOW,,,0)":0.1,"DBA^FG_TOTAL_RETURNC(0,-1AM)":10.14061,"QQQ^FMA_EVAL_EBITDA(NTMA,0,,,\"PORTAGG\",\"MEANR\")":16.8822459048021,"COPP-FDS^FG_PRICE_CHANGE(0,-6AM)":19.0570522979398,"SPY^FG_PRICE_MAVG(0,,,,200)":480.5105,"TRYAU10Y-FDS^FG_YIELD(0,,,,\"YTM\")":4.191,"ENZL^FMA_EVAL_EBIT(LTMA,NOW,NOW,M,\"PORTAGG\",\"MEANR\")":20.7796575161614,"EWA^P_PRICE(0)/P_PRICE_LOW_PR(0,,,,,,\"PRICE\",\"INTRA\",\"52W\")-1":0.18572831,"TIOS-FDS^FG_PRICE_CHANGE(0,-6AM)":-20.669480856106,"QQQ^FG_PRICE(0)":476.72,"VGK^FMA_PCT_ABOVE_MAVG(200,0,,,,\"PORTAGG\")":67.3015873015873,"QQQ^P_PRICE(0)/P_PRICE_LOW_PR(0,,,,,,\"PRICE\",\"INTRA\",\"52W\")-1":0.392493,"EWG^FMA_PCT_ABOVE_MAVG(200,0,,,,\"PORTAGG\")":68.9655172413793,"EWI^FMA_COS_DOWN(\"EPS\",\"1M\",+1,0,,,\"PORTAGG\",\"MEANR\")":6.0,"REFCHMPR-FDS^FG_YIELD(NOW,,,0)":1.5,"TRYJP10Y-FDS^PCTCHG(FG_YIELD(0,,,,\"YTM\"),FG_YIELD(-1AM,,,,\"YTM\"))":3.9282303,"EWI^FMA_EVAL_EBIT(LTMA,NOW,NOW,M,\"PORTAGG\",\"MEANR\")":10.8518583483408,"EWJ^FMA_EVAL_EBIT(LTMA,NOW,NOW,M,\"PORTAGG\",\"MEANR\")":17.7843590700785,"TIOS-FDS^FG_PRICE_CHANGE(0,-3AM)":-4.16032924756195,"EWU^FG_PRICE_MAVG(0,,,,200)":33.0644,"FXI^FG_TOTAL_RETURNC(0,-1AM)":-6.6482964,"EWI^FG_TOTAL_RETURNC(0,-12AM)":22.68567,"QQQ^P_PRICE(0)/P_PRICE_HIGH_PR(0,,,,,,\"PRICE\",\"INTRA\",\"52W\")":0.9965091,"EWC^FG_TOTAL_RETURNC(0,-3AM)":-3.154558,"EWI^FMA_COS_UP(\"EPS\",\"1M\",+1,0,,,\"PORTAGG\",\"MEANR\")":12.0,"REFCHMPR-FDS^PROPER_NAME(0,,,\"SECURITY\",\"NAME\")":"Swiss Policy Rate - Sight Deposit Rate","TRYDE10Y-FDS^PCTCHG(FG_YIELD(0,,,,\"YTM\"),FG_YIELD(-3AM,,,,\"YTM\"))":7.282794,"TRYNZ10Y-FDS^FG_YIELD(0,,,,\"YTM\")":4.6627,"EWI^FMA_EVAL_EBITDA(NTMA,0,,,\"PORTAGG\",\"MEANR\")":6.84765805648134,"TIOS-FDS^FG_PRICE_CHANGE(0,-1AM)":-8.6863864973148,"EWU^FG_PRICE_MAVG(0,,,,60)":35.043167,"FXI^PERCENT_CHANGE(FMA_EPS(+1,0,,,,\"PORTAGG\",\"MEAN\"),FMA_EPS(+1,-3AM,,,,\"PORTAGG\",\"MEAN\"))":-0.0174111350113912,"EWI^P_PRICE(0)/P_PRICE_LOW_PR(0,,,,,,\"PRICE\",\"INTRA\",\"52W\")-1":0.25176632,"QQQ^FG_TOTAL_RETURNC(0,-6AM)":18.52765,"EWC^FG_TOTAL_RETURNC(0,-1AM)":-3.0529082,"EWN^FMA_COS_DOWN(\"EPS\",\"1M\",+1,0,,,\"PORTAGG\",\"MEANR\")":20.0,"SPY^FG_FCF_YIELD_NTM(0)":4.14564100442618,"QQQ^PERCENT_CHANGE(FMA_EPS(+1,0,,,,\"PORTAGG\",\"MEAN\"),FMA_EPS(+1,-1AM,,,,\"PORTAGG\",\"MEAN\"))":5.07368528857077,"EWD^FMA_EVAL_EBIT(LTMA,NOW,NOW,M,\"PORTAGG\",\"MEANR\")":15.9881022680904,"ENZL^FMA_PE(NTMA,0,,,\"PORTAGG\",\"MEANR\")":24.0579982596121,"EWU^FG_TOTAL_RETURNC(0,-12AM)":13.210106,"SPY^FMA_PE(LTM,0,,,\"PORTAGG\",\"MEANR\")":25.8508705977659,"UUP^FG_TOTAL_RETURNC(0,-3AM)":3.8129568,"QQQ^JULIAN(FMA_DIV_YLD(NTMA,NOW,NOW,M,\"PORTAGG\",\"MEANR\").DATES)":45443,"VWO^FMA_EVAL_EBIT(LTMA,NOW,NOW,M,\"PORTAGG\",\"MEANR\")":14.3813872657677,"EWU^FG_PRICE(0)":35.09,"FXI^PERCENT_CHANGE(FMA_EPS(+1,0,,,,\"PORTAGG\",\"MEAN\"),FMA_EPS(+1,-1AM,,,,\"PORTAGG\",\"MEAN\"))":-0.0198361902477945,"EWI^P_PRICE(0)/P_PRICE_HIGH_PR(0,,,,,,\"PRICE\",\"INTRA\",\"52W\")":0.9225299,"EWC^PERCENT_CHANGE(FMA_EPS(+1,0,,,,\"PORTAGG\",\"MEAN\"),FMA_EPS(+1,-3AM,,,,\"PORTAGG\",\"MEAN\"))":0.632542525326709,"ENZL^FMA_EVAL_EBITDA(NTMA,0,,,\"PORTAGG\",\"MEANR\")":11.5929264707262,"ENZL^FMA_DIV_YLD(NTMA,NOW,NOW,M,\"PORTAGG\",\"MEANR\")":2.70122124532592,"QQQ^P_PRICE(0)/P_PRICE_HIGH_PR(0,,,USD,,,\"PRICE\",\"INTRA\",\"52W\")":0.9965091,"EWL^FG_PRICE_MAVG(0,,,,200)":46.2223,"FXI^FMA_PCT_ABOVE_MAVG(200,0,,,,\"PORTAGG\")":74.5098039215686,"EWL^FG_PRICE_MAVG(0,,,,30)":48.434334,"EWI^FG_TOTAL_RETURNC(0,-3AM)":-0.081944466,"QQQ^PERCENT_CHANGE(FMA_EPS(+1,0,,,,\"PORTAGG\",\"MEAN\"),FMA_EPS(+1,-3AM,,,,\"PORTAGG\",\"MEAN\"))":4.42674848938096,"EWC^FMA_PCT_ABOVE_MAVG(200,0,,,,\"PORTAGG\")":67.0454545454545,"EWQ^FMA_COS_DOWN(\"EPS\",\"1M\",+1,0,,,\"PORTAGG\",\"MEANR\")":25.0,"EWQ^FMA_RBICS_REV_CURRENT(30, LOC, \"PORTAGG\")":11.8223044537398,"TRYNZ10Y-FDS^PCTCHG(FG_YIELD(0,,,,\"YTM\"),FG_YIELD(-1AM,,,,\"YTM\"))":-1.31434,"EWI^FMA_PE(LTM,0,,,\"PORTAGG\",\"MEANR\")":10.1070740861593,"SPY^FMA_DIV_YLD(NTMA,NOW,NOW,M,\"PORTAGG\",\"MEANR\")":1.45391594360208,"EWG^FMA_PE(LTM,0,,,\"PORTAGG\",\"MEANR\")":16.1746754567149,"EWL^FG_PRICE(0)":48.95,"EWI^PERCENT_CHANGE(FMA_EPS(+1,0,,,,\"PORTAGG\",\"MEAN\"),FMA_EPS(+1,-3AM,,,,\"PORTAGG\",\"MEAN\"))":0.437027022342648,"EWJ^FG_PRICE_MAVG(0,,,,200)":65.2178,"EWD^FMA_DIV_YLD(NTMA,NOW,NOW,M,\"PORTAGG\",\"MEANR\")":3.19182312279385,"REFAUCASH-FDS^PROPER_NAME(0,,,\"SECURITY\",\"NAME\")":"Australia Target Cash Rate","ENZL^PERCENT_CHANGE(FMA_EPS(+1,0,,,,\"PORTAGG\",\"MEAN\"),FMA_EPS(+1,-3AM,,,,\"PORTAGG\",\"MEAN\"))":0.926122863765727,"EWG^FG_PRICE(0)":30.61,"EWI^FMA_PCT_ABOVE_MAVG(200,0,,,,\"PORTAGG\")":64.0,"EWU^P_PRICE(0)/P_PRICE_LOW_PR(0,,,,,,\"PRICE\",\"INTRA\",\"52W\")-1":0.16423357,"EWA^FG_TOTAL_RETURNC(0,-6AM)":6.8683624,"EWU^FMA_RBICS_REV_CURRENT(30, LOC, \"PORTAGG\")":19.3898803393085,"REFAUCASH-FDS^(SUBARRAY(NOT_NA(NO_REPEAT_F(FG_YIELD(NOW,-10AY,D))),0,1)-SUBARRAY(NOT_NA(NO_REPEAT_F(FG_YIELD(NOW,-10AY,D))),1,1))*100":25.0,"CC_GB^IMF_IFS_RCPI_Q(0)":3.9194994,"EWD^FG_FCF_YIELD_NTM(0)":4.99417909499724,"SPY^JULIAN(FMA_DIV_YLD(NTMA,NOW,NOW,M,\"PORTAGG\",\"MEANR\").DATES)":45443,"EWJ^FMA_PE(LTM,0,,,\"PORTAGG\",\"MEANR\")":16.1198556455721,"UUP^P_PRICE(0)/P_PRICE_HIGH_PR(0,,,USD,,,\"PRICE\",\"INTRA\",\"52W\")":0.95673794,"QQQ^SIZE(FG_CONSTITUENTS)":102,"EWC^FG_PRICE_MAVG(0,,,,200)":35.91555,"EWD^FG_TOTAL_RETURNC(0,-12AM)":18.425226,"EWU^P_PRICE(0)/P_PRICE_HIGH_PR(0,,,,,,\"PRICE\",\"INTRA\",\"52W\")":0.95444036,"EWA^FG_TOTAL_RETURNC(0,-3AM)":0.58044195,"EWL^FMA_RBICS_REV_CURRENT(30, LOC, \"PORTAGG\")":18.424673270129,"EWC^FG_PRICE_MAVG(0,,,,60)":37.776333,"EWD^FG_TOTAL_RETURNC(0,-1AM)":2.3103833,"EWU^FG_TOTAL_RETURNC(0,-6AM)":10.978866,"EWA^FG_TOTAL_RETURNC(0,-1AM)":0.86758137,"QQQ^FMA_COS_DOWN(\"EPS\",\"1M\",+1,0,,,\"PORTAGG\",\"MEANR\")":30.0,"EWC^FG_PRICE(0)":36.6,"EWD^PERCENT_CHANGE(FMA_EPS(+1,0,,,,\"PORTAGG\",\"MEAN\"),FMA_EPS(+1,-3AM,,,,\"PORTAGG\",\"MEAN\"))":3.28805445692336,"EWU^FMA_PCT_ABOVE_MAVG(200,0,,,,\"PORTAGG\")":66.25,"EWA^FG_PRICE_MAVG(0,,,,200)":23.224,"EWD^PERCENT_CHANGE(FMA_EPS(+1,0,,,,\"PORTAGG\",\"MEAN\"),FMA_EPS(+1,-1AM,,,,\"PORTAGG\",\"MEAN\"))":4.36862708683952,"EWL^FG_TOTAL_RETURNC(0,-12AM)":9.000742,"ENZL^P_PRICE(0)/P_PRICE_HIGH_PR(0,,,,,,\"PRICE\",\"INTRA\",\"52W\")":0.8976409,"EWU^SIZE(FG_CONSTITUENTS)":82,"EWA^FMA_RBICS_REV_CURRENT(30, LOC, \"PORTAGG\")":41.3569255279872,"TRYSE10Y-FDS^FG_YIELD(0,,,,\"YTM\")":2.227,"CC_DE^IMF_IFS_RCPI_Q(0)":2.5173564,"EWD^FMA_PE(NTMA,0,,,\"PORTAGG\",\"MEANR\")":16.1268941501946,"QQQ^FMA_PE(NTMA,0,,,\"PORTAGG\",\"MEANR\")":26.8396717940978,"EWG^FMA_EVAL_EBITDA(NTMA,0,,,\"PORTAGG\",\"MEANR\")":8.48298853590435,"EWJ^P_PRICE(0)/P_PRICE_HIGH_PR(0,,,USD,,,\"PRICE\",\"INTRA\",\"52W\")":0.9317977,"EWG^FG_FCF_YIELD_NTM(0)":5.80715632796194,"UUP^FG_TOTAL_RETURNC(0,-1AM)":0.45249462,"EWN^FG_TOTAL_RETURNC(0,-12AM)":21.70788,"EWL^P_PRICE(0)/P_PRICE_HIGH_PR(0,,,,,,\"PRICE\",\"INTRA\",\"52W\")":0.9668181,"ENZL^FG_TOTAL_RETURNC(0,-3AM)":1.3606906,"EWI^FG_ROE(0)":13.9884929483028,"REFNZOCR-FDS^FG_YIELD(NOW,,,0)":5.5,"CC_AU^IMF_IFS_RCPI_Q(0)":3.61991,"EWD^FMA_PE(LTM,0,,,\"PORTAGG\",\"MEANR\")":14.1635360264242,"EWG^FMA_DIV_YLD(NTMA,NOW,NOW,M,\"PORTAGG\",\"MEANR\")":3.38056906878235,"EWA^FG_PRICE_MAVG(0,,,,30)":24.625334,"EWD^FMA_PCT_ABOVE_MAVG(200,0,,,,\"PORTAGG\")":88.6363636363636,"EWL^P_PRICE(0)/P_PRICE_LOW_PR(0,,,,,,\"PRICE\",\"INTRA\",\"52W\")-1":0.17809868,"ENZL^FG_TOTAL_RETURNC(0,-6AM)":-1.0690868,"EWL^FMA_COS_UP(\"EPS\",\"1M\",+1,0,,,\"PORTAGG\",\"MEANR\")":22.0,"ENZL^FMA_RBICS_REV_CURRENT(30, LOC, \"PORTAGG\")":14.3512586842186,"REFNZOCR-FDS^(SUBARRAY(NOT_NA(NO_REPEAT_F(FG_YIELD(NOW,-10AY,D))),0,1)-SUBARRAY(NOT_NA(NO_REPEAT_F(FG_YIELD(NOW,-10AY,D))),1,1))*100":25.0,"CC_CA^IMF_IFS_RCPI_Q(0)":2.8466706,"QQQ^FMA_PE(LTM,0,,,\"PORTAGG\",\"MEANR\")":34.9010897541141,"REFSEREPO-FDS^(SUBARRAY(NOT_NA(NO_REPEAT_F(FG_YIELD(NOW,-10AY,D))),0,1)-SUBARRAY(NOT_NA(NO_REPEAT_F(FG_YIELD(NOW,-10AY,D))),1,1))*100":-25.0,"EWA^FG_PRICE(0)":24.26,"TRYNL10Y-FDS^FG_YIELD(0,,,,\"YTM\")":2.847,"GLD^FG_TOTAL_RETURNC(0,-6AM)":13.505304,"ENZL^FG_PRICE_MAVG(0,,,,200)":45.348488,"EWN^P_PRICE(0)/P_PRICE_LOW_PR(0,,,,,,\"PRICE\",\"INTRA\",\"52W\")-1":0.40975475,"EWL^FG_TOTAL_RETURNC(0,-6AM)":6.333697,"ENZL^FG_TOTAL_RETURNC(0,-1AM)":3.4398794,"EWD^FG_ROE(0)":17.0313165564188,"REFSEREPO-FDS^FG_YIELD(NOW,,,0)":3.75,"REFNZOCR-FDS^PROPER_NAME(0,,,\"SECURITY\",\"NAME\")":"New Zealand Official Cash Rate","CC_NZ^IMF_IFS_RCPI_Q(0)":4.022989,"EWD^JULIAN(FMA_DIV_YLD(NTMA,NOW,NOW,M,\"PORTAGG\",\"MEANR\").DATES)":45443,"EWG^FMA_PE(NTMA,0,,,\"PORTAGG\",\"MEANR\")":11.9196932818141,"GLD^P_PRICE(0)/P_PRICE_HIGH_PR(0,,,USD,,,\"PRICE\",\"INTRA\",\"52W\")":0.9437649,"REFSEREPO-FDS^PROPER_NAME(0,,,\"SECURITY\",\"NAME\")":"Sweden Repo Rate","EWN^P_PRICE(0)/P_PRICE_HIGH_PR(0,,,,,,\"PRICE\",\"INTRA\",\"52W\")":0.9709622,"URTH^P_PRICE(0)/P_PRICE_LOW_PR(0,,,,,,\"PRICE\",\"INTRA\",\"52W\")-1":0.2816913,"EWN^FG_TOTAL_RETURNC(0,-3AM)":5.693865,"EWL^FG_TOTAL_RETURNC(0,-1AM)":4.751289,"ENZL^PERCENT_CHANGE(FMA_EPS(+1,0,,,,\"PORTAGG\",\"MEAN\"),FMA_EPS(+1,-1AM,,,,\"PORTAGG\",\"MEAN\"))":8.04808701561673,"EWG^SIZE(FG_CONSTITUENTS)":59,"EWU^FG_ROE(0)":14.5721360921698,"TRYIT10Y-FDS^PCTCHG(FG_YIELD(0,,,,\"YTM\"),FG_YIELD(-1AM,,,,\"YTM\"))":4.6866765,"VWO^FMA_EVAL_EBITDA(NTMA,0,,,\"PORTAGG\",\"MEANR\")":8.90503783222872,"EWG^JULIAN(FMA_DIV_YLD(NTMA,NOW,NOW,M,\"PORTAGG\",\"MEANR\").DATES)":45443,"VGK^P_PRICE(0)/P_PRICE_HIGH_PR(0,,,USD,,,\"PRICE\",\"INTRA\",\"52W\")":0.97219664,"GLD^FG_TOTAL_RETURNC(0,-3AM)":5.855167,"URTH^P_PRICE(0)/P_PRICE_HIGH_PR(0,,,,,,\"PRICE\",\"INTRA\",\"52W\")":0.9924049,"EWN^FG_TOTAL_RETURNC(0,-1AM)":1.9652009,"EWL^PERCENT_CHANGE(FMA_EPS(+1,0,,,,\"PORTAGG\",\"MEAN\"),FMA_EPS(+1,-1AM,,,,\"PORTAGG\",\"MEAN\"))":2.43118482977243,"ENZL^FMA_PCT_ABOVE_MAVG(200,0,,,,\"PORTAGG\")":42.8571428571429,"EWG^FMA_COS_DOWN(\"EPS\",\"1M\",+1,0,,,\"PORTAGG\",\"MEANR\")":24.0,"EWL^FG_ROE(0)":24.1031193432502,"TRYSE10Y-FDS^PCTCHG(FG_YIELD(0,,,,\"YTM\"),FG_YIELD(-3AM,,,,\"YTM\"))":-3.0052269,"VWO^FMA_DIV_YLD(NTMA,NOW,NOW,M,\"PORTAGG\",\"MEANR\")":3.06464943449253,"EWN^FMA_EVAL_EBITDA(NTMA,0,,,\"PORTAGG\",\"MEANR\")":12.878590682966,"EWU^FMA_EVAL_EBITDA(NTMA,0,,,\"PORTAGG\",\"MEANR\")":7.46262658772965,"EWC^FMA_EVAL_EBITDA(NTMA,0,,,\"PORTAGG\",\"MEANR\")":9.70752582126086,"GLD^FG_TOTAL_RETURNC(0,-1AM)":-1.5213132,"SPY^P_PRICE(0)/P_PRICE_HIGH_PR(0,,,USD,,,\"PRICE\",\"INTRA\",\"52W\")":0.99693084,"URTH^FG_TOTAL_RETURNC(0,-6AM)":13.498699,"EWN^PERCENT_CHANGE(FMA_EPS(+1,0,,,,\"PORTAGG\",\"MEAN\"),FMA_EPS(+1,-3AM,,,,\"PORTAGG\",\"MEAN\"))":-3.19409441555172,"EWL^FMA_PCT_ABOVE_MAVG(200,0,,,,\"PORTAGG\")":71.1111111111111,"FXI^FMA_COS_DOWN(\"EPS\",\"1M\",+1,0,,,\"PORTAGG\",\"MEANR\")":18.0,"EWG^FMA_COS_UP(\"EPS\",\"1M\",+1,0,,,\"PORTAGG\",\"MEANR\")":26.0,"EWJ^FG_ROE(0)":9.50993100698904,"TRYSE10Y-FDS^PCTCHG(FG_YIELD(0,,,,\"YTM\"),FG_YIELD(-1AM,,,,\"YTM\"))":-5.1129055,"TRYGB10Y-FDS^FG_YIELD(0,,,,\"YTM\")":4.152,"VWO^FG_PE(0)":14.3840817226485,"EWN^FG_FCF_YIELD_NTM(0)":3.46764644066718,"EWC^FG_FCF_YIELD_NTM(0)":6.15749927201455,"URTH^FG_TOTAL_RETURNC(0,-3AM)":3.6200643,"EWN^PERCENT_CHANGE(FMA_EPS(+1,0,,,,\"PORTAGG\",\"MEAN\"),FMA_EPS(+1,-1AM,,,,\"PORTAGG\",\"MEAN\"))":-3.87623940185019,"FXI^FMA_COS_UP(\"EPS\",\"1M\",+1,0,,,\"PORTAGG\",\"MEANR\")":21.0,"EWC^FMA_COS_DOWN(\"EPS\",\"1M\",+1,0,,,\"PORTAGG\",\"MEANR\")":32.0,"EWG^FG_ROE(0)":9.51864625736087,"TRYNL10Y-FDS^PCTCHG(FG_YIELD(0,,,,\"YTM\"),FG_YIELD(-3AM,,,,\"YTM\"))":7.8817716,"VWO^JULIAN(FMA_DIV_YLD(NTMA,NOW,NOW,M,\"PORTAGG\",\"MEANR\").DATES)":45412,"EWN^FMA_DIV_YLD(NTMA,NOW,NOW,M,\"PORTAGG\",\"MEANR\")":2.51422504808819,"EWU^FG_FCF_YIELD_NTM(0)":6.1409359671938,"EWC^FMA_DIV_YLD(NTMA,NOW,NOW,M,\"PORTAGG\",\"MEANR\")":3.26086593722445,"TLT^P_PRICE(0)/P_PRICE_HIGH_PR(0,,,USD,,,\"PRICE\",\"INTRA\",\"52W\")":0.9031265,"REFAUCASH-FDS^FG_YIELD(NOW,,,0)":4.35,"QQQ^FMA_COS_UP(\"EPS\",\"1M\",+1,0,,,\"PORTAGG\",\"MEANR\")":39.0,"EWU^FMA_EVAL_EBIT(LTMA,NOW,NOW,M,\"PORTAGG\",\"MEANR\")":10.5863534136979,"VWO^P_PRICE(0)/P_PRICE_LOW_PR(0,,,,,,\"PRICE\",\"INTRA\",\"52W\")-1":0.16513145,"EWQ^FG_TOTAL_RETURNC(0,-6AM)":2.9102564,"EWC^FMA_COS_UP(\"EPS\",\"1M\",+1,0,,,\"PORTAGG\",\"MEANR\")":34.0,"EWC^FG_ROE(0)":11.0183343696392,"TRYCH10Y-FDS^FG_YIELD(0,,,,\"YTM\")":0.787,"VGK^FMA_EVAL_EBIT(LTMA,NOW,NOW,M,\"PORTAGG\",\"MEANR\")":13.2004532321572,"EWN^FMA_PE(NTMA,0,,,\"PORTAGG\",\"MEANR\")":16.6164272183828,"EWU^FMA_DIV_YLD(NTMA,NOW,NOW,M,\"PORTAGG\",\"MEANR\")":3.86610992627663,"TLT^FG_TOTAL_RETURNC(0,-6AM)":-1.1375785,"EWJ^FMA_RBICS_REV_CURRENT(30, LOC, \"PORTAGG\")":18.8758256480554,"DUMMY^ECON_DATE(45426,,, 'MM/YYYY')":"05/2024","DUMMY^ECON_DATE(45336,,, 'MM/YYYY')":"02/2024","DUMMY^ECON_EXPR_DATA('FDS_ECON[PMIDMMANHE]',05/2024,,Q)":49.135414,"DUMMY^ECON_EXPR_DATA('FDS_ECON[PMIDMMANHE]',02/2024,,Q)":47.377968,"DUMMY^ECON_EXPR_DATA('FDS_ECON[NTCPMIMFGSA@EME]',05/2024,,Q)":51.51058,"DUMMY^ECON_EXPR_DATA('FDS_ECON[NTCPMIMFGSA@EME]',02/2024,,Q)":50.624123,"DUMMY^ECON_EXPR_DATA('FDS_ECON[NTCPMIMFGSA@NZ]',05/2024,,Q)":47.779373,"DUMMY^ECON_EXPR_DATA('FDS_ECON[NTCPMIMFGSA@NZ]',02/2024,,Q)":44.485992,"DUMMY^ECON_EXPR_DATA('FDS_ECON[NTCPMIMFGSA@AU]',05/2024,,Q)":48.39547,"DUMMY^ECON_EXPR_DATA('FDS_ECON[NTCPMIMFGSA@AU]',02/2024,,Q)":47.862293,"DUMMY^ECON_EXPR_DATA('FDS_ECON[NTCPMIMFGSA@CA]',05/2024,,Q)":49.30091,"DUMMY^ECON_EXPR_DATA('FDS_ECON[NTCPMIMFGSA@CA]',02/2024,,Q)":47.255585,"DUMMY^ECON_EXPR_DATA('FDS_ECON[NTCPMIMFGSA@DE]',05/2024,,Q)":43.319096,"DUMMY^ECON_EXPR_DATA('FDS_ECON[NTCPMIMFGSA@DE]',02/2024,,Q)":42.238945,"DUMMY^ECON_EXPR_DATA('FDS_ECON[NTCPMIMFGSA@JP]',05/2024,,Q)":47.808857,"DUMMY^ECON_EXPR_DATA('FDS_ECON[NTCPMIMFGSA@JP]',02/2024,,Q)":48.31877,"DUMMY^ECON_EXPR_DATA('FDS_ECON[NTCPMIMFGSA@CH]',05/2024,,Q)":44.08605,"DUMMY^ECON_EXPR_DATA('FDS_ECON[NTCPMIMFGSA@CH]',02/2024,,Q)":41.921543,"DUMMY^ECON_EXPR_DATA('FDS_ECON[NTCPMIMFGSA@GB]',05/2024,,Q)":48.24796,"DUMMY^ECON_EXPR_DATA('FDS_ECON[NTCPMIMFGSA@GB]',02/2024,,Q)":46.0587,"DUMMY^ECON_EXPR_DATA('FDS_ECON[NTCPMIMFGMESA@US]',05/2024,,Q)":51.582687,"DUMMY^ECON_EXPR_DATA('FDS_ECON[NTCPMIMFGMESA@US]',02/2024,,Q)":49.098827,"DUMMY^ECON_EXPR_DATA('FDS_ECON[NTCPMIMFGSA@FR]',05/2024,,Q)":45.498753,"DUMMY^ECON_EXPR_DATA('FDS_ECON[NTCPMIMFGSA@FR]',02/2024,,Q)":42.573967,"DUMMY^ECON_EXPR_DATA('FDS_ECON[NTCPMIMFGSA@NL]',05/2024,,Q)":49.325874,"DUMMY^ECON_EXPR_DATA('FDS_ECON[NTCPMIMFGSA@NL]',02/2024,,Q)":44.495136,"DUMMY^ECON_EXPR_DATA('FDS_ECON[]',05/2024,,Q)":null,"DUMMY^ECON_EXPR_DATA('FDS_ECON[]',02/2024,,Q)":null,"DUMMY^ECON_EXPR_DATA('FDS_ECON[NTCPMIMFGSA@IT]',05/2024,,Q)":49.208153,"DUMMY^ECON_EXPR_DATA('FDS_ECON[NTCPMIMFGSA@IT]',02/2024,,Q)":44.859455}]]></FdsFormulaCache>
</file>

<file path=customXml/itemProps1.xml><?xml version="1.0" encoding="utf-8"?>
<ds:datastoreItem xmlns:ds="http://schemas.openxmlformats.org/officeDocument/2006/customXml" ds:itemID="{72F87B3F-20CD-41B2-BC60-E617E8AF414A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Charts</vt:lpstr>
      </vt:variant>
      <vt:variant>
        <vt:i4>1</vt:i4>
      </vt:variant>
    </vt:vector>
  </HeadingPairs>
  <TitlesOfParts>
    <vt:vector size="28" baseType="lpstr">
      <vt:lpstr>Assumption</vt:lpstr>
      <vt:lpstr>Aset class Rankings</vt:lpstr>
      <vt:lpstr>Asset class</vt:lpstr>
      <vt:lpstr>OUTPUT_COUNTRY</vt:lpstr>
      <vt:lpstr>PORTFOLIO</vt:lpstr>
      <vt:lpstr>OUTPUT_PPT</vt:lpstr>
      <vt:lpstr>mnemonics</vt:lpstr>
      <vt:lpstr>Value -2 </vt:lpstr>
      <vt:lpstr>LIQIDITY 2</vt:lpstr>
      <vt:lpstr>Quality - 2</vt:lpstr>
      <vt:lpstr>Momnetum ranking</vt:lpstr>
      <vt:lpstr>Safety</vt:lpstr>
      <vt:lpstr>Timing</vt:lpstr>
      <vt:lpstr>Leading Indicator</vt:lpstr>
      <vt:lpstr>t -PE</vt:lpstr>
      <vt:lpstr>Forwa Pe</vt:lpstr>
      <vt:lpstr>DY </vt:lpstr>
      <vt:lpstr>Monthly Returns</vt:lpstr>
      <vt:lpstr>Yearly returns</vt:lpstr>
      <vt:lpstr>Index earnings</vt:lpstr>
      <vt:lpstr>GDP_GROWTH</vt:lpstr>
      <vt:lpstr>Currency- 2</vt:lpstr>
      <vt:lpstr>CAD</vt:lpstr>
      <vt:lpstr>Country Int rates </vt:lpstr>
      <vt:lpstr>Index ROE</vt:lpstr>
      <vt:lpstr>Economic Momentum</vt:lpstr>
      <vt:lpstr>Market Capitalisation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ETF</cp:keywords>
  <cp:lastModifiedBy>prasham jain</cp:lastModifiedBy>
  <dcterms:created xsi:type="dcterms:W3CDTF">2023-02-28T05:25:38Z</dcterms:created>
  <dcterms:modified xsi:type="dcterms:W3CDTF">2024-06-14T10:32:59Z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