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D3B8C5E2-93C1-43A4-A0F1-CB83EF5C796C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Asset class prev month" sheetId="62" r:id="rId4"/>
    <sheet name="Momnetum ranking" sheetId="12" r:id="rId5"/>
    <sheet name="Factset Price Data" sheetId="61" r:id="rId6"/>
    <sheet name="Chart1" sheetId="36" state="hidden" r:id="rId7"/>
  </sheets>
  <definedNames>
    <definedName name="_xlnm._FilterDatabase" localSheetId="4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62" l="1"/>
  <c r="C16" i="62"/>
  <c r="C15" i="62"/>
  <c r="C14" i="62"/>
  <c r="C13" i="62"/>
  <c r="C12" i="62"/>
  <c r="C11" i="62"/>
  <c r="C10" i="62"/>
  <c r="C9" i="62"/>
  <c r="C8" i="62"/>
  <c r="C7" i="62"/>
  <c r="C6" i="62"/>
  <c r="C5" i="62"/>
  <c r="C4" i="62"/>
  <c r="C3" i="62"/>
  <c r="M2" i="62"/>
  <c r="L2" i="62"/>
  <c r="K2" i="62"/>
  <c r="Q6" i="61" a="1"/>
  <c r="R19" i="12" a="1"/>
  <c r="R15" i="12" a="1"/>
  <c r="R11" i="12" a="1"/>
  <c r="R7" i="12" a="1"/>
  <c r="L18" i="12" a="1"/>
  <c r="K13" i="12" a="1"/>
  <c r="M7" i="12" a="1"/>
  <c r="F17" i="12" a="1"/>
  <c r="E12" i="12" a="1"/>
  <c r="G6" i="12" a="1"/>
  <c r="B9" i="12" a="1"/>
  <c r="E15" i="62" a="1"/>
  <c r="E11" i="62" a="1"/>
  <c r="E7" i="62" a="1"/>
  <c r="E3" i="62" a="1"/>
  <c r="H17" i="60" a="1"/>
  <c r="H13" i="60" a="1"/>
  <c r="H9" i="60" a="1"/>
  <c r="H5" i="60" a="1"/>
  <c r="B13" i="60" a="1"/>
  <c r="M17" i="12" a="1"/>
  <c r="F11" i="12" a="1"/>
  <c r="B7" i="12" a="1"/>
  <c r="G10" i="62" a="1"/>
  <c r="B16" i="62" a="1"/>
  <c r="F13" i="60" a="1"/>
  <c r="F5" i="60" a="1"/>
  <c r="N6" i="61" a="1"/>
  <c r="O15" i="12" a="1"/>
  <c r="O11" i="12" a="1"/>
  <c r="O7" i="12" a="1"/>
  <c r="K12" i="12" a="1"/>
  <c r="F16" i="12" a="1"/>
  <c r="G5" i="12" a="1"/>
  <c r="F14" i="62" a="1"/>
  <c r="F6" i="62" a="1"/>
  <c r="E13" i="60" a="1"/>
  <c r="E5" i="60" a="1"/>
  <c r="P6" i="61" a="1"/>
  <c r="Q19" i="12" a="1"/>
  <c r="Q15" i="12" a="1"/>
  <c r="Q11" i="12" a="1"/>
  <c r="Q7" i="12" a="1"/>
  <c r="K18" i="12" a="1"/>
  <c r="M12" i="12" a="1"/>
  <c r="L7" i="12" a="1"/>
  <c r="E17" i="12" a="1"/>
  <c r="G11" i="12" a="1"/>
  <c r="F6" i="12" a="1"/>
  <c r="B8" i="12" a="1"/>
  <c r="H14" i="62" a="1"/>
  <c r="H10" i="62" a="1"/>
  <c r="H6" i="62" a="1"/>
  <c r="B17" i="62" a="1"/>
  <c r="G17" i="60" a="1"/>
  <c r="G13" i="60" a="1"/>
  <c r="G9" i="60" a="1"/>
  <c r="G5" i="60" a="1"/>
  <c r="B12" i="60" a="1"/>
  <c r="O6" i="61" a="1"/>
  <c r="P19" i="12" a="1"/>
  <c r="P15" i="12" a="1"/>
  <c r="P11" i="12" a="1"/>
  <c r="P7" i="12" a="1"/>
  <c r="L12" i="12" a="1"/>
  <c r="K7" i="12" a="1"/>
  <c r="G16" i="12" a="1"/>
  <c r="E6" i="12" a="1"/>
  <c r="G14" i="62" a="1"/>
  <c r="G6" i="62" a="1"/>
  <c r="F17" i="60" a="1"/>
  <c r="F9" i="60" a="1"/>
  <c r="B11" i="60" a="1"/>
  <c r="O19" i="12" a="1"/>
  <c r="L17" i="12" a="1"/>
  <c r="M6" i="12" a="1"/>
  <c r="E11" i="12" a="1"/>
  <c r="B6" i="12" a="1"/>
  <c r="F10" i="62" a="1"/>
  <c r="B15" i="62" a="1"/>
  <c r="E17" i="60" a="1"/>
  <c r="E9" i="60" a="1"/>
  <c r="B10" i="60" a="1"/>
  <c r="M6" i="61" a="1"/>
  <c r="R17" i="12" a="1"/>
  <c r="R12" i="12" a="1"/>
  <c r="R6" i="12" a="1"/>
  <c r="M15" i="12" a="1"/>
  <c r="K9" i="12" a="1"/>
  <c r="E16" i="12" a="1"/>
  <c r="F9" i="12" a="1"/>
  <c r="B13" i="12" a="1"/>
  <c r="E14" i="62" a="1"/>
  <c r="E9" i="62" a="1"/>
  <c r="E4" i="62" a="1"/>
  <c r="H16" i="60" a="1"/>
  <c r="H11" i="60" a="1"/>
  <c r="H6" i="60" a="1"/>
  <c r="B9" i="60" a="1"/>
  <c r="L6" i="61" a="1"/>
  <c r="Q17" i="12" a="1"/>
  <c r="Q12" i="12" a="1"/>
  <c r="Q6" i="12" a="1"/>
  <c r="L15" i="12" a="1"/>
  <c r="M8" i="12" a="1"/>
  <c r="G15" i="12" a="1"/>
  <c r="E9" i="12" a="1"/>
  <c r="B12" i="12" a="1"/>
  <c r="H13" i="62" a="1"/>
  <c r="H8" i="62" a="1"/>
  <c r="H3" i="62" a="1"/>
  <c r="G16" i="60" a="1"/>
  <c r="G11" i="60" a="1"/>
  <c r="G6" i="60" a="1"/>
  <c r="B8" i="60" a="1"/>
  <c r="K6" i="61" a="1"/>
  <c r="P17" i="12" a="1"/>
  <c r="P12" i="12" a="1"/>
  <c r="P6" i="12" a="1"/>
  <c r="K15" i="12" a="1"/>
  <c r="L8" i="12" a="1"/>
  <c r="F15" i="12" a="1"/>
  <c r="G8" i="12" a="1"/>
  <c r="B11" i="12" a="1"/>
  <c r="G13" i="62" a="1"/>
  <c r="G8" i="62" a="1"/>
  <c r="G3" i="62" a="1"/>
  <c r="F16" i="60" a="1"/>
  <c r="F11" i="60" a="1"/>
  <c r="F6" i="60" a="1"/>
  <c r="B7" i="60" a="1"/>
  <c r="R16" i="12" a="1"/>
  <c r="L6" i="12" a="1"/>
  <c r="B5" i="12" a="1"/>
  <c r="E8" i="62" a="1"/>
  <c r="H15" i="60" a="1"/>
  <c r="H10" i="60" a="1"/>
  <c r="H4" i="60" a="1"/>
  <c r="B5" i="60" a="1"/>
  <c r="Q16" i="12" a="1"/>
  <c r="Q10" i="12" a="1"/>
  <c r="Q5" i="12" a="1"/>
  <c r="K14" i="12" a="1"/>
  <c r="K6" i="12" a="1"/>
  <c r="G7" i="12" a="1"/>
  <c r="H17" i="62" a="1"/>
  <c r="H7" i="62" a="1"/>
  <c r="B13" i="62" a="1"/>
  <c r="G10" i="60" a="1"/>
  <c r="G4" i="60" a="1"/>
  <c r="G6" i="61" a="1"/>
  <c r="P5" i="12" a="1"/>
  <c r="M5" i="12" a="1"/>
  <c r="F7" i="12" a="1"/>
  <c r="G17" i="62" a="1"/>
  <c r="G7" i="62" a="1"/>
  <c r="B12" i="62" a="1"/>
  <c r="F15" i="60" a="1"/>
  <c r="F4" i="60" a="1"/>
  <c r="O16" i="12" a="1"/>
  <c r="E7" i="12" a="1"/>
  <c r="F17" i="62" a="1"/>
  <c r="B11" i="62" a="1"/>
  <c r="E10" i="60" a="1"/>
  <c r="E6" i="61" a="1"/>
  <c r="E12" i="62" a="1"/>
  <c r="H8" i="60" a="1"/>
  <c r="E15" i="60" a="1"/>
  <c r="M11" i="12" a="1"/>
  <c r="H14" i="60" a="1"/>
  <c r="K5" i="12" a="1"/>
  <c r="L5" i="12" a="1"/>
  <c r="E4" i="60" a="1"/>
  <c r="R14" i="12" a="1"/>
  <c r="M19" i="12" a="1"/>
  <c r="E6" i="62" a="1"/>
  <c r="F7" i="62" a="1"/>
  <c r="R9" i="12" a="1"/>
  <c r="F13" i="12" a="1"/>
  <c r="F5" i="12" a="1"/>
  <c r="E17" i="62" a="1"/>
  <c r="J6" i="61" a="1"/>
  <c r="O17" i="12" a="1"/>
  <c r="O12" i="12" a="1"/>
  <c r="O6" i="12" a="1"/>
  <c r="M14" i="12" a="1"/>
  <c r="K8" i="12" a="1"/>
  <c r="E15" i="12" a="1"/>
  <c r="F8" i="12" a="1"/>
  <c r="B10" i="12" a="1"/>
  <c r="F13" i="62" a="1"/>
  <c r="F8" i="62" a="1"/>
  <c r="F3" i="62" a="1"/>
  <c r="E16" i="60" a="1"/>
  <c r="E11" i="60" a="1"/>
  <c r="E6" i="60" a="1"/>
  <c r="B6" i="60" a="1"/>
  <c r="I6" i="61" a="1"/>
  <c r="R10" i="12" a="1"/>
  <c r="R5" i="12" a="1"/>
  <c r="L14" i="12" a="1"/>
  <c r="G14" i="12" a="1"/>
  <c r="E8" i="12" a="1"/>
  <c r="E13" i="62" a="1"/>
  <c r="B14" i="62" a="1"/>
  <c r="H6" i="61" a="1"/>
  <c r="F14" i="12" a="1"/>
  <c r="H12" i="62" a="1"/>
  <c r="G15" i="60" a="1"/>
  <c r="B4" i="60" a="1"/>
  <c r="P16" i="12" a="1"/>
  <c r="P10" i="12" a="1"/>
  <c r="M13" i="12" a="1"/>
  <c r="E14" i="12" a="1"/>
  <c r="G12" i="62" a="1"/>
  <c r="F10" i="60" a="1"/>
  <c r="B3" i="60" a="1"/>
  <c r="F6" i="61" a="1"/>
  <c r="O10" i="12" a="1"/>
  <c r="L13" i="12" a="1"/>
  <c r="G13" i="12" a="1"/>
  <c r="F12" i="62" a="1"/>
  <c r="B10" i="62" a="1"/>
  <c r="H3" i="60" a="1"/>
  <c r="O5" i="12" a="1"/>
  <c r="C6" i="61" a="1"/>
  <c r="P14" i="12" a="1"/>
  <c r="P9" i="12" a="1"/>
  <c r="K19" i="12" a="1"/>
  <c r="K11" i="12" a="1"/>
  <c r="F19" i="12" a="1"/>
  <c r="G12" i="12" a="1"/>
  <c r="B19" i="12" a="1"/>
  <c r="G16" i="62" a="1"/>
  <c r="G11" i="62" a="1"/>
  <c r="G5" i="62" a="1"/>
  <c r="B8" i="62" a="1"/>
  <c r="F14" i="60" a="1"/>
  <c r="F8" i="60" a="1"/>
  <c r="F3" i="60" a="1"/>
  <c r="B6" i="61" a="1"/>
  <c r="O14" i="12" a="1"/>
  <c r="O9" i="12" a="1"/>
  <c r="M18" i="12" a="1"/>
  <c r="M10" i="12" a="1"/>
  <c r="E19" i="12" a="1"/>
  <c r="F12" i="12" a="1"/>
  <c r="B18" i="12" a="1"/>
  <c r="F16" i="62" a="1"/>
  <c r="F11" i="62" a="1"/>
  <c r="F5" i="62" a="1"/>
  <c r="B7" i="62" a="1"/>
  <c r="E14" i="60" a="1"/>
  <c r="E8" i="60" a="1"/>
  <c r="E3" i="60" a="1"/>
  <c r="R18" i="12" a="1"/>
  <c r="R13" i="12" a="1"/>
  <c r="R8" i="12" a="1"/>
  <c r="K17" i="12" a="1"/>
  <c r="L10" i="12" a="1"/>
  <c r="G18" i="12" a="1"/>
  <c r="G10" i="12" a="1"/>
  <c r="B17" i="12" a="1"/>
  <c r="E16" i="62" a="1"/>
  <c r="D6" i="61" a="1"/>
  <c r="L16" i="12" a="1"/>
  <c r="H4" i="62" a="1"/>
  <c r="F7" i="60" a="1"/>
  <c r="K16" i="12" a="1"/>
  <c r="B16" i="12" a="1"/>
  <c r="G4" i="62" a="1"/>
  <c r="Q18" i="12" a="1"/>
  <c r="E7" i="60" a="1"/>
  <c r="L11" i="12" a="1"/>
  <c r="B15" i="12" a="1"/>
  <c r="F4" i="62" a="1"/>
  <c r="G3" i="60" a="1"/>
  <c r="O18" i="12" a="1"/>
  <c r="H16" i="62" a="1"/>
  <c r="M9" i="12" a="1"/>
  <c r="B16" i="60" a="1"/>
  <c r="H15" i="62" a="1"/>
  <c r="Q13" i="12" a="1"/>
  <c r="B15" i="60" a="1"/>
  <c r="G19" i="12" a="1"/>
  <c r="P13" i="12" a="1"/>
  <c r="O13" i="12" a="1"/>
  <c r="G14" i="60" a="1"/>
  <c r="H11" i="62" a="1"/>
  <c r="E18" i="12" a="1"/>
  <c r="E10" i="62" a="1"/>
  <c r="G12" i="60" a="1"/>
  <c r="P8" i="12" a="1"/>
  <c r="G9" i="62" a="1"/>
  <c r="O8" i="12" a="1"/>
  <c r="F9" i="62" a="1"/>
  <c r="L19" i="12" a="1"/>
  <c r="E10" i="12" a="1"/>
  <c r="G8" i="60" a="1"/>
  <c r="H7" i="60" a="1"/>
  <c r="E5" i="62" a="1"/>
  <c r="P18" i="12" a="1"/>
  <c r="B14" i="12" a="1"/>
  <c r="B9" i="62" a="1"/>
  <c r="K10" i="12" a="1"/>
  <c r="B6" i="62" a="1"/>
  <c r="B17" i="60" a="1"/>
  <c r="Q14" i="12" a="1"/>
  <c r="B5" i="62" a="1"/>
  <c r="L9" i="12" a="1"/>
  <c r="B4" i="62" a="1"/>
  <c r="G15" i="62" a="1"/>
  <c r="B3" i="62" a="1"/>
  <c r="B14" i="60" a="1"/>
  <c r="F15" i="62" a="1"/>
  <c r="F18" i="12" a="1"/>
  <c r="Q9" i="12" a="1"/>
  <c r="H12" i="60" a="1"/>
  <c r="G17" i="12" a="1"/>
  <c r="Q8" i="12" a="1"/>
  <c r="H9" i="62" a="1"/>
  <c r="E13" i="12" a="1"/>
  <c r="F12" i="60" a="1"/>
  <c r="E12" i="60" a="1"/>
  <c r="F10" i="12" a="1"/>
  <c r="H5" i="62" a="1"/>
  <c r="M16" i="12" a="1"/>
  <c r="G9" i="12" a="1"/>
  <c r="E5" i="12" a="1"/>
  <c r="G7" i="60" a="1"/>
  <c r="G7" i="60" l="1"/>
  <c r="E5" i="12"/>
  <c r="G9" i="12"/>
  <c r="M16" i="12"/>
  <c r="H5" i="62"/>
  <c r="F10" i="12"/>
  <c r="E12" i="60"/>
  <c r="F12" i="60"/>
  <c r="E13" i="12"/>
  <c r="H9" i="62"/>
  <c r="Q8" i="12"/>
  <c r="G17" i="12"/>
  <c r="H12" i="60"/>
  <c r="Q9" i="12"/>
  <c r="F18" i="12"/>
  <c r="F15" i="62"/>
  <c r="B14" i="60"/>
  <c r="B3" i="62"/>
  <c r="G15" i="62"/>
  <c r="B4" i="62"/>
  <c r="L9" i="12"/>
  <c r="B5" i="62"/>
  <c r="Q14" i="12"/>
  <c r="B17" i="60"/>
  <c r="E21" i="59" s="1"/>
  <c r="B6" i="62"/>
  <c r="K10" i="12"/>
  <c r="B9" i="62"/>
  <c r="B14" i="12"/>
  <c r="P18" i="12"/>
  <c r="E5" i="62"/>
  <c r="H7" i="60"/>
  <c r="G8" i="60"/>
  <c r="E10" i="12"/>
  <c r="L19" i="12"/>
  <c r="F9" i="62"/>
  <c r="O8" i="12"/>
  <c r="G9" i="62"/>
  <c r="P8" i="12"/>
  <c r="G12" i="60"/>
  <c r="E10" i="62"/>
  <c r="E18" i="12"/>
  <c r="H11" i="62"/>
  <c r="G14" i="60"/>
  <c r="O13" i="12"/>
  <c r="P13" i="12"/>
  <c r="G19" i="12"/>
  <c r="B15" i="60"/>
  <c r="E19" i="59" s="1"/>
  <c r="Q13" i="12"/>
  <c r="H15" i="62"/>
  <c r="B16" i="60"/>
  <c r="E20" i="59" s="1"/>
  <c r="M9" i="12"/>
  <c r="H16" i="62"/>
  <c r="O18" i="12"/>
  <c r="G3" i="60"/>
  <c r="F4" i="62"/>
  <c r="B15" i="12"/>
  <c r="L11" i="12"/>
  <c r="E7" i="60"/>
  <c r="Q18" i="12"/>
  <c r="G4" i="62"/>
  <c r="M14" i="62" s="1"/>
  <c r="B16" i="12"/>
  <c r="E36" i="59" s="1"/>
  <c r="K16" i="12"/>
  <c r="F7" i="60"/>
  <c r="H4" i="62"/>
  <c r="K14" i="62" s="1"/>
  <c r="L16" i="12"/>
  <c r="D6" i="61"/>
  <c r="E16" i="62"/>
  <c r="B17" i="12"/>
  <c r="G10" i="12"/>
  <c r="G18" i="12"/>
  <c r="L10" i="12"/>
  <c r="K17" i="12"/>
  <c r="R8" i="12"/>
  <c r="R13" i="12"/>
  <c r="R18" i="12"/>
  <c r="E3" i="60"/>
  <c r="E8" i="60"/>
  <c r="E14" i="60"/>
  <c r="B7" i="62"/>
  <c r="F5" i="62"/>
  <c r="F11" i="62"/>
  <c r="F16" i="62"/>
  <c r="B18" i="12"/>
  <c r="E38" i="59" s="1"/>
  <c r="F12" i="12"/>
  <c r="E19" i="12"/>
  <c r="M10" i="12"/>
  <c r="M18" i="12"/>
  <c r="O9" i="12"/>
  <c r="O14" i="12"/>
  <c r="B6" i="61"/>
  <c r="F3" i="60"/>
  <c r="F8" i="60"/>
  <c r="F14" i="60"/>
  <c r="B8" i="62"/>
  <c r="G5" i="62"/>
  <c r="G11" i="62"/>
  <c r="G16" i="62"/>
  <c r="B19" i="12"/>
  <c r="G12" i="12"/>
  <c r="F19" i="12"/>
  <c r="K11" i="12"/>
  <c r="K19" i="12"/>
  <c r="P9" i="12"/>
  <c r="P14" i="12"/>
  <c r="C6" i="61"/>
  <c r="O5" i="12"/>
  <c r="H3" i="60"/>
  <c r="B10" i="62"/>
  <c r="F12" i="62"/>
  <c r="G13" i="12"/>
  <c r="L13" i="12"/>
  <c r="O10" i="12"/>
  <c r="F6" i="61"/>
  <c r="B3" i="60"/>
  <c r="F10" i="60"/>
  <c r="G12" i="62"/>
  <c r="E14" i="12"/>
  <c r="M13" i="12"/>
  <c r="P10" i="12"/>
  <c r="P16" i="12"/>
  <c r="B4" i="60"/>
  <c r="E8" i="59" s="1"/>
  <c r="G15" i="60"/>
  <c r="H12" i="62"/>
  <c r="F14" i="12"/>
  <c r="H6" i="61"/>
  <c r="B14" i="62"/>
  <c r="E13" i="62"/>
  <c r="E8" i="12"/>
  <c r="G14" i="12"/>
  <c r="L14" i="12"/>
  <c r="R5" i="12"/>
  <c r="R10" i="12"/>
  <c r="I6" i="61"/>
  <c r="B6" i="60"/>
  <c r="E6" i="60"/>
  <c r="E11" i="60"/>
  <c r="E16" i="60"/>
  <c r="F3" i="62"/>
  <c r="F8" i="62"/>
  <c r="F13" i="62"/>
  <c r="B10" i="12"/>
  <c r="F8" i="12"/>
  <c r="E15" i="12"/>
  <c r="K8" i="12"/>
  <c r="M14" i="12"/>
  <c r="O6" i="12"/>
  <c r="O12" i="12"/>
  <c r="O17" i="12"/>
  <c r="J6" i="61"/>
  <c r="E17" i="62"/>
  <c r="F5" i="12"/>
  <c r="F13" i="12"/>
  <c r="R9" i="12"/>
  <c r="F7" i="62"/>
  <c r="L17" i="62" s="1"/>
  <c r="E6" i="62"/>
  <c r="M19" i="12"/>
  <c r="R14" i="12"/>
  <c r="E4" i="60"/>
  <c r="L5" i="12"/>
  <c r="K5" i="12"/>
  <c r="H14" i="60"/>
  <c r="M11" i="12"/>
  <c r="E15" i="60"/>
  <c r="H8" i="60"/>
  <c r="E12" i="62"/>
  <c r="E6" i="61"/>
  <c r="E10" i="60"/>
  <c r="B11" i="62"/>
  <c r="F17" i="62"/>
  <c r="E7" i="12"/>
  <c r="O16" i="12"/>
  <c r="F4" i="60"/>
  <c r="F15" i="60"/>
  <c r="B12" i="62"/>
  <c r="G7" i="62"/>
  <c r="G17" i="62"/>
  <c r="F7" i="12"/>
  <c r="M5" i="12"/>
  <c r="P5" i="12"/>
  <c r="G6" i="61"/>
  <c r="G4" i="60"/>
  <c r="G10" i="60"/>
  <c r="B13" i="62"/>
  <c r="H7" i="62"/>
  <c r="H17" i="62"/>
  <c r="G7" i="12"/>
  <c r="K6" i="12"/>
  <c r="K14" i="12"/>
  <c r="Q5" i="12"/>
  <c r="Q10" i="12"/>
  <c r="Q16" i="12"/>
  <c r="B5" i="60"/>
  <c r="E9" i="59" s="1"/>
  <c r="H4" i="60"/>
  <c r="H10" i="60"/>
  <c r="H15" i="60"/>
  <c r="E8" i="62"/>
  <c r="B5" i="12"/>
  <c r="L6" i="12"/>
  <c r="R16" i="12"/>
  <c r="B7" i="60"/>
  <c r="F6" i="60"/>
  <c r="F11" i="60"/>
  <c r="F16" i="60"/>
  <c r="G3" i="62"/>
  <c r="G8" i="62"/>
  <c r="G13" i="62"/>
  <c r="B11" i="12"/>
  <c r="G8" i="12"/>
  <c r="F15" i="12"/>
  <c r="L8" i="12"/>
  <c r="K15" i="12"/>
  <c r="P6" i="12"/>
  <c r="P12" i="12"/>
  <c r="P17" i="12"/>
  <c r="K6" i="61"/>
  <c r="B8" i="60"/>
  <c r="G6" i="60"/>
  <c r="G11" i="60"/>
  <c r="G16" i="60"/>
  <c r="H3" i="62"/>
  <c r="H8" i="62"/>
  <c r="H13" i="62"/>
  <c r="B12" i="12"/>
  <c r="E32" i="59" s="1"/>
  <c r="E9" i="12"/>
  <c r="G15" i="12"/>
  <c r="M8" i="12"/>
  <c r="L15" i="12"/>
  <c r="Q6" i="12"/>
  <c r="Q12" i="12"/>
  <c r="Q17" i="12"/>
  <c r="L6" i="61"/>
  <c r="B9" i="60"/>
  <c r="E13" i="59" s="1"/>
  <c r="H6" i="60"/>
  <c r="H11" i="60"/>
  <c r="H16" i="60"/>
  <c r="E4" i="62"/>
  <c r="E9" i="62"/>
  <c r="E14" i="62"/>
  <c r="B13" i="12"/>
  <c r="E33" i="59" s="1"/>
  <c r="F9" i="12"/>
  <c r="E16" i="12"/>
  <c r="K9" i="12"/>
  <c r="M15" i="12"/>
  <c r="R6" i="12"/>
  <c r="R12" i="12"/>
  <c r="R17" i="12"/>
  <c r="M6" i="61"/>
  <c r="B10" i="60"/>
  <c r="E9" i="60"/>
  <c r="E17" i="60"/>
  <c r="B15" i="62"/>
  <c r="F10" i="62"/>
  <c r="B6" i="12"/>
  <c r="E26" i="59" s="1"/>
  <c r="E11" i="12"/>
  <c r="M6" i="12"/>
  <c r="L17" i="12"/>
  <c r="O19" i="12"/>
  <c r="B11" i="60"/>
  <c r="E15" i="59" s="1"/>
  <c r="F9" i="60"/>
  <c r="F17" i="60"/>
  <c r="G6" i="62"/>
  <c r="G14" i="62"/>
  <c r="E6" i="12"/>
  <c r="G16" i="12"/>
  <c r="K7" i="12"/>
  <c r="L12" i="12"/>
  <c r="P7" i="12"/>
  <c r="P11" i="12"/>
  <c r="P15" i="12"/>
  <c r="P19" i="12"/>
  <c r="O6" i="61"/>
  <c r="B12" i="60"/>
  <c r="E16" i="59" s="1"/>
  <c r="G5" i="60"/>
  <c r="G9" i="60"/>
  <c r="G13" i="60"/>
  <c r="G17" i="60"/>
  <c r="B17" i="62"/>
  <c r="H6" i="62"/>
  <c r="H10" i="62"/>
  <c r="H14" i="62"/>
  <c r="B8" i="12"/>
  <c r="F6" i="12"/>
  <c r="G11" i="12"/>
  <c r="E17" i="12"/>
  <c r="L7" i="12"/>
  <c r="M12" i="12"/>
  <c r="K18" i="12"/>
  <c r="Q7" i="12"/>
  <c r="Q11" i="12"/>
  <c r="Q15" i="12"/>
  <c r="Q19" i="12"/>
  <c r="P6" i="61"/>
  <c r="E5" i="60"/>
  <c r="E13" i="60"/>
  <c r="F6" i="62"/>
  <c r="F14" i="62"/>
  <c r="G5" i="12"/>
  <c r="F16" i="12"/>
  <c r="K12" i="12"/>
  <c r="O7" i="12"/>
  <c r="O11" i="12"/>
  <c r="O15" i="12"/>
  <c r="N6" i="61"/>
  <c r="F5" i="60"/>
  <c r="F13" i="60"/>
  <c r="B16" i="62"/>
  <c r="G10" i="62"/>
  <c r="B7" i="12"/>
  <c r="F11" i="12"/>
  <c r="M17" i="12"/>
  <c r="B13" i="60"/>
  <c r="E17" i="59" s="1"/>
  <c r="H5" i="60"/>
  <c r="H9" i="60"/>
  <c r="H13" i="60"/>
  <c r="H17" i="60"/>
  <c r="E3" i="62"/>
  <c r="E7" i="62"/>
  <c r="E11" i="62"/>
  <c r="E15" i="62"/>
  <c r="B9" i="12"/>
  <c r="E29" i="59" s="1"/>
  <c r="G6" i="12"/>
  <c r="E12" i="12"/>
  <c r="F17" i="12"/>
  <c r="M7" i="12"/>
  <c r="K13" i="12"/>
  <c r="L18" i="12"/>
  <c r="R7" i="12"/>
  <c r="R11" i="12"/>
  <c r="R15" i="12"/>
  <c r="R19" i="12"/>
  <c r="Q6" i="61"/>
  <c r="E18" i="59"/>
  <c r="E31" i="59"/>
  <c r="E7" i="59"/>
  <c r="E37" i="59"/>
  <c r="E39" i="59"/>
  <c r="E11" i="59"/>
  <c r="E12" i="59"/>
  <c r="E25" i="59"/>
  <c r="H39" i="59"/>
  <c r="E14" i="59"/>
  <c r="I39" i="59"/>
  <c r="E27" i="59"/>
  <c r="E10" i="59"/>
  <c r="G39" i="59"/>
  <c r="K12" i="62" l="1"/>
  <c r="E54" i="59"/>
  <c r="L54" i="59"/>
  <c r="E53" i="59"/>
  <c r="L53" i="59"/>
  <c r="E35" i="59"/>
  <c r="L49" i="59"/>
  <c r="E49" i="59"/>
  <c r="E34" i="59"/>
  <c r="E47" i="59"/>
  <c r="L47" i="59"/>
  <c r="E52" i="59"/>
  <c r="L52" i="59"/>
  <c r="E56" i="59"/>
  <c r="L56" i="59"/>
  <c r="E30" i="59"/>
  <c r="L51" i="59"/>
  <c r="E51" i="59"/>
  <c r="E28" i="59"/>
  <c r="E48" i="59"/>
  <c r="L48" i="59"/>
  <c r="E58" i="59"/>
  <c r="L58" i="59"/>
  <c r="L46" i="59"/>
  <c r="E46" i="59"/>
  <c r="E45" i="59"/>
  <c r="L45" i="59"/>
  <c r="L44" i="59"/>
  <c r="E44" i="59"/>
  <c r="E55" i="59"/>
  <c r="L55" i="59"/>
  <c r="E50" i="59"/>
  <c r="L50" i="59"/>
  <c r="E57" i="59"/>
  <c r="L57" i="59"/>
  <c r="M10" i="62"/>
  <c r="L14" i="62"/>
  <c r="P14" i="62" s="1"/>
  <c r="K10" i="62"/>
  <c r="L12" i="62"/>
  <c r="L7" i="62"/>
  <c r="K8" i="62"/>
  <c r="M5" i="62"/>
  <c r="K3" i="62"/>
  <c r="L10" i="62"/>
  <c r="K6" i="62"/>
  <c r="L8" i="62"/>
  <c r="L5" i="62"/>
  <c r="M6" i="62"/>
  <c r="M3" i="62"/>
  <c r="K4" i="62"/>
  <c r="K16" i="62"/>
  <c r="M4" i="62"/>
  <c r="L3" i="62"/>
  <c r="M16" i="62"/>
  <c r="K9" i="62"/>
  <c r="M8" i="62"/>
  <c r="M13" i="62"/>
  <c r="M9" i="62"/>
  <c r="K13" i="62"/>
  <c r="K15" i="62"/>
  <c r="L6" i="62"/>
  <c r="K17" i="62"/>
  <c r="L9" i="62"/>
  <c r="L4" i="62"/>
  <c r="M7" i="62"/>
  <c r="M12" i="62"/>
  <c r="M15" i="62"/>
  <c r="M17" i="62"/>
  <c r="L16" i="62"/>
  <c r="L15" i="62"/>
  <c r="K11" i="62"/>
  <c r="L13" i="62"/>
  <c r="K7" i="62"/>
  <c r="M11" i="62"/>
  <c r="L11" i="62"/>
  <c r="K5" i="62"/>
  <c r="P12" i="62" l="1"/>
  <c r="Q14" i="62"/>
  <c r="Q12" i="62"/>
  <c r="P17" i="62"/>
  <c r="Q17" i="62"/>
  <c r="P15" i="62"/>
  <c r="Q15" i="62"/>
  <c r="Q13" i="62"/>
  <c r="P13" i="62"/>
  <c r="Q9" i="62"/>
  <c r="P9" i="62"/>
  <c r="Q16" i="62"/>
  <c r="P16" i="62"/>
  <c r="Q4" i="62"/>
  <c r="P4" i="62"/>
  <c r="Q5" i="62"/>
  <c r="P5" i="62"/>
  <c r="Q6" i="62"/>
  <c r="P6" i="62"/>
  <c r="Q7" i="62"/>
  <c r="P7" i="62"/>
  <c r="Q3" i="62"/>
  <c r="P3" i="62"/>
  <c r="Q11" i="62"/>
  <c r="P11" i="62"/>
  <c r="Q8" i="62"/>
  <c r="P8" i="62"/>
  <c r="Q10" i="62"/>
  <c r="P10" i="62"/>
  <c r="S10" i="62" l="1"/>
  <c r="F14" i="59" s="1"/>
  <c r="S3" i="62"/>
  <c r="F7" i="59" s="1"/>
  <c r="S8" i="62"/>
  <c r="F12" i="59" s="1"/>
  <c r="S11" i="62"/>
  <c r="F15" i="59" s="1"/>
  <c r="S7" i="62"/>
  <c r="F11" i="59" s="1"/>
  <c r="S6" i="62"/>
  <c r="F10" i="59" s="1"/>
  <c r="S5" i="62"/>
  <c r="F9" i="59" s="1"/>
  <c r="S4" i="62"/>
  <c r="F8" i="59" s="1"/>
  <c r="S16" i="62"/>
  <c r="F20" i="59" s="1"/>
  <c r="S12" i="62"/>
  <c r="F16" i="59" s="1"/>
  <c r="S9" i="62"/>
  <c r="F13" i="59" s="1"/>
  <c r="S13" i="62"/>
  <c r="F17" i="59" s="1"/>
  <c r="S15" i="62"/>
  <c r="F19" i="59" s="1"/>
  <c r="S17" i="62"/>
  <c r="F21" i="59" s="1"/>
  <c r="S14" i="62"/>
  <c r="F18" i="59" s="1"/>
  <c r="L13" i="60" l="1"/>
  <c r="L6" i="60"/>
  <c r="L10" i="60"/>
  <c r="L14" i="60"/>
  <c r="M5" i="60"/>
  <c r="M10" i="60"/>
  <c r="M14" i="60"/>
  <c r="K10" i="60"/>
  <c r="L17" i="60"/>
  <c r="L16" i="60"/>
  <c r="K14" i="60"/>
  <c r="L15" i="60"/>
  <c r="M15" i="60"/>
  <c r="K5" i="60"/>
  <c r="K15" i="60"/>
  <c r="L4" i="60"/>
  <c r="M4" i="60"/>
  <c r="M12" i="60"/>
  <c r="M16" i="60"/>
  <c r="K11" i="60"/>
  <c r="K4" i="60"/>
  <c r="K12" i="60"/>
  <c r="K16" i="60"/>
  <c r="K6" i="60"/>
  <c r="Q208" i="61"/>
  <c r="M8" i="60"/>
  <c r="K9" i="60"/>
  <c r="L9" i="60"/>
  <c r="M17" i="60"/>
  <c r="C19" i="12"/>
  <c r="C17" i="60"/>
  <c r="C15" i="12"/>
  <c r="C16" i="12"/>
  <c r="C17" i="12"/>
  <c r="C18" i="12"/>
  <c r="L8" i="60" l="1"/>
  <c r="K3" i="60"/>
  <c r="K8" i="60"/>
  <c r="M7" i="60"/>
  <c r="M3" i="60"/>
  <c r="K17" i="60"/>
  <c r="M13" i="60"/>
  <c r="K13" i="60"/>
  <c r="L12" i="60"/>
  <c r="M11" i="60"/>
  <c r="L11" i="60"/>
  <c r="M9" i="60"/>
  <c r="M6" i="60"/>
  <c r="K7" i="60"/>
  <c r="L3" i="60"/>
  <c r="L5" i="60"/>
  <c r="L7" i="60"/>
  <c r="I19" i="12"/>
  <c r="N58" i="59" s="1"/>
  <c r="H19" i="12"/>
  <c r="M58" i="59" s="1"/>
  <c r="I16" i="12"/>
  <c r="N55" i="59" s="1"/>
  <c r="G33" i="59"/>
  <c r="G32" i="59"/>
  <c r="G36" i="59"/>
  <c r="G37" i="59"/>
  <c r="G28" i="59"/>
  <c r="G27" i="59"/>
  <c r="I36" i="59"/>
  <c r="I18" i="12"/>
  <c r="N57" i="59" s="1"/>
  <c r="I38" i="59"/>
  <c r="G34" i="59"/>
  <c r="G25" i="59"/>
  <c r="H26" i="59"/>
  <c r="H30" i="59"/>
  <c r="H34" i="59"/>
  <c r="I35" i="59"/>
  <c r="G31" i="59"/>
  <c r="H36" i="59"/>
  <c r="H28" i="59"/>
  <c r="H16" i="12"/>
  <c r="H32" i="59"/>
  <c r="G29" i="59"/>
  <c r="H17" i="12"/>
  <c r="M56" i="59" s="1"/>
  <c r="H33" i="59"/>
  <c r="H37" i="59"/>
  <c r="H27" i="59"/>
  <c r="H31" i="59"/>
  <c r="H35" i="59"/>
  <c r="G30" i="59"/>
  <c r="I37" i="59"/>
  <c r="G26" i="59"/>
  <c r="G38" i="59"/>
  <c r="G35" i="59"/>
  <c r="H29" i="59"/>
  <c r="H38" i="59"/>
  <c r="I15" i="12"/>
  <c r="N54" i="59" s="1"/>
  <c r="I17" i="12"/>
  <c r="N56" i="59" s="1"/>
  <c r="L30" i="59" l="1"/>
  <c r="L27" i="59"/>
  <c r="L28" i="59"/>
  <c r="L37" i="59"/>
  <c r="L29" i="59"/>
  <c r="L36" i="59"/>
  <c r="L31" i="59"/>
  <c r="L32" i="59"/>
  <c r="L25" i="59"/>
  <c r="L39" i="59"/>
  <c r="L33" i="59"/>
  <c r="L26" i="59"/>
  <c r="L35" i="59"/>
  <c r="L34" i="59"/>
  <c r="L38" i="59"/>
  <c r="Q209" i="61"/>
  <c r="Q210" i="61"/>
  <c r="Q211" i="61"/>
  <c r="Q212" i="61"/>
  <c r="J19" i="12"/>
  <c r="F39" i="59" s="1"/>
  <c r="Q17" i="60"/>
  <c r="J16" i="12"/>
  <c r="F36" i="59" s="1"/>
  <c r="M55" i="59"/>
  <c r="J17" i="12"/>
  <c r="F37" i="59" s="1"/>
  <c r="H15" i="12"/>
  <c r="H18" i="12"/>
  <c r="Q213" i="61" l="1"/>
  <c r="Q214" i="61"/>
  <c r="Q215" i="61"/>
  <c r="J18" i="12"/>
  <c r="F38" i="59" s="1"/>
  <c r="M57" i="59"/>
  <c r="J15" i="12"/>
  <c r="M54" i="59"/>
  <c r="I58" i="59" l="1"/>
  <c r="K21" i="59"/>
  <c r="H58" i="59"/>
  <c r="J21" i="59"/>
  <c r="G58" i="59"/>
  <c r="I21" i="59"/>
  <c r="F35" i="59"/>
  <c r="C13" i="60"/>
  <c r="C14" i="60"/>
  <c r="C15" i="60"/>
  <c r="C16" i="60"/>
  <c r="C12" i="60" l="1"/>
  <c r="C12" i="12" l="1"/>
  <c r="C13" i="12"/>
  <c r="C14" i="12"/>
  <c r="I34" i="59" l="1"/>
  <c r="H14" i="12"/>
  <c r="M53" i="59" s="1"/>
  <c r="I33" i="59"/>
  <c r="I13" i="12"/>
  <c r="N52" i="59" s="1"/>
  <c r="H13" i="12"/>
  <c r="M52" i="59" s="1"/>
  <c r="I32" i="59"/>
  <c r="I12" i="12"/>
  <c r="N51" i="59" s="1"/>
  <c r="I14" i="12"/>
  <c r="N53" i="59" s="1"/>
  <c r="J14" i="12" l="1"/>
  <c r="F34" i="59" s="1"/>
  <c r="J13" i="12"/>
  <c r="F33" i="59" s="1"/>
  <c r="H12" i="12"/>
  <c r="M51" i="59" s="1"/>
  <c r="J12" i="12" l="1"/>
  <c r="F32" i="59" s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G213" i="61" l="1"/>
  <c r="G214" i="61"/>
  <c r="G215" i="61"/>
  <c r="P215" i="61"/>
  <c r="P214" i="61"/>
  <c r="P213" i="61"/>
  <c r="M215" i="61"/>
  <c r="M214" i="61"/>
  <c r="M213" i="61"/>
  <c r="H213" i="61"/>
  <c r="H214" i="61"/>
  <c r="H215" i="61"/>
  <c r="D215" i="61"/>
  <c r="D213" i="61"/>
  <c r="D214" i="61"/>
  <c r="O215" i="61"/>
  <c r="O214" i="61"/>
  <c r="O213" i="61"/>
  <c r="C215" i="61"/>
  <c r="C214" i="61"/>
  <c r="C213" i="61"/>
  <c r="N215" i="61"/>
  <c r="N214" i="61"/>
  <c r="N213" i="61"/>
  <c r="J213" i="61"/>
  <c r="J214" i="61"/>
  <c r="J215" i="61"/>
  <c r="E215" i="61"/>
  <c r="E214" i="61"/>
  <c r="E213" i="61"/>
  <c r="I213" i="61"/>
  <c r="I214" i="61"/>
  <c r="I215" i="61"/>
  <c r="K213" i="61"/>
  <c r="K214" i="61"/>
  <c r="K215" i="61"/>
  <c r="L215" i="61"/>
  <c r="L213" i="61"/>
  <c r="L214" i="61"/>
  <c r="F213" i="61"/>
  <c r="F215" i="61"/>
  <c r="F214" i="61"/>
  <c r="G46" i="59" l="1"/>
  <c r="I9" i="59"/>
  <c r="H44" i="59"/>
  <c r="J7" i="59"/>
  <c r="I46" i="59"/>
  <c r="K9" i="59"/>
  <c r="H51" i="59"/>
  <c r="J14" i="59"/>
  <c r="G44" i="59"/>
  <c r="I7" i="59"/>
  <c r="G56" i="59"/>
  <c r="I19" i="59"/>
  <c r="I49" i="59"/>
  <c r="K12" i="59"/>
  <c r="G50" i="59"/>
  <c r="I13" i="59"/>
  <c r="G55" i="59"/>
  <c r="I18" i="59"/>
  <c r="I44" i="59"/>
  <c r="K7" i="59"/>
  <c r="H45" i="59"/>
  <c r="J8" i="59"/>
  <c r="I47" i="59"/>
  <c r="K10" i="59"/>
  <c r="H50" i="59"/>
  <c r="J13" i="59"/>
  <c r="I51" i="59"/>
  <c r="K14" i="59"/>
  <c r="H55" i="59"/>
  <c r="J18" i="59"/>
  <c r="H56" i="59"/>
  <c r="J19" i="59"/>
  <c r="G45" i="59"/>
  <c r="I8" i="59"/>
  <c r="H47" i="59"/>
  <c r="J10" i="59"/>
  <c r="G54" i="59"/>
  <c r="I17" i="59"/>
  <c r="I54" i="59"/>
  <c r="K17" i="59"/>
  <c r="H52" i="59"/>
  <c r="J15" i="59"/>
  <c r="H46" i="59"/>
  <c r="J9" i="59"/>
  <c r="I55" i="59"/>
  <c r="K18" i="59"/>
  <c r="I56" i="59"/>
  <c r="K19" i="59"/>
  <c r="H49" i="59"/>
  <c r="J12" i="59"/>
  <c r="H54" i="59"/>
  <c r="J17" i="59"/>
  <c r="G53" i="59"/>
  <c r="I16" i="59"/>
  <c r="I53" i="59"/>
  <c r="K16" i="59"/>
  <c r="I57" i="59"/>
  <c r="K20" i="59"/>
  <c r="H48" i="59"/>
  <c r="J11" i="59"/>
  <c r="G51" i="59"/>
  <c r="I14" i="59"/>
  <c r="I45" i="59"/>
  <c r="K8" i="59"/>
  <c r="G49" i="59"/>
  <c r="I12" i="59"/>
  <c r="G47" i="59"/>
  <c r="I10" i="59"/>
  <c r="H53" i="59"/>
  <c r="J16" i="59"/>
  <c r="G57" i="59"/>
  <c r="I20" i="59"/>
  <c r="H57" i="59"/>
  <c r="J20" i="59"/>
  <c r="I52" i="59"/>
  <c r="K15" i="59"/>
  <c r="I48" i="59"/>
  <c r="K11" i="59"/>
  <c r="G52" i="59"/>
  <c r="I15" i="59"/>
  <c r="I50" i="59"/>
  <c r="K13" i="59"/>
  <c r="G48" i="59"/>
  <c r="I11" i="59"/>
  <c r="M2" i="60"/>
  <c r="L2" i="60"/>
  <c r="K2" i="60"/>
  <c r="P17" i="60" s="1"/>
  <c r="C11" i="12" l="1"/>
  <c r="I31" i="59" l="1"/>
  <c r="H11" i="12"/>
  <c r="M50" i="59" s="1"/>
  <c r="I11" i="12"/>
  <c r="N50" i="59" s="1"/>
  <c r="J11" i="12" l="1"/>
  <c r="F31" i="59" s="1"/>
  <c r="C10" i="60"/>
  <c r="C10" i="12" l="1"/>
  <c r="I30" i="59" l="1"/>
  <c r="I10" i="12"/>
  <c r="N49" i="59" s="1"/>
  <c r="H10" i="12"/>
  <c r="M49" i="59" s="1"/>
  <c r="J10" i="12" l="1"/>
  <c r="F30" i="59" l="1"/>
  <c r="C11" i="60" l="1"/>
  <c r="C9" i="60"/>
  <c r="C8" i="60"/>
  <c r="C7" i="60"/>
  <c r="C6" i="60"/>
  <c r="C5" i="60"/>
  <c r="C4" i="60"/>
  <c r="C3" i="60"/>
  <c r="Q8" i="60" l="1"/>
  <c r="P4" i="60"/>
  <c r="Q11" i="60"/>
  <c r="P11" i="60"/>
  <c r="Q5" i="60"/>
  <c r="P5" i="60"/>
  <c r="Q4" i="60" l="1"/>
  <c r="P6" i="60"/>
  <c r="P7" i="60"/>
  <c r="P9" i="60"/>
  <c r="Q7" i="60"/>
  <c r="Q6" i="60"/>
  <c r="P8" i="60"/>
  <c r="Q9" i="60"/>
  <c r="Q3" i="60"/>
  <c r="Q10" i="60"/>
  <c r="Q12" i="60"/>
  <c r="Q15" i="60"/>
  <c r="P15" i="60"/>
  <c r="P3" i="60"/>
  <c r="Q13" i="60"/>
  <c r="P13" i="60"/>
  <c r="Q16" i="60"/>
  <c r="P16" i="60"/>
  <c r="P12" i="60"/>
  <c r="Q14" i="60"/>
  <c r="P14" i="60"/>
  <c r="P10" i="60"/>
  <c r="S10" i="60" l="1"/>
  <c r="G14" i="59" s="1"/>
  <c r="H14" i="59" s="1"/>
  <c r="S11" i="60"/>
  <c r="S13" i="60"/>
  <c r="S16" i="60"/>
  <c r="S15" i="60"/>
  <c r="S8" i="60"/>
  <c r="S7" i="60"/>
  <c r="S12" i="60"/>
  <c r="S4" i="60"/>
  <c r="S14" i="60"/>
  <c r="S9" i="60"/>
  <c r="S3" i="60"/>
  <c r="G7" i="59" s="1"/>
  <c r="S6" i="60"/>
  <c r="S17" i="60"/>
  <c r="G21" i="59" s="1"/>
  <c r="H21" i="59" s="1"/>
  <c r="S5" i="60"/>
  <c r="G18" i="59"/>
  <c r="H18" i="59" s="1"/>
  <c r="G20" i="59"/>
  <c r="H20" i="59" s="1"/>
  <c r="G12" i="59"/>
  <c r="H12" i="59" s="1"/>
  <c r="G17" i="59"/>
  <c r="H17" i="59" s="1"/>
  <c r="G13" i="59"/>
  <c r="H13" i="59" s="1"/>
  <c r="G16" i="59"/>
  <c r="H16" i="59" s="1"/>
  <c r="G11" i="59"/>
  <c r="H11" i="59" s="1"/>
  <c r="G19" i="59"/>
  <c r="H19" i="59" s="1"/>
  <c r="G10" i="59"/>
  <c r="H10" i="59" s="1"/>
  <c r="G15" i="59"/>
  <c r="H15" i="59" s="1"/>
  <c r="G9" i="59"/>
  <c r="H9" i="59" s="1"/>
  <c r="G8" i="59"/>
  <c r="H8" i="59" s="1"/>
  <c r="C8" i="12" l="1"/>
  <c r="C9" i="12"/>
  <c r="I29" i="59" l="1"/>
  <c r="I28" i="59"/>
  <c r="H8" i="12"/>
  <c r="M47" i="59" s="1"/>
  <c r="H9" i="12"/>
  <c r="M48" i="59" s="1"/>
  <c r="I8" i="12" l="1"/>
  <c r="N47" i="59" s="1"/>
  <c r="I9" i="12"/>
  <c r="N48" i="59" s="1"/>
  <c r="J8" i="12" l="1"/>
  <c r="F28" i="59" s="1"/>
  <c r="J9" i="12"/>
  <c r="F29" i="59" s="1"/>
  <c r="C7" i="12" l="1"/>
  <c r="I27" i="59" l="1"/>
  <c r="I7" i="12"/>
  <c r="N46" i="59" s="1"/>
  <c r="H7" i="12" l="1"/>
  <c r="M46" i="59" s="1"/>
  <c r="J7" i="12" l="1"/>
  <c r="F27" i="59" s="1"/>
  <c r="C6" i="12"/>
  <c r="I26" i="59" l="1"/>
  <c r="I6" i="12"/>
  <c r="N45" i="59" s="1"/>
  <c r="H6" i="12"/>
  <c r="M45" i="59" s="1"/>
  <c r="J6" i="12" l="1"/>
  <c r="F26" i="59" l="1"/>
  <c r="C5" i="12" l="1"/>
  <c r="H25" i="59" l="1"/>
  <c r="I25" i="59"/>
  <c r="I5" i="12"/>
  <c r="N44" i="59" s="1"/>
  <c r="N25" i="59" l="1"/>
  <c r="N39" i="59"/>
  <c r="N38" i="59"/>
  <c r="N35" i="59"/>
  <c r="N36" i="59"/>
  <c r="N37" i="59"/>
  <c r="N32" i="59"/>
  <c r="N33" i="59"/>
  <c r="N34" i="59"/>
  <c r="N31" i="59"/>
  <c r="N30" i="59"/>
  <c r="N28" i="59"/>
  <c r="N29" i="59"/>
  <c r="N27" i="59"/>
  <c r="N26" i="59"/>
  <c r="M25" i="59"/>
  <c r="M39" i="59"/>
  <c r="M32" i="59"/>
  <c r="M35" i="59"/>
  <c r="M38" i="59"/>
  <c r="M31" i="59"/>
  <c r="M34" i="59"/>
  <c r="M37" i="59"/>
  <c r="M26" i="59"/>
  <c r="M27" i="59"/>
  <c r="M36" i="59"/>
  <c r="M28" i="59"/>
  <c r="M29" i="59"/>
  <c r="M30" i="59"/>
  <c r="M33" i="59"/>
  <c r="H5" i="12"/>
  <c r="M44" i="59" s="1"/>
  <c r="J5" i="12" l="1"/>
  <c r="F25" i="59" s="1"/>
  <c r="K25" i="59" l="1"/>
  <c r="K39" i="59"/>
  <c r="O39" i="59" s="1"/>
  <c r="P39" i="59" s="1"/>
  <c r="K37" i="59"/>
  <c r="O37" i="59" s="1"/>
  <c r="P37" i="59" s="1"/>
  <c r="K36" i="59"/>
  <c r="O36" i="59" s="1"/>
  <c r="P36" i="59" s="1"/>
  <c r="K38" i="59"/>
  <c r="O38" i="59" s="1"/>
  <c r="P38" i="59" s="1"/>
  <c r="K35" i="59"/>
  <c r="O35" i="59" s="1"/>
  <c r="P35" i="59" s="1"/>
  <c r="K34" i="59"/>
  <c r="O34" i="59" s="1"/>
  <c r="P34" i="59" s="1"/>
  <c r="K33" i="59"/>
  <c r="O33" i="59" s="1"/>
  <c r="P33" i="59" s="1"/>
  <c r="K32" i="59"/>
  <c r="O32" i="59" s="1"/>
  <c r="P32" i="59" s="1"/>
  <c r="K31" i="59"/>
  <c r="O31" i="59" s="1"/>
  <c r="P31" i="59" s="1"/>
  <c r="K30" i="59"/>
  <c r="O30" i="59" s="1"/>
  <c r="P30" i="59" s="1"/>
  <c r="K29" i="59"/>
  <c r="O29" i="59" s="1"/>
  <c r="P29" i="59" s="1"/>
  <c r="K28" i="59"/>
  <c r="O28" i="59" s="1"/>
  <c r="P28" i="59" s="1"/>
  <c r="K27" i="59"/>
  <c r="O27" i="59" s="1"/>
  <c r="P27" i="59" s="1"/>
  <c r="K26" i="59"/>
  <c r="O26" i="59" s="1"/>
  <c r="P26" i="59" s="1"/>
  <c r="H7" i="59"/>
  <c r="O25" i="59" l="1"/>
  <c r="P25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E608AB19-1CF7-4260-A333-522339BB9E3D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Timestamp="1718361099"&gt;&lt;FQL&gt;&lt;Q&gt;DIVOPPBEES-IN^P_PRICE(0,-200D)&lt;/Q&gt;&lt;R&gt;201&lt;/R&gt;&lt;C&gt;1&lt;/C&gt;&lt;D xsi:type="xsd:double"&gt;79.37&lt;/D&gt;&lt;D xsi:type="xsd:double"&gt;78.98&lt;/D&gt;&lt;D xsi:type="xsd:double"&gt;78.53&lt;/D&gt;&lt;D xsi:type="xsd:double"&gt;78.19&lt;/D&gt;&lt;D xsi:type="xsd:double"&gt;78.28&lt;/D&gt;&lt;D xsi:type="xsd:double"&gt;76.9&lt;/D&gt;&lt;D xsi:type="xsd:double"&gt;75.34&lt;/D&gt;&lt;D xsi:type="xsd:double"&gt;77.99&lt;/D&gt;&lt;D xsi:type="xsd:double"&gt;78.59&lt;/D&gt;&lt;D xsi:type="xsd:double"&gt;75.9&lt;/D&gt;&lt;D xsi:type="xsd:double"&gt;75.89&lt;/D&gt;&lt;D xsi:type="xsd:double"&gt;76.82&lt;/D&gt;&lt;D xsi:type="xsd:double"&gt;77.24&lt;/D&gt;&lt;D xsi:type="xsd:double"&gt;77.65&lt;/D&gt;&lt;D xsi:type="xsd:double"&gt;77.58&lt;/D&gt;&lt;D xsi:type="xsd:double"&gt;77.44&lt;/D&gt;&lt;D xsi:type="xsd:double"&gt;77&lt;/D&gt;&lt;D xsi:type="xsd:double"&gt;76.56&lt;/D&gt;&lt;D xsi:type="xsd:double"&gt;75.57&lt;/D&gt;&lt;D xsi:type="xsd:double"&gt;75.54&lt;/D&gt;&lt;D xsi:type="xsd:double"&gt;75.07&lt;/D&gt;&lt;D xsi:type="xsd:double"&gt;74.53&lt;/D&gt;&lt;D xsi:type="xsd:double"&gt;74.21&lt;/D&gt;&lt;D xsi:type="xsd:double"&gt;74.3&lt;/D&gt;&lt;D xsi:type="xsd:double"&gt;73.92&lt;/D&gt;&lt;D xsi:type="xsd:double"&gt;75.01&lt;/D&gt;&lt;D xsi:type="xsd:double"&gt;74.68&lt;/D&gt;&lt;D xsi:type="xsd:double"&gt;75.43&lt;/D&gt;&lt;D xsi:type="xsd:double"&gt;75.71&lt;/D&gt;&lt;D xsi:type="xsd:double"&gt;75.77&lt;/D&gt;&lt;D xsi:type="xsd:double"&gt;74.99&lt;/D&gt;&lt;D xsi:type="xsd:double"&gt;74.89&lt;/D&gt;&lt;D xsi:type="xsd:double"&gt;74.72&lt;/D&gt;&lt;D xsi:type="xsd:double"&gt;74.53&lt;/D&gt;&lt;D xsi:type="xsd:double"&gt;73.83&lt;/D&gt;&lt;D xsi:type="xsd:double"&gt;73.36&lt;/D&gt;&lt;D xsi:type="xsd:double"&gt;73.26&lt;/D&gt;&lt;D xsi:type="xsd:double"&gt;72.53&lt;/D&gt;&lt;D xsi:type="xsd:double"&gt;72.68&lt;/D&gt;&lt;D xsi:type="xsd:double"&gt;73.13&lt;/D&gt;&lt;D xsi:type="xsd:double"&gt;73.57&lt;/D&gt;&lt;D xsi:type="xsd:double"&gt;74.39&lt;/D&gt;&lt;D xsi:type="xsd:double"&gt;74.84&lt;/D&gt;&lt;D xsi:type="xsd:double"&gt;74.2&lt;/D&gt;&lt;D xsi:type="xsd:double"&gt;74.23&lt;/D&gt;&lt;D xsi:type="xsd:double"&gt;74.23&lt;/D&gt;&lt;D xsi:type="xsd:double"&gt;74.09&lt;/D&gt;&lt;D xsi:type="xsd:double"&gt;74.02&lt;/D&gt;&lt;D xsi:type="xsd:double"&gt;73.68&lt;/D&gt;&lt;D xsi:type="xsd:double"&gt;73.44&lt;/D&gt;&lt;D xsi:type="xsd:double"&gt;70.7&lt;/D&gt;&lt;D xsi:type="xsd:double"&gt;71.76&lt;/D&gt;&lt;D xsi:type="xsd:double"&gt;72.14&lt;/D&gt;&lt;D xsi:type="xsd:double"&gt;72.13&lt;/D&gt;&lt;D xsi:type="xsd:double"&gt;72.11&lt;/D&gt;&lt;D xsi:type="xsd:double"&gt;70.64&lt;/D&gt;&lt;D xsi:type="xsd:double"&gt;70.52&lt;/D&gt;&lt;D xsi:type="xsd:double"&gt;71.93&lt;/D&gt;&lt;D xsi:type="xsd:double"&gt;72.15&lt;/D&gt;&lt;D xsi:type="xsd:double"&gt;72.86&lt;/D&gt;&lt;D xsi:type="xsd:double"&gt;71.64&lt;/D&gt;&lt;D xsi:type="xsd:double"&gt;73.89&lt;/D&gt;&lt;D xsi:type="xsd:double"&gt;74.45&lt;/D&gt;&lt;D xsi:type="xsd:double"&gt;75.23&lt;/D&gt;&lt;D xsi:type="xsd:double"&gt;74.64&lt;/D&gt;&lt;D xsi:type="xsd:double"&gt;74.55&lt;/D&gt;&lt;D xsi:type="xsd:double"&gt;74.74&lt;/D&gt;&lt;D xsi:type="xsd:double"&gt;74.15&lt;/D&gt;&lt;D xsi:type="xsd:double"&gt;73.25&lt;/D&gt;&lt;D xsi:type="xsd:double"&gt;73.04&lt;/D&gt;&lt;D xsi:type="xsd:double"&gt;73.95&lt;/D&gt;&lt;D xsi:type="xsd:double"&gt;73.86&lt;/D&gt;&lt;D xsi:type="xsd:double"&gt;74.15&lt;/D&gt;&lt;D xsi:type="xsd:double"&gt;74.11&lt;/D&gt;&lt;D xsi:type="xsd:double"&gt;73.32&lt;/D&gt;&lt;D xsi:type="xsd:double"&gt;74.31&lt;/D&gt;&lt;D xsi:type="xsd:double"&gt;74.48&lt;/D&gt;&lt;D xsi:type="xsd:double"&gt;74.49&lt;/D&gt;&lt;D xsi:type="xsd:double"&gt;74.17&lt;/D&gt;&lt;D xsi:type="xsd:double"&gt;73.43&lt;/D&gt;&lt;D xsi:type="xsd:double"&gt;72.78&lt;/D&gt;&lt;D xsi:type="xsd:double"&gt;72.21&lt;/D&gt;&lt;D xsi:type="xsd:double"&gt;73.72&lt;/D&gt;&lt;D xsi:type="xsd:double"&gt;74.45&lt;/D&gt;&lt;D xsi:type="xsd:double"&gt;74.2&lt;/D&gt;&lt;D xsi:type="xsd:double"&gt;74.4&lt;/D&gt;&lt;D xsi:type="xsd:double"&gt;73.36&lt;/D&gt;&lt;D xsi:type="xsd:double"&gt;72.76&lt;/D&gt;&lt;D xsi:type="xsd:double"&gt;71.72&lt;/D&gt;&lt;D xsi:type="xsd:double"&gt;71.58&lt;/D&gt;&lt;D xsi:type="xsd:double"&gt;70.93&lt;/D&gt;&lt;D xsi:type="xsd:double"&gt;71.23&lt;/D&gt;&lt;D xsi:type="xsd:double"&gt;70.19&lt;/D&gt;&lt;D xsi:type="xsd:double"&gt;70.37&lt;/D&gt;&lt;D xsi:type="xsd:double"&gt;69.02&lt;/D&gt;&lt;D xsi:type="xsd:double"&gt;70.73&lt;/D&gt;&lt;D xsi:type="xsd:double"&gt;69.55&lt;/D&gt;&lt;D xsi:type="xsd:double"&gt;69.89&lt;/D&gt;&lt;D xsi:type="xsd:double"&gt;70.21&lt;/D&gt;&lt;D xsi:type="xsd:double"&gt;70.3&lt;/D&gt;&lt;D xsi:type="xsd:double"&gt;69.35&lt;/D&gt;&lt;D xsi:type="xsd:double"&gt;68.23&lt;/D&gt;&lt;D xsi:type="xsd:double"&gt;67.97&lt;/D&gt;&lt;D xsi:type="xsd:double"&gt;68.2&lt;/D&gt;&lt;D xsi:type="xsd:double"&gt;68.03&lt;/D&gt;&lt;D xsi:type="xsd:double"&gt;68.57&lt;/D&gt;&lt;D xsi:type="xsd:double"&gt;68.32&lt;/D&gt;&lt;D xsi:type="xsd:double"&gt;67.89&lt;/D&gt;&lt;D xsi:type="xsd:double"&gt;68.24&lt;/D&gt;&lt;D xsi:type="xsd:double"&gt;68.58&lt;/D&gt;&lt;D xsi:type="xsd:double"&gt;68.19&lt;/D&gt;&lt;D xsi:type="xsd:double"&gt;68.15&lt;/D&gt;&lt;D xsi:type="xsd:double"&gt;67.59&lt;/D&gt;&lt;D xsi:type="xsd:double"&gt;67.36&lt;/D&gt;&lt;D xsi:type="xsd:double"&gt;66.81&lt;/D&gt;&lt;D xsi:type="xsd:double"&gt;66.11&lt;/D&gt;&lt;D xsi:type="xsd:double"&gt;65.72&lt;/D&gt;&lt;D xsi:type="xsd:double"&gt;67.28&lt;/D&gt;&lt;D xsi:type="xsd:double"&gt;67.18&lt;/D&gt;&lt;D xsi:type="xsd:double"&gt;67.08&lt;/D&gt;&lt;D xsi:type="xsd:double"&gt;65.89&lt;/D&gt;&lt;D xsi:type="xsd:double"&gt;65.04&lt;/D&gt;&lt;D xsi:type="xsd:double"&gt;64.66&lt;/D&gt;&lt;D xsi:type="xsd:double"&gt;64.86&lt;/D&gt;&lt;D xsi:type="xsd:double"&gt;64.58&lt;/D&gt;&lt;D xsi:type="xsd:double"&gt;64.57&lt;/D&gt;&lt;D xsi:type="xsd:double"&gt;64.63&lt;/D&gt;&lt;D xsi:type="xsd:double"&gt;64.19&lt;/D&gt;&lt;D xsi:type="xsd:double"&gt;63.71&lt;/D&gt;&lt;D xsi:type="xsd:double"&gt;62.84&lt;/D&gt;&lt;D xsi:type="xsd:double"&gt;61.98&lt;/D&gt;&lt;D xsi:type="xsd:double"&gt;61.76&lt;/D&gt;&lt;D xsi:type="xsd:double"&gt;61.13&lt;/D&gt;&lt;D xsi:type="xsd:double"&gt;60.73&lt;/D&gt;&lt;D xsi:type="xsd:double"&gt;60.96&lt;/D&gt;&lt;D xsi:type="xsd:double"&gt;60.84&lt;/D&gt;&lt;D xsi:type="xsd:double"&gt;60.47&lt;/D&gt;&lt;D xsi:type="xsd:double"&gt;60.51&lt;/D&gt;&lt;D xsi:type="xsd:double"&gt;60.68&lt;/D&gt;&lt;D xsi:type="xsd:double"&gt;60.52&lt;/D&gt;&lt;D xsi:type="xsd:double"&gt;59.9&lt;/D&gt;&lt;D xsi:type="xsd:double"&gt;59.05&lt;/D&gt;&lt;D xsi:type="xsd:double"&gt;58.55&lt;/D&gt;&lt;D xsi:type="xsd:double"&gt;58.36&lt;/D&gt;&lt;D xsi:type="xsd:double"&gt;58.59&lt;/D&gt;&lt;D xsi:type="xsd:double"&gt;58.4&lt;/D&gt;&lt;D xsi:type="xsd:double"&gt;58.13&lt;/D&gt;&lt;D xsi:type="xsd:double"&gt;57.74&lt;/D&gt;&lt;D xsi:type="xsd:double"&gt;57.42&lt;/D&gt;&lt;D xsi:type="xsd:double"&gt;56.67&lt;/D&gt;&lt;D xsi:type="xsd:double"&gt;56.99&lt;/D&gt;&lt;D xsi:type="xsd:double"&gt;56.99&lt;/D&gt;&lt;D xsi:type="xsd:double"&gt;56.96&lt;/D&gt;&lt;D xsi:type="xsd:double"&gt;56.24&lt;/D&gt;&lt;D xsi:type="xsd:double"&gt;56.71&lt;/D&gt;&lt;D xsi:type="xsd:double"&gt;57.07&lt;/D&gt;&lt;D xsi:type="xsd:double"&gt;58&lt;/D&gt;&lt;D xsi:type="xsd:double"&gt;58.38&lt;/D&gt;&lt;D xsi:type="xsd:double"&gt;58.52&lt;/D&gt;&lt;D xsi:type="xsd:double"&gt;58.86&lt;/D&gt;&lt;D xsi:type="xsd:double"&gt;58.62&lt;/D&gt;&lt;D xsi:type="xsd:double"&gt;58.37&lt;/D&gt;&lt;D xsi:type="xsd:double"&gt;58.38&lt;/D&gt;&lt;D xsi:type="xsd:double"&gt;58.55&lt;/D&gt;&lt;D xsi:type="xsd:double"&gt;58.36&lt;/D&gt;&lt;D xsi:type="xsd:double"&gt;57.7&lt;/D&gt;&lt;D xsi:type="xsd:double"&gt;58.19&lt;/D&gt;&lt;D xsi:type="xsd:double"&gt;57.66&lt;/D&gt;&lt;D xsi:type="xsd:double"&gt;57.44&lt;/D&gt;&lt;D xsi:type="xsd:double"&gt;57.9&lt;/D&gt;&lt;D xsi:type="xsd:double"&gt;58.87&lt;/D&gt;&lt;D xsi:type="xsd:double"&gt;57.48&lt;/D&gt;&lt;D xsi:type="xsd:double"&gt;58.4&lt;/D&gt;&lt;D xsi:type="xsd:double"&gt;57.98&lt;/D&gt;&lt;D xsi:type="xsd:double"&gt;58.17&lt;/D&gt;&lt;D xsi:type="xsd:double"&gt;58.26&lt;/D&gt;&lt;D xsi:type="xsd:double"&gt;58.08&lt;/D&gt;&lt;D xsi:type="xsd:double"&gt;58.57&lt;/D&gt;&lt;D xsi:type="xsd:double"&gt;58.82&lt;/D&gt;&lt;D xsi:type="xsd:double"&gt;58.47&lt;/D&gt;&lt;D xsi:type="xsd:double"&gt;58.43&lt;/D&gt;&lt;D xsi:type="xsd:double"&gt;58.16&lt;/D&gt;&lt;D xsi:type="xsd:double"&gt;57.96&lt;/D&gt;&lt;D xsi:type="xsd:double"&gt;58.61&lt;/D&gt;&lt;D xsi:type="xsd:double"&gt;58.03&lt;/D&gt;&lt;D xsi:type="xsd:double"&gt;57.51&lt;/D&gt;&lt;D xsi:type="xsd:double"&gt;57.33&lt;/D&gt;&lt;D xsi:type="xsd:double"&gt;57.29&lt;/D&gt;&lt;D xsi:type="xsd:double"&gt;56.95&lt;/D&gt;&lt;D xsi:type="xsd:double"&gt;56.1&lt;/D&gt;&lt;D xsi:type="xsd:double"&gt;55.4&lt;/D&gt;&lt;D xsi:type="xsd:double"&gt;55.76&lt;/D&gt;&lt;D xsi:type="xsd:double"&gt;55.51&lt;/D&gt;&lt;D xsi:type="xsd:double"&gt;55.37&lt;/D&gt;&lt;D xsi:type="xsd:double"&gt;55.32&lt;/D&gt;&lt;D xsi:type="xsd:double"&gt;55.79&lt;/D&gt;&lt;D xsi:type="xsd:double"&gt;55.86&lt;/D&gt;&lt;D xsi:type="xsd:double"&gt;55.68&lt;/D&gt;&lt;D xsi:type="xsd:double"&gt;55.5&lt;/D&gt;&lt;D xsi:type="xsd:double"&gt;55.07&lt;/D&gt;&lt;D xsi:type="xsd:double"&gt;55.28&lt;/D&gt;&lt;/FQL&gt;&lt;FQL&gt;&lt;Q&gt;DIVOPPBEES-IN^P_PRICE(0)/P_PRICE_LOW_PR(0,,,,,,"PRICE","CLOSE","52W")&lt;/Q&gt;&lt;R&gt;1&lt;/R&gt;&lt;C&gt;1&lt;/C&gt;&lt;D xsi:type="xsd:double"&gt;1.5135394&lt;/D&gt;&lt;/FQL&gt;&lt;FQL&gt;&lt;Q&gt;543627-IN^P_PRICE(0)/P_PRICE_LOW_PR(0,,,,,,"PRICE","CLOSE","52W")&lt;/Q&gt;&lt;R&gt;1&lt;/R&gt;&lt;C&gt;1&lt;/C&gt;&lt;D xsi:type="xsd:double"&gt;1.6259815&lt;/D&gt;&lt;/FQL&gt;&lt;FQL&gt;&lt;Q&gt;543465-IN^P_PRICE(0)/P_PRICE_LOW_PR(0,,,,,,"PRICE","CLOSE","52W")&lt;/Q&gt;&lt;R&gt;1&lt;/R&gt;&lt;C&gt;1&lt;/C&gt;&lt;D xsi:type="xsd:double"&gt;1.7271425&lt;/D&gt;&lt;/FQL&gt;&lt;FQL&gt;&lt;Q&gt;543608-IN^P_PRICE(0)/P_PRICE_LOW_PR(0,,,,,,"PRICE","CLOSE","52W")&lt;/Q&gt;&lt;R&gt;1&lt;/R&gt;&lt;C&gt;1&lt;/C&gt;&lt;D xsi:type="xsd:double"&gt;1.3522726&lt;/D&gt;&lt;/FQL&gt;&lt;FQL&gt;&lt;Q&gt;540787-IN^PERCENT_CHANGE(FMA_EPS(+1,0,,,,"PORTAGG","MEAN"),FMA_EPS(+1,-1AM,,,,"PORTAGG","MEAN"))&lt;/Q&gt;&lt;R&gt;1&lt;/R&gt;&lt;C&gt;1&lt;/C&gt;&lt;D xsi:type="xsd:double"&gt;2.32005509017183&lt;/D&gt;&lt;/FQL&gt;&lt;FQL&gt;&lt;Q&gt;543666-IN^FMA_PCT_ABOVE_MAVG(200,0,,,,"PORTAGG")&lt;/Q&gt;&lt;R&gt;1&lt;/R&gt;&lt;C&gt;1&lt;/C&gt;&lt;D xsi:type="xsd:double"&gt;45.4545454545455&lt;/D&gt;&lt;/FQL&gt;&lt;FQL&gt;&lt;Q&gt;543608-IN^PERCENT_CHANGE(FMA_EPS(+1,0,,,,"PORTAGG","MEAN"),FMA_EPS(+1,-3AM,,,,"PORTAGG","MEAN"))&lt;/Q&gt;&lt;R&gt;1&lt;/R&gt;&lt;C&gt;1&lt;/C&gt;&lt;D xsi:type="xsd:double"&gt;2.56994118924064&lt;/D&gt;&lt;/FQL&gt;&lt;FQL&gt;&lt;Q&gt;538057-IN^FMA_COS_DOWN("EPS","1M",+1,0,,,"PORTAGG","MEANR")&lt;/Q&gt;&lt;R&gt;0&lt;/R&gt;&lt;C&gt;0&lt;/C&gt;&lt;/FQL&gt;&lt;FQL&gt;&lt;Q&gt;543563-IN^FMA_COS_UP("EPS","1M",+1,0,,,"PORTAGG","MEANR")&lt;/Q&gt;&lt;R&gt;1&lt;/R&gt;&lt;C&gt;1&lt;/C&gt;&lt;D xsi:type="xsd:double"&gt;25&lt;/D&gt;&lt;/FQL&gt;&lt;FQL&gt;&lt;Q&gt;543956-IN^COUNT(OS_TOP_HLDG_NAME(ALL,0D,,MTD,,ALL,EQ))&lt;/Q&gt;&lt;R&gt;1&lt;/R&gt;&lt;C&gt;1&lt;/C&gt;&lt;D xsi:type="xsd:long"&gt;0&lt;/D&gt;&lt;/FQL&gt;&lt;FQL&gt;&lt;Q&gt;543571-IN^FG_COMPANY_NAME&lt;/Q&gt;&lt;R&gt;1&lt;/R&gt;&lt;C&gt;1&lt;/C&gt;&lt;D xsi:type="xsd:string"&gt;ICICI Prudential Nifty Infrastructure ETF&lt;/D&gt;&lt;/FQL&gt;&lt;FQL&gt;&lt;Q&gt;538057-IN^FG_TOTAL_RETURNC(-1AM,-2AM)&lt;/Q&gt;&lt;R&gt;1&lt;/R&gt;&lt;C&gt;1&lt;/C&gt;&lt;D xsi:type="xsd:double"&gt;0.51136017&lt;/D&gt;&lt;/FQL&gt;&lt;FQL&gt;&lt;Q&gt;543666-IN^FG_TOTAL_RETURNC(-1AM,-2AM)&lt;/Q&gt;&lt;R&gt;1&lt;/R&gt;&lt;C&gt;1&lt;/C&gt;&lt;D xsi:type="xsd:double"&gt;-1.5182614&lt;/D&gt;&lt;/FQL&gt;&lt;FQL&gt;&lt;Q&gt;543571-IN^FG_TOTAL_RETURNC(-1AM,-2AM)&lt;/Q&gt;&lt;R&gt;1&lt;/R&gt;&lt;C&gt;1&lt;/C&gt;&lt;D xsi:type="xsd:double"&gt;-1.3121307&lt;/D&gt;&lt;/FQL&gt;&lt;FQL&gt;&lt;Q&gt;590107-IN^FG_TOTAL_RETURNC(-1AM,-2AM)&lt;/Q&gt;&lt;R&gt;1&lt;/R&gt;&lt;C&gt;1&lt;/C&gt;&lt;D xsi:type="xsd:double"&gt;-2.3159266&lt;/D&gt;&lt;/FQL&gt;&lt;FQL&gt;&lt;Q&gt;DIVOPPBEES-IN^P_PRICE(0)/P_PRICE_HIGH_PR(0,,,,,,"PRICE","CLOSE","52W")&lt;/Q&gt;&lt;R&gt;1&lt;/R&gt;&lt;C&gt;1&lt;/C&gt;&lt;D xsi:type="xsd:double"&gt;1&lt;/D&gt;&lt;/FQL&gt;&lt;FQL&gt;&lt;Q&gt;543627-IN^P_PRICE(0)/P_PRICE_HIGH_PR(0,,,,,,"PRICE","CLOSE","52W")&lt;/Q&gt;&lt;R&gt;1&lt;/R&gt;&lt;C&gt;1&lt;/C&gt;&lt;D xsi:type="xsd:double"&gt;0.9979046&lt;/D&gt;&lt;/FQL&gt;&lt;FQL&gt;&lt;Q&gt;543465-IN^P_PRICE(0)/P_PRICE_HIGH_PR(0,,,,,,"PRICE","CLOSE","52W")&lt;/Q&gt;&lt;R&gt;1&lt;/R&gt;&lt;C&gt;1&lt;/C&gt;&lt;D xsi:type="xsd:double"&gt;0.9954595&lt;/D&gt;&lt;/FQL&gt;&lt;FQL&gt;&lt;Q&gt;543608-IN^P_PRICE(0)/P_PRICE_HIGH_PR(0,,,,,,"PRICE","CLOSE","52W")&lt;/Q&gt;&lt;R&gt;1&lt;/R&gt;&lt;C&gt;1&lt;/C&gt;&lt;D xsi:type="xsd:double"&gt;0.97548246&lt;/D&gt;&lt;/FQL&gt;&lt;FQL&gt;&lt;Q&gt;543627-IN^FG_COMPANY_NAME&lt;/Q&gt;&lt;R&gt;1&lt;/R&gt;&lt;C&gt;1&lt;/C&gt;&lt;D xsi:type="xsd:string"&gt;HDFC Nifty 100 Low Volatility 30 ETF&lt;/D&gt;&lt;/FQL&gt;&lt;FQL&gt;&lt;Q&gt;538057-IN^PERCENT_CHANGE(FMA_EPS(+1,0,,,,"PORTAGG","MEAN"),FMA_EPS(+1,-3AM,,,,"PORTAGG","MEAN"))&lt;/Q&gt;&lt;R&gt;0&lt;/R&gt;&lt;C&gt;0&lt;/C&gt;&lt;/FQL&gt;&lt;FQL&gt;&lt;Q&gt;543465-IN^FMA_COS_DOWN("EPS","1M",+1,0,,,"PORTAGG","MEANR")&lt;/Q&gt;&lt;R&gt;1&lt;/R&gt;&lt;C&gt;1&lt;/C&gt;&lt;D xsi:type="xsd:double"&gt;6&lt;/D&gt;&lt;/FQL&gt;&lt;FQL&gt;&lt;Q&gt;543608-IN^FG_COMPANY_NAME&lt;/Q&gt;&lt;R&gt;1&lt;/R&gt;&lt;C&gt;1&lt;/C&gt;&lt;D xsi:type="xsd:string"&gt;HDFC NIFTY50 Value 20 ETF&lt;/D&gt;&lt;/FQL&gt;&lt;FQL&gt;&lt;Q&gt;543563-IN^FG_TOTAL_RETURNC(-1AM,-7AM)&lt;/Q&gt;&lt;R&gt;1&lt;/R&gt;&lt;C&gt;1&lt;/C&gt;&lt;D xsi:type="xsd:double"&gt;22.588491&lt;/D&gt;&lt;/FQL&gt;&lt;FQL&gt;&lt;Q&gt;540787-IN^FG_COMPANY_NAME&lt;/Q&gt;&lt;R&gt;1&lt;/R&gt;&lt;C&gt;1&lt;/C&gt;&lt;D xsi:type="xsd:string"&gt;BHARAT 22 ETF&lt;/D&gt;&lt;/FQL&gt;&lt;FQL&gt;&lt;Q&gt;543627-IN^FG_TOTAL_RETURNC(0,-3AM)&lt;/Q&gt;&lt;R&gt;1&lt;/R&gt;&lt;C&gt;1&lt;/C&gt;&lt;D xsi:type="xsd:double"&gt;5.5401683&lt;/D&gt;&lt;/FQL&gt;&lt;FQL&gt;&lt;Q&gt;543608-IN^FG_TOTAL_RETURNC(0,-3AM)&lt;/Q&gt;&lt;R&gt;1&lt;/R&gt;&lt;C&gt;1&lt;/C&gt;&lt;D xsi:type="xsd:double"&gt;-2.4517536&lt;/D&gt;&lt;/FQL&gt;&lt;FQL&gt;&lt;Q&gt;543326-IN^P_PRICE(0,-200D)&lt;/Q&gt;&lt;R&gt;201&lt;/R&gt;&lt;C&gt;1&lt;/C&gt;&lt;D xsi:type="xsd:double"&gt;59.64&lt;/D&gt;&lt;D xsi:type="xsd:double"&gt;60.16&lt;/D&gt;&lt;D xsi:type="xsd:double"&gt;60.41&lt;/D&gt;&lt;D xsi:type="xsd:double"&gt;60.56&lt;/D&gt;&lt;D xsi:type="xsd:double"&gt;60.7&lt;/D&gt;&lt;D xsi:type="xsd:double"&gt;59.96&lt;/D&gt;&lt;D xsi:type="xsd:double"&gt;60.53&lt;/D&gt;&lt;D xsi:type="xsd:double"&gt;57.89&lt;/D&gt;&lt;D xsi:type="xsd:double"&gt;56.59&lt;/D&gt;&lt;D xsi:type="xsd:double"&gt;56.34&lt;/D&gt;&lt;D xsi:type="xsd:double"&gt;56.46&lt;/D&gt;&lt;D xsi:type="xsd:double"&gt;57.25&lt;/D&gt;&lt;D xsi:type="xsd:double"&gt;57.48&lt;/D&gt;&lt;D xsi:type="xsd:double"&gt;57.5&lt;/D&gt;&lt;D xsi:type="xsd:double"&gt;57.79&lt;/D&gt;&lt;D xsi:type="xsd:double"&gt;57.96&lt;/D&gt;&lt;D xsi:type="xsd:double"&gt;57.98&lt;/D&gt;&lt;D xsi:type="xsd:double"&gt;57.04&lt;/D&gt;&lt;D xsi:type="xsd:double"&gt;57.21&lt;/D&gt;&lt;D xsi:type="xsd:double"&gt;56.98&lt;/D&gt;&lt;D xsi:type="xsd:double"&gt;56.87&lt;/D&gt;&lt;D xsi:type="xsd:double"&gt;57.21&lt;/D&gt;&lt;D xsi:type="xsd:double"&gt;57.58&lt;/D&gt;&lt;D xsi:type="xsd:double"&gt;57.43&lt;/D&gt;&lt;D xsi:type="xsd:double"&gt;56.799&lt;/D&gt;&lt;D xsi:type="xsd:double"&gt;58.095&lt;/D&gt;&lt;D xsi:type="xsd:double"&gt;57.987&lt;/D&gt;&lt;D xsi:type="xsd:double"&gt;56.706&lt;/D&gt;&lt;D xsi:type="xsd:double"&gt;56.74&lt;/D&gt;&lt;D xsi:type="xsd:double"&gt;56.640003&lt;/D&gt;&lt;D xsi:type="xsd:double"&gt;56.476&lt;/D&gt;&lt;D xsi:type="xsd:double"&gt;56.3&lt;/D&gt;&lt;D xsi:type="xsd:double"&gt;56.461&lt;/D&gt;&lt;D xsi:type="xsd:double"&gt;56.276&lt;/D&gt;&lt;D xsi:type="xsd:double"&gt;56.100002&lt;/D&gt;&lt;D xsi:type="xsd:double"&gt;55.943&lt;/D&gt;&lt;D xsi:type="xsd:double"&gt;55.53&lt;/D&gt;&lt;D xsi:type="xsd:double"&gt;55.231&lt;/D&gt;&lt;D xsi:type="xsd:double"&gt;54.978004&lt;/D&gt;&lt;D xsi:type="xsd:double"&gt;55.404&lt;/D&gt;&lt;D xsi:type="xsd:double"&gt;55.327003&lt;/D&gt;&lt;D xsi:type="xsd:double"&gt;56.010998&lt;/D&gt;&lt;D xsi:type="xsd:double"&gt;56.294002999999996&lt;/D&gt;&lt;D xsi:type="xsd:double"&gt;55.964&lt;/D&gt;&lt;D xsi:type="xsd:double"&gt;56.076&lt;/D&gt;&lt;D xsi:type="xsd:double"&gt;56.168&lt;/D&gt;&lt;D xsi:type="xsd:double"&gt;55.777004&lt;/D&gt;&lt;D xsi:type="xsd:double"&gt;56.037&lt;/D&gt;&lt;D xsi:type="xsd:double"&gt;56.204998&lt;/D&gt;&lt;D xsi:type="xsd:double"&gt;56.092&lt;/D&gt;&lt;D xsi:type="xsd:double"&gt;55.859997&lt;/D&gt;&lt;D xsi:type="xsd:double"&gt;55.549&lt;/D&gt;&lt;D xsi:type="xsd:double"&gt;55.693&lt;/D&gt;&lt;D xsi:type="xsd:double"&gt;56.007&lt;/D&gt;&lt;D xsi:type="xsd:double"&gt;55.464&lt;/D&gt;&lt;D xsi:type="xsd:double"&gt;55.390003&lt;/D&gt;&lt;D xsi:type="xsd:double"&gt;54.897&lt;/D&gt;&lt;D xsi:type="xsd:double"&gt;56.091&lt;/D&gt;&lt;D xsi:type="xsd:double"&gt;56.465004&lt;/D&gt;&lt;D xsi:type="xsd:double"&gt;55.974&lt;/D&gt;&lt;D xsi:type="xsd:double"&gt;55.684998&lt;/D&gt;&lt;D xsi:type="xsd:double"&gt;55.721996&lt;/D&gt;&lt;D xsi:type="xsd:double"&gt;56.3&lt;/D&gt;&lt;D xsi:type="xsd:double"&gt;56.312&lt;/D&gt;&lt;D xsi:type="xsd:double"&gt;55.975002&lt;/D&gt;&lt;D xsi:type="xsd:double"&gt;55.827003&lt;/D&gt;&lt;D xsi:type="xsd:double"&gt;56.385998&lt;/D&gt;&lt;D xsi:type="xsd:double"&gt;56.4&lt;/D&gt;&lt;D xsi:type="xsd:double"&gt;56.079&lt;/D&gt;&lt;D xsi:type="xsd:double"&gt;56.025&lt;/D&gt;&lt;D xsi:type="xsd:double"&gt;56.296997&lt;/D&gt;&lt;D xsi:type="xsd:double"&gt;56.497997&lt;/D&gt;&lt;D xsi:type="xsd:double"&gt;56.415005&lt;/D&gt;&lt;D xsi:type="xsd:double"&gt;56.473&lt;/D&gt;&lt;D xsi:type="xsd:double"&gt;56.055&lt;/D&gt;&lt;D xsi:type="xsd:double"&gt;56.483&lt;/D&gt;&lt;D xsi:type="xsd:double"&gt;56.103004&lt;/D&gt;&lt;D xsi:type="xsd:double"&gt;55.706&lt;/D&gt;&lt;D xsi:type="xsd:double"&gt;55.351&lt;/D&gt;&lt;D xsi:type="xsd:double"&gt;56.044003&lt;/D&gt;&lt;D xsi:type="xsd:double"&gt;55.565002&lt;/D&gt;&lt;D xsi:type="xsd:double"&gt;55.477&lt;/D&gt;&lt;D xsi:type="xsd:double"&gt;56.018&lt;/D&gt;&lt;D xsi:type="xsd:double"&gt;55.8&lt;/D&gt;&lt;D xsi:type="xsd:double"&gt;56.667&lt;/D&gt;&lt;D xsi:type="xsd:double"&gt;56.546997&lt;/D&gt;&lt;D xsi:type="xsd:double"&gt;56.984005&lt;/D&gt;&lt;D xsi:type="xsd:double"&gt;57.015003&lt;/D&gt;&lt;D xsi:type="xsd:double"&gt;57.147&lt;/D&gt;&lt;D xsi:type="xsd:double"&gt;56.983&lt;/D&gt;&lt;D xsi:type="xsd:double"&gt;56.864002&lt;/D&gt;&lt;D xsi:type="xsd:double"&gt;57.03&lt;/D&gt;&lt;D xsi:type="xsd:double"&gt;57.079&lt;/D&gt;&lt;D xsi:type="xsd:double"&gt;57.786&lt;/D&gt;&lt;D xsi:type="xsd:double"&gt;56.809002&lt;/D&gt;&lt;D xsi:type="xsd:double"&gt;58.463&lt;/D&gt;&lt;D xsi:type="xsd:double"&gt;57.887&lt;/D&gt;&lt;D xsi:type="xsd:double"&gt;55.289&lt;/D&gt;&lt;D xsi:type="xsd:double"&gt;58.626003&lt;/D&gt;&lt;D xsi:type="xsd:double"&gt;58.506&lt;/D&gt;&lt;D xsi:type="xsd:double"&gt;58.362&lt;/D&gt;&lt;D xsi:type="xsd:double"&gt;58.242&lt;/D&gt;&lt;D xsi:type="xsd:double"&gt;58.164&lt;/D&gt;&lt;D xsi:type="xsd:double"&gt;58.605&lt;/D&gt;&lt;D xsi:type="xsd:double"&gt;58.645&lt;/D&gt;&lt;D xsi:type="xsd:double"&gt;59.625&lt;/D&gt;&lt;D xsi:type="xsd:double"&gt;59.717&lt;/D&gt;&lt;D xsi:type="xsd:double"&gt;59.217&lt;/D&gt;&lt;D xsi:type="xsd:double"&gt;59.163002&lt;/D&gt;&lt;D xsi:type="xsd:double"&gt;59.218&lt;/D&gt;&lt;D xsi:type="xsd:double"&gt;58.9&lt;/D&gt;&lt;D xsi:type="xsd:double"&gt;58.221004&lt;/D&gt;&lt;D xsi:type="xsd:double"&gt;57.505&lt;/D&gt;&lt;D xsi:type="xsd:double"&gt;57.246998&lt;/D&gt;&lt;D xsi:type="xsd:double"&gt;56.747997&lt;/D&gt;&lt;D xsi:type="xsd:double"&gt;56.543&lt;/D&gt;&lt;D xsi:type="xsd:double"&gt;56.476&lt;/D&gt;&lt;D xsi:type="xsd:double"&gt;56.544003&lt;/D&gt;&lt;D xsi:type="xsd:double"&gt;56.303005&lt;/D&gt;&lt;D xsi:type="xsd:double"&gt;55.869&lt;/D&gt;&lt;D xsi:type="xsd:double"&gt;56.096996&lt;/D&gt;&lt;D xsi:type="xsd:double"&gt;55.984997&lt;/D&gt;&lt;D xsi:type="xsd:double"&gt;55.555&lt;/D&gt;&lt;D xsi:type="xsd:double"&gt;55.851&lt;/D&gt;&lt;D xsi:type="xsd:double"&gt;55.501003&lt;/D&gt;&lt;D xsi:type="xsd:double"&gt;55.920002&lt;/D&gt;&lt;D xsi:type="xsd:double"&gt;56.351&lt;/D&gt;&lt;D xsi:type="xsd:double"&gt;55.9&lt;/D&gt;&lt;D xsi:type="xsd:double"&gt;56.05&lt;/D&gt;&lt;D xsi:type="xsd:double"&gt;55.615&lt;/D&gt;&lt;D xsi:type="xsd:double"&gt;54.74&lt;/D&gt;&lt;D xsi:type="xsd:double"&gt;54.564003&lt;/D&gt;&lt;D xsi:type="xsd:double"&gt;54.15&lt;/D&gt;&lt;D xsi:type="xsd:double"&gt;54.417&lt;/D&gt;&lt;D xsi:type="xsd:double"&gt;54.508003&lt;/D&gt;&lt;D xsi:type="xsd:double"&gt;54.385&lt;/D&gt;&lt;D xsi:type="xsd:double"&gt;54.303005&lt;/D&gt;&lt;D xsi:type="xsd:double"&gt;54.393&lt;/D&gt;&lt;D xsi:type="xsd:double"&gt;54.45&lt;/D&gt;&lt;D xsi:type="xsd:double"&gt;54.114002&lt;/D&gt;&lt;D xsi:type="xsd:double"&gt;54.23&lt;/D&gt;&lt;D xsi:type="xsd:double"&gt;53.682003&lt;/D&gt;&lt;D xsi:type="xsd:double"&gt;53.807003&lt;/D&gt;&lt;D xsi:type="xsd:double"&gt;53.689003&lt;/D&gt;&lt;D xsi:type="xsd:double"&gt;54.093&lt;/D&gt;&lt;D xsi:type="xsd:double"&gt;53.850002&lt;/D&gt;&lt;D xsi:type="xsd:double"&gt;53.8&lt;/D&gt;&lt;D xsi:type="xsd:double"&gt;53.426003&lt;/D&gt;&lt;D xsi:type="xsd:double"&gt;53.121002&lt;/D&gt;&lt;D xsi:type="xsd:double"&gt;52.662&lt;/D&gt;&lt;D xsi:type="xsd:double"&gt;52.865&lt;/D&gt;&lt;D xsi:type="xsd:double"&gt;52.821003&lt;/D&gt;&lt;D xsi:type="xsd:double"&gt;53.051003&lt;/D&gt;&lt;D xsi:type="xsd:double"&gt;52.619&lt;/D&gt;&lt;D xsi:type="xsd:double"&gt;52.669003&lt;/D&gt;&lt;D xsi:type="xsd:double"&gt;53.042&lt;/D&gt;&lt;D xsi:type="xsd:double"&gt;53.426003&lt;/D&gt;&lt;D xsi:type="xsd:double"&gt;54.01&lt;/D&gt;&lt;D xsi:type="xsd:double"&gt;53.997997&lt;/D&gt;&lt;D xsi:type="xsd:double"&gt;54.358&lt;/D&gt;&lt;D xsi:type="xsd:double"&gt;54.040005&lt;/D&gt;&lt;D xsi:type="xsd:double"&gt;54.279&lt;/D&gt;&lt;D xsi:type="xsd:double"&gt;53.915005&lt;/D&gt;&lt;D xsi:type="xsd:double"&gt;53.745003&lt;/D&gt;&lt;D xsi:type="xsd:double"&gt;53.390003&lt;/D&gt;&lt;D xsi:type="xsd:double"&gt;53.100002&lt;/D&gt;&lt;D xsi:type="xsd:double"&gt;53.193&lt;/D&gt;&lt;D xsi:type="xsd:double"&gt;53.022&lt;/D&gt;&lt;D xsi:type="xsd:double"&gt;53&lt;/D&gt;&lt;D xsi:type="xsd:double"&gt;52.88&lt;/D&gt;&lt;D xsi:type="xsd:double"&gt;53.333004&lt;/D&gt;&lt;D xsi:type="xsd:double"&gt;52.99&lt;/D&gt;&lt;D xsi:type="xsd:double"&gt;53.890003&lt;/D&gt;&lt;D xsi:type="xsd:double"&gt;53.395&lt;/D&gt;&lt;D xsi:type="xsd:double"&gt;53.195004&lt;/D&gt;&lt;D xsi:type="xsd:double"&gt;53.229&lt;/D&gt;&lt;D xsi:type="xsd:double"&gt;53.345&lt;/D&gt;&lt;D xsi:type="xsd:double"&gt;53.641&lt;/D&gt;&lt;D xsi:type="xsd:double"&gt;53.556&lt;/D&gt;&lt;D xsi:type="xsd:double"&gt;53.572998&lt;/D&gt;&lt;D xsi:type="xsd:double"&gt;53.76&lt;/D&gt;&lt;D xsi:type="xsd:double"&gt;53.76&lt;/D&gt;&lt;D xsi:type="xsd:double"&gt;53.687&lt;/D&gt;&lt;D xsi:type="xsd:double"&gt;53.766&lt;/D&gt;&lt;D xsi:type="xsd:double"&gt;53.434998&lt;/D&gt;&lt;D xsi:type="xsd:double"&gt;53.503998&lt;/D&gt;&lt;D xsi:type="xsd:double"&gt;53.590004&lt;/D&gt;&lt;D xsi:type="xsd:double"&gt;53.209003&lt;/D&gt;&lt;D xsi:type="xsd:double"&gt;52.878998&lt;/D&gt;&lt;D xsi:type="xsd:double"&gt;52.870003&lt;/D&gt;&lt;D xsi:type="xsd:double"&gt;52.664&lt;/D&gt;&lt;D xsi:type="xsd:double"&gt;53.193&lt;/D&gt;&lt;D xsi:type="xsd:double"&gt;52.878998&lt;/D&gt;&lt;D xsi:type="xsd:double"&gt;53.059002&lt;/D&gt;&lt;D xsi:type="xsd:double"&gt;53.186&lt;/D&gt;&lt;D xsi:type="xsd:double"&gt;53.7&lt;/D&gt;&lt;D xsi:type="xsd:double"&gt;53.559998&lt;/D&gt;&lt;D xsi:type="xsd:double"&gt;53.859997&lt;/D&gt;&lt;D xsi:type="xsd:double"&gt;53.425&lt;/D&gt;&lt;D xsi:type="xsd:double"&gt;53.158&lt;/D&gt;&lt;D xsi:type="xsd:double"&gt;52.993&lt;/D&gt;&lt;/FQL&gt;&lt;FQL&gt;&lt;Q&gt;543465-IN^FG_TOTAL_RETURNC(0,-3AM)&lt;/Q&gt;&lt;R&gt;1&lt;/R&gt;&lt;C&gt;1&lt;/C&gt;&lt;D xsi:type="xsd:double"&gt;19.745123&lt;/D&gt;&lt;/FQL&gt;&lt;FQL&gt;&lt;Q&gt;543563-IN^FMA_PCT_ABOVE_MAVG(200,0,,,,"PORTAGG")&lt;/Q&gt;&lt;R&gt;1&lt;/R&gt;&lt;C&gt;1&lt;/C&gt;&lt;D xsi:type="xsd:double"&gt;69.0721649484536&lt;/D&gt;&lt;/FQL&gt;&lt;FQL&gt;&lt;Q&gt;543326-IN^FMA_COS_DOWN("EPS","1M",+1,0,,,"PORTAGG","MEANR")&lt;/Q&gt;&lt;R&gt;1&lt;/R&gt;&lt;C&gt;1&lt;/C&gt;&lt;D xsi:type="xsd:double"&gt;8&lt;/D&gt;&lt;/FQL&gt;&lt;FQL&gt;&lt;Q&gt;590107-IN^COUNT(OS_TOP_HLDG_NAME(ALL,0D,,MTD,,ALL,EQ))&lt;/Q&gt;&lt;R&gt;1&lt;/R&gt;&lt;C&gt;1&lt;/C&gt;&lt;D xsi:type="xsd:long"&gt;13&lt;/D&gt;&lt;/FQL&gt;&lt;FQL&gt;&lt;Q&gt;543326-IN^FG_TOTAL_RETURNC(-1AM,-4AM)&lt;/Q&gt;&lt;R&gt;1&lt;/R&gt;&lt;C&gt;1&lt;/C&gt;&lt;D xsi:type="xsd:double"&gt;3.6263824&lt;/D&gt;&lt;/FQL&gt;&lt;FQL&gt;&lt;Q&gt;543348-IN^FG_TOTAL_RETURNC(-1AM,-4AM)&lt;/Q&gt;&lt;R&gt;1&lt;/R&gt;&lt;C&gt;1&lt;/C&gt;&lt;D xsi:type="xsd:double"&gt;-1.1033893&lt;/D&gt;&lt;/FQL&gt;&lt;FQL&gt;&lt;Q&gt;543627-IN^FG_TOTAL_RETURNC(0,-1AM)&lt;/Q&gt;&lt;R&gt;1&lt;/R&gt;&lt;C&gt;1&lt;/C&gt;&lt;D xsi:type="xsd:double"&gt;5.7745695&lt;/D&gt;&lt;/FQL&gt;&lt;FQL&gt;&lt;Q&gt;543608-IN^FG_TOTAL_RETURNC(0,-1AM)&lt;/Q&gt;&lt;R&gt;1&lt;/R&gt;&lt;C&gt;1&lt;/C&gt;&lt;D xsi:type="xsd:double"&gt;4.087138&lt;/D&gt;&lt;/FQL&gt;&lt;FQL&gt;&lt;Q&gt;540787-IN^P_PRICE(0,-200D)&lt;/Q&gt;&lt;R&gt;201&lt;/R&gt;&lt;C&gt;1&lt;/C&gt;&lt;D xsi:type="xsd:double"&gt;111.13&lt;/D&gt;&lt;D xsi:type="xsd:double"&gt;110.86&lt;/D&gt;&lt;D xsi:type="xsd:double"&gt;109.77&lt;/D&gt;&lt;D xsi:type="xsd:double"&gt;109.1&lt;/D&gt;&lt;D xsi:type="xsd:double"&gt;108.44&lt;/D&gt;&lt;D xsi:type="xsd:double"&gt;106.78&lt;/D&gt;&lt;D xsi:type="xsd:double"&gt;104.51&lt;/D&gt;&lt;D xsi:type="xsd:double"&gt;103.11&lt;/D&gt;&lt;D xsi:type="xsd:double"&gt;115.92&lt;/D&gt;&lt;D xsi:type="xsd:double"&gt;109.37&lt;/D&gt;&lt;D xsi:type="xsd:double"&gt;108.77&lt;/D&gt;&lt;D xsi:type="xsd:double"&gt;109.94&lt;/D&gt;&lt;D xsi:type="xsd:double"&gt;110.01&lt;/D&gt;&lt;D xsi:type="xsd:double"&gt;110.94&lt;/D&gt;&lt;D xsi:type="xsd:double"&gt;111.07&lt;/D&gt;&lt;D xsi:type="xsd:double"&gt;110.38&lt;/D&gt;&lt;D xsi:type="xsd:double"&gt;109.6&lt;/D&gt;&lt;D xsi:type="xsd:double"&gt;109.1&lt;/D&gt;&lt;D xsi:type="xsd:double"&gt;107.43&lt;/D&gt;&lt;D xsi:type="xsd:double"&gt;106.29&lt;/D&gt;&lt;D xsi:type="xsd:double"&gt;105.87&lt;/D&gt;&lt;D xsi:type="xsd:double"&gt;104.95&lt;/D&gt;&lt;D xsi:type="xsd:double"&gt;103.46&lt;/D&gt;&lt;D xsi:type="xsd:double"&gt;103.64&lt;/D&gt;&lt;D xsi:type="xsd:double"&gt;102.38&lt;/D&gt;&lt;D xsi:type="xsd:double"&gt;105.79&lt;/D&gt;&lt;D xsi:type="xsd:double"&gt;104.32&lt;/D&gt;&lt;D xsi:type="xsd:double"&gt;105.98&lt;/D&gt;&lt;D xsi:type="xsd:double"&gt;107.74&lt;/D&gt;&lt;D xsi:type="xsd:double"&gt;108.25&lt;/D&gt;&lt;D xsi:type="xsd:double"&gt;107.18&lt;/D&gt;&lt;D xsi:type="xsd:double"&gt;106.98&lt;/D&gt;&lt;D xsi:type="xsd:double"&gt;106.34&lt;/D&gt;&lt;D xsi:type="xsd:double"&gt;106.04&lt;/D&gt;&lt;D xsi:type="xsd:double"&gt;104.33&lt;/D&gt;&lt;D xsi:type="xsd:double"&gt;103.51&lt;/D&gt;&lt;D xsi:type="xsd:double"&gt;103.24&lt;/D&gt;&lt;D xsi:type="xsd:double"&gt;102.28&lt;/D&gt;&lt;D xsi:type="xsd:double"&gt;102.26&lt;/D&gt;&lt;D xsi:type="xsd:double"&gt;103.28&lt;/D&gt;&lt;D xsi:type="xsd:double"&gt;103.38&lt;/D&gt;&lt;D xsi:type="xsd:double"&gt;104.14&lt;/D&gt;&lt;D xsi:type="xsd:double"&gt;105.26&lt;/D&gt;&lt;D xsi:type="xsd:double"&gt;104.3&lt;/D&gt;&lt;D xsi:type="xsd:double"&gt;104.55&lt;/D&gt;&lt;D xsi:type="xsd:double"&gt;103.81&lt;/D&gt;&lt;D xsi:type="xsd:double"&gt;103.3&lt;/D&gt;&lt;D xsi:type="xsd:double"&gt;103.98&lt;/D&gt;&lt;D xsi:type="xsd:double"&gt;102.98&lt;/D&gt;&lt;D xsi:type="xsd:double"&gt;102.41&lt;/D&gt;&lt;D xsi:type="xsd:double"&gt;100.83&lt;/D&gt;&lt;D xsi:type="xsd:double"&gt;99.92&lt;/D&gt;&lt;D xsi:type="xsd:double"&gt;99.85&lt;/D&gt;&lt;D xsi:type="xsd:double"&gt;99.54&lt;/D&gt;&lt;D xsi:type="xsd:double"&gt;98.32&lt;/D&gt;&lt;D xsi:type="xsd:double"&gt;96.19&lt;/D&gt;&lt;D xsi:type="xsd:double"&gt;95.5&lt;/D&gt;&lt;D xsi:type="xsd:double"&gt;97.16&lt;/D&gt;&lt;D xsi:type="xsd:double"&gt;97.2&lt;/D&gt;&lt;D xsi:type="xsd:double"&gt;98.98&lt;/D&gt;&lt;D xsi:type="xsd:double"&gt;97.32&lt;/D&gt;&lt;D xsi:type="xsd:double"&gt;101.97&lt;/D&gt;&lt;D xsi:type="xsd:double"&gt;103.68&lt;/D&gt;&lt;D xsi:type="xsd:double"&gt;105.03&lt;/D&gt;&lt;D xsi:type="xsd:double"&gt;104.7&lt;/D&gt;&lt;D xsi:type="xsd:double"&gt;104.93&lt;/D&gt;&lt;D xsi:type="xsd:double"&gt;104.23&lt;/D&gt;&lt;D xsi:type="xsd:double"&gt;102.68&lt;/D&gt;&lt;D xsi:type="xsd:double"&gt;100.47&lt;/D&gt;&lt;D xsi:type="xsd:double"&gt;100.1&lt;/D&gt;&lt;D xsi:type="xsd:double"&gt;101.24&lt;/D&gt;&lt;D xsi:type="xsd:double"&gt;101.53&lt;/D&gt;&lt;D xsi:type="xsd:double"&gt;101.36&lt;/D&gt;&lt;D xsi:type="xsd:double"&gt;101.48&lt;/D&gt;&lt;D xsi:type="xsd:double"&gt;100.32&lt;/D&gt;&lt;D xsi:type="xsd:double"&gt;101.85&lt;/D&gt;&lt;D xsi:type="xsd:double"&gt;101.2&lt;/D&gt;&lt;D xsi:type="xsd:double"&gt;101.25&lt;/D&gt;&lt;D xsi:type="xsd:double"&gt;101.14&lt;/D&gt;&lt;D xsi:type="xsd:double"&gt;99.25&lt;/D&gt;&lt;D xsi:type="xsd:double"&gt;96.81&lt;/D&gt;&lt;D xsi:type="xsd:double"&gt;95.94&lt;/D&gt;&lt;D xsi:type="xsd:double"&gt;99.23&lt;/D&gt;&lt;D xsi:type="xsd:double"&gt;100.58&lt;/D&gt;&lt;D xsi:type="xsd:double"&gt;100.18&lt;/D&gt;&lt;D xsi:type="xsd:double"&gt;100.24&lt;/D&gt;&lt;D xsi:type="xsd:double"&gt;99.24&lt;/D&gt;&lt;D xsi:type="xsd:double"&gt;98.91&lt;/D&gt;&lt;D xsi:type="xsd:double"&gt;96.17&lt;/D&gt;&lt;D xsi:type="xsd:double"&gt;95.88&lt;/D&gt;&lt;D xsi:type="xsd:double"&gt;95.75&lt;/D&gt;&lt;D xsi:type="xsd:double"&gt;96.56&lt;/D&gt;&lt;D xsi:type="xsd:double"&gt;94.19&lt;/D&gt;&lt;D xsi:type="xsd:double"&gt;93.7&lt;/D&gt;&lt;D xsi:type="xsd:double"&gt;91.85&lt;/D&gt;&lt;D xsi:type="xsd:double"&gt;94.3&lt;/D&gt;&lt;D xsi:type="xsd:double"&gt;92.55&lt;/D&gt;&lt;D xsi:type="xsd:double"&gt;92.87&lt;/D&gt;&lt;D xsi:type="xsd:double"&gt;93.82&lt;/D&gt;&lt;D xsi:type="xsd:double"&gt;93.47&lt;/D&gt;&lt;D xsi:type="xsd:double"&gt;92.6&lt;/D&gt;&lt;D xsi:type="xsd:double"&gt;91.85&lt;/D&gt;&lt;D xsi:type="xsd:double"&gt;91.7&lt;/D&gt;&lt;D xsi:type="xsd:double"&gt;92.36&lt;/D&gt;&lt;D xsi:type="xsd:double"&gt;91.98&lt;/D&gt;&lt;D xsi:type="xsd:double"&gt;92.62&lt;/D&gt;&lt;D xsi:type="xsd:double"&gt;92.51&lt;/D&gt;&lt;D xsi:type="xsd:double"&gt;91.5&lt;/D&gt;&lt;D xsi:type="xsd:double"&gt;91.39&lt;/D&gt;&lt;D xsi:type="xsd:double"&gt;91.7&lt;/D&gt;&lt;D xsi:type="xsd:double"&gt;91.24&lt;/D&gt;&lt;D xsi:type="xsd:double"&gt;91.46&lt;/D&gt;&lt;D xsi:type="xsd:double"&gt;89.99&lt;/D&gt;&lt;D xsi:type="xsd:double"&gt;89.77&lt;/D&gt;&lt;D xsi:type="xsd:double"&gt;88.5&lt;/D&gt;&lt;D xsi:type="xsd:double"&gt;87.82&lt;/D&gt;&lt;D xsi:type="xsd:double"&gt;86.9&lt;/D&gt;&lt;D xsi:type="xsd:double"&gt;89.25&lt;/D&gt;&lt;D xsi:type="xsd:double"&gt;88.76&lt;/D&gt;&lt;D xsi:type="xsd:double"&gt;88.99&lt;/D&gt;&lt;D xsi:type="xsd:double"&gt;87.27&lt;/D&gt;&lt;D xsi:type="xsd:double"&gt;86.66&lt;/D&gt;&lt;D xsi:type="xsd:double"&gt;85.67&lt;/D&gt;&lt;D xsi:type="xsd:double"&gt;85.98&lt;/D&gt;&lt;D xsi:type="xsd:double"&gt;85.66&lt;/D&gt;&lt;D xsi:type="xsd:double"&gt;85.89&lt;/D&gt;&lt;D xsi:type="xsd:double"&gt;85.63&lt;/D&gt;&lt;D xsi:type="xsd:double"&gt;84.96&lt;/D&gt;&lt;D xsi:type="xsd:double"&gt;83.95&lt;/D&gt;&lt;D xsi:type="xsd:double"&gt;81.61&lt;/D&gt;&lt;D xsi:type="xsd:double"&gt;79.99&lt;/D&gt;&lt;D xsi:type="xsd:double"&gt;79.48&lt;/D&gt;&lt;D xsi:type="xsd:double"&gt;78.78&lt;/D&gt;&lt;D xsi:type="xsd:double"&gt;78.14&lt;/D&gt;&lt;D xsi:type="xsd:double"&gt;78.02&lt;/D&gt;&lt;D xsi:type="xsd:double"&gt;78.13&lt;/D&gt;&lt;D xsi:type="xsd:double"&gt;78.01&lt;/D&gt;&lt;D xsi:type="xsd:double"&gt;78.15&lt;/D&gt;&lt;D xsi:type="xsd:double"&gt;78.36&lt;/D&gt;&lt;D xsi:type="xsd:double"&gt;78.5&lt;/D&gt;&lt;D xsi:type="xsd:double"&gt;78.57&lt;/D&gt;&lt;D xsi:type="xsd:double"&gt;77.72&lt;/D&gt;&lt;D xsi:type="xsd:double"&gt;76.84&lt;/D&gt;&lt;D xsi:type="xsd:double"&gt;76.41&lt;/D&gt;&lt;D xsi:type="xsd:double"&gt;76.23&lt;/D&gt;&lt;D xsi:type="xsd:double"&gt;75.94&lt;/D&gt;&lt;D xsi:type="xsd:double"&gt;75.67&lt;/D&gt;&lt;D xsi:type="xsd:double"&gt;74.76&lt;/D&gt;&lt;D xsi:type="xsd:double"&gt;74.36&lt;/D&gt;&lt;D xsi:type="xsd:double"&gt;73.65&lt;/D&gt;&lt;D xsi:type="xsd:double"&gt;73.87&lt;/D&gt;&lt;D xsi:type="xsd:double"&gt;73.87&lt;/D&gt;&lt;D xsi:type="xsd:double"&gt;73.71&lt;/D&gt;&lt;D xsi:type="xsd:double"&gt;72.6&lt;/D&gt;&lt;D xsi:type="xsd:double"&gt;73&lt;/D&gt;&lt;D xsi:type="xsd:double"&gt;73.6&lt;/D&gt;&lt;D xsi:type="xsd:double"&gt;74.87&lt;/D&gt;&lt;D xsi:type="xsd:double"&gt;75.98&lt;/D&gt;&lt;D xsi:type="xsd:double"&gt;76.2&lt;/D&gt;&lt;D xsi:type="xsd:double"&gt;76.74&lt;/D&gt;&lt;D xsi:type="xsd:double"&gt;76.38&lt;/D&gt;&lt;D xsi:type="xsd:double"&gt;75.95&lt;/D&gt;&lt;D xsi:type="xsd:double"&gt;76.14&lt;/D&gt;&lt;D xsi:type="xsd:double"&gt;75.69&lt;/D&gt;&lt;D xsi:type="xsd:double"&gt;75.31&lt;/D&gt;&lt;D xsi:type="xsd:double"&gt;74.52&lt;/D&gt;&lt;D xsi:type="xsd:double"&gt;75.11&lt;/D&gt;&lt;D xsi:type="xsd:double"&gt;74.74&lt;/D&gt;&lt;D xsi:type="xsd:double"&gt;74.52&lt;/D&gt;&lt;D xsi:type="xsd:double"&gt;75.8&lt;/D&gt;&lt;D xsi:type="xsd:double"&gt;75.91&lt;/D&gt;&lt;D xsi:type="xsd:double"&gt;74.92&lt;/D&gt;&lt;D xsi:type="xsd:double"&gt;74.99&lt;/D&gt;&lt;D xsi:type="xsd:double"&gt;74.64&lt;/D&gt;&lt;D xsi:type="xsd:double"&gt;74.66&lt;/D&gt;&lt;D xsi:type="xsd:double"&gt;74.56&lt;/D&gt;&lt;D xsi:type="xsd:double"&gt;74.38&lt;/D&gt;&lt;D xsi:type="xsd:double"&gt;75.33&lt;/D&gt;&lt;D xsi:type="xsd:double"&gt;75.26&lt;/D&gt;&lt;D xsi:type="xsd:double"&gt;74.81&lt;/D&gt;&lt;D xsi:type="xsd:double"&gt;74.91&lt;/D&gt;&lt;D xsi:type="xsd:double"&gt;74.31&lt;/D&gt;&lt;D xsi:type="xsd:double"&gt;73.89&lt;/D&gt;&lt;D xsi:type="xsd:double"&gt;75.22&lt;/D&gt;&lt;D xsi:type="xsd:double"&gt;74.71&lt;/D&gt;&lt;D xsi:type="xsd:double"&gt;73.6&lt;/D&gt;&lt;D xsi:type="xsd:double"&gt;72.53&lt;/D&gt;&lt;D xsi:type="xsd:double"&gt;72.57&lt;/D&gt;&lt;D xsi:type="xsd:double"&gt;72.34&lt;/D&gt;&lt;D xsi:type="xsd:double"&gt;71.56&lt;/D&gt;&lt;D xsi:type="xsd:double"&gt;70.22&lt;/D&gt;&lt;D xsi:type="xsd:double"&gt;70.83&lt;/D&gt;&lt;D xsi:type="xsd:double"&gt;70.98&lt;/D&gt;&lt;D xsi:type="xsd:double"&gt;70.52&lt;/D&gt;&lt;D xsi:type="xsd:double"&gt;70.01&lt;/D&gt;&lt;D xsi:type="xsd:double"&gt;70.84&lt;/D&gt;&lt;D xsi:type="xsd:double"&gt;70.83&lt;/D&gt;&lt;D xsi:type="xsd:double"&gt;70.59&lt;/D&gt;&lt;D xsi:type="xsd:double"&gt;69.87&lt;/D&gt;&lt;D xsi:type="xsd:double"&gt;69.12&lt;/D&gt;&lt;D xsi:type="xsd:double"&gt;69.57&lt;/D&gt;&lt;/FQL&gt;&lt;FQL&gt;&lt;Q&gt;540787-IN^FMA_PCT_ABOVE_MAVG(200,0,,,,"PORTAGG")&lt;/Q&gt;&lt;R&gt;1&lt;/R&gt;&lt;C&gt;1&lt;/C&gt;&lt;D xsi:type="xsd:double"&gt;91.304347826087&lt;/D&gt;&lt;/FQL&gt;&lt;FQL&gt;&lt;Q&gt;543563-IN^PERCENT_CHANGE(FMA_EPS(+1,0,,,,"PORTAGG","MEAN"),FMA_EPS(+1,-3AM,,,,"PORTAGG","MEAN"))&lt;/Q&gt;&lt;R&gt;1&lt;/R&gt;&lt;C&gt;1&lt;/C&gt;&lt;D xsi:type="xsd:double"&gt;-1.25923961591685&lt;/D&gt;&lt;/FQL&gt;&lt;FQL&gt;&lt;Q&gt;543608-IN^PERCENT_CHANGE(FMA_EPS(+1,0,,,,"PORTAGG","MEAN"),FMA_EPS(+1,-1AM,,,,"PORTAGG","MEAN"))&lt;/Q&gt;&lt;R&gt;1&lt;/R&gt;&lt;C&gt;1&lt;/C&gt;&lt;D xsi:type="xsd:double"&gt;0.973321392196605&lt;/D&gt;&lt;/FQL&gt;&lt;FQL&gt;&lt;Q&gt;538057-IN^FMA_COS_UP("EPS","1M",+1,0,,,"PORTAGG","MEANR")&lt;/Q&gt;&lt;R&gt;0&lt;/R&gt;&lt;C&gt;0&lt;/C&gt;&lt;/FQL&gt;&lt;FQL&gt;&lt;Q&gt;543465-IN^COUNT(OS_TOP_HLDG_NAME(ALL,0D,,MTD,,ALL,EQ))&lt;/Q&gt;&lt;R&gt;1&lt;/R&gt;&lt;C&gt;1&lt;/C&gt;&lt;D xsi:type="xsd:long"&gt;31&lt;/D&gt;&lt;/FQL&gt;&lt;FQL&gt;&lt;Q&gt;543956-IN^FMA_COS_DOWN("EPS","1M",+1,0,,,"PORTAGG","MEANR")&lt;/Q&gt;&lt;R&gt;0&lt;/R&gt;&lt;C&gt;0&lt;/C&gt;&lt;/FQL&gt;&lt;FQL&gt;&lt;Q&gt;543348-IN^FG_COMPANY_NAME&lt;/Q&gt;&lt;R&gt;1&lt;/R&gt;&lt;C&gt;1&lt;/C&gt;&lt;D xsi:type="xsd:string"&gt;Axis NIFTY Healthcare ETF&lt;/D&gt;&lt;/FQL&gt;&lt;FQL&gt;&lt;Q&gt;543326-IN^P_PRICE(-1AM)/P_PRICE_HIGH_PR(-1AM,,,,,,"PRICE","CLOSE","52W")&lt;/Q&gt;&lt;R&gt;1&lt;/R&gt;&lt;C&gt;1&lt;/C&gt;&lt;D xsi:type="xsd:double"&gt;0.96421456&lt;/D&gt;&lt;/FQL&gt;&lt;FQL&gt;&lt;Q&gt;543563-IN^P_PRICE(-1AM)/P_PRICE_HIGH_PR(-1AM,,,,,,"PRICE","CLOSE","52W")&lt;/Q&gt;&lt;R&gt;1&lt;/R&gt;&lt;C&gt;1&lt;/C&gt;&lt;D xsi:type="xsd:double"&gt;0.96927303&lt;/D&gt;&lt;/FQL&gt;&lt;FQL&gt;&lt;Q&gt;543348-IN^P_PRICE(-1AM)/P_PRICE_HIGH_PR(-1AM,,,,,,"PRICE","CLOSE","52W")&lt;/Q&gt;&lt;R&gt;1&lt;/R&gt;&lt;C&gt;1&lt;/C&gt;&lt;D xsi:type="xsd:double"&gt;0.86515087&lt;/D&gt;&lt;/FQL&gt;&lt;FQL&gt;&lt;Q&gt;DIVOPPBEES-IN^FG_COMPANY_NAME&lt;/Q&gt;&lt;R&gt;1&lt;/R&gt;&lt;C&gt;1&lt;/C&gt;&lt;D xsi:type="xsd:string"&gt;Nippon India ETF Nifty Dividend Opportunities 50&lt;/D&gt;&lt;/FQL&gt;&lt;FQL&gt;&lt;Q&gt;DIVOPPBEES-IN^FG_TOTAL_RETURNC(0,-6AM)&lt;/Q&gt;&lt;R&gt;1&lt;/R&gt;&lt;C&gt;1&lt;/C&gt;&lt;D xsi:type="xsd:double"&gt;22.032595&lt;/D&gt;&lt;/FQL&gt;&lt;FQL&gt;&lt;Q&gt;543627-IN^FG_TOTAL_RETURNC(0,-6AM)&lt;/Q&gt;&lt;R&gt;1&lt;/R&gt;&lt;C&gt;1&lt;/C&gt;&lt;D xsi:type="xsd:double"&gt;15.594662&lt;/D&gt;&lt;/FQL&gt;&lt;FQL&gt;&lt;Q&gt;543465-IN^FG_TOTAL_RETURNC(0,-6AM)&lt;/Q&gt;&lt;R&gt;1&lt;/R&gt;&lt;C&gt;1&lt;/C&gt;&lt;D xsi:type="xsd:double"&gt;32.727943&lt;/D&gt;&lt;/FQL&gt;&lt;FQL&gt;&lt;Q&gt;543608-IN^FG_TOTAL_RETURNC(0,-6AM)&lt;/Q&gt;&lt;R&gt;1&lt;/R&gt;&lt;C&gt;1&lt;/C&gt;&lt;D xsi:type="xsd:double"&gt;17.06313&lt;/D&gt;&lt;/FQL&gt;&lt;FQL&gt;&lt;Q&gt;543454-IN^FG_COMPANY_NAME&lt;/Q&gt;&lt;R&gt;1&lt;/R&gt;&lt;C&gt;1&lt;/C&gt;&lt;D xsi:type="xsd:string"&gt;Mirae Asset Nifty India Manufacturing ETF Units Exchange Traded Fund&lt;/D&gt;&lt;/FQL&gt;&lt;FQL&gt;&lt;Q&gt;538057-IN^P_PRICE(0,-200D)&lt;/Q&gt;&lt;R&gt;201&lt;/R&gt;&lt;C&gt;1&lt;/C&gt;&lt;D xsi:type="xsd:double"&gt;93.48&lt;/D&gt;&lt;D xsi:type="xsd:double"&gt;93.28&lt;/D&gt;&lt;D xsi:type="xsd:double"&gt;91.63&lt;/D&gt;&lt;D xsi:type="xsd:double"&gt;90.38&lt;/D&gt;&lt;D xsi:type="xsd:double"&gt;89.73&lt;/D&gt;&lt;D xsi:type="xsd:double"&gt;87.67&lt;/D&gt;&lt;D xsi:type="xsd:double"&gt;85.01&lt;/D&gt;&lt;D xsi:type="xsd:double"&gt;87&lt;/D&gt;&lt;D xsi:type="xsd:double"&gt;98.75&lt;/D&gt;&lt;D xsi:type="xsd:double"&gt;91.73&lt;/D&gt;&lt;D xsi:type="xsd:double"&gt;90.62&lt;/D&gt;&lt;D xsi:type="xsd:double"&gt;91.97&lt;/D&gt;&lt;D xsi:type="xsd:double"&gt;91.76&lt;/D&gt;&lt;D xsi:type="xsd:double"&gt;93.34&lt;/D&gt;&lt;D xsi:type="xsd:double"&gt;94.24&lt;/D&gt;&lt;D xsi:type="xsd:double"&gt;93.54&lt;/D&gt;&lt;D xsi:type="xsd:double"&gt;93.6&lt;/D&gt;&lt;D xsi:type="xsd:double"&gt;92.72&lt;/D&gt;&lt;D xsi:type="xsd:double"&gt;88.74&lt;/D&gt;&lt;D xsi:type="xsd:double"&gt;87.7&lt;/D&gt;&lt;D xsi:type="xsd:double"&gt;87.43&lt;/D&gt;&lt;D xsi:type="xsd:double"&gt;86.02&lt;/D&gt;&lt;D xsi:type="xsd:double"&gt;84.52&lt;/D&gt;&lt;D xsi:type="xsd:double"&gt;85.07&lt;/D&gt;&lt;D xsi:type="xsd:double"&gt;83.76&lt;/D&gt;&lt;D xsi:type="xsd:double"&gt;86.32&lt;/D&gt;&lt;D xsi:type="xsd:double"&gt;84.94&lt;/D&gt;&lt;D xsi:type="xsd:double"&gt;87.25&lt;/D&gt;&lt;D xsi:type="xsd:double"&gt;88.65&lt;/D&gt;&lt;D xsi:type="xsd:double"&gt;88.11&lt;/D&gt;&lt;D xsi:type="xsd:double"&gt;86.92&lt;/D&gt;&lt;D xsi:type="xsd:double"&gt;86.5&lt;/D&gt;&lt;D xsi:type="xsd:double"&gt;86.34&lt;/D&gt;&lt;D xsi:type="xsd:double"&gt;85.84&lt;/D&gt;&lt;D xsi:type="xsd:double"&gt;84.93&lt;/D&gt;&lt;D xsi:type="xsd:double"&gt;83.99&lt;/D&gt;&lt;D xsi:type="xsd:double"&gt;83.41&lt;/D&gt;&lt;D xsi:type="xsd:double"&gt;83.23&lt;/D&gt;&lt;D xsi:type="xsd:double"&gt;83.38&lt;/D&gt;&lt;D xsi:type="xsd:double"&gt;84.62&lt;/D&gt;&lt;D xsi:type="xsd:double"&gt;84.14&lt;/D&gt;&lt;D xsi:type="xsd:double"&gt;84.09&lt;/D&gt;&lt;D xsi:type="xsd:double"&gt;84.74&lt;/D&gt;&lt;D xsi:type="xsd:double"&gt;83.81&lt;/D&gt;&lt;D xsi:type="xsd:double"&gt;83.98&lt;/D&gt;&lt;D xsi:type="xsd:double"&gt;83.41&lt;/D&gt;&lt;D xsi:type="xsd:double"&gt;82.97&lt;/D&gt;&lt;D xsi:type="xsd:double"&gt;83.25&lt;/D&gt;&lt;D xsi:type="xsd:double"&gt;82.48&lt;/D&gt;&lt;D xsi:type="xsd:double"&gt;81.37&lt;/D&gt;&lt;D xsi:type="xsd:double"&gt;79.92&lt;/D&gt;&lt;D xsi:type="xsd:double"&gt;78.79&lt;/D&gt;&lt;D xsi:type="xsd:double"&gt;78.87&lt;/D&gt;&lt;D xsi:type="xsd:double"&gt;78.83&lt;/D&gt;&lt;D xsi:type="xsd:double"&gt;78.37&lt;/D&gt;&lt;D xsi:type="xsd:double"&gt;76.17&lt;/D&gt;&lt;D xsi:type="xsd:double"&gt;75.54&lt;/D&gt;&lt;D xsi:type="xsd:double"&gt;76.52&lt;/D&gt;&lt;D xsi:type="xsd:double"&gt;76.29&lt;/D&gt;&lt;D xsi:type="xsd:double"&gt;77.66&lt;/D&gt;&lt;D xsi:type="xsd:double"&gt;75.72&lt;/D&gt;&lt;D xsi:type="xsd:double"&gt;81.31&lt;/D&gt;&lt;D xsi:type="xsd:double"&gt;82.75&lt;/D&gt;&lt;D xsi:type="xsd:double"&gt;83.96&lt;/D&gt;&lt;D xsi:type="xsd:double"&gt;84&lt;/D&gt;&lt;D xsi:type="xsd:double"&gt;84.61&lt;/D&gt;&lt;D xsi:type="xsd:double"&gt;83.68&lt;/D&gt;&lt;D xsi:type="xsd:double"&gt;81.57&lt;/D&gt;&lt;D xsi:type="xsd:double"&gt;80.15&lt;/D&gt;&lt;D xsi:type="xsd:double"&gt;80.07&lt;/D&gt;&lt;D xsi:type="xsd:double"&gt;81.27&lt;/D&gt;&lt;D xsi:type="xsd:double"&gt;81.22&lt;/D&gt;&lt;D xsi:type="xsd:double"&gt;81.33&lt;/D&gt;&lt;D xsi:type="xsd:double"&gt;81.23&lt;/D&gt;&lt;D xsi:type="xsd:double"&gt;80&lt;/D&gt;&lt;D xsi:type="xsd:double"&gt;81.71&lt;/D&gt;&lt;D xsi:type="xsd:double"&gt;81.06&lt;/D&gt;&lt;D xsi:type="xsd:double"&gt;81.02&lt;/D&gt;&lt;D xsi:type="xsd:double"&gt;81.3&lt;/D&gt;&lt;D xsi:type="xsd:double"&gt;78.58&lt;/D&gt;&lt;D xsi:type="xsd:double"&gt;76.23&lt;/D&gt;&lt;D xsi:type="xsd:double"&gt;75.05&lt;/D&gt;&lt;D xsi:type="xsd:double"&gt;78.68&lt;/D&gt;&lt;D xsi:type="xsd:double"&gt;80.18&lt;/D&gt;&lt;D xsi:type="xsd:double"&gt;79.03&lt;/D&gt;&lt;D xsi:type="xsd:double"&gt;79.56&lt;/D&gt;&lt;D xsi:type="xsd:double"&gt;79.28&lt;/D&gt;&lt;D xsi:type="xsd:double"&gt;77.65&lt;/D&gt;&lt;D xsi:type="xsd:double"&gt;74.77&lt;/D&gt;&lt;D xsi:type="xsd:double"&gt;74.39&lt;/D&gt;&lt;D xsi:type="xsd:double"&gt;73.61&lt;/D&gt;&lt;D xsi:type="xsd:double"&gt;74.31&lt;/D&gt;&lt;D xsi:type="xsd:double"&gt;71.38&lt;/D&gt;&lt;D xsi:type="xsd:double"&gt;70.57&lt;/D&gt;&lt;D xsi:type="xsd:double"&gt;68.85&lt;/D&gt;&lt;D xsi:type="xsd:double"&gt;70.08&lt;/D&gt;&lt;D xsi:type="xsd:double"&gt;68.59&lt;/D&gt;&lt;D xsi:type="xsd:double"&gt;69.17&lt;/D&gt;&lt;D xsi:type="xsd:double"&gt;69.5&lt;/D&gt;&lt;D xsi:type="xsd:double"&gt;69.92&lt;/D&gt;&lt;D xsi:type="xsd:double"&gt;68.37&lt;/D&gt;&lt;D xsi:type="xsd:double"&gt;68.12&lt;/D&gt;&lt;D xsi:type="xsd:double"&gt;68&lt;/D&gt;&lt;D xsi:type="xsd:double"&gt;68.57&lt;/D&gt;&lt;D xsi:type="xsd:double"&gt;68.36&lt;/D&gt;&lt;D xsi:type="xsd:double"&gt;68.56&lt;/D&gt;&lt;D xsi:type="xsd:double"&gt;68.44&lt;/D&gt;&lt;D xsi:type="xsd:double"&gt;67.12&lt;/D&gt;&lt;D xsi:type="xsd:double"&gt;67.29&lt;/D&gt;&lt;D xsi:type="xsd:double"&gt;67.12&lt;/D&gt;&lt;D xsi:type="xsd:double"&gt;66.91&lt;/D&gt;&lt;D xsi:type="xsd:double"&gt;67.26&lt;/D&gt;&lt;D xsi:type="xsd:double"&gt;66.05&lt;/D&gt;&lt;D xsi:type="xsd:double"&gt;66.28&lt;/D&gt;&lt;D xsi:type="xsd:double"&gt;64.94&lt;/D&gt;&lt;D xsi:type="xsd:double"&gt;64.56&lt;/D&gt;&lt;D xsi:type="xsd:double"&gt;63.49&lt;/D&gt;&lt;D xsi:type="xsd:double"&gt;65.06&lt;/D&gt;&lt;D xsi:type="xsd:double"&gt;64.06&lt;/D&gt;&lt;D xsi:type="xsd:double"&gt;64.27&lt;/D&gt;&lt;D xsi:type="xsd:double"&gt;63.07&lt;/D&gt;&lt;D xsi:type="xsd:double"&gt;62.66&lt;/D&gt;&lt;D xsi:type="xsd:double"&gt;62.04&lt;/D&gt;&lt;D xsi:type="xsd:double"&gt;62.67&lt;/D&gt;&lt;D xsi:type="xsd:double"&gt;62.03&lt;/D&gt;&lt;D xsi:type="xsd:double"&gt;62.39&lt;/D&gt;&lt;D xsi:type="xsd:double"&gt;61.65&lt;/D&gt;&lt;D xsi:type="xsd:double"&gt;61.59&lt;/D&gt;&lt;D xsi:type="xsd:double"&gt;60.68&lt;/D&gt;&lt;D xsi:type="xsd:double"&gt;59.06&lt;/D&gt;&lt;D xsi:type="xsd:double"&gt;58.35&lt;/D&gt;&lt;D xsi:type="xsd:double"&gt;57.79&lt;/D&gt;&lt;D xsi:type="xsd:double"&gt;57.71&lt;/D&gt;&lt;D xsi:type="xsd:double"&gt;57.06&lt;/D&gt;&lt;D xsi:type="xsd:double"&gt;57.09&lt;/D&gt;&lt;D xsi:type="xsd:double"&gt;57.17&lt;/D&gt;&lt;D xsi:type="xsd:double"&gt;57.02&lt;/D&gt;&lt;D xsi:type="xsd:double"&gt;56.99&lt;/D&gt;&lt;D xsi:type="xsd:double"&gt;57.08&lt;/D&gt;&lt;D xsi:type="xsd:double"&gt;57.17&lt;/D&gt;&lt;D xsi:type="xsd:double"&gt;56.95&lt;/D&gt;&lt;D xsi:type="xsd:double"&gt;56.69&lt;/D&gt;&lt;D xsi:type="xsd:double"&gt;55.24&lt;/D&gt;&lt;D xsi:type="xsd:double"&gt;54.88&lt;/D&gt;&lt;D xsi:type="xsd:double"&gt;54.78&lt;/D&gt;&lt;D xsi:type="xsd:double"&gt;54.4&lt;/D&gt;&lt;D xsi:type="xsd:double"&gt;54.33&lt;/D&gt;&lt;D xsi:type="xsd:double"&gt;53.59&lt;/D&gt;&lt;D xsi:type="xsd:double"&gt;53.03&lt;/D&gt;&lt;D xsi:type="xsd:double"&gt;52.71&lt;/D&gt;&lt;D xsi:type="xsd:double</t>
        </r>
      </text>
    </comment>
    <comment ref="A2" authorId="0" shapeId="0" xr:uid="{6BB8527B-ACDC-48DC-BC8C-2F106900EDCD}">
      <text>
        <r>
          <rPr>
            <b/>
            <sz val="9"/>
            <color indexed="81"/>
            <rFont val="Tahoma"/>
            <charset val="1"/>
          </rPr>
          <t>"&gt;53.09&lt;/D&gt;&lt;D xsi:type="xsd:double"&gt;53.08&lt;/D&gt;&lt;D xsi:type="xsd:double"&gt;52.94&lt;/D&gt;&lt;D xsi:type="xsd:double"&gt;51.94&lt;/D&gt;&lt;D xsi:type="xsd:double"&gt;52.34&lt;/D&gt;&lt;D xsi:type="xsd:double"&gt;52.69&lt;/D&gt;&lt;D xsi:type="xsd:double"&gt;53.62&lt;/D&gt;&lt;D xsi:type="xsd:double"&gt;54.03&lt;/D&gt;&lt;D xsi:type="xsd:double"&gt;54.12&lt;/D&gt;&lt;D xsi:type="xsd:double"&gt;54.57&lt;/D&gt;&lt;D xsi:type="xsd:double"&gt;53.86&lt;/D&gt;&lt;D xsi:type="xsd:double"&gt;53.46&lt;/D&gt;&lt;D xsi:type="xsd:double"&gt;53.42&lt;/D&gt;&lt;D xsi:type="xsd:double"&gt;52.85&lt;/D&gt;&lt;D xsi:type="xsd:double"&gt;52.85&lt;/D&gt;&lt;D xsi:type="xsd:double"&gt;51.79&lt;/D&gt;&lt;D xsi:type="xsd:double"&gt;52.34&lt;/D&gt;&lt;D xsi:type="xsd:double"&gt;52.08&lt;/D&gt;&lt;D xsi:type="xsd:double"&gt;52.3&lt;/D&gt;&lt;D xsi:type="xsd:double"&gt;52.84&lt;/D&gt;&lt;D xsi:type="xsd:double"&gt;53.61&lt;/D&gt;&lt;D xsi:type="xsd:double"&gt;52.51&lt;/D&gt;&lt;D xsi:type="xsd:double"&gt;52.57&lt;/D&gt;&lt;D xsi:type="xsd:double"&gt;52.56&lt;/D&gt;&lt;D xsi:type="xsd:double"&gt;52.33&lt;/D&gt;&lt;D xsi:type="xsd:double"&gt;52.22&lt;/D&gt;&lt;D xsi:type="xsd:double"&gt;52.27&lt;/D&gt;&lt;D xsi:type="xsd:double"&gt;53&lt;/D&gt;&lt;D xsi:type="xsd:double"&gt;52.68&lt;/D&gt;&lt;D xsi:type="xsd:double"&gt;51.9&lt;/D&gt;&lt;D xsi:type="xsd:double"&gt;52.14&lt;/D&gt;&lt;D xsi:type="xsd:double"&gt;51.56&lt;/D&gt;&lt;D xsi:type="xsd:double"&gt;50.84&lt;/D&gt;&lt;D xsi:type="xsd:double"&gt;52.86&lt;/D&gt;&lt;D xsi:type="xsd:double"&gt;52.45&lt;/D&gt;&lt;D xsi:type="xsd:double"&gt;51.47&lt;/D&gt;&lt;D xsi:type="xsd:double"&gt;50.67&lt;/D&gt;&lt;D xsi:type="xsd:double"&gt;50.67&lt;/D&gt;&lt;D xsi:type="xsd:double"&gt;50.56&lt;/D&gt;&lt;D xsi:type="xsd:double"&gt;49.41&lt;/D&gt;&lt;D xsi:type="xsd:double"&gt;47.89&lt;/D&gt;&lt;D xsi:type="xsd:double"&gt;48.11&lt;/D&gt;&lt;D xsi:type="xsd:double"&gt;48.15&lt;/D&gt;&lt;D xsi:type="xsd:double"&gt;48.01&lt;/D&gt;&lt;D xsi:type="xsd:double"&gt;47.56&lt;/D&gt;&lt;D xsi:type="xsd:double"&gt;47.95&lt;/D&gt;&lt;D xsi:type="xsd:double"&gt;48.26&lt;/D&gt;&lt;D xsi:type="xsd:double"&gt;48.08&lt;/D&gt;&lt;D xsi:type="xsd:double"&gt;47.54&lt;/D&gt;&lt;D xsi:type="xsd:double"&gt;47.01&lt;/D&gt;&lt;D xsi:type="xsd:double"&gt;47.41&lt;/D&gt;&lt;/FQL&gt;&lt;FQL&gt;&lt;Q&gt;543563-IN^PERCENT_CHANGE(FMA_EPS(+1,0,,,,"PORTAGG","MEAN"),FMA_EPS(+1,-1AM,,,,"PORTAGG","MEAN"))&lt;/Q&gt;&lt;R&gt;1&lt;/R&gt;&lt;C&gt;1&lt;/C&gt;&lt;D xsi:type="xsd:double"&gt;-0.292783044756088&lt;/D&gt;&lt;/FQL&gt;&lt;FQL&gt;&lt;Q&gt;543608-IN^FMA_PCT_ABOVE_MAVG(200,0,,,,"PORTAGG")&lt;/Q&gt;&lt;R&gt;1&lt;/R&gt;&lt;C&gt;1&lt;/C&gt;&lt;D xsi:type="xsd:double"&gt;57.1428571428571&lt;/D&gt;&lt;/FQL&gt;&lt;FQL&gt;&lt;Q&gt;543326-IN^COUNT(OS_TOP_HLDG_NAME(ALL,0D,,MTD,,ALL,EQ))&lt;/Q&gt;&lt;R&gt;1&lt;/R&gt;&lt;C&gt;1&lt;/C&gt;&lt;D xsi:type="xsd:long"&gt;0&lt;/D&gt;&lt;/FQL&gt;&lt;FQL&gt;&lt;Q&gt;543956-IN^FMA_COS_UP("EPS","1M",+1,0,,,"PORTAGG","MEANR")&lt;/Q&gt;&lt;R&gt;0&lt;/R&gt;&lt;C&gt;0&lt;/C&gt;&lt;/FQL&gt;&lt;FQL&gt;&lt;Q&gt;543326-IN^FG_TOTAL_RETURNC(-1AM,-7AM)&lt;/Q&gt;&lt;R&gt;1&lt;/R&gt;&lt;C&gt;1&lt;/C&gt;&lt;D xsi:type="xsd:double"&gt;7.2612762&lt;/D&gt;&lt;/FQL&gt;&lt;FQL&gt;&lt;Q&gt;543348-IN^FG_TOTAL_RETURNC(-1AM,-7AM)&lt;/Q&gt;&lt;R&gt;1&lt;/R&gt;&lt;C&gt;1&lt;/C&gt;&lt;D xsi:type="xsd:double"&gt;22.63099&lt;/D&gt;&lt;/FQL&gt;&lt;FQL&gt;&lt;Q&gt;DIVOPPBEES-IN^FG_TOTAL_RETURNC(0,-3AM)&lt;/Q&gt;&lt;R&gt;1&lt;/R&gt;&lt;C&gt;1&lt;/C&gt;&lt;D xsi:type="xsd:double"&gt;10.790062&lt;/D&gt;&lt;/FQL&gt;&lt;FQL&gt;&lt;Q&gt;543666-IN^FG_COMPANY_NAME&lt;/Q&gt;&lt;R&gt;1&lt;/R&gt;&lt;C&gt;1&lt;/C&gt;&lt;D xsi:type="xsd:string"&gt;HDFC Nifty Private Bank ETF Exchange Traded Fund Units&lt;/D&gt;&lt;/FQL&gt;&lt;FQL&gt;&lt;Q&gt;538057-IN^PERCENT_CHANGE(FMA_EPS(+1,0,,,,"PORTAGG","MEAN"),FMA_EPS(+1,-1AM,,,,"PORTAGG","MEAN"))&lt;/Q&gt;&lt;R&gt;0&lt;/R&gt;&lt;C&gt;0&lt;/C&gt;&lt;/FQL&gt;&lt;FQL&gt;&lt;Q&gt;543956-IN^PERCENT_CHANGE(FMA_EPS(+1,0,,,,"PORTAGG","MEAN"),FMA_EPS(+1,-3AM,,,,"PORTAGG","MEAN"))&lt;/Q&gt;&lt;R&gt;0&lt;/R&gt;&lt;C&gt;0&lt;/C&gt;&lt;/FQL&gt;&lt;FQL&gt;&lt;Q&gt;543465-IN^FMA_COS_UP("EPS","1M",+1,0,,,"PORTAGG","MEANR")&lt;/Q&gt;&lt;R&gt;1&lt;/R&gt;&lt;C&gt;1&lt;/C&gt;&lt;D xsi:type="xsd:double"&gt;24&lt;/D&gt;&lt;/FQL&gt;&lt;FQL&gt;&lt;Q&gt;543956-IN^FG_COMPANY_NAME&lt;/Q&gt;&lt;R&gt;1&lt;/R&gt;&lt;C&gt;1&lt;/C&gt;&lt;D xsi:type="xsd:string"&gt;ICICI Prudential Nifty 200 Quality 30 ETF Exchange Traded Fund Units&lt;/D&gt;&lt;/FQL&gt;&lt;FQL&gt;&lt;Q&gt;543563-IN^FG_TOTAL_RETURNC(-1AM,-4AM)&lt;/Q&gt;&lt;R&gt;1&lt;/R&gt;&lt;C&gt;1&lt;/C&gt;&lt;D xsi:type="xsd:double"&gt;-0.64679384&lt;/D&gt;&lt;/FQL&gt;&lt;FQL&gt;&lt;Q&gt;538057-IN^FG_COMPANY_NAME&lt;/Q&gt;&lt;R&gt;1&lt;/R&gt;&lt;C&gt;1&lt;/C&gt;&lt;D xsi:type="xsd:string"&gt;CPSE ETF&lt;/D&gt;&lt;/FQL&gt;&lt;FQL&gt;&lt;Q&gt;DIVOPPBEES-IN^FG_TOTAL_RETURNC(0,-1AM)&lt;/Q&gt;&lt;R&gt;1&lt;/R&gt;&lt;C&gt;1&lt;/C&gt;&lt;D xsi:type="xsd:double"&gt;6.9532514&lt;/D&gt;&lt;/FQL&gt;&lt;FQL&gt;&lt;Q&gt;543465-IN^FG_TOTAL_RETURNC(0,-1AM)&lt;/Q&gt;&lt;R&gt;1&lt;/R&gt;&lt;C&gt;1&lt;/C&gt;&lt;D xsi:type="xsd:double"&gt;10.576189&lt;/D&gt;&lt;/FQL&gt;&lt;FQL&gt;&lt;Q&gt;543563-IN^FG_COMPANY_NAME&lt;/Q&gt;&lt;R&gt;1&lt;/R&gt;&lt;C&gt;1&lt;/C&gt;&lt;D xsi:type="xsd:string"&gt;Motilal Oswal S&amp;amp;P BSE Healthcare ETF&lt;/D&gt;&lt;/FQL&gt;&lt;FQL&gt;&lt;Q&gt;543627-IN^P_PRICE(0,-200D)&lt;/Q&gt;&lt;R&gt;201&lt;/R&gt;&lt;C&gt;1&lt;/C&gt;&lt;D xsi:type="xsd:double"&gt;19.05&lt;/D&gt;&lt;D xsi:type="xsd:double"&gt;18.89&lt;/D&gt;&lt;D xsi:type="xsd:double"&gt;19.02&lt;/D&gt;&lt;D xsi:type="xsd:double"&gt;19.09&lt;/D&gt;&lt;D xsi:type="xsd:double"&gt;18.73&lt;/D&gt;&lt;D xsi:type="xsd:double"&gt;18.63&lt;/D&gt;&lt;D xsi:type="xsd:double"&gt;18.42&lt;/D&gt;&lt;D xsi:type="xsd:double"&gt;17.78&lt;/D&gt;&lt;D xsi:type="xsd:double"&gt;18.27&lt;/D&gt;&lt;D xsi:type="xsd:double"&gt;18.18&lt;/D&gt;&lt;D xsi:type="xsd:double"&gt;18.03&lt;/D&gt;&lt;D xsi:type="xsd:double"&gt;18.24&lt;/D&gt;&lt;D xsi:type="xsd:double"&gt;18.41&lt;/D&gt;&lt;D xsi:type="xsd:double"&gt;18.29&lt;/D&gt;&lt;D xsi:type="xsd:double"&gt;18.32&lt;/D&gt;&lt;D xsi:type="xsd:double"&gt;18.35&lt;/D&gt;&lt;D xsi:type="xsd:double"&gt;18.26&lt;/D&gt;&lt;D xsi:type="xsd:double"&gt;18.23&lt;/D&gt;&lt;D xsi:type="xsd:double"&gt;18.2&lt;/D&gt;&lt;D xsi:type="xsd:double"&gt;18.18&lt;/D&gt;&lt;D xsi:type="xsd:double"&gt;18.05&lt;/D&gt;&lt;D xsi:type="xsd:double"&gt;18.17&lt;/D&gt;&lt;D xsi:type="xsd:double"&gt;18.01&lt;/D&gt;&lt;D xsi:type="xsd:double"&gt;17.98&lt;/D&gt;&lt;D xsi:type="xsd:double"&gt;17.78&lt;/D&gt;&lt;D xsi:type="xsd:double"&gt;18.09&lt;/D&gt;&lt;D xsi:type="xsd:double"&gt;18.07&lt;/D&gt;&lt;D xsi:type="xsd:double"&gt;18.08&lt;/D&gt;&lt;D xsi:type="xsd:double"&gt;18.04&lt;/D&gt;&lt;D xsi:type="xsd:double"&gt;18.2&lt;/D&gt;&lt;D xsi:type="xsd:double"&gt;18.03&lt;/D&gt;&lt;D xsi:type="xsd:double"&gt;18&lt;/D&gt;&lt;D xsi:type="xsd:double"&gt;18.09&lt;/D&gt;&lt;D xsi:type="xsd:double"&gt;17.89&lt;/D&gt;&lt;D xsi:type="xsd:double"&gt;17.89&lt;/D&gt;&lt;D xsi:type="xsd:double"&gt;17.9&lt;/D&gt;&lt;D xsi:type="xsd:double"&gt;18.03&lt;/D&gt;&lt;D xsi:type="xsd:double"&gt;17.61&lt;/D&gt;&lt;D xsi:type="xsd:double"&gt;17.71&lt;/D&gt;&lt;D xsi:type="xsd:double"&gt;17.99&lt;/D&gt;&lt;D xsi:type="xsd:double"&gt;18.01&lt;/D&gt;&lt;D xsi:type="xsd:double"&gt;18.23&lt;/D&gt;&lt;D xsi:type="xsd:double"&gt;18.47&lt;/D&gt;&lt;D xsi:type="xsd:double"&gt;18.3&lt;/D&gt;&lt;D xsi:type="xsd:double"&gt;18.22&lt;/D&gt;&lt;D xsi:type="xsd:double"&gt;18.22&lt;/D&gt;&lt;D xsi:type="xsd:double"&gt;18.48&lt;/D&gt;&lt;D xsi:type="xsd:double"&gt;18.46&lt;/D&gt;&lt;D xsi:type="xsd:double"&gt;18.13&lt;/D&gt;&lt;D xsi:type="xsd:double"&gt;18.49&lt;/D&gt;&lt;D xsi:type="xsd:double"&gt;18.31&lt;/D&gt;&lt;D xsi:type="xsd:double"&gt;18.28&lt;/D&gt;&lt;D xsi:type="xsd:double"&gt;18.21&lt;/D&gt;&lt;D xsi:type="xsd:double"&gt;18.34&lt;/D&gt;&lt;D xsi:type="xsd:double"&gt;17.96&lt;/D&gt;&lt;D xsi:type="xsd:double"&gt;17.97&lt;/D&gt;&lt;D xsi:type="xsd:double"&gt;17.98&lt;/D&gt;&lt;D xsi:type="xsd:double"&gt;18.03&lt;/D&gt;&lt;D xsi:type="xsd:double"&gt;18.24&lt;/D&gt;&lt;D xsi:type="xsd:double"&gt;18.22&lt;/D&gt;&lt;D xsi:type="xsd:double"&gt;18.05&lt;/D&gt;&lt;D xsi:type="xsd:double"&gt;18.42&lt;/D&gt;&lt;D xsi:type="xsd:double"&gt;18.38&lt;/D&gt;&lt;D xsi:type="xsd:double"&gt;18.53&lt;/D&gt;&lt;D xsi:type="xsd:double"&gt;18.28&lt;/D&gt;&lt;D xsi:type="xsd:double"&gt;18.26&lt;/D&gt;&lt;D xsi:type="xsd:double"&gt;18.28&lt;/D&gt;&lt;D xsi:type="xsd:double"&gt;18.33&lt;/D&gt;&lt;D xsi:type="xsd:double"&gt;18.08&lt;/D&gt;&lt;D xsi:type="xsd:double"&gt;18.19&lt;/D&gt;&lt;D xsi:type="xsd:double"&gt;18.18&lt;/D&gt;&lt;D xsi:type="xsd:double"&gt;18.3&lt;/D&gt;&lt;D xsi:type="xsd:double"&gt;18.31&lt;/D&gt;&lt;D xsi:type="xsd:double"&gt;18.39&lt;/D&gt;&lt;D xsi:type="xsd:double"&gt;18.05&lt;/D&gt;&lt;D xsi:type="xsd:double"&gt;18.45&lt;/D&gt;&lt;D xsi:type="xsd:double"&gt;18.28&lt;/D&gt;&lt;D xsi:type="xsd:double"&gt;18.1&lt;/D&gt;&lt;D xsi:type="xsd:double"&gt;18.2&lt;/D&gt;&lt;D xsi:type="xsd:double"&gt;18.15&lt;/D&gt;&lt;D xsi:type="xsd:double"&gt;17.88&lt;/D&gt;&lt;D xsi:type="xsd:double"&gt;17.83&lt;/D&gt;&lt;D xsi:type="xsd:double"&gt;17.8&lt;/D&gt;&lt;D xsi:type="xsd:double"&gt;17.86&lt;/D&gt;&lt;D xsi:type="xsd:double"&gt;17.96&lt;/D&gt;&lt;D xsi:type="xsd:double"&gt;17.8&lt;/D&gt;&lt;D xsi:type="xsd:double"&gt;17.79&lt;/D&gt;&lt;D xsi:type="xsd:double"&gt;17.66&lt;/D&gt;&lt;D xsi:type="xsd:double"&gt;17.75&lt;/D&gt;&lt;D xsi:type="xsd:double"&gt;17.47&lt;/D&gt;&lt;D xsi:type="xsd:double"&gt;17.46&lt;/D&gt;&lt;D xsi:type="xsd:double"&gt;17.36&lt;/D&gt;&lt;D xsi:type="xsd:double"&gt;17.27&lt;/D&gt;&lt;D xsi:type="xsd:double"&gt;17.37&lt;/D&gt;&lt;D xsi:type="xsd:double"&gt;17&lt;/D&gt;&lt;D xsi:type="xsd:double"&gt;17.45&lt;/D&gt;&lt;D xsi:type="xsd:double"&gt;17.32&lt;/D&gt;&lt;D xsi:type="xsd:double"&gt;17.19&lt;/D&gt;&lt;D xsi:type="xsd:double"&gt;17.48&lt;/D&gt;&lt;D xsi:type="xsd:double"&gt;17.49&lt;/D&gt;&lt;D xsi:type="xsd:double"&gt;17.52&lt;/D&gt;&lt;D xsi:type="xsd:double"&gt;17.39&lt;/D&gt;&lt;D xsi:type="xsd:double"&gt;17.23&lt;/D&gt;&lt;D xsi:type="xsd:double"&gt;17.22&lt;/D&gt;&lt;D xsi:type="xsd:double"&gt;17.24&lt;/D&gt;&lt;D xsi:type="xsd:double"&gt;17.4&lt;/D&gt;&lt;D xsi:type="xsd:double"&gt;17.32&lt;/D&gt;&lt;D xsi:type="xsd:double"&gt;17.24&lt;/D&gt;&lt;D xsi:type="xsd:double"&gt;17.43&lt;/D&gt;&lt;D xsi:type="xsd:double"&gt;17.49&lt;/D&gt;&lt;D xsi:type="xsd:double"&gt;17.32&lt;/D&gt;&lt;D xsi:type="xsd:double"&gt;17.38&lt;/D&gt;&lt;D xsi:type="xsd:double"&gt;17.2&lt;/D&gt;&lt;D xsi:type="xsd:double"&gt;16.98&lt;/D&gt;&lt;D xsi:type="xsd:double"&gt;16.99&lt;/D&gt;&lt;D xsi:type="xsd:double"&gt;16.77&lt;/D&gt;&lt;D xsi:type="xsd:double"&gt;16.83&lt;/D&gt;&lt;D xsi:type="xsd:double"&gt;16.87&lt;/D&gt;&lt;D xsi:type="xsd:double"&gt;16.83&lt;/D&gt;&lt;D xsi:type="xsd:double"&gt;16.78&lt;/D&gt;&lt;D xsi:type="xsd:double"&gt;16.72&lt;/D&gt;&lt;D xsi:type="xsd:double"&gt;16.48&lt;/D&gt;&lt;D xsi:type="xsd:double"&gt;16.38&lt;/D&gt;&lt;D xsi:type="xsd:double"&gt;16.48&lt;/D&gt;&lt;D xsi:type="xsd:double"&gt;16.37&lt;/D&gt;&lt;D xsi:type="xsd:double"&gt;16.48&lt;/D&gt;&lt;D xsi:type="xsd:double"&gt;16.36&lt;/D&gt;&lt;D xsi:type="xsd:double"&gt;16.32&lt;/D&gt;&lt;D xsi:type="xsd:double"&gt;16.35&lt;/D&gt;&lt;D xsi:type="xsd:double"&gt;16.18&lt;/D&gt;&lt;D xsi:type="xsd:double"&gt;15.85&lt;/D&gt;&lt;D xsi:type="xsd:double"&gt;15.82&lt;/D&gt;&lt;D xsi:type="xsd:double"&gt;15.82&lt;/D&gt;&lt;D xsi:type="xsd:double"&gt;15.62&lt;/D&gt;&lt;D xsi:type="xsd:double"&gt;15.65&lt;/D&gt;&lt;D xsi:type="xsd:double"&gt;15.67&lt;/D&gt;&lt;D xsi:type="xsd:double"&gt;15.74&lt;/D&gt;&lt;D xsi:type="xsd:double"&gt;15.58&lt;/D&gt;&lt;D xsi:type="xsd:double"&gt;15.75&lt;/D&gt;&lt;D xsi:type="xsd:double"&gt;15.57&lt;/D&gt;&lt;D xsi:type="xsd:double"&gt;15.18&lt;/D&gt;&lt;D xsi:type="xsd:double"&gt;15.18&lt;/D&gt;&lt;D xsi:type="xsd:double"&gt;15.23&lt;/D&gt;&lt;D xsi:type="xsd:double"&gt;15.3&lt;/D&gt;&lt;D xsi:type="xsd:double"&gt;15.4&lt;/D&gt;&lt;D xsi:type="xsd:double"&gt;15.34&lt;/D&gt;&lt;D xsi:type="xsd:double"&gt;15.14&lt;/D&gt;&lt;D xsi:type="xsd:double"&gt;15.19&lt;/D&gt;&lt;D xsi:type="xsd:double"&gt;14.93&lt;/D&gt;&lt;D xsi:type="xsd:double"&gt;14.85&lt;/D&gt;&lt;D xsi:type="xsd:double"&gt;15.02&lt;/D&gt;&lt;D xsi:type="xsd:double"&gt;15.12&lt;/D&gt;&lt;D xsi:type="xsd:double"&gt;14.9&lt;/D&gt;&lt;D xsi:type="xsd:double"&gt;14.7&lt;/D&gt;&lt;D xsi:type="xsd:double"&gt;15&lt;/D&gt;&lt;D xsi:type="xsd:double"&gt;14.9&lt;/D&gt;&lt;D xsi:type="xsd:double"&gt;15.33&lt;/D&gt;&lt;D xsi:type="xsd:double"&gt;14.705001&lt;/D&gt;&lt;D xsi:type="xsd:double"&gt;14.805&lt;/D&gt;&lt;D xsi:type="xsd:double"&gt;14.805&lt;/D&gt;&lt;D xsi:type="xsd:double"&gt;15.238001&lt;/D&gt;&lt;D xsi:type="xsd:double"&gt;14.705001&lt;/D&gt;&lt;D xsi:type="xsd:double"&gt;14.705001&lt;/D&gt;&lt;D xsi:type="xsd:double"&gt;15.150001&lt;/D&gt;&lt;D xsi:type="xsd:double"&gt;14.967&lt;/D&gt;&lt;D xsi:type="xsd:double"&gt;15.037&lt;/D&gt;&lt;D xsi:type="xsd:double"&gt;14.505&lt;/D&gt;&lt;D xsi:type="xsd:double"&gt;15.024001&lt;/D&gt;&lt;D xsi:type="xsd:double"&gt;14.505&lt;/D&gt;&lt;D xsi:type="xsd:double"&gt;14.505&lt;/D&gt;&lt;D xsi:type="xsd:double"&gt;15.161&lt;/D&gt;&lt;D xsi:type="xsd:double"&gt;14.845&lt;/D&gt;&lt;D xsi:type="xsd:double"&gt;14.705001&lt;/D&gt;&lt;D xsi:type="xsd:double"&gt;14.705001&lt;/D&gt;&lt;D xsi:type="xsd:double"&gt;15.214&lt;/D&gt;&lt;D xsi:type="xsd:double"&gt;15.2&lt;/D&gt;&lt;D xsi:type="xsd:double"&gt;14.805&lt;/D&gt;&lt;D xsi:type="xsd:double"&gt;14.805&lt;/D&gt;&lt;D xsi:type="xsd:double"&gt;14.805&lt;/D&gt;&lt;D xsi:type="xsd:double"&gt;15.3&lt;/D&gt;&lt;D xsi:type="xsd:double"&gt;15.3949995&lt;/D&gt;&lt;D xsi:type="xsd:double"&gt;14.705001&lt;/D&gt;&lt;D xsi:type="xsd:double"&gt;14.6050005&lt;/D&gt;&lt;D xsi:type="xsd:double"&gt;15.18&lt;/D&gt;&lt;D xsi:type="xsd:double"&gt;15.294001&lt;/D&gt;&lt;D xsi:type="xsd:double"&gt;15.117&lt;/D&gt;&lt;D xsi:type="xsd:double"&gt;15.186999&lt;/D&gt;&lt;D xsi:type="xsd:double"&gt;14.996001&lt;/D&gt;&lt;D xsi:type="xsd:double"&gt;14.946001&lt;/D&gt;&lt;D xsi:type="xsd:double"&gt;14.305&lt;/D&gt;&lt;D xsi:type="xsd:double"&gt;14.821001&lt;/D&gt;&lt;D xsi:type="xsd:double"&gt;14.505&lt;/D&gt;&lt;D xsi:type="xsd:double"&gt;14.901&lt;/D&gt;&lt;D xsi:type="xsd:double"&gt;14.949&lt;/D&gt;&lt;D xsi:type="xsd:double"&gt;14.846001&lt;/D&gt;&lt;D xsi:type="xsd:double"&gt;14.705001&lt;/D&gt;&lt;D xsi:type="xsd:double"&gt;14.929&lt;/D&gt;&lt;D xsi:type="xsd:double"&gt;14.936&lt;/D&gt;&lt;D xsi:type="xsd:double"&gt;14.405001&lt;/D&gt;&lt;D xsi:type="xsd:double"&gt;14.860001&lt;/D&gt;&lt;D xsi:type="xsd:double"&gt;14.505&lt;/D&gt;&lt;/FQL&gt;&lt;FQL&gt;&lt;Q&gt;538057-IN^P_PRICE(0)/P_PRICE_LOW_PR(0,,,,,,"PRICE","CLOSE","52W")&lt;/Q&gt;&lt;R&gt;1&lt;/R&gt;&lt;C&gt;1&lt;/C&gt;&lt;D xsi:type="xsd:double"&gt;2.1618872&lt;/D&gt;&lt;/FQL&gt;&lt;FQL&gt;&lt;Q&gt;543563-IN^P_PRICE(0)/P_PRICE_LOW_PR(0,,,,,,"PRICE","CLOSE","52W")&lt;/Q&gt;&lt;R&gt;1&lt;/R&gt;&lt;C&gt;1&lt;/C&gt;&lt;D xsi:type="xsd:double"&gt;1.5159445&lt;/D&gt;&lt;/FQL&gt;&lt;FQL&gt;&lt;Q&gt;543956-IN^P_PRICE(0)/P_PRICE_LOW_PR(0,,,,,,"PRICE","CLOSE","52W")&lt;/Q&gt;&lt;R&gt;1&lt;/R&gt;&lt;C&gt;1&lt;/C&gt;&lt;D xsi:type="xsd:double"&gt;1.5305295&lt;/D&gt;&lt;/FQL&gt;&lt;FQL&gt;&lt;Q&gt;543627-IN^PERCENT_CHANGE(FMA_EPS(+1,0,,,,"PORTAGG","MEAN"),FMA_EPS(+1,-3AM,,,,"PORTAGG","MEAN"))&lt;/Q&gt;&lt;R&gt;0&lt;/R&gt;&lt;C&gt;0&lt;/C&gt;&lt;/FQL&gt;&lt;FQL&gt;&lt;Q&gt;543571-IN^FMA_PCT_ABOVE_MAVG(200,0,,,,"PORTAGG")&lt;/Q&gt;&lt;R&gt;1&lt;/R&gt;&lt;C&gt;1&lt;/C&gt;&lt;D xsi:type="xsd:double"&gt;93.5483870967742&lt;/D&gt;&lt;/FQL&gt;&lt;FQL&gt;&lt;Q&gt;543326-IN^FMA_COS_UP("EPS","1M",+1,0,,,"PORTAGG","MEANR")&lt;/Q&gt;&lt;R&gt;1&lt;/R&gt;&lt;C&gt;1&lt;/C&gt;&lt;D xsi:type="xsd:double"&gt;5&lt;/D&gt;&lt;/FQL&gt;&lt;FQL&gt;&lt;Q&gt;543571-IN^FMA_COS_DOWN("EPS","1M",+1,0,,,"PORTAGG","MEANR")&lt;/Q&gt;&lt;R&gt;1&lt;/R&gt;&lt;C&gt;1&lt;/C&gt;&lt;D xsi:type="xsd:double"&gt;15&lt;/D&gt;&lt;/FQL&gt;&lt;FQL&gt;&lt;Q&gt;543326-IN^FG_TOTAL_RETURNC(-1AM,-2AM)&lt;/Q&gt;&lt;R&gt;1&lt;/R&gt;&lt;C&gt;1&lt;/C&gt;&lt;D xsi:type="xsd:double"&gt;2.8012395&lt;/D&gt;&lt;/FQL&gt;&lt;FQL&gt;&lt;Q&gt;543465-IN^FG_TOTAL_RETURNC(-1AM,-2AM)&lt;/Q&gt;&lt;R&gt;1&lt;/R&gt;&lt;C&gt;1&lt;/C&gt;&lt;D xsi:type="xsd:double"&gt;3.0231476&lt;/D&gt;&lt;/FQL&gt;&lt;FQL&gt;&lt;Q&gt;543956-IN^FG_TOTAL_RETURNC(-1AM,-2AM)&lt;/Q&gt;&lt;R&gt;1&lt;/R&gt;&lt;C&gt;1&lt;/C&gt;&lt;D xsi:type="xsd:double"&gt;0.7991433&lt;/D&gt;&lt;/FQL&gt;&lt;FQL&gt;&lt;Q&gt;540787-IN^P_PRICE(0)/P_PRICE_HIGH_PR(0,,,,,,"PRICE","CLOSE","52W")&lt;/Q&gt;&lt;R&gt;1&lt;/R&gt;&lt;C&gt;1&lt;/C&gt;&lt;D xsi:type="xsd:double"&gt;0.95867836&lt;/D&gt;&lt;/FQL&gt;&lt;FQL&gt;&lt;Q&gt;543666-IN^P_PRICE(0)/P_PRICE_HIGH_PR(0,,,,,,"PRICE","CLOSE","52W")&lt;/Q&gt;&lt;R&gt;1&lt;/R&gt;&lt;C&gt;1&lt;/C&gt;&lt;D xsi:type="xsd:double"&gt;0.99126977&lt;/D&gt;&lt;/FQL&gt;&lt;FQL&gt;&lt;Q&gt;543348-IN^P_PRICE(0)/P_PRICE_HIGH_PR(0,,,,,,"PRICE","CLOSE","52W")&lt;/Q&gt;&lt;R&gt;1&lt;/R&gt;&lt;C&gt;1&lt;/C&gt;&lt;D xsi:type="xsd:double"&gt;0.8937509&lt;/D&gt;&lt;/FQL&gt;&lt;FQL&gt;&lt;Q&gt;543465-IN^FG_COMPANY_NAME&lt;/Q&gt;&lt;R&gt;1&lt;/R&gt;&lt;C&gt;1&lt;/C&gt;&lt;D xsi:type="xsd:string"&gt;Motilal Oswal Nifty 200 Momentum 30 ETF Units Exchange Traded Fund&lt;/D&gt;&lt;/FQL&gt;&lt;FQL&gt;&lt;Q&gt;543454-IN^P_PRICE(0,-200D)&lt;/Q&gt;&lt;R&gt;201&lt;/R&gt;&lt;C&gt;1&lt;/C&gt;&lt;D xsi:type="xsd:double"&gt;146.51&lt;/D&gt;&lt;D xsi:type="xsd:double"&gt;145.25&lt;/D&gt;&lt;D xsi:type="xsd:double"&gt;144.78&lt;/D&gt;&lt;D xsi:type="xsd:double"&gt;143.76&lt;/D&gt;&lt;D xsi:type="xsd:double"&gt;142.93&lt;/D&gt;&lt;D xsi:type="xsd:double"&gt;140.35&lt;/D&gt;&lt;D xsi:type="xsd:double"&gt;138.85&lt;/D&gt;&lt;D xsi:type="xsd:double"&gt;134.2&lt;/D&gt;&lt;D xsi:type="xsd:double"&gt;142.66&lt;/D&gt;&lt;D xsi:type="xsd:double"&gt;138.61&lt;/D&gt;&lt;D xsi:type="xsd:double"&gt;138.79&lt;/D&gt;&lt;D xsi:type="xsd:double"&gt;141.33&lt;/D&gt;&lt;D xsi:type="xsd:double"&gt;140.66&lt;/D&gt;&lt;D xsi:type="xsd:double"&gt;141.06&lt;/D&gt;&lt;D xsi:type="xsd:double"&gt;141.05&lt;/D&gt;&lt;D xsi:type="xsd:double"&gt;140.97&lt;/D&gt;&lt;D xsi:type="xsd:double"&gt;139.63&lt;/D&gt;&lt;D xsi:type="xsd:double"&gt;138.65&lt;/D&gt;&lt;D xsi:type="xsd:double"&gt;138.86&lt;/D&gt;&lt;D xsi:type="xsd:double"&gt;135&lt;/D&gt;&lt;D xsi:type="xsd:double"&gt;133.88&lt;/D&gt;&lt;D xsi:type="xsd:double"&gt;132.77&lt;/D&gt;&lt;D xsi:type="xsd:double"&gt;131.72&lt;/D&gt;&lt;D xsi:type="xsd:double"&gt;130.8&lt;/D&gt;&lt;D xsi:type="xsd:double"&gt;129.23&lt;/D&gt;&lt;D xsi:type="xsd:double"&gt;131.59&lt;/D&gt;&lt;D xsi:type="xsd:double"&gt;129.31&lt;/D&gt;&lt;D xsi:type="xsd:double"&gt;131.83&lt;/D&gt;&lt;D xsi:type="xsd:double"&gt;131.85&lt;/D&gt;&lt;D xsi:type="xsd:double"&gt;132.09&lt;/D&gt;&lt;D xsi:type="xsd:double"&gt;131.7&lt;/D&gt;&lt;D xsi:type="xsd:double"&gt;130.72&lt;/D&gt;&lt;D xsi:type="xsd:double"&gt;130.58&lt;/D&gt;&lt;D xsi:type="xsd:double"&gt;129.66&lt;/D&gt;&lt;D xsi:type="xsd:double"&gt;128.19&lt;/D&gt;&lt;D xsi:type="xsd:double"&gt;127.66&lt;/D&gt;&lt;D xsi:type="xsd:double"&gt;127.62&lt;/D&gt;&lt;D xsi:type="xsd:double"&gt;126.32&lt;/D&gt;&lt;D xsi:type="xsd:double"&gt;126.55&lt;/D&gt;&lt;D xsi:type="xsd:double"&gt;126.63&lt;/D&gt;&lt;D xsi:type="xsd:double"&gt;126.86&lt;/D&gt;&lt;D xsi:type="xsd:double"&gt;127.27&lt;/D&gt;&lt;D xsi:type="xsd:double"&gt;128.1&lt;/D&gt;&lt;D xsi:type="xsd:double"&gt;127.81&lt;/D&gt;&lt;D xsi:type="xsd:double"&gt;127.51&lt;/D&gt;&lt;D xsi:type="xsd:double"&gt;126.23&lt;/D&gt;&lt;D xsi:type="xsd:double"&gt;126.58&lt;/D&gt;&lt;D xsi:type="xsd:double"&gt;126.75&lt;/D&gt;&lt;D xsi:type="xsd:double"&gt;126.19&lt;/D&gt;&lt;D xsi:type="xsd:double"&gt;124.66&lt;/D&gt;&lt;D xsi:type="xsd:double"&gt;123.55&lt;/D&gt;&lt;D xsi:type="xsd:double"&gt;122.65&lt;/D&gt;&lt;D xsi:type="xsd:double"&gt;121.69&lt;/D&gt;&lt;D xsi:type="xsd:double"&gt;122.11&lt;/D&gt;&lt;D xsi:type="xsd:double"&gt;120.01&lt;/D&gt;&lt;D xsi:type="xsd:double"&gt;118.18&lt;/D&gt;&lt;D xsi:type="xsd:double"&gt;117.74&lt;/D&gt;&lt;D xsi:type="xsd:double"&gt;118.64&lt;/D&gt;&lt;D xsi:type="xsd:double"&gt;118.21&lt;/D&gt;&lt;D xsi:type="xsd:double"&gt;118.08&lt;/D&gt;&lt;D xsi:type="xsd:double"&gt;117.07&lt;/D&gt;&lt;D xsi:type="xsd:double"&gt;121.34&lt;/D&gt;&lt;D xsi:type="xsd:double"&gt;122.25&lt;/D&gt;&lt;D xsi:type="xsd:double"&gt;123.05&lt;/D&gt;&lt;D xsi:type="xsd:double"&gt;121.91&lt;/D&gt;&lt;D xsi:type="xsd:double"&gt;122.15&lt;/D&gt;&lt;D xsi:type="xsd:double"&gt;121.23&lt;/D&gt;&lt;D xsi:type="xsd:double"&gt;120.64&lt;/D&gt;&lt;D xsi:type="xsd:double"&gt;119.11&lt;/D&gt;&lt;D xsi:type="xsd:double"&gt;118.53&lt;/D&gt;&lt;D xsi:type="xsd:double"&gt;119.66&lt;/D&gt;&lt;D xsi:type="xsd:double"&gt;119.76&lt;/D&gt;&lt;D xsi:type="xsd:double"&gt;119.67&lt;/D&gt;&lt;D xsi:type="xsd:double"&gt;119.31&lt;/D&gt;&lt;D xsi:type="xsd:double"&gt;118.26&lt;/D&gt;&lt;D xsi:type="xsd:double"&gt;118.55&lt;/D&gt;&lt;D xsi:type="xsd:double"&gt;118.98&lt;/D&gt;&lt;D xsi:type="xsd:double"&gt;118.12&lt;/D&gt;&lt;D xsi:type="xsd:double"&gt;117.2&lt;/D&gt;&lt;D xsi:type="xsd:double"&gt;115.42&lt;/D&gt;&lt;D xsi:type="xsd:double"&gt;115.29&lt;/D&gt;&lt;D xsi:type="xsd:double"&gt;115.26&lt;/D&gt;&lt;D xsi:type="xsd:double"&gt;116.37&lt;/D&gt;&lt;D xsi:type="xsd:double"&gt;116.81&lt;/D&gt;&lt;D xsi:type="xsd:double"&gt;117.31&lt;/D&gt;&lt;D xsi:type="xsd:double"&gt;116.63&lt;/D&gt;&lt;D xsi:type="xsd:double"&gt;115.48&lt;/D&gt;&lt;D xsi:type="xsd:double"&gt;114.9&lt;/D&gt;&lt;D xsi:type="xsd:double"&gt;113.85&lt;/D&gt;&lt;D xsi:type="xsd:double"&gt;113.81&lt;/D&gt;&lt;D xsi:type="xsd:double"&gt;112.8&lt;/D&gt;&lt;D xsi:type="xsd:double"&gt;112.68&lt;/D&gt;&lt;D xsi:type="xsd:double"&gt;111.73&lt;/D&gt;&lt;D xsi:type="xsd:double"&gt;111.59&lt;/D&gt;&lt;D xsi:type="xsd:double"&gt;109.57&lt;/D&gt;&lt;D xsi:type="xsd:double"&gt;111.87&lt;/D&gt;&lt;D xsi:type="xsd:double"&gt;110.8&lt;/D&gt;&lt;D xsi:type="xsd:double"&gt;111.34&lt;/D&gt;&lt;D xsi:type="xsd:double"&gt;112.3&lt;/D&gt;&lt;D xsi:type="xsd:double"&gt;112.77&lt;/D&gt;&lt;D xsi:type="xsd:double"&gt;112.36&lt;/D&gt;&lt;D xsi:type="xsd:double"&gt;111.95&lt;/D&gt;&lt;D xsi:type="xsd:double"&gt;111.81&lt;/D&gt;&lt;D xsi:type="xsd:double"&gt;110.96&lt;/D&gt;&lt;D xsi:type="xsd:double"&gt;111&lt;/D&gt;&lt;D xsi:type="xsd:double"&gt;111.4&lt;/D&gt;&lt;D xsi:type="xsd:double"&gt;111.27&lt;/D&gt;&lt;D xsi:type="xsd:double"&gt;111.43&lt;/D&gt;&lt;D xsi:type="xsd:double"&gt;111.78&lt;/D&gt;&lt;D xsi:type="xsd:double"&gt;111.76&lt;/D&gt;&lt;D xsi:type="xsd:double"&gt;111.77&lt;/D&gt;&lt;D xsi:type="xsd:double"&gt;111.24&lt;/D&gt;&lt;D xsi:type="xsd:double"&gt;109.91&lt;/D&gt;&lt;D xsi:type="xsd:double"&gt;109.2&lt;/D&gt;&lt;D xsi:type="xsd:double"&gt;108.45&lt;/D&gt;&lt;D xsi:type="xsd:double"&gt;107.03&lt;/D&gt;&lt;D xsi:type="xsd:double"&gt;106.33&lt;/D&gt;&lt;D xsi:type="xsd:double"&gt;108.35&lt;/D&gt;&lt;D xsi:type="xsd:double"&gt;108.84&lt;/D&gt;&lt;D xsi:type="xsd:double"&gt;108.21&lt;/D&gt;&lt;D xsi:type="xsd:double"&gt;107.63&lt;/D&gt;&lt;D xsi:type="xsd:double"&gt;106.73&lt;/D&gt;&lt;D xsi:type="xsd:double"&gt;105.8&lt;/D&gt;&lt;D xsi:type="xsd:double"&gt;106.82&lt;/D&gt;&lt;D xsi:type="xsd:double"&gt;106.4&lt;/D&gt;&lt;D xsi:type="xsd:double"&gt;106.89&lt;/D&gt;&lt;D xsi:type="xsd:double"&gt;106.69&lt;/D&gt;&lt;D xsi:type="xsd:double"&gt;106.14&lt;/D&gt;&lt;D xsi:type="xsd:double"&gt;105.98&lt;/D&gt;&lt;D xsi:type="xsd:double"&gt;104.95&lt;/D&gt;&lt;D xsi:type="xsd:double"&gt;104&lt;/D&gt;&lt;D xsi:type="xsd:double"&gt;103.35&lt;/D&gt;&lt;D xsi:type="xsd:double"&gt;102.24&lt;/D&gt;&lt;D xsi:type="xsd:double"&gt;102.2&lt;/D&gt;&lt;D xsi:type="xsd:double"&gt;101.99&lt;/D&gt;&lt;D xsi:type="xsd:double"&gt;101.72&lt;/D&gt;&lt;D xsi:type="xsd:double"&gt;101.2&lt;/D&gt;&lt;D xsi:type="xsd:double"&gt;101.13&lt;/D&gt;&lt;D xsi:type="xsd:double"&gt;101.11&lt;/D&gt;&lt;D xsi:type="xsd:double"&gt;101.05&lt;/D&gt;&lt;D xsi:type="xsd:double"&gt;99.97&lt;/D&gt;&lt;D xsi:type="xsd:double"&gt;98.5&lt;/D&gt;&lt;D xsi:type="xsd:double"&gt;98.34&lt;/D&gt;&lt;D xsi:type="xsd:double"&gt;98.84&lt;/D&gt;&lt;D xsi:type="xsd:double"&gt;98.5&lt;/D&gt;&lt;D xsi:type="xsd:double"&gt;97.87&lt;/D&gt;&lt;D xsi:type="xsd:double"&gt;97.55&lt;/D&gt;&lt;D xsi:type="xsd:double"&gt;96.48&lt;/D&gt;&lt;D xsi:type="xsd:double"&gt;96.19&lt;/D&gt;&lt;D xsi:type="xsd:double"&gt;96.17&lt;/D&gt;&lt;D xsi:type="xsd:double"&gt;95.53&lt;/D&gt;&lt;D xsi:type="xsd:double"&gt;95.95&lt;/D&gt;&lt;D xsi:type="xsd:double"&gt;95.84&lt;/D&gt;&lt;D xsi:type="xsd:double"&gt;95.1&lt;/D&gt;&lt;D xsi:type="xsd:double"&gt;96.26&lt;/D&gt;&lt;D xsi:type="xsd:double"&gt;96.87&lt;/D&gt;&lt;D xsi:type="xsd:double"&gt;98.42&lt;/D&gt;&lt;D xsi:type="xsd:double"&gt;99.22&lt;/D&gt;&lt;D xsi:type="xsd:double"&gt;99.84&lt;/D&gt;&lt;D xsi:type="xsd:double"&gt;99.7&lt;/D&gt;&lt;D xsi:type="xsd:double"&gt;99.73&lt;/D&gt;&lt;D xsi:type="xsd:double"&gt;99.15&lt;/D&gt;&lt;D xsi:type="xsd:double"&gt;99.2&lt;/D&gt;&lt;D xsi:type="xsd:double"&gt;98.53&lt;/D&gt;&lt;D xsi:type="xsd:double"&gt;98.12&lt;/D&gt;&lt;D xsi:type="xsd:double"&gt;97.1&lt;/D&gt;&lt;D xsi:type="xsd:double"&gt;97.89&lt;/D&gt;&lt;D xsi:type="xsd:double"&gt;97.5&lt;/D&gt;&lt;D xsi:type="xsd:double"&gt;97&lt;/D&gt;&lt;D xsi:type="xsd:double"&gt;98.36&lt;/D&gt;&lt;D xsi:type="xsd:double"&gt;99.38&lt;/D&gt;&lt;D xsi:type="xsd:double"&gt;98.2&lt;/D&gt;&lt;D xsi:type="xsd:double"&gt;99.28&lt;/D&gt;&lt;D xsi:type="xsd:double"&gt;99&lt;/D&gt;&lt;D xsi:type="xsd:double"&gt;98.72&lt;/D&gt;&lt;D xsi:type="xsd:double"&gt;98.97&lt;/D&gt;&lt;D xsi:type="xsd:double"&gt;99.58&lt;/D&gt;&lt;D xsi:type="xsd:double"&gt;100.76&lt;/D&gt;&lt;D xsi:type="xsd:double"&gt;99.33&lt;/D&gt;&lt;D xsi:type="xsd:double"&gt;100.82&lt;/D&gt;&lt;D xsi:type="xsd:double"&gt;100.92&lt;/D&gt;&lt;D xsi:type="xsd:double"&gt;100.18&lt;/D&gt;&lt;D xsi:type="xsd:double"&gt;99.93&lt;/D&gt;&lt;D xsi:type="xsd:double"&gt;101.96&lt;/D&gt;&lt;D xsi:type="xsd:double"&gt;101.33&lt;/D&gt;&lt;D xsi:type="xsd:double"&gt;100.54&lt;/D&gt;&lt;D xsi:type="xsd:double"&gt;100.47&lt;/D&gt;&lt;D xsi:type="xsd:double"&gt;100.25&lt;/D&gt;&lt;D xsi:type="xsd:double"&gt;99.58&lt;/D&gt;&lt;D xsi:type="xsd:double"&gt;99.2&lt;/D&gt;&lt;D xsi:type="xsd:double"&gt;98.38&lt;/D&gt;&lt;D xsi:type="xsd:double"&gt;97.97&lt;/D&gt;&lt;D xsi:type="xsd:double"&gt;97.88&lt;/D&gt;&lt;D xsi:type="xsd:double"&gt;97.47&lt;/D&gt;&lt;D xsi:type="xsd:double"&gt;97.17&lt;/D&gt;&lt;D xsi:type="xsd:double"&gt;97.75&lt;/D&gt;&lt;D xsi:type="xsd:double"&gt;98.27&lt;/D&gt;&lt;D xsi:type="xsd:double"&gt;97.45&lt;/D&gt;&lt;D xsi:type="xsd:double"&gt;97.16&lt;/D&gt;&lt;D xsi:type="xsd:double"&gt;96.79&lt;/D&gt;&lt;D xsi:type="xsd:double"&gt;97.2&lt;/D&gt;&lt;/FQL&gt;&lt;FQL&gt;&lt;Q&gt;538057-IN^P_PRICE(0)/P_PRICE_HIGH_PR(0,,,,,,"PRICE","CLOSE","52W")&lt;/Q&gt;&lt;R&gt;1&lt;/R&gt;&lt;C&gt;1&lt;/C&gt;&lt;D xsi:type="xsd:double"&gt;0.9466329&lt;/D&gt;&lt;/FQL&gt;&lt;FQL&gt;&lt;Q&gt;543563-IN^P_PRICE(0)/P_PRICE_HIGH_PR(0,,,,,,"PRICE","CLOSE","52W")&lt;/Q&gt;&lt;R&gt;1&lt;/R&gt;&lt;C&gt;1&lt;/C&gt;&lt;D xsi:type="xsd:double"&gt;1&lt;/D&gt;&lt;/FQL&gt;&lt;FQL&gt;&lt;Q&gt;543956-IN^P_PRICE(0)/P_PRICE_HIGH_PR(0,,,,,,"PRICE","CLOSE","52W")&lt;/Q&gt;&lt;R&gt;1&lt;/R&gt;&lt;C&gt;1&lt;/C&gt;&lt;D xsi:type="xsd:double"&gt;1&lt;/D&gt;&lt;/FQL&gt;&lt;FQL&gt;&lt;Q&gt;543627-IN^PERCENT_CHANGE(FMA_EPS(+1,0,,,,"PORTAGG","MEAN"),FMA_EPS(+1,-1AM,,,,"PORTAGG","MEAN"))&lt;/Q&gt;&lt;R&gt;0&lt;/R&gt;&lt;C&gt;0&lt;/C&gt;&lt;/FQL&gt;&lt;FQL&gt;&lt;Q&gt;543348-IN^PERCENT_CHANGE(FMA_EPS(+1,0,,,,"PORTAGG","MEAN"),FMA_EPS(+1,-3AM,,,,"PORTAGG","MEAN"))&lt;/Q&gt;&lt;R&gt;1&lt;/R&gt;&lt;C&gt;1&lt;/C&gt;&lt;D xsi:type="xsd:double"&gt;-1.55410465885154&lt;/D&gt;&lt;/FQL&gt;&lt;FQL&gt;&lt;Q&gt;543627-IN^COUNT(OS_TOP_HLDG_NAME(ALL,0D,,MTD,,ALL,EQ))&lt;/Q&gt;&lt;R&gt;1&lt;/R&gt;&lt;C&gt;1&lt;/C&gt;&lt;D xsi:type="xsd:long"&gt;31&lt;/D&gt;&lt;/FQL&gt;&lt;FQL&gt;&lt;Q&gt;543571-IN^FMA_COS_UP("EPS","1M",+1,0,,,"PORTAGG","MEANR")&lt;/Q&gt;&lt;R&gt;1&lt;/R&gt;&lt;C&gt;1&lt;/C&gt;&lt;D xsi:type="xsd:double"&gt;14&lt;/D&gt;&lt;/FQL&gt;&lt;FQL&gt;&lt;Q&gt;543627-IN^P_PRICE(-1AM)/P_PRICE_HIGH_PR(-1AM,,,,,,"PRICE","CLOSE","52W")&lt;/Q&gt;&lt;R&gt;1&lt;/R&gt;&lt;C&gt;1&lt;/C&gt;&lt;D xsi:type="xsd:double"&gt;0.97193736&lt;/D&gt;&lt;/FQL&gt;&lt;FQL&gt;&lt;Q&gt;543710-IN^P_PRICE(-1AM)/P_PRICE_HIGH_PR(-1AM,,,,,,"PRICE","CLOSE","52W")&lt;/Q&gt;&lt;R&gt;1&lt;/R&gt;&lt;C&gt;1&lt;/C&gt;&lt;D xsi:type="xsd:double"&gt;0.9619614&lt;/D&gt;&lt;/FQL&gt;&lt;FQL&gt;&lt;Q&gt;590107-IN^P_PRICE(-1AM)/P_PRICE_HIGH_PR(-1AM,,,,,,"PRICE","CLOSE","52W")&lt;/Q&gt;&lt;R&gt;1&lt;/R&gt;&lt;C&gt;1&lt;/C&gt;&lt;D xsi:type="xsd:double"&gt;0.87205464&lt;/D&gt;&lt;/FQL&gt;&lt;FQL&gt;&lt;Q&gt;540787-IN^FG_TOTAL_RETURNC(0,-6AM)&lt;/Q&gt;&lt;R&gt;1&lt;/R&gt;&lt;C&gt;1&lt;/C&gt;&lt;D xsi:type="xsd:double"&gt;28.236782&lt;/D&gt;&lt;/FQL&gt;&lt;FQL&gt;&lt;Q&gt;543666-IN^FG_TOTAL_RETURNC(0,-6AM)&lt;/Q&gt;&lt;R&gt;1&lt;/R&gt;&lt;C&gt;1&lt;/C&gt;&lt;D xsi:type="xsd:double"&gt;1.565361&lt;/D&gt;&lt;/FQL&gt;&lt;FQL&gt;&lt;Q&gt;543348-IN^FG_TOTAL_RETURNC(0,-6AM)&lt;/Q&gt;&lt;R&gt;1&lt;/R&gt;&lt;C&gt;1&lt;/C&gt;&lt;D xsi:type="xsd:double"&gt;20.25013&lt;/D&gt;&lt;/FQL&gt;&lt;FQL&gt;&lt;Q&gt;543710-IN^FG_COMPANY_NAME&lt;/Q&gt;&lt;R&gt;1&lt;/R&gt;&lt;C&gt;1&lt;/C&gt;&lt;D xsi:type="xsd:string"&gt;ICICI Prudential Nifty Commodities ETF&lt;/D&gt;&lt;/FQL&gt;&lt;FQL&gt;&lt;Q&gt;543666-IN^P_PRICE(0,-200D)&lt;/Q&gt;&lt;R&gt;201&lt;/R&gt;&lt;C&gt;1&lt;/C&gt;&lt;D xsi:type="xsd:double"&gt;24.98&lt;/D&gt;&lt;D xsi:type="xsd:double"&gt;25.06&lt;/D&gt;&lt;D xsi:type="xsd:double"&gt;24.88&lt;/D&gt;&lt;D xsi:type="xsd:double"&gt;25&lt;/D&gt;&lt;D xsi:type="xsd:double"&gt;24.86&lt;/D&gt;&lt;D xsi:type="xsd:double"&gt;23.69&lt;/D&gt;&lt;D xsi:type="xsd:double"&gt;24.73&lt;/D&gt;&lt;D xsi:type="xsd:double"&gt;24.82&lt;/D&gt;&lt;D xsi:type="xsd:double"&gt;25.2&lt;/D&gt;&lt;D xsi:type="xsd:double"&gt;24.4&lt;/D&gt;&lt;D xsi:type="xsd:double"&gt;24.26&lt;/D&gt;&lt;D xsi:type="xsd:double"&gt;24.27&lt;/D&gt;&lt;D xsi:type="xsd:double"&gt;24.51&lt;/D&gt;&lt;D xsi:type="xsd:double"&gt;24.71&lt;/D&gt;&lt;D xsi:type="xsd:double"&gt;24.36&lt;/D&gt;&lt;D xsi:type="xsd:double"&gt;24.43&lt;/D&gt;&lt;D xsi:type="xsd:double"&gt;24.01&lt;/D&gt;&lt;D xsi:type="xsd:double"&gt;24.13&lt;/D&gt;&lt;D xsi:type="xsd:double"&gt;24.24&lt;/D&gt;&lt;D xsi:type="xsd:double"&gt;23.99&lt;/D&gt;&lt;D xsi:type="xsd:double"&gt;23.97&lt;/D&gt;&lt;D xsi:type="xsd:double"&gt;24.02&lt;/D&gt;&lt;D xsi:type="xsd:double"&gt;24&lt;/D&gt;&lt;D xsi:type="xsd:double"&gt;23.89&lt;/D&gt;&lt;D xsi:type="xsd:double"&gt;23.74&lt;/D&gt;&lt;D xsi:type="xsd:double"&gt;24.09&lt;/D&gt;&lt;D xsi:type="xsd:double"&gt;24.25&lt;/D&gt;&lt;D xsi:type="xsd:double"&gt;24.55&lt;/D&gt;&lt;D xsi:type="xsd:double"&gt;24.43&lt;/D&gt;&lt;D xsi:type="xsd:double"&gt;24.66&lt;/D&gt;&lt;D xsi:type="xsd:double"&gt;24.67&lt;/D&gt;&lt;D xsi:type="xsd:double"&gt;24.63&lt;/D&gt;&lt;D xsi:type="xsd:double"&gt;24.25&lt;/D&gt;&lt;D xsi:type="xsd:double"&gt;24.21&lt;/D&gt;&lt;D xsi:type="xsd:double"&gt;24.4&lt;/D&gt;&lt;D xsi:type="xsd:double"&gt;24.07&lt;/D&gt;&lt;D xsi:type="xsd:double"&gt;24.15&lt;/D&gt;&lt;D xsi:type="xsd:double"&gt;23.83&lt;/D&gt;&lt;D xsi:type="xsd:double"&gt;24.05&lt;/D&gt;&lt;D xsi:type="xsd:double"&gt;23.9&lt;/D&gt;&lt;D xsi:type="xsd:double"&gt;24.3&lt;/D&gt;&lt;D xsi:type="xsd:double"&gt;24.37&lt;/D&gt;&lt;D xsi:type="xsd:double"&gt;24.65&lt;/D&gt;&lt;D xsi:type="xsd:double"&gt;24.6&lt;/D&gt;&lt;D xsi:type="xsd:double"&gt;24.35&lt;/D&gt;&lt;D xsi:type="xsd:double"&gt;24.25&lt;/D&gt;&lt;D xsi:type="xsd:double"&gt;24.09&lt;/D&gt;&lt;D xsi:type="xsd:double"&gt;23.89&lt;/D&gt;&lt;D xsi:type="xsd:double"&gt;23.96&lt;/D&gt;&lt;D xsi:type="xsd:double"&gt;24&lt;/D&gt;&lt;D xsi:type="xsd:double"&gt;23.74&lt;/D&gt;&lt;D xsi:type="xsd:double"&gt;23.5&lt;/D&gt;&lt;D xsi:type="xsd:double"&gt;23.5&lt;/D&gt;&lt;D xsi:type="xsd:double"&gt;23.69&lt;/D&gt;&lt;D xsi:type="xsd:double"&gt;23.6&lt;/D&gt;&lt;D xsi:type="xsd:double"&gt;23.25&lt;/D&gt;&lt;D xsi:type="xsd:double"&gt;23.45&lt;/D&gt;&lt;D xsi:type="xsd:double"&gt;23.4&lt;/D&gt;&lt;D xsi:type="xsd:double"&gt;23.55&lt;/D&gt;&lt;D xsi:type="xsd:double"&gt;23.55&lt;/D&gt;&lt;D xsi:type="xsd:double"&gt;23.49&lt;/D&gt;&lt;D xsi:type="xsd:double"&gt;23.85&lt;/D&gt;&lt;D xsi:type="xsd:double"&gt;23.74&lt;/D&gt;&lt;D xsi:type="xsd:double"&gt;23.93&lt;/D&gt;&lt;D xsi:type="xsd:double"&gt;24.15&lt;/D&gt;&lt;D xsi:type="xsd:double"&gt;23.85&lt;/D&gt;&lt;D xsi:type="xsd:double"&gt;23.85&lt;/D&gt;&lt;D xsi:type="xsd:double"&gt;23.79&lt;/D&gt;&lt;D xsi:type="xsd:double"&gt;23.48&lt;/D&gt;&lt;D xsi:type="xsd:double"&gt;23.21&lt;/D&gt;&lt;D xsi:type="xsd:double"&gt;23.59&lt;/D&gt;&lt;D xsi:type="xsd:double"&gt;23.5&lt;/D&gt;&lt;D xsi:type="xsd:double"&gt;23.63&lt;/D&gt;&lt;D xsi:type="xsd:double"&gt;23.94&lt;/D&gt;&lt;D xsi:type="xsd:double"&gt;23.55&lt;/D&gt;&lt;D xsi:type="xsd:double"&gt;23.62&lt;/D&gt;&lt;D xsi:type="xsd:double"&gt;23.41&lt;/D&gt;&lt;D xsi:type="xsd:double"&gt;23.5&lt;/D&gt;&lt;D xsi:type="xsd:double"&gt;23.3&lt;/D&gt;&lt;D xsi:type="xsd:double"&gt;23.01&lt;/D&gt;&lt;D xsi:type="xsd:double"&gt;23.09&lt;/D&gt;&lt;D xsi:type="xsd:double"&gt;22.95&lt;/D&gt;&lt;D xsi:type="xsd:double"&gt;23.39&lt;/D&gt;&lt;D xsi:type="xsd:double"&gt;22.97&lt;/D&gt;&lt;D xsi:type="xsd:double"&gt;23.51&lt;/D&gt;&lt;D xsi:type="xsd:double"&gt;23.53&lt;/D&gt;&lt;D xsi:type="xsd:double"&gt;23.59&lt;/D&gt;&lt;D xsi:type="xsd:double"&gt;23.82&lt;/D&gt;&lt;D xsi:type="xsd:double"&gt;23.686&lt;/D&gt;&lt;D xsi:type="xsd:double"&gt;23.800001&lt;/D&gt;&lt;D xsi:type="xsd:double"&gt;23.5&lt;/D&gt;&lt;D xsi:type="xsd:double"&gt;23.504&lt;/D&gt;&lt;D xsi:type="xsd:double"&gt;23.419&lt;/D&gt;&lt;D xsi:type="xsd:double"&gt;23.302&lt;/D&gt;&lt;D xsi:type="xsd:double"&gt;23.371&lt;/D&gt;&lt;D xsi:type="xsd:double"&gt;23.758001&lt;/D&gt;&lt;D xsi:type="xsd:double"&gt;23.796001&lt;/D&gt;&lt;D xsi:type="xsd:double"&gt;24.079&lt;/D&gt;&lt;D xsi:type="xsd:double"&gt;24.916&lt;/D&gt;&lt;D xsi:type="xsd:double"&gt;25.155&lt;/D&gt;&lt;D xsi:type="xsd:double"&gt;24.729&lt;/D&gt;&lt;D xsi:type="xsd:double"&gt;24.7&lt;/D&gt;&lt;D xsi:type="xsd:double"&gt;24.582&lt;/D&gt;&lt;D xsi:type="xsd:double"&gt;24.469&lt;/D&gt;&lt;D xsi:type="xsd:double"&gt;24.708&lt;/D&gt;&lt;D xsi:type="xsd:double"&gt;24.937&lt;/D&gt;&lt;D xsi:type="xsd:double"&gt;25.047&lt;/D&gt;&lt;D xsi:type="xsd:double"&gt;24.709&lt;/D&gt;&lt;D xsi:type="xsd:double"&gt;24.84&lt;/D&gt;&lt;D xsi:type="xsd:double"&gt;25.14&lt;/D&gt;&lt;D xsi:type="xsd:double"&gt;25.2&lt;/D&gt;&lt;D xsi:type="xsd:double"&gt;25.056&lt;/D&gt;&lt;D xsi:type="xsd:double"&gt;24.936&lt;/D&gt;&lt;D xsi:type="xsd:double"&gt;24.685001&lt;/D&gt;&lt;D xsi:type="xsd:double"&gt;24.819&lt;/D&gt;&lt;D xsi:type="xsd:double"&gt;24.841002&lt;/D&gt;&lt;D xsi:type="xsd:double"&gt;24.763&lt;/D&gt;&lt;D xsi:type="xsd:double"&gt;24.604&lt;/D&gt;&lt;D xsi:type="xsd:double"&gt;24.703001&lt;/D&gt;&lt;D xsi:type="xsd:double"&gt;24.918&lt;/D&gt;&lt;D xsi:type="xsd:double"&gt;24.883001&lt;/D&gt;&lt;D xsi:type="xsd:double"&gt;24.595&lt;/D&gt;&lt;D xsi:type="xsd:double"&gt;24.517&lt;/D&gt;&lt;D xsi:type="xsd:double"&gt;24.791&lt;/D&gt;&lt;D xsi:type="xsd:double"&gt;24.614&lt;/D&gt;&lt;D xsi:type="xsd:double"&gt;24.410002&lt;/D&gt;&lt;D xsi:type="xsd:double"&gt;24.391&lt;/D&gt;&lt;D xsi:type="xsd:double"&gt;24.618&lt;/D&gt;&lt;D xsi:type="xsd:double"&gt;24.034&lt;/D&gt;&lt;D xsi:type="xsd:double"&gt;23.474&lt;/D&gt;&lt;D xsi:type="xsd:double"&gt;23.164999&lt;/D&gt;&lt;D xsi:type="xsd:double"&gt;23.329&lt;/D&gt;&lt;D xsi:type="xsd:double"&gt;22.996&lt;/D&gt;&lt;D xsi:type="xsd:double"&gt;22.998&lt;/D&gt;&lt;D xsi:type="xsd:double"&gt;22.7&lt;/D&gt;&lt;D xsi:type="xsd:double"&gt;22.697&lt;/D&gt;&lt;D xsi:type="xsd:double"&gt;22.976&lt;/D&gt;&lt;D xsi:type="xsd:double"&gt;22.799002&lt;/D&gt;&lt;D xsi:type="xsd:double"&gt;22.823&lt;/D&gt;&lt;D xsi:type="xsd:double"&gt;23.225&lt;/D&gt;&lt;D xsi:type="xsd:double"&gt;23.088001&lt;/D&gt;&lt;D xsi:type="xsd:double"&gt;22.910002&lt;/D&gt;&lt;D xsi:type="xsd:double"&gt;22.887&lt;/D&gt;&lt;D xsi:type="xsd:double"&gt;22.983&lt;/D&gt;&lt;D xsi:type="xsd:double"&gt;22.523&lt;/D&gt;&lt;D xsi:type="xsd:double"&gt;22.423&lt;/D&gt;&lt;D xsi:type="xsd:double"&gt;22.815&lt;/D&gt;&lt;D xsi:type="xsd:double"&gt;22.673&lt;/D&gt;&lt;D xsi:type="xsd:double"&gt;22.504&lt;/D&gt;&lt;D xsi:type="xsd:double"&gt;22.24&lt;/D&gt;&lt;D xsi:type="xsd:double"&gt;22.469&lt;/D&gt;&lt;D xsi:type="xsd:double"&gt;22.571001&lt;/D&gt;&lt;D xsi:type="xsd:double"&gt;22.422&lt;/D&gt;&lt;D xsi:type="xsd:double"&gt;22.160002&lt;/D&gt;&lt;D xsi:type="xsd:double"&gt;22.338001&lt;/D&gt;&lt;D xsi:type="xsd:double"&gt;22.483&lt;/D&gt;&lt;D xsi:type="xsd:double"&gt;22.911001&lt;/D&gt;&lt;D xsi:type="xsd:double"&gt;22.963001&lt;/D&gt;&lt;D xsi:type="xsd:double"&gt;23.021002&lt;/D&gt;&lt;D xsi:type="xsd:double"&gt;22.953001&lt;/D&gt;&lt;D xsi:type="xsd:double"&gt;22.813002&lt;/D&gt;&lt;D xsi:type="xsd:double"&gt;23.289&lt;/D&gt;&lt;D xsi:type="xsd:double"&gt;23.399&lt;/D&gt;&lt;D xsi:type="xsd:double"&gt;23.308&lt;/D&gt;&lt;D xsi:type="xsd:double"&gt;22.753&lt;/D&gt;&lt;D xsi:type="xsd:double"&gt;22.713001&lt;/D&gt;&lt;D xsi:type="xsd:double"&gt;22.703001&lt;/D&gt;&lt;D xsi:type="xsd:double"&gt;22.663&lt;/D&gt;&lt;D xsi:type="xsd:double"&gt;22.553&lt;/D&gt;&lt;D xsi:type="xsd:double"&gt;23.133001&lt;/D&gt;&lt;D xsi:type="xsd:double"&gt;23.303&lt;/D&gt;&lt;D xsi:type="xsd:double"&gt;22.733&lt;/D&gt;&lt;D xsi:type="xsd:double"&gt;23.160002&lt;/D&gt;&lt;D xsi:type="xsd:double"&gt;22.903&lt;/D&gt;&lt;D xsi:type="xsd:double"&gt;23.418&lt;/D&gt;&lt;D xsi:type="xsd:double"&gt;23.406&lt;/D&gt;&lt;D xsi:type="xsd:double"&gt;23.214&lt;/D&gt;&lt;D xsi:type="xsd:double"&gt;23.609&lt;/D&gt;&lt;D xsi:type="xsd:double"&gt;23.9&lt;/D&gt;&lt;D xsi:type="xsd:double"&gt;24.003&lt;/D&gt;&lt;D xsi:type="xsd:double"&gt;23.773&lt;/D&gt;&lt;D xsi:type="xsd:double"&gt;23.918&lt;/D&gt;&lt;D xsi:type="xsd:double"&gt;23.565&lt;/D&gt;&lt;D xsi:type="xsd:double"&gt;23.695&lt;/D&gt;&lt;D xsi:type="xsd:double"&gt;23.694&lt;/D&gt;&lt;D xsi:type="xsd:double"&gt;23.34&lt;/D&gt;&lt;D xsi:type="xsd:double"&gt;23.205&lt;/D&gt;&lt;D xsi:type="xsd:double"&gt;23.298&lt;/D&gt;&lt;D xsi:type="xsd:double"&gt;23.458&lt;/D&gt;&lt;D xsi:type="xsd:double"&gt;23.435001&lt;/D&gt;&lt;D xsi:type="xsd:double"&gt;22.999&lt;/D&gt;&lt;D xsi:type="xsd:double"&gt;23.136&lt;/D&gt;&lt;D xsi:type="xsd:double"&gt;23.327002&lt;/D&gt;&lt;D xsi:type="xsd:double"&gt;23.177&lt;/D&gt;&lt;D xsi:type="xsd:double"&gt;23.210001&lt;/D&gt;&lt;D xsi:type="xsd:double"&gt;23.294&lt;/D&gt;&lt;D xsi:type="xsd:double"&gt;23.343&lt;/D&gt;&lt;D xsi:type="xsd:double"&gt;23.089&lt;/D&gt;&lt;D xsi:type="xsd:double"&gt;23.021002&lt;/D&gt;&lt;D xsi:type="xsd:double"&gt;22.899&lt;/D&gt;&lt;D xsi:type="xsd:double"&gt;22.871&lt;/D&gt;&lt;/FQL&gt;&lt;FQL&gt;&lt;Q&gt;538057-IN^FG_TOTAL_RETURNC(0,-6AM)&lt;/Q&gt;&lt;R&gt;1&lt;/R&gt;&lt;C&gt;1&lt;/C&gt;&lt;D xsi:type="xsd:double"&gt;49.18609&lt;/D&gt;&lt;/FQL&gt;&lt;FQL&gt;&lt;Q&gt;543563-IN^FG_TOTAL_RETURNC(0,-6AM)&lt;/Q&gt;&lt;R&gt;1&lt;/R&gt;&lt;C&gt;1&lt;/C&gt;&lt;D xsi:type="xsd:double"&gt;19.844866&lt;/D&gt;&lt;/FQL&gt;&lt;FQL&gt;&lt;Q&gt;543956-IN^FG_TOTAL_RETURNC(0,-6AM)&lt;/Q&gt;&lt;R&gt;1&lt;/R&gt;&lt;C&gt;1&lt;/C&gt;&lt;D xsi:type="xsd:double"&gt;18.688595&lt;/D&gt;&lt;/FQL&gt;&lt;FQL&gt;&lt;Q&gt;543627-IN^FMA_PCT_ABOVE_MAVG(200,0,,,,"PORTAGG")&lt;/Q&gt;&lt;R&gt;0&lt;/R&gt;&lt;C&gt;0&lt;/C&gt;&lt;/FQL&gt;&lt;FQL&gt;&lt;Q&gt;543348-IN^PERCENT_CHANGE(FMA_EPS(+1,0,,,,"PORTAGG","MEAN"),FMA_EPS(+1,-1AM,,,,"PORTAGG","MEAN"))&lt;/Q&gt;&lt;R&gt;1&lt;/R&gt;&lt;C&gt;1&lt;/C&gt;&lt;D xsi:type="xsd:double"&gt;-0.602247535894079&lt;/D&gt;&lt;/FQL&gt;&lt;FQL&gt;&lt;Q&gt;543627-IN^FMA_COS_DOWN("EPS","1M",+1,0,,,"PORTAGG","MEANR")&lt;/Q&gt;&lt;R&gt;0&lt;/R&gt;&lt;C&gt;0&lt;/C&gt;&lt;/FQL&gt;&lt;FQL&gt;&lt;Q&gt;543348-IN^COUNT(OS_TOP_HLDG_NAME(ALL,0D,,MTD,,ALL,EQ))&lt;/Q&gt;&lt;R&gt;1&lt;/R&gt;&lt;C&gt;1&lt;/C&gt;&lt;D xsi:type="xsd:long"&gt;21&lt;/D&gt;&lt;/FQL&gt;&lt;FQL&gt;&lt;Q&gt;543627-IN^FG_TOTAL_RETURNC(-1AM,-7AM)&lt;/Q&gt;&lt;R&gt;1&lt;/R&gt;&lt;C&gt;1&lt;/C&gt;&lt;D xsi:type="xsd:double"&gt;18.64295&lt;/D&gt;&lt;/FQL&gt;&lt;FQL&gt;&lt;Q&gt;543710-IN^FG_TOTAL_RETURNC(-1AM,-7AM)&lt;/Q&gt;&lt;R&gt;1&lt;/R&gt;&lt;C&gt;1&lt;/C&gt;&lt;D xsi:type="xsd:double"&gt;30.965483&lt;/D&gt;&lt;/FQL&gt;&lt;FQL&gt;&lt;Q&gt;590107-IN^FG_TOTAL_RETURNC(-1AM,-7AM)&lt;/Q&gt;&lt;R&gt;1&lt;/R&gt;&lt;C&gt;1&lt;/C&gt;&lt;D xsi:type="xsd:double"&gt;36.00185&lt;/D&gt;&lt;/FQL&gt;&lt;FQL&gt;&lt;Q&gt;540787-IN^FG_TOTAL_RETURNC(0,-3AM)&lt;/Q&gt;&lt;R&gt;1&lt;/R&gt;&lt;C&gt;1&lt;/C&gt;&lt;D xsi:type="xsd:double"&gt;14.190292&lt;/D&gt;&lt;/FQL&gt;&lt;FQL&gt;&lt;Q&gt;543666-IN^FG_TOTAL_RETURNC(0,-3AM)&lt;/Q&gt;&lt;R&gt;1&lt;/R&gt;&lt;C&gt;1&lt;/C&gt;&lt;D xsi:type="xsd:double"&gt;6.3431263&lt;/D&gt;&lt;/FQL&gt;&lt;FQL&gt;&lt;Q&gt;543348-IN^FG_TOTAL_RETURNC(0,-3AM)&lt;/Q&gt;&lt;R&gt;1&lt;/R&gt;&lt;C&gt;1&lt;/C&gt;&lt;D xsi:type="xsd:double"&gt;10.609674&lt;/D&gt;&lt;/FQL&gt;&lt;FQL&gt;&lt;Q&gt;543326-IN^P_PRICE(0)/P_PRICE_LOW_PR(0,,,,,,"PRICE","CLOSE","52W")&lt;/Q&gt;&lt;R&gt;1&lt;/R&gt;&lt;C&gt;1&lt;/C&gt;&lt;D xsi:type="xsd:double"&gt;1.1334308&lt;/D&gt;&lt;/FQL&gt;&lt;FQL&gt;&lt;Q&gt;543956-IN^PERCENT_CHANGE(FMA_EPS(+1,0,,,,"PORTAGG","MEAN"),FMA_EPS(+1,-1AM,,,,"PORTAGG","MEAN"))&lt;/Q&gt;&lt;R&gt;0&lt;/R&gt;&lt;C&gt;0&lt;/C&gt;&lt;/FQL&gt;&lt;FQL&gt;&lt;Q&gt;590107-IN^FG_COMPANY_NAME&lt;/Q&gt;&lt;R&gt;1&lt;/R&gt;&lt;C&gt;1&lt;/C&gt;&lt;D xsi:type="xsd:string"&gt;Kotak Nifty PSU Bank ETF&lt;/D&gt;&lt;/FQL&gt;&lt;FQL&gt;&lt;Q&gt;543710-IN^FG_TOTAL_RETURNC(-1AM,-2AM)&lt;/Q&gt;&lt;R&gt;1&lt;/R&gt;&lt;C&gt;1&lt;/C&gt;&lt;D xsi:type="xsd:double"&gt;-1.6745031&lt;/D&gt;&lt;/FQL&gt;&lt;FQL&gt;&lt;Q&gt;543326-IN^P_PRICE(0)/P_PRICE_HIGH_PR(0,,,,,,"PRICE","CLOSE","52W")&lt;/Q&gt;&lt;R&gt;1&lt;/R&gt;&lt;C&gt;1&lt;/C&gt;&lt;D xsi:type="xsd:double"&gt;0.98253703&lt;/D&gt;&lt;/FQL&gt;&lt;FQL&gt;&lt;Q&gt;543710-IN^P_PRICE(0)/P_PRICE_HIGH_PR(0,,,,,,"PRICE","CLOSE","52W")&lt;/Q&gt;&lt;R&gt;1&lt;/R&gt;&lt;C&gt;1&lt;/C&gt;&lt;D xsi:type="xsd:double"&gt;0.9829223&lt;/D&gt;&lt;/FQL&gt;&lt;FQL&gt;&lt;Q&gt;590107-IN^P_PRICE(0)/P_PRICE_HIGH_PR(0,,,,,,"PRICE","CLOSE","52W")&lt;/Q&gt;&lt;R&gt;1&lt;/R&gt;&lt;C&gt;1&lt;/C&gt;&lt;D xsi:type="xsd:double"&gt;0.92093503&lt;/D&gt;&lt;/FQL&gt;&lt;FQL&gt;&lt;Q&gt;543454-IN^FMA_PCT_ABOVE_MAVG(200,0,,,,"PORTAGG")&lt;/Q&gt;&lt;R&gt;1&lt;/R&gt;&lt;C&gt;1&lt;/C&gt;&lt;D xsi:type="xsd:double"&gt;81.5789473684211&lt;/D&gt;&lt;/FQL&gt;&lt;FQL&gt;&lt;Q&gt;543956-IN^FMA_PCT_ABOVE_MAVG(200,0,,,,"PORTAGG")&lt;/Q&gt;&lt;R&gt;0&lt;/R&gt;&lt;C&gt;0&lt;/C&gt;&lt;/FQL&gt;&lt;FQL&gt;&lt;Q&gt;543608-IN^COUNT(OS_TOP_HLDG_NAME(ALL,0D,,MTD,,ALL,EQ))&lt;/Q&gt;&lt;R&gt;1&lt;/R&gt;&lt;C&gt;1&lt;/C&gt;&lt;D xsi:type="xsd:long"&gt;21&lt;/D&gt;&lt;/FQL&gt;&lt;FQL&gt;&lt;Q&gt;DIVOPPBEES-IN^P_PRICE(-1AM)/P_PRICE_HIGH_PR(-1AM,,,,,,"PRICE","CLOSE","52W")&lt;/Q&gt;&lt;R&gt;1&lt;/R&gt;&lt;C&gt;1&lt;/C&gt;&lt;D xsi:type="xsd:double"&gt;0.9794114&lt;/D&gt;&lt;/FQL&gt;&lt;FQL&gt;&lt;Q&gt;543571-IN^P_PRICE(-1AM)/P_PRICE_HIGH_PR(-1AM,,,,,,"PRICE","CLOSE","52W")&lt;/Q&gt;&lt;R&gt;1&lt;/R&gt;&lt;C&gt;1&lt;/C&gt;&lt;D xsi:type="xsd:double"&gt;0.965247&lt;/D&gt;&lt;/FQL&gt;&lt;FQL&gt;&lt;Q&gt;543571-IN^P_PRICE(0,-200D)&lt;/Q&gt;&lt;R&gt;201&lt;/R&gt;&lt;C&gt;1&lt;/C&gt;&lt;D xsi:type="xsd:double"&gt;91.63&lt;/D&gt;&lt;D xsi:type="xsd:double"&gt;91.11&lt;/D&gt;&lt;D xsi:type="xsd:double"&gt;90.62&lt;/D&gt;&lt;D xsi:type="xsd:double"&gt;89.9&lt;/D&gt;&lt;D xsi:type="xsd:double"&gt;89.32&lt;/D&gt;&lt;D xsi:type="xsd:double"&gt;87.27&lt;/D&gt;&lt;D xsi:type="xsd:double"&gt;85.43&lt;/D&gt;&lt;D xsi:type="xsd:double"&gt;88.04&lt;/D&gt;&lt;D xsi:type="xsd:double"&gt;94.59&lt;/D&gt;&lt;D xsi:type="xsd:double"&gt;89.36&lt;/D&gt;&lt;D xsi:type="xsd:double"&gt;89.28&lt;/D&gt;&lt;D xsi:type="xsd:double"&gt;89.36&lt;/D&gt;&lt;D xsi:type="xsd:double"&gt;89.66&lt;/D&gt;&lt;D xsi:type="xsd:double"&gt;90.36&lt;/D&gt;&lt;D xsi:type="xsd:double"&gt;90.49&lt;/D&gt;&lt;D xsi:type="xsd:double"&gt;90.15&lt;/D&gt;&lt;D xsi:type="xsd:double"&gt;89&lt;/D&gt;&lt;D xsi:type="xsd:double"&gt;88.61&lt;/D&gt;&lt;D xsi:type="xsd:double"&gt;87.84&lt;/D&gt;&lt;D xsi:type="xsd:double"&gt;87.27&lt;/D&gt;&lt;D xsi:type="xsd:double"&gt;86.56&lt;/D&gt;&lt;D xsi:type="xsd:double"&gt;85.89&lt;/D&gt;&lt;D xsi:type="xsd:double"&gt;84.99&lt;/D&gt;&lt;D xsi:type="xsd:double"&gt;84.78&lt;/D&gt;&lt;D xsi:type="xsd:double"&gt;83.94&lt;/D&gt;&lt;D xsi:type="xsd:double"&gt;86.05&lt;/D&gt;&lt;D xsi:type="xsd:double"&gt;85.04&lt;/D&gt;&lt;D xsi:type="xsd:double"&gt;86.42&lt;/D&gt;&lt;D xsi:type="xsd:double"&gt;87.45&lt;/D&gt;&lt;D xsi:type="xsd:double"&gt;88.05&lt;/D&gt;&lt;D xsi:type="xsd:double"&gt;87.71&lt;/D&gt;&lt;D xsi:type="xsd:double"&gt;87.76&lt;/D&gt;&lt;D xsi:type="xsd:double"&gt;87.37&lt;/D&gt;&lt;D xsi:type="xsd:double"&gt;87.15&lt;/D&gt;&lt;D xsi:type="xsd:double"&gt;86.58&lt;/D&gt;&lt;D xsi:type="xsd:double"&gt;86.28&lt;/D&gt;&lt;D xsi:type="xsd:double"&gt;86.13&lt;/D&gt;&lt;D xsi:type="xsd:double"&gt;85.17&lt;/D&gt;&lt;D xsi:type="xsd:double"&gt;85</t>
        </r>
      </text>
    </comment>
    <comment ref="A3" authorId="0" shapeId="0" xr:uid="{FF4D15BD-770B-4995-9E66-BE8BCF89F933}">
      <text>
        <r>
          <rPr>
            <b/>
            <sz val="9"/>
            <color indexed="81"/>
            <rFont val="Tahoma"/>
            <charset val="1"/>
          </rPr>
          <t>.1&lt;/D&gt;&lt;D xsi:type="xsd:double"&gt;85.21&lt;/D&gt;&lt;D xsi:type="xsd:double"&gt;85.23&lt;/D&gt;&lt;D xsi:type="xsd:double"&gt;86.12&lt;/D&gt;&lt;D xsi:type="xsd:double"&gt;86.92&lt;/D&gt;&lt;D xsi:type="xsd:double"&gt;86.16&lt;/D&gt;&lt;D xsi:type="xsd:double"&gt;86.45&lt;/D&gt;&lt;D xsi:type="xsd:double"&gt;85.47&lt;/D&gt;&lt;D xsi:type="xsd:double"&gt;85.92&lt;/D&gt;&lt;D xsi:type="xsd:double"&gt;86.47&lt;/D&gt;&lt;D xsi:type="xsd:double"&gt;86.25&lt;/D&gt;&lt;D xsi:type="xsd:double"&gt;85.86&lt;/D&gt;&lt;D xsi:type="xsd:double"&gt;85.49&lt;/D&gt;&lt;D xsi:type="xsd:double"&gt;84.51&lt;/D&gt;&lt;D xsi:type="xsd:double"&gt;83.45&lt;/D&gt;&lt;D xsi:type="xsd:double"&gt;83.14&lt;/D&gt;&lt;D xsi:type="xsd:double"&gt;82.6&lt;/D&gt;&lt;D xsi:type="xsd:double"&gt;81.27&lt;/D&gt;&lt;D xsi:type="xsd:double"&gt;81.04&lt;/D&gt;&lt;D xsi:type="xsd:double"&gt;82.14&lt;/D&gt;&lt;D xsi:type="xsd:double"&gt;81.73&lt;/D&gt;&lt;D xsi:type="xsd:double"&gt;82.35&lt;/D&gt;&lt;D xsi:type="xsd:double"&gt;81.13&lt;/D&gt;&lt;D xsi:type="xsd:double"&gt;84.22&lt;/D&gt;&lt;D xsi:type="xsd:double"&gt;84.75&lt;/D&gt;&lt;D xsi:type="xsd:double"&gt;85.36&lt;/D&gt;&lt;D xsi:type="xsd:double"&gt;85.27&lt;/D&gt;&lt;D xsi:type="xsd:double"&gt;85.4&lt;/D&gt;&lt;D xsi:type="xsd:double"&gt;85.1&lt;/D&gt;&lt;D xsi:type="xsd:double"&gt;84.15&lt;/D&gt;&lt;D xsi:type="xsd:double"&gt;82.57&lt;/D&gt;&lt;D xsi:type="xsd:double"&gt;82.44&lt;/D&gt;&lt;D xsi:type="xsd:double"&gt;83.75&lt;/D&gt;&lt;D xsi:type="xsd:double"&gt;83.42&lt;/D&gt;&lt;D xsi:type="xsd:double"&gt;83.69&lt;/D&gt;&lt;D xsi:type="xsd:double"&gt;83.13&lt;/D&gt;&lt;D xsi:type="xsd:double"&gt;82.9&lt;/D&gt;&lt;D xsi:type="xsd:double"&gt;83.37&lt;/D&gt;&lt;D xsi:type="xsd:double"&gt;82.91&lt;/D&gt;&lt;D xsi:type="xsd:double"&gt;82.53&lt;/D&gt;&lt;D xsi:type="xsd:double"&gt;82.7&lt;/D&gt;&lt;D xsi:type="xsd:double"&gt;81.55&lt;/D&gt;&lt;D xsi:type="xsd:double"&gt;80.78&lt;/D&gt;&lt;D xsi:type="xsd:double"&gt;80.33&lt;/D&gt;&lt;D xsi:type="xsd:double"&gt;81.48&lt;/D&gt;&lt;D xsi:type="xsd:double"&gt;81.76&lt;/D&gt;&lt;D xsi:type="xsd:double"&gt;81.71&lt;/D&gt;&lt;D xsi:type="xsd:double"&gt;81.72&lt;/D&gt;&lt;D xsi:type="xsd:double"&gt;80.94&lt;/D&gt;&lt;D xsi:type="xsd:double"&gt;81.27&lt;/D&gt;&lt;D xsi:type="xsd:double"&gt;80.27&lt;/D&gt;&lt;D xsi:type="xsd:double"&gt;80.14&lt;/D&gt;&lt;D xsi:type="xsd:double"&gt;80.13&lt;/D&gt;&lt;D xsi:type="xsd:double"&gt;80.94&lt;/D&gt;&lt;D xsi:type="xsd:double"&gt;77.95&lt;/D&gt;&lt;D xsi:type="xsd:double"&gt;78.15&lt;/D&gt;&lt;D xsi:type="xsd:double"&gt;76.85&lt;/D&gt;&lt;D xsi:type="xsd:double"&gt;78.18&lt;/D&gt;&lt;D xsi:type="xsd:double"&gt;77.29&lt;/D&gt;&lt;D xsi:type="xsd:double"&gt;77.05&lt;/D&gt;&lt;D xsi:type="xsd:double"&gt;77.74&lt;/D&gt;&lt;D xsi:type="xsd:double"&gt;78.13&lt;/D&gt;&lt;D xsi:type="xsd:double"&gt;77.34&lt;/D&gt;&lt;D xsi:type="xsd:double"&gt;76.69&lt;/D&gt;&lt;D xsi:type="xsd:double"&gt;75.96&lt;/D&gt;&lt;D xsi:type="xsd:double"&gt;76.06&lt;/D&gt;&lt;D xsi:type="xsd:double"&gt;75.25&lt;/D&gt;&lt;D xsi:type="xsd:double"&gt;75.58&lt;/D&gt;&lt;D xsi:type="xsd:double"&gt;75.25&lt;/D&gt;&lt;D xsi:type="xsd:double"&gt;74.55&lt;/D&gt;&lt;D xsi:type="xsd:double"&gt;74.34&lt;/D&gt;&lt;D xsi:type="xsd:double"&gt;74.82&lt;/D&gt;&lt;D xsi:type="xsd:double"&gt;74.38&lt;/D&gt;&lt;D xsi:type="xsd:double"&gt;74.86&lt;/D&gt;&lt;D xsi:type="xsd:double"&gt;74&lt;/D&gt;&lt;D xsi:type="xsd:double"&gt;73.58&lt;/D&gt;&lt;D xsi:type="xsd:double"&gt;72.77&lt;/D&gt;&lt;D xsi:type="xsd:double"&gt;72.32&lt;/D&gt;&lt;D xsi:type="xsd:double"&gt;71.45&lt;/D&gt;&lt;D xsi:type="xsd:double"&gt;73.21&lt;/D&gt;&lt;D xsi:type="xsd:double"&gt;72.94&lt;/D&gt;&lt;D xsi:type="xsd:double"&gt;72.8&lt;/D&gt;&lt;D xsi:type="xsd:double"&gt;72.46&lt;/D&gt;&lt;D xsi:type="xsd:double"&gt;71.77&lt;/D&gt;&lt;D xsi:type="xsd:double"&gt;71.07&lt;/D&gt;&lt;D xsi:type="xsd:double"&gt;71.4&lt;/D&gt;&lt;D xsi:type="xsd:double"&gt;70.88&lt;/D&gt;&lt;D xsi:type="xsd:double"&gt;70.98&lt;/D&gt;&lt;D xsi:type="xsd:double"&gt;71.11&lt;/D&gt;&lt;D xsi:type="xsd:double"&gt;70.3&lt;/D&gt;&lt;D xsi:type="xsd:double"&gt;69.86&lt;/D&gt;&lt;D xsi:type="xsd:double"&gt;67.96&lt;/D&gt;&lt;D xsi:type="xsd:double"&gt;66.94&lt;/D&gt;&lt;D xsi:type="xsd:double"&gt;66.84&lt;/D&gt;&lt;D xsi:type="xsd:double"&gt;66.3&lt;/D&gt;&lt;D xsi:type="xsd:double"&gt;65.67&lt;/D&gt;&lt;D xsi:type="xsd:double"&gt;65.8&lt;/D&gt;&lt;D xsi:type="xsd:double"&gt;65.7&lt;/D&gt;&lt;D xsi:type="xsd:double"&gt;65.48&lt;/D&gt;&lt;D xsi:type="xsd:double"&gt;65.71&lt;/D&gt;&lt;D xsi:type="xsd:double"&gt;65.79&lt;/D&gt;&lt;D xsi:type="xsd:double"&gt;65.73&lt;/D&gt;&lt;D xsi:type="xsd:double"&gt;65.09&lt;/D&gt;&lt;D xsi:type="xsd:double"&gt;64.62&lt;/D&gt;&lt;D xsi:type="xsd:double"&gt;64.33&lt;/D&gt;&lt;D xsi:type="xsd:double"&gt;63.96&lt;/D&gt;&lt;D xsi:type="xsd:double"&gt;64.06&lt;/D&gt;&lt;D xsi:type="xsd:double"&gt;63.93&lt;/D&gt;&lt;D xsi:type="xsd:double"&gt;63.78&lt;/D&gt;&lt;D xsi:type="xsd:double"&gt;63.13&lt;/D&gt;&lt;D xsi:type="xsd:double"&gt;62.6&lt;/D&gt;&lt;D xsi:type="xsd:double"&gt;62.07&lt;/D&gt;&lt;D xsi:type="xsd:double"&gt;62.22&lt;/D&gt;&lt;D xsi:type="xsd:double"&gt;62.51&lt;/D&gt;&lt;D xsi:type="xsd:double"&gt;61.87&lt;/D&gt;&lt;D xsi:type="xsd:double"&gt;60.91&lt;/D&gt;&lt;D xsi:type="xsd:double"&gt;61.66&lt;/D&gt;&lt;D xsi:type="xsd:double"&gt;62.43&lt;/D&gt;&lt;D xsi:type="xsd:double"&gt;63.22&lt;/D&gt;&lt;D xsi:type="xsd:double"&gt;63.64&lt;/D&gt;&lt;D xsi:type="xsd:double"&gt;64.09&lt;/D&gt;&lt;D xsi:type="xsd:double"&gt;64.7&lt;/D&gt;&lt;D xsi:type="xsd:double"&gt;64.44&lt;/D&gt;&lt;D xsi:type="xsd:double"&gt;64.49&lt;/D&gt;&lt;D xsi:type="xsd:double"&gt;64.19&lt;/D&gt;&lt;D xsi:type="xsd:double"&gt;64.05&lt;/D&gt;&lt;D xsi:type="xsd:double"&gt;63.66&lt;/D&gt;&lt;D xsi:type="xsd:double"&gt;63.04&lt;/D&gt;&lt;D xsi:type="xsd:double"&gt;63.75&lt;/D&gt;&lt;D xsi:type="xsd:double"&gt;63.35&lt;/D&gt;&lt;D xsi:type="xsd:double"&gt;63.06&lt;/D&gt;&lt;D xsi:type="xsd:double"&gt;63.73&lt;/D&gt;&lt;D xsi:type="xsd:double"&gt;63.85&lt;/D&gt;&lt;D xsi:type="xsd:double"&gt;63.07&lt;/D&gt;&lt;D xsi:type="xsd:double"&gt;63.54&lt;/D&gt;&lt;D xsi:type="xsd:double"&gt;63.22&lt;/D&gt;&lt;D xsi:type="xsd:double"&gt;63.1&lt;/D&gt;&lt;D xsi:type="xsd:double"&gt;63.03&lt;/D&gt;&lt;D xsi:type="xsd:double"&gt;63.24&lt;/D&gt;&lt;D xsi:type="xsd:double"&gt;63.37&lt;/D&gt;&lt;D xsi:type="xsd:double"&gt;64.16&lt;/D&gt;&lt;D xsi:type="xsd:double"&gt;64.17&lt;/D&gt;&lt;D xsi:type="xsd:double"&gt;64.11&lt;/D&gt;&lt;D xsi:type="xsd:double"&gt;63.86&lt;/D&gt;&lt;D xsi:type="xsd:double"&gt;63.6&lt;/D&gt;&lt;D xsi:type="xsd:double"&gt;64.12&lt;/D&gt;&lt;D xsi:type="xsd:double"&gt;63.59&lt;/D&gt;&lt;D xsi:type="xsd:double"&gt;62.92&lt;/D&gt;&lt;D xsi:type="xsd:double"&gt;62.24&lt;/D&gt;&lt;D xsi:type="xsd:double"&gt;62.18&lt;/D&gt;&lt;D xsi:type="xsd:double"&gt;61.94&lt;/D&gt;&lt;D xsi:type="xsd:double"&gt;61.53&lt;/D&gt;&lt;D xsi:type="xsd:double"&gt;60.7&lt;/D&gt;&lt;D xsi:type="xsd:double"&gt;61.21&lt;/D&gt;&lt;D xsi:type="xsd:double"&gt;61.12&lt;/D&gt;&lt;D xsi:type="xsd:double"&gt;61.02&lt;/D&gt;&lt;D xsi:type="xsd:double"&gt;60.65&lt;/D&gt;&lt;D xsi:type="xsd:double"&gt;61.01&lt;/D&gt;&lt;D xsi:type="xsd:double"&gt;61.59&lt;/D&gt;&lt;D xsi:type="xsd:double"&gt;61.76&lt;/D&gt;&lt;D xsi:type="xsd:double"&gt;61.49&lt;/D&gt;&lt;D xsi:type="xsd:double"&gt;61&lt;/D&gt;&lt;D xsi:type="xsd:double"&gt;61&lt;/D&gt;&lt;/FQL&gt;&lt;FQL&gt;&lt;Q&gt;590107-IN^FG_TOTAL_RETURNC(0,-6AM)&lt;/Q&gt;&lt;R&gt;1&lt;/R&gt;&lt;C&gt;1&lt;/C&gt;&lt;D xsi:type="xsd:double"&gt;33.012726&lt;/D&gt;&lt;/FQL&gt;&lt;FQL&gt;&lt;Q&gt;590107-IN^PERCENT_CHANGE(FMA_EPS(+1,0,,,,"PORTAGG","MEAN"),FMA_EPS(+1,-3AM,,,,"PORTAGG","MEAN"))&lt;/Q&gt;&lt;R&gt;1&lt;/R&gt;&lt;C&gt;1&lt;/C&gt;&lt;D xsi:type="xsd:double"&gt;1.71984482921392&lt;/D&gt;&lt;/FQL&gt;&lt;FQL&gt;&lt;Q&gt;543608-IN^FMA_COS_DOWN("EPS","1M",+1,0,,,"PORTAGG","MEANR")&lt;/Q&gt;&lt;R&gt;1&lt;/R&gt;&lt;C&gt;1&lt;/C&gt;&lt;D xsi:type="xsd:double"&gt;11&lt;/D&gt;&lt;/FQL&gt;&lt;FQL&gt;&lt;Q&gt;DIVOPPBEES-IN^FG_TOTAL_RETURNC(-1AM,-7AM)&lt;/Q&gt;&lt;R&gt;1&lt;/R&gt;&lt;C&gt;1&lt;/C&gt;&lt;D xsi:type="xsd:double"&gt;25.673162&lt;/D&gt;&lt;/FQL&gt;&lt;FQL&gt;&lt;Q&gt;543571-IN^FG_TOTAL_RETURNC(-1AM,-7AM)&lt;/Q&gt;&lt;R&gt;1&lt;/R&gt;&lt;C&gt;1&lt;/C&gt;&lt;D xsi:type="xsd:double"&gt;31.52274&lt;/D&gt;&lt;/FQL&gt;&lt;FQL&gt;&lt;Q&gt;538057-IN^FG_TOTAL_RETURNC(0,-3AM)&lt;/Q&gt;&lt;R&gt;1&lt;/R&gt;&lt;C&gt;1&lt;/C&gt;&lt;D xsi:type="xsd:double"&gt;23.454834&lt;/D&gt;&lt;/FQL&gt;&lt;FQL&gt;&lt;Q&gt;543956-IN^FG_TOTAL_RETURNC(0,-3AM)&lt;/Q&gt;&lt;R&gt;1&lt;/R&gt;&lt;C&gt;1&lt;/C&gt;&lt;D xsi:type="xsd:double"&gt;11.289633&lt;/D&gt;&lt;/FQL&gt;&lt;FQL&gt;&lt;Q&gt;543326-IN^FG_TOTAL_RETURNC(0,-3AM)&lt;/Q&gt;&lt;R&gt;1&lt;/R&gt;&lt;C&gt;1&lt;/C&gt;&lt;D xsi:type="xsd:double"&gt;7.1024537&lt;/D&gt;&lt;/FQL&gt;&lt;FQL&gt;&lt;Q&gt;543608-IN^FMA_COS_UP("EPS","1M",+1,0,,,"PORTAGG","MEANR")&lt;/Q&gt;&lt;R&gt;1&lt;/R&gt;&lt;C&gt;1&lt;/C&gt;&lt;D xsi:type="xsd:double"&gt;8&lt;/D&gt;&lt;/FQL&gt;&lt;FQL&gt;&lt;Q&gt;DIVOPPBEES-IN^FG_TOTAL_RETURNC(-1AM,-4AM)&lt;/Q&gt;&lt;R&gt;1&lt;/R&gt;&lt;C&gt;1&lt;/C&gt;&lt;D xsi:type="xsd:double"&gt;1.9648314&lt;/D&gt;&lt;/FQL&gt;&lt;FQL&gt;&lt;Q&gt;543563-IN^FG_TOTAL_RETURNC(0,-1AM)&lt;/Q&gt;&lt;R&gt;1&lt;/R&gt;&lt;C&gt;1&lt;/C&gt;&lt;D xsi:type="xsd:double"&gt;4.953301&lt;/D&gt;&lt;/FQL&gt;&lt;FQL&gt;&lt;Q&gt;543608-IN^P_PRICE(0,-200D)&lt;/Q&gt;&lt;R&gt;201&lt;/R&gt;&lt;C&gt;1&lt;/C&gt;&lt;D xsi:type="xsd:double"&gt;130.9&lt;/D&gt;&lt;D xsi:type="xsd:double"&gt;131.69&lt;/D&gt;&lt;D xsi:type="xsd:double"&gt;130.3&lt;/D&gt;&lt;D xsi:type="xsd:double"&gt;131.27&lt;/D&gt;&lt;D xsi:type="xsd:double"&gt;130.03&lt;/D&gt;&lt;D xsi:type="xsd:double"&gt;128.19&lt;/D&gt;&lt;D xsi:type="xsd:double"&gt;125.84&lt;/D&gt;&lt;D xsi:type="xsd:double"&gt;129.45&lt;/D&gt;&lt;D xsi:type="xsd:double"&gt;130.11&lt;/D&gt;&lt;D xsi:type="xsd:double"&gt;125.69&lt;/D&gt;&lt;D xsi:type="xsd:double"&gt;126.2&lt;/D&gt;&lt;D xsi:type="xsd:double"&gt;127.93&lt;/D&gt;&lt;D xsi:type="xsd:double"&gt;128.78&lt;/D&gt;&lt;D xsi:type="xsd:double"&gt;128.44&lt;/D&gt;&lt;D xsi:type="xsd:double"&gt;128.62&lt;/D&gt;&lt;D xsi:type="xsd:double"&gt;129.03&lt;/D&gt;&lt;D xsi:type="xsd:double"&gt;127.94&lt;/D&gt;&lt;D xsi:type="xsd:double"&gt;127.99&lt;/D&gt;&lt;D xsi:type="xsd:double"&gt;127.41&lt;/D&gt;&lt;D xsi:type="xsd:double"&gt;126.7&lt;/D&gt;&lt;D xsi:type="xsd:double"&gt;126.41&lt;/D&gt;&lt;D xsi:type="xsd:double"&gt;126.09&lt;/D&gt;&lt;D xsi:type="xsd:double"&gt;125.76&lt;/D&gt;&lt;D xsi:type="xsd:double"&gt;125.95&lt;/D&gt;&lt;D xsi:type="xsd:double"&gt;124.73&lt;/D&gt;&lt;D xsi:type="xsd:double"&gt;125.9&lt;/D&gt;&lt;D xsi:type="xsd:double"&gt;125.85&lt;/D&gt;&lt;D xsi:type="xsd:double"&gt;126.4&lt;/D&gt;&lt;D xsi:type="xsd:double"&gt;126.61&lt;/D&gt;&lt;D xsi:type="xsd:double"&gt;126.65&lt;/D&gt;&lt;D xsi:type="xsd:double"&gt;127&lt;/D&gt;&lt;D xsi:type="xsd:double"&gt;127.17&lt;/D&gt;&lt;D xsi:type="xsd:double"&gt;125.68&lt;/D&gt;&lt;D xsi:type="xsd:double"&gt;125.77&lt;/D&gt;&lt;D xsi:type="xsd:double"&gt;124.63&lt;/D&gt;&lt;D xsi:type="xsd:double"&gt;124.06&lt;/D&gt;&lt;D xsi:type="xsd:double"&gt;123.55&lt;/D&gt;&lt;D xsi:type="xsd:double"&gt;122.84&lt;/D&gt;&lt;D xsi:type="xsd:double"&gt;122.36&lt;/D&gt;&lt;D xsi:type="xsd:double"&gt;123.48&lt;/D&gt;&lt;D xsi:type="xsd:double"&gt;128.27&lt;/D&gt;&lt;D xsi:type="xsd:double"&gt;130.11&lt;/D&gt;&lt;D xsi:type="xsd:double"&gt;126.95&lt;/D&gt;&lt;D xsi:type="xsd:double"&gt;126.45&lt;/D&gt;&lt;D xsi:type="xsd:double"&gt;126.27&lt;/D&gt;&lt;D xsi:type="xsd:double"&gt;125.71&lt;/D&gt;&lt;D xsi:type="xsd:double"&gt;124.94&lt;/D&gt;&lt;D xsi:type="xsd:double"&gt;125.25&lt;/D&gt;&lt;D xsi:type="xsd:double"&gt;126.4&lt;/D&gt;&lt;D xsi:type="xsd:double"&gt;125.63&lt;/D&gt;&lt;D xsi:type="xsd:double"&gt;125.24&lt;/D&gt;&lt;D xsi:type="xsd:double"&gt;125.05&lt;/D&gt;&lt;D xsi:type="xsd:double"&gt;123.61&lt;/D&gt;&lt;D xsi:type="xsd:double"&gt;124.5&lt;/D&gt;&lt;D xsi:type="xsd:double"&gt;124.78&lt;/D&gt;&lt;D xsi:type="xsd:double"&gt;123.01&lt;/D&gt;&lt;D xsi:type="xsd:double"&gt;123.9&lt;/D&gt;&lt;D xsi:type="xsd:double"&gt;125.53&lt;/D&gt;&lt;D xsi:type="xsd:double"&gt;126.77&lt;/D&gt;&lt;D xsi:type="xsd:double"&gt;130.06&lt;/D&gt;&lt;D xsi:type="xsd:double"&gt;134.19&lt;/D&gt;&lt;D xsi:type="xsd:double"&gt;126.33&lt;/D&gt;&lt;D xsi:type="xsd:double"&gt;127.93&lt;/D&gt;&lt;D xsi:type="xsd:double"&gt;128.34&lt;/D&gt;&lt;D xsi:type="xsd:double"&gt;127.16&lt;/D&gt;&lt;D xsi:type="xsd:double"&gt;126.4&lt;/D&gt;&lt;D xsi:type="xsd:double"&gt;127.99&lt;/D&gt;&lt;D xsi:type="xsd:double"&gt;127&lt;/D&gt;&lt;D xsi:type="xsd:double"&gt;124.75&lt;/D&gt;&lt;D xsi:type="xsd:double"&gt;126.16&lt;/D&gt;&lt;D xsi:type="xsd:double"&gt;126.48&lt;/D&gt;&lt;D xsi:type="xsd:double"&gt;125.6&lt;/D&gt;&lt;D xsi:type="xsd:double"&gt;127&lt;/D&gt;&lt;D xsi:type="xsd:double"&gt;128.07&lt;/D&gt;&lt;D xsi:type="xsd:double"&gt;127.5&lt;/D&gt;&lt;D xsi:type="xsd:double"&gt;125.83&lt;/D&gt;&lt;D xsi:type="xsd:double"&gt;126.99&lt;/D&gt;&lt;D xsi:type="xsd:double"&gt;127.75&lt;/D&gt;&lt;D xsi:type="xsd:double"&gt;126.06&lt;/D&gt;&lt;D xsi:type="xsd:double"&gt;123.58&lt;/D&gt;&lt;D xsi:type="xsd:double"&gt;124&lt;/D&gt;&lt;D xsi:type="xsd:double"&gt;123.51&lt;/D&gt;&lt;D xsi:type="xsd:double"&gt;124.2&lt;/D&gt;&lt;D xsi:type="xsd:double"&gt;124.81&lt;/D&gt;&lt;D xsi:type="xsd:double"&gt;124.3&lt;/D&gt;&lt;D xsi:type="xsd:double"&gt;124.9&lt;/D&gt;&lt;D xsi:type="xsd:double"&gt;123.5&lt;/D&gt;&lt;D xsi:type="xsd:double"&gt;124.21&lt;/D&gt;&lt;D xsi:type="xsd:double"&gt;122.05&lt;/D&gt;&lt;D xsi:type="xsd:double"&gt;121&lt;/D&gt;&lt;D xsi:type="xsd:double"&gt;120.5&lt;/D&gt;&lt;D xsi:type="xsd:double"&gt;121.05&lt;/D&gt;&lt;D xsi:type="xsd:double"&gt;119.55&lt;/D&gt;&lt;D xsi:type="xsd:double"&gt;120.6&lt;/D&gt;&lt;D xsi:type="xsd:double"&gt;119.6&lt;/D&gt;&lt;D xsi:type="xsd:double"&gt;121.27&lt;/D&gt;&lt;D xsi:type="xsd:double"&gt;120.44&lt;/D&gt;&lt;D xsi:type="xsd:double"&gt;120&lt;/D&gt;&lt;D xsi:type="xsd:double"&gt;120.66&lt;/D&gt;&lt;D xsi:type="xsd:double"&gt;121.78&lt;/D&gt;&lt;D xsi:type="xsd:double"&gt;119.96&lt;/D&gt;&lt;D xsi:type="xsd:double"&gt;117.29&lt;/D&gt;&lt;D xsi:type="xsd:double"&gt;116.4&lt;/D&gt;&lt;D xsi:type="xsd:double"&gt;117.41&lt;/D&gt;&lt;D xsi:type="xsd:double"&gt;116.81&lt;/D&gt;&lt;D xsi:type="xsd:double"&gt;117.57&lt;/D&gt;&lt;D xsi:type="xsd:double"&gt;117.5&lt;/D&gt;&lt;D xsi:type="xsd:double"&gt;116.9&lt;/D&gt;&lt;D xsi:type="xsd:double"&gt;118.16&lt;/D&gt;&lt;D xsi:type="xsd:double"&gt;118.92&lt;/D&gt;&lt;D xsi:type="xsd:double"&gt;118.47&lt;/D&gt;&lt;D xsi:type="xsd:double"&gt;118.03&lt;/D&gt;&lt;D xsi:type="xsd:double"&gt;118.3&lt;/D&gt;&lt;D xsi:type="xsd:double"&gt;117.29&lt;/D&gt;&lt;D xsi:type="xsd:double"&gt;116.42&lt;/D&gt;&lt;D xsi:type="xsd:double"&gt;114.77&lt;/D&gt;&lt;D xsi:type="xsd:double"&gt;114.98&lt;/D&gt;&lt;D xsi:type="xsd:double"&gt;116.2&lt;/D&gt;&lt;D xsi:type="xsd:double"&gt;116.1&lt;/D&gt;&lt;D xsi:type="xsd:double"&gt;116.75&lt;/D&gt;&lt;D xsi:type="xsd:double"&gt;110.13&lt;/D&gt;&lt;D xsi:type="xsd:double"&gt;111.82&lt;/D&gt;&lt;D xsi:type="xsd:double"&gt;112.78&lt;/D&gt;&lt;D xsi:type="xsd:double"&gt;112.4&lt;/D&gt;&lt;D xsi:type="xsd:double"&gt;111.65&lt;/D&gt;&lt;D xsi:type="xsd:double"&gt;112&lt;/D&gt;&lt;D xsi:type="xsd:double"&gt;112.33&lt;/D&gt;&lt;D xsi:type="xsd:double"&gt;111.88&lt;/D&gt;&lt;D xsi:type="xsd:double"&gt;111.75&lt;/D&gt;&lt;D xsi:type="xsd:double"&gt;110.3&lt;/D&gt;&lt;D xsi:type="xsd:double"&gt;108.77&lt;/D&gt;&lt;D xsi:type="xsd:double"&gt;109.5&lt;/D&gt;&lt;D xsi:type="xsd:double"&gt;107.78&lt;/D&gt;&lt;D xsi:type="xsd:double"&gt;108&lt;/D&gt;&lt;D xsi:type="xsd:double"&gt;108.64&lt;/D&gt;&lt;D xsi:type="xsd:double"&gt;107.29&lt;/D&gt;&lt;D xsi:type="xsd:double"&gt;108&lt;/D&gt;&lt;D xsi:type="xsd:double"&gt;107.8&lt;/D&gt;&lt;D xsi:type="xsd:double"&gt;108.05&lt;/D&gt;&lt;D xsi:type="xsd:double"&gt;107.48&lt;/D&gt;&lt;D xsi:type="xsd:double"&gt;105.97&lt;/D&gt;&lt;D xsi:type="xsd:double"&gt;103.44&lt;/D&gt;&lt;D xsi:type="xsd:double"&gt;103.57&lt;/D&gt;&lt;D xsi:type="xsd:double"&gt;104.52&lt;/D&gt;&lt;D xsi:type="xsd:double"&gt;104.67&lt;/D&gt;&lt;D xsi:type="xsd:double"&gt;104.57&lt;/D&gt;&lt;D xsi:type="xsd:double"&gt;104.26&lt;/D&gt;&lt;D xsi:type="xsd:double"&gt;103&lt;/D&gt;&lt;D xsi:type="xsd:double"&gt;103.15&lt;/D&gt;&lt;D xsi:type="xsd:double"&gt;101.75&lt;/D&gt;&lt;D xsi:type="xsd:double"&gt;102.71&lt;/D&gt;&lt;D xsi:type="xsd:double"&gt;102.43&lt;/D&gt;&lt;D xsi:type="xsd:double"&gt;103.35&lt;/D&gt;&lt;D xsi:type="xsd:double"&gt;103.67&lt;/D&gt;&lt;D xsi:type="xsd:double"&gt;102.28&lt;/D&gt;&lt;D xsi:type="xsd:double"&gt;103.3&lt;/D&gt;&lt;D xsi:type="xsd:double"&gt;105.24&lt;/D&gt;&lt;D xsi:type="xsd:double"&gt;105.42&lt;/D&gt;&lt;D xsi:type="xsd:double"&gt;105.3&lt;/D&gt;&lt;D xsi:type="xsd:double"&gt;106.72&lt;/D&gt;&lt;D xsi:type="xsd:double"&gt;105.77&lt;/D&gt;&lt;D xsi:type="xsd:double"&gt;105.77&lt;/D&gt;&lt;D xsi:type="xsd:double"&gt;106.38&lt;/D&gt;&lt;D xsi:type="xsd:double"&gt;106.8&lt;/D&gt;&lt;D xsi:type="xsd:double"&gt;106.1&lt;/D&gt;&lt;D xsi:type="xsd:double"&gt;105.57&lt;/D&gt;&lt;D xsi:type="xsd:double"&gt;105.57&lt;/D&gt;&lt;D xsi:type="xsd:double"&gt;105.05&lt;/D&gt;&lt;D xsi:type="xsd:double"&gt;104.2&lt;/D&gt;&lt;D xsi:type="xsd:double"&gt;104.99&lt;/D&gt;&lt;D xsi:type="xsd:double"&gt;105.65&lt;/D&gt;&lt;D xsi:type="xsd:double"&gt;104.38&lt;/D&gt;&lt;D xsi:type="xsd:double"&gt;106.3&lt;/D&gt;&lt;D xsi:type="xsd:double"&gt;106.17&lt;/D&gt;&lt;D xsi:type="xsd:double"&gt;105.23&lt;/D&gt;&lt;D xsi:type="xsd:double"&gt;106.2&lt;/D&gt;&lt;D xsi:type="xsd:double"&gt;106.35&lt;/D&gt;&lt;D xsi:type="xsd:double"&gt;107&lt;/D&gt;&lt;D xsi:type="xsd:double"&gt;107.51&lt;/D&gt;&lt;D xsi:type="xsd:double"&gt;106.7&lt;/D&gt;&lt;D xsi:type="xsd:double"&gt;107.06&lt;/D&gt;&lt;D xsi:type="xsd:double"&gt;106.7&lt;/D&gt;&lt;D xsi:type="xsd:double"&gt;106.61&lt;/D&gt;&lt;D xsi:type="xsd:double"&gt;104.72&lt;/D&gt;&lt;D xsi:type="xsd:double"&gt;104.78&lt;/D&gt;&lt;D xsi:type="xsd:double"&gt;105.05&lt;/D&gt;&lt;D xsi:type="xsd:double"&gt;104.3&lt;/D&gt;&lt;D xsi:type="xsd:double"&gt;104.21&lt;/D&gt;&lt;D xsi:type="xsd:double"&gt;104&lt;/D&gt;&lt;D xsi:type="xsd:double"&gt;102.5&lt;/D&gt;&lt;D xsi:type="xsd:double"&gt;101.75&lt;/D&gt;&lt;D xsi:type="xsd:double"&gt;102.35&lt;/D&gt;&lt;D xsi:type="xsd:double"&gt;101.89&lt;/D&gt;&lt;D xsi:type="xsd:double"&gt;101&lt;/D&gt;&lt;D xsi:type="xsd:double"&gt;101&lt;/D&gt;&lt;D xsi:type="xsd:double"&gt;99.53&lt;/D&gt;&lt;D xsi:type="xsd:double"&gt;102.23&lt;/D&gt;&lt;D xsi:type="xsd:double"&gt;101.06&lt;/D&gt;&lt;D xsi:type="xsd:double"&gt;101.48&lt;/D&gt;&lt;D xsi:type="xsd:double"&gt;101.4&lt;/D&gt;&lt;D xsi:type="xsd:double"&gt;102.58&lt;/D&gt;&lt;/FQL&gt;&lt;FQL&gt;&lt;Q&gt;543454-IN^FG_TOTAL_RETURNC(-1AM,-2AM)&lt;/Q&gt;&lt;R&gt;1&lt;/R&gt;&lt;C&gt;1&lt;/C&gt;&lt;D xsi:type="xsd:double"&gt;3.4965038&lt;/D&gt;&lt;/FQL&gt;&lt;FQL&gt;&lt;Q&gt;538057-IN^FG_TOTAL_RETURNC(0,-1AM)&lt;/Q&gt;&lt;R&gt;1&lt;/R&gt;&lt;C&gt;1&lt;/C&gt;&lt;D xsi:type="xsd:double"&gt;10.601044&lt;/D&gt;&lt;/FQL&gt;&lt;FQL&gt;&lt;Q&gt;543465-IN^PERCENT_CHANGE(FMA_EPS(+1,0,,,,"PORTAGG","MEAN"),FMA_EPS(+1,-3AM,,,,"PORTAGG","MEAN"))&lt;/Q&gt;&lt;R&gt;1&lt;/R&gt;&lt;C&gt;1&lt;/C&gt;&lt;D xsi:type="xsd:double"&gt;5.08018649629823&lt;/D&gt;&lt;/FQL&gt;&lt;FQL&gt;&lt;Q&gt;590107-IN^FMA_PCT_ABOVE_MAVG(200,0,,,,"PORTAGG")&lt;/Q&gt;&lt;R&gt;1&lt;/R&gt;&lt;C&gt;1&lt;/C&gt;&lt;D xsi:type="xsd:double"&gt;92.3076923076923&lt;/D&gt;&lt;/FQL&gt;&lt;FQL&gt;&lt;Q&gt;590107-IN^PERCENT_CHANGE(FMA_EPS(+1,0,,,,"PORTAGG","MEAN"),FMA_EPS(+1,-1AM,,,,"PORTAGG","MEAN"))&lt;/Q&gt;&lt;R&gt;1&lt;/R&gt;&lt;C&gt;1&lt;/C&gt;&lt;D xsi:type="xsd:double"&gt;3.35671824553816&lt;/D&gt;&lt;/FQL&gt;&lt;FQL&gt;&lt;Q&gt;543956-IN^FG_TOTAL_RETURNC(0,-1AM)&lt;/Q&gt;&lt;R&gt;1&lt;/R&gt;&lt;C&gt;1&lt;/C&gt;&lt;D xsi:type="xsd:double"&gt;9.830868&lt;/D&gt;&lt;/FQL&gt;&lt;FQL&gt;&lt;Q&gt;543454-IN^P_PRICE(0)/P_PRICE_LOW_PR(0,,,,,,"PRICE","CLOSE","52W")&lt;/Q&gt;&lt;R&gt;1&lt;/R&gt;&lt;C&gt;1&lt;/C&gt;&lt;D xsi:type="xsd:double"&gt;1.6188949&lt;/D&gt;&lt;/FQL&gt;&lt;FQL&gt;&lt;Q&gt;DIVOPPBEES-IN^PERCENT_CHANGE(FMA_EPS(+1,0,,,,"PORTAGG","MEAN"),FMA_EPS(+1,-3AM,,,,"PORTAGG","MEAN"))&lt;/Q&gt;&lt;R&gt;0&lt;/R&gt;&lt;C&gt;0&lt;/C&gt;&lt;/FQL&gt;&lt;FQL&gt;&lt;Q&gt;543348-IN^FG_TOTAL_RETURNC(-1AM,-2AM)&lt;/Q&gt;&lt;R&gt;1&lt;/R&gt;&lt;C&gt;1&lt;/C&gt;&lt;D xsi:type="xsd:double"&gt;-0.28020144&lt;/D&gt;&lt;/FQL&gt;&lt;FQL&gt;&lt;Q&gt;543571-IN^FG_TOTAL_RETURNC(-1AM,-4AM)&lt;/Q&gt;&lt;R&gt;1&lt;/R&gt;&lt;C&gt;1&lt;/C&gt;&lt;D xsi:type="xsd:double"&gt;5.211687&lt;/D&gt;&lt;/FQL&gt;&lt;FQL&gt;&lt;Q&gt;543571-IN^P_PRICE(0)/P_PRICE_LOW_PR(0,,,,,,"PRICE","CLOSE","52W")&lt;/Q&gt;&lt;R&gt;1&lt;/R&gt;&lt;C&gt;1&lt;/C&gt;&lt;D xsi:type="xsd:double"&gt;1.6027637&lt;/D&gt;&lt;/FQL&gt;&lt;FQL&gt;&lt;Q&gt;543666-IN^FMA_COS_DOWN("EPS","1M",+1,0,,,"PORTAGG","MEANR")&lt;/Q&gt;&lt;R&gt;1&lt;/R&gt;&lt;C&gt;1&lt;/C&gt;&lt;D xsi:type="xsd:double"&gt;4&lt;/D&gt;&lt;/FQL&gt;&lt;FQL&gt;&lt;Q&gt;590107-IN^FMA_COS_DOWN("EPS","1M",+1,0,,,"PORTAGG","MEANR")&lt;/Q&gt;&lt;R&gt;1&lt;/R&gt;&lt;C&gt;1&lt;/C&gt;&lt;D xsi:type="xsd:double"&gt;3&lt;/D&gt;&lt;/FQL&gt;&lt;FQL&gt;&lt;Q&gt;DIVOPPBEES-IN^FG_TOTAL_RETURNC(-1AM,-2AM)&lt;/Q&gt;&lt;R&gt;1&lt;/R&gt;&lt;C&gt;1&lt;/C&gt;&lt;D xsi:type="xsd:double"&gt;-0.24197102&lt;/D&gt;&lt;/FQL&gt;&lt;FQL&gt;&lt;Q&gt;543563-IN^P_PRICE(0,-200D)&lt;/Q&gt;&lt;R&gt;201&lt;/R&gt;&lt;C&gt;1&lt;/C&gt;&lt;D xsi:type="xsd:double"&gt;37.08&lt;/D&gt;&lt;D xsi:type="xsd:double"&gt;37.03&lt;/D&gt;&lt;D xsi:type="xsd:double"&gt;36.65&lt;/D&gt;&lt;D xsi:type="xsd:double"&gt;36.8&lt;/D&gt;&lt;D xsi:type="xsd:double"&gt;36.2&lt;/D&gt;&lt;D xsi:type="xsd:double"&gt;35.69&lt;/D&gt;&lt;D xsi:type="xsd:double"&gt;35.84&lt;/D&gt;&lt;D xsi:type="xsd:double"&gt;35.57&lt;/D&gt;&lt;D xsi:type="xsd:double"&gt;35.64&lt;/D&gt;&lt;D xsi:type="xsd:double"&gt;35.1&lt;/D&gt;&lt;D xsi:type="xsd:double"&gt;35.6&lt;/D&gt;&lt;D xsi:type="xsd:double"&gt;35.89&lt;/D&gt;&lt;D xsi:type="xsd:double"&gt;35.85&lt;/D&gt;&lt;D xsi:type="xsd:double"&gt;35.88&lt;/D&gt;&lt;D xsi:type="xsd:double"&gt;35.93&lt;/D&gt;&lt;D xsi:type="xsd:double"&gt;35.85&lt;/D&gt;&lt;D xsi:type="xsd:double"&gt;35.87&lt;/D&gt;&lt;D xsi:type="xsd:double"&gt;36.12&lt;/D&gt;&lt;D xsi:type="xsd:double"&gt;35.62&lt;/D&gt;&lt;D xsi:type="xsd:double"&gt;35.72&lt;/D&gt;&lt;D xsi:type="xsd:double"&gt;35.53&lt;/D&gt;&lt;D xsi:type="xsd:double"&gt;35.47&lt;/D&gt;&lt;D xsi:type="xsd:double"&gt;35.33&lt;/D&gt;&lt;D xsi:type="xsd:double"&gt;35.13&lt;/D&gt;&lt;D xsi:type="xsd:double"&gt;34.72&lt;/D&gt;&lt;D xsi:type="xsd:double"&gt;35.47&lt;/D&gt;&lt;D xsi:type="xsd:double"&gt;35.16&lt;/D&gt;&lt;D xsi:type="xsd:double"&gt;36&lt;/D&gt;&lt;D xsi:type="xsd:double"&gt;35.72&lt;/D&gt;&lt;D xsi:type="xsd:double"&gt;35.93&lt;/D&gt;&lt;D xsi:type="xsd:double"&gt;35.71&lt;/D&gt;&lt;D xsi:type="xsd:double"&gt;35.68&lt;/D&gt;&lt;D xsi:type="xsd:double"&gt;35.42&lt;/D&gt;&lt;D xsi:type="xsd:double"&gt;35.6&lt;/D&gt;&lt;D xsi:type="xsd:double"&gt;35.26&lt;/D&gt;&lt;D xsi:type="xsd:double"&gt;34.72&lt;/D&gt;&lt;D xsi:type="xsd:double"&gt;35.05&lt;/D&gt;&lt;D xsi:type="xsd:double"&gt;34.76&lt;/D&gt;&lt;D xsi:type="xsd:double"&gt;34.93&lt;/D&gt;&lt;D xsi:type="xsd:double"&gt;35.29&lt;/D&gt;&lt;D xsi:type="xsd:double"&gt;35.29&lt;/D&gt;&lt;D xsi:type="xsd:double"&gt;35.56&lt;/D&gt;&lt;D xsi:type="xsd:double"&gt;35.95&lt;/D&gt;&lt;D xsi:type="xsd:double"&gt;35.92&lt;/D&gt;&lt;D xsi:type="xsd:double"&gt;35.8&lt;/D&gt;&lt;D xsi:type="xsd:double"&gt;35.8&lt;/D&gt;&lt;D xsi:type="xsd:double"&gt;35.62&lt;/D&gt;&lt;D xsi:type="xsd:double"&gt;35.61&lt;/D&gt;&lt;D xsi:type="xsd:double"&gt;35.73&lt;/D&gt;&lt;D xsi:type="xsd:double"&gt;35.53&lt;/D&gt;&lt;D xsi:type="xsd:double"&gt;35.3&lt;/D&gt;&lt;D xsi:type="xsd:double"&gt;34.38&lt;/D&gt;&lt;D xsi:type="xsd:double"&gt;34.95&lt;/D&gt;&lt;D xsi:type="xsd:double"&gt;34.85&lt;/D&gt;&lt;D xsi:type="xsd:double"&gt;34.59&lt;/D&gt;&lt;D xsi:type="xsd:double"&gt;34.22&lt;/D&gt;&lt;D xsi:type="xsd:double"&gt;34&lt;/D&gt;&lt;D xsi:type="xsd:double"&gt;34.39&lt;/D&gt;&lt;D xsi:type="xsd:double"&gt;34.36&lt;/D&gt;&lt;D xsi:type="xsd:double"&gt;34.68&lt;/D&gt;&lt;D xsi:type="xsd:double"&gt;34.22&lt;/D&gt;&lt;D xsi:type="xsd:double"&gt;35.07&lt;/D&gt;&lt;D xsi:type="xsd:double"&gt;35.07&lt;/D&gt;&lt;D xsi:type="xsd:double"&gt;35.31&lt;/D&gt;&lt;D xsi:type="xsd:double"&gt;35.16&lt;/D&gt;&lt;D xsi:type="xsd:double"&gt;35&lt;/D&gt;&lt;D xsi:type="xsd:double"&gt;35.11&lt;/D&gt;&lt;D xsi:type="xsd:double"&gt;35.25&lt;/D&gt;&lt;D xsi:type="xsd:double"&gt;35.37&lt;/D&gt;&lt;D xsi:type="xsd:double"&gt;35.64&lt;/D&gt;&lt;D xsi:type="xsd:double"&gt;36.2&lt;/D&gt;&lt;D xsi:type="xsd:double"&gt;35.99&lt;/D&gt;&lt;D xsi:type="xsd:double"&gt;36.14&lt;/D&gt;&lt;D xsi:type="xsd:double"&gt;36.45&lt;/D&gt;&lt;D xsi:type="xsd:double"&gt;36.04&lt;/D&gt;&lt;D xsi:type="xsd:double"&gt;36.03&lt;/D&gt;&lt;D xsi:type="xsd:double"&gt;36.25&lt;/D&gt;&lt;D xsi:type="xsd:double"&gt;35.69&lt;/D&gt;&lt;D xsi:type="xsd:double"&gt;35.39&lt;/D&gt;&lt;D xsi:type="xsd:double"&gt;35.43&lt;/D&gt;&lt;D xsi:type="xsd:double"&gt;35.56&lt;/D&gt;&lt;D xsi:type="xsd:double"&gt;35.34&lt;/D&gt;&lt;D xsi:type="xsd:double"&gt;35.21&lt;/D&gt;&lt;D xsi:type="xsd:double"&gt;35.02&lt;/D&gt;&lt;D xsi:type="xsd:double"&gt;35.13&lt;/D&gt;&lt;D xsi:type="xsd:double"&gt;34.76&lt;/D&gt;&lt;D xsi:type="xsd:double"&gt;34.56&lt;/D&gt;&lt;D xsi:type="xsd:double"&gt;33.99&lt;/D&gt;&lt;D xsi:type="xsd:double"&gt;34.1&lt;/D&gt;&lt;D xsi:type="xsd:double"&gt;34.08&lt;/D&gt;&lt;D xsi:type="xsd:double"&gt;33.02&lt;/D&gt;&lt;D xsi:type="xsd:double"&gt;33.38&lt;/D&gt;&lt;D xsi:type="xsd:double"&gt;33.7&lt;/D&gt;&lt;D xsi:type="xsd:double"&gt;33.68&lt;/D&gt;&lt;D xsi:type="xsd:double"&gt;33.14&lt;/D&gt;&lt;D xsi:type="xsd:double"&gt;33&lt;/D&gt;&lt;D xsi:type="xsd:double"&gt;32.97&lt;/D&gt;&lt;D xsi:type="xsd:double"&gt;32.77&lt;/D&gt;&lt;D xsi:type="xsd:double"&gt;32.96&lt;/D&gt;&lt;D xsi:type="xsd:double"&gt;33.19&lt;/D&gt;&lt;D xsi:type="xsd:double"&gt;32.98&lt;/D&gt;&lt;D xsi:type="xsd:double"&gt;33.03&lt;/D&gt;&lt;D xsi:type="xsd:double"&gt;32.9&lt;/D&gt;&lt;D xsi:type="xsd:double"&gt;32.7&lt;/D&gt;&lt;D xsi:type="xsd:double"&gt;32.46&lt;/D&gt;&lt;D xsi:type="xsd:double"&gt;32.79&lt;/D&gt;&lt;D xsi:type="xsd:double"&gt;32.88&lt;/D&gt;&lt;D xsi:type="xsd:double"&gt;32.43&lt;/D&gt;&lt;D xsi:type="xsd:double"&gt;32.39&lt;/D&gt;&lt;D xsi:type="xsd:double"&gt;31.93&lt;/D&gt;&lt;D xsi:type="xsd:double"&gt;31.49&lt;/D&gt;&lt;D xsi:type="xsd:double"&gt;31.71&lt;/D&gt;&lt;D xsi:type="xsd:double"&gt;31.4&lt;/D&gt;&lt;D xsi:type="xsd:double"&gt;31.25&lt;/D&gt;&lt;D xsi:type="xsd:double"&gt;30.74&lt;/D&gt;&lt;D xsi:type="xsd:double"&gt;30.41&lt;/D&gt;&lt;D xsi:type="xsd:double"&gt;30.65&lt;/D&gt;&lt;D xsi:type="xsd:double"&gt;31&lt;/D&gt;&lt;D xsi:type="xsd:double"&gt;31.2&lt;/D&gt;&lt;D xsi:type="xsd:double"&gt;31.22&lt;/D&gt;&lt;D xsi:type="xsd:double"&gt;30.58&lt;/D&gt;&lt;D xsi:type="xsd:double"&gt;30.94&lt;/D&gt;&lt;D xsi:type="xsd:double"&gt;30.08&lt;/D&gt;&lt;D xsi:type="xsd:double"&gt;30.42&lt;/D&gt;&lt;D xsi:type="xsd:double"&gt;30.51&lt;/D&gt;&lt;D xsi:type="xsd:double"&gt;30.6&lt;/D&gt;&lt;D xsi:type="xsd:double"&gt;30.67&lt;/D&gt;&lt;D xsi:type="xsd:double"&gt;30.58&lt;/D&gt;&lt;D xsi:type="xsd:double"&gt;30.76&lt;/D&gt;&lt;D xsi:type="xsd:double"&gt;30.59&lt;/D&gt;&lt;D xsi:type="xsd:double"&gt;30.3&lt;/D&gt;&lt;D xsi:type="xsd:double"&gt;30.1&lt;/D&gt;&lt;D xsi:type="xsd:double"&gt;29.72&lt;/D&gt;&lt;D xsi:type="xsd:double"&gt;30&lt;/D&gt;&lt;D xsi:type="xsd:double"&gt;29.73&lt;/D&gt;&lt;D xsi:type="xsd:double"&gt;29.96&lt;/D&gt;&lt;D xsi:type="xsd:double"&gt;30.03&lt;/D&gt;&lt;D xsi:type="xsd:double"&gt;29.85&lt;/D&gt;&lt;D xsi:type="xsd:double"&gt;29.59&lt;/D&gt;&lt;D xsi:type="xsd:double"&gt;29.48&lt;/D&gt;&lt;D xsi:type="xsd:double"&gt;29.05&lt;/D&gt;&lt;D xsi:type="xsd:double"&gt;28.82&lt;/D&gt;&lt;D xsi:type="xsd:double"&gt;28.7&lt;/D&gt;&lt;D xsi:type="xsd:double"&gt;29.01&lt;/D&gt;&lt;D xsi:type="xsd:double"&gt;28.79&lt;/D&gt;&lt;D xsi:type="xsd:double"&gt;28.52&lt;/D&gt;&lt;D xsi:type="xsd:double"&gt;28.36&lt;/D&gt;&lt;D xsi:type="xsd:double"&gt;28.1&lt;/D&gt;&lt;D xsi:type="xsd:double"&gt;27.83&lt;/D&gt;&lt;D xsi:type="xsd:double"&gt;27.68&lt;/D&gt;&lt;D xsi:type="xsd:double"&gt;27.99&lt;/D&gt;&lt;D xsi:type="xsd:double"&gt;27.6&lt;/D&gt;&lt;D xsi:type="xsd:double"&gt;27.73&lt;/D&gt;&lt;D xsi:type="xsd:double"&gt;27.18&lt;/D&gt;&lt;D xsi:type="xsd:double"&gt;27.5&lt;/D&gt;&lt;D xsi:type="xsd:double"&gt;27.84&lt;/D&gt;&lt;D xsi:type="xsd:double"&gt;28.09&lt;/D&gt;&lt;D xsi:type="xsd:double"&gt;28.48&lt;/D&gt;&lt;D xsi:type="xsd:double"&gt;28.49&lt;/D&gt;&lt;D xsi:type="xsd:double"&gt;28.63&lt;/D&gt;&lt;D xsi:type="xsd:double"&gt;28.59&lt;/D&gt;&lt;D xsi:type="xsd:double"&gt;28.62&lt;/D&gt;&lt;D xsi:type="xsd:double"&gt;28.46&lt;/D&gt;&lt;D xsi:type="xsd:double"&gt;28.47&lt;/D&gt;&lt;D xsi:type="xsd:double"&gt;28.32&lt;/D&gt;&lt;D xsi:type="xsd:double"&gt;28.37&lt;/D&gt;&lt;D xsi:type="xsd:double"&gt;28.3&lt;/D&gt;&lt;D xsi:type="xsd:double"&gt;28.07&lt;/D&gt;&lt;D xsi:type="xsd:double"&gt;28.15&lt;/D&gt;&lt;D xsi:type="xsd:double"&gt;28.62&lt;/D&gt;&lt;D xsi:type="xsd:double"&gt;28.7&lt;/D&gt;&lt;D xsi:type="xsd:double"&gt;28.28&lt;/D&gt;&lt;D xsi:type="xsd:double"&gt;28.34&lt;/D&gt;&lt;D xsi:type="xsd:double"&gt;28.47&lt;/D&gt;&lt;D xsi:type="xsd:double"&gt;28.27&lt;/D&gt;&lt;D xsi:type="xsd:double"&gt;27.96&lt;/D&gt;&lt;D xsi:type="xsd:double"&gt;29.03&lt;/D&gt;&lt;D xsi:type="xsd:double"&gt;28.71&lt;/D&gt;&lt;D xsi:type="xsd:double"&gt;28.77&lt;/D&gt;&lt;D xsi:type="xsd:double"&gt;29&lt;/D&gt;&lt;D xsi:type="xsd:double"&gt;28.9&lt;/D&gt;&lt;D xsi:type="xsd:double"&gt;28.56&lt;/D&gt;&lt;D xsi:type="xsd:double"&gt;28.44&lt;/D&gt;&lt;D xsi:type="xsd:double"&gt;28.78&lt;/D&gt;&lt;D xsi:type="xsd:double"&gt;28.4&lt;/D&gt;&lt;D xsi:type="xsd:double"&gt;28.54&lt;/D&gt;&lt;D xsi:type="xsd:double"&gt;28.71&lt;/D&gt;&lt;D xsi:type="xsd:double"&gt;28.37&lt;/D&gt;&lt;D xsi:type="xsd:double"&gt;28&lt;/D&gt;&lt;D xsi:type="xsd:double"&gt;28.4&lt;/D&gt;&lt;D xsi:type="xsd:double"&gt;28.61&lt;/D&gt;&lt;D xsi:type="xsd:double"&gt;28.22&lt;/D&gt;&lt;D xsi:type="xsd:double"&gt;28.03&lt;/D&gt;&lt;D xsi:type="xsd:double"&gt;28.39&lt;/D&gt;&lt;D xsi:type="xsd:double"&gt;27.78&lt;/D&gt;&lt;D xsi:type="xsd:double"&gt;28.11&lt;/D&gt;&lt;D xsi:type="xsd:double"&gt;28.1&lt;/D&gt;&lt;D xsi:type="xsd:double"&gt;28.52&lt;/D&gt;&lt;D xsi:type="xsd:double"&gt;28.17&lt;/D&gt;&lt;D xsi:type="xsd:double"&gt;28.1&lt;/D&gt;&lt;D xsi:type="xsd:double"&gt;29.7&lt;/D&gt;&lt;/FQL&gt;&lt;FQL&gt;&lt;Q&gt;543563-IN^FG_TOTAL_RETURNC(0,-3AM)&lt;/Q&gt;&lt;R&gt;1&lt;/R&gt;&lt;C&gt;1&lt;/C&gt;&lt;D xsi:type="xsd:double"&gt;8.357692&lt;/D&gt;&lt;/FQL&gt;&lt;FQL&gt;&lt;Q&gt;543454-IN^PERCENT_CHANGE(FMA_EPS(+1,0,,,,"PORTAGG","MEAN"),FMA_EPS(+1,-3AM,,,,"PORTAGG","MEAN"))&lt;/Q&gt;&lt;R&gt;1&lt;/R&gt;&lt;C&gt;1&lt;/C&gt;&lt;D xsi:type="xsd:double"&gt;0.959869034868922&lt;/D&gt;&lt;/FQL&gt;&lt;FQL&gt;&lt;Q&gt;543348-IN^FMA_PCT_ABOVE_MAVG(200,0,,,,"PORTAGG")&lt;/Q&gt;&lt;R&gt;1&lt;/R&gt;&lt;C&gt;1&lt;/C&gt;&lt;D xsi:type="xsd:double"&gt;85.7142857142857&lt;/D&gt;&lt;/FQL&gt;&lt;FQL&gt;&lt;Q&gt;543627-IN^FMA_COS_UP("EPS","1M",+1,0,,,"PORTAGG","MEANR")&lt;/Q&gt;&lt;R&gt;0&lt;/R&gt;&lt;C&gt;0&lt;/C&gt;&lt;/FQL&gt;&lt;FQL&gt;&lt;Q&gt;543348-IN^FMA_COS_DOWN("EPS","1M",+1,0,,,"PORTAGG","MEANR")&lt;/Q&gt;&lt;R&gt;1&lt;/R&gt;&lt;C&gt;1&lt;/C&gt;&lt;D xsi:type="xsd:double"&gt;10&lt;/D&gt;&lt;/FQL&gt;&lt;FQL&gt;&lt;Q&gt;543627-IN^FG_TOTAL_RETURNC(-1AM,-4AM)&lt;/Q&gt;&lt;R&gt;1&lt;/R&gt;&lt;C&gt;1&lt;/C&gt;&lt;D xsi:type="xsd:double"&gt;0.7270813&lt;/D&gt;&lt;/FQL&gt;&lt;FQL&gt;&lt;Q&gt;543710-IN^FG_TOTAL_RETURNC(-1AM,-4AM)&lt;/Q&gt;&lt;R&gt;1&lt;/R&gt;&lt;C&gt;1&lt;/C&gt;&lt;D xsi:type="xsd:double"&gt;5.9310555&lt;/D&gt;&lt;/FQL&gt;&lt;FQL&gt;&lt;Q&gt;590107-IN^FG_TOTAL_RETURNC(-1AM,-4AM)&lt;/Q&gt;&lt;R&gt;1&lt;/R&gt;&lt;C&gt;1&lt;/C&gt;&lt;D xsi:type="xsd:double"&gt;4.797089&lt;/D&gt;&lt;/FQL&gt;&lt;FQL&gt;&lt;Q&gt;540787-IN^FG_TOTAL_RETURNC(0,-1AM)&lt;/Q&gt;&lt;R&gt;1&lt;/R&gt;&lt;C&gt;1&lt;/C&gt;&lt;D xsi:type="xsd:double"&gt;7.4134946&lt;/D&gt;&lt;/FQL&gt;&lt;FQL&gt;&lt;Q&gt;543666-IN^FG_TOTAL_RETURNC(0,-1AM)&lt;/Q&gt;&lt;R&gt;1&lt;/R&gt;&lt;C&gt;1&lt;/C&gt;&lt;D xsi:type="xsd:double"&gt;4.0833354&lt;/D&gt;&lt;/FQL&gt;&lt;FQL&gt;&lt;Q&gt;543348-IN^FG_TOTAL_RETURNC(0,-1AM)&lt;/Q&gt;&lt;R&gt;1&lt;/R&gt;&lt;C&gt;1&lt;/C&gt;&lt;D xsi:type="xsd:double"&gt;3.305781&lt;/D&gt;&lt;/FQL&gt;&lt;FQL&gt;&lt;Q&gt;543465-IN^P_PRICE(0,-200D)&lt;/Q&gt;&lt;R&gt;201&lt;/R&gt;&lt;C&gt;1&lt;/C&gt;&lt;D xsi:type="xsd:double"&gt;72.35&lt;/D&gt;&lt;D xsi:type="xsd:double"&gt;71.81&lt;/D&gt;&lt;D xsi:type="xsd:double"&gt;71.25&lt;/D&gt;&lt;D xsi:type="xsd:double"&gt;70.75&lt;/D&gt;&lt;D xsi:type="xsd:double"&gt;70.2&lt;/D&gt;&lt;D xsi:type="xsd:double"&gt;69.07&lt;/D&gt;&lt;D xsi:type="xsd:double"&gt;67.71&lt;/D&gt;&lt;D xsi:type="xsd:double"&gt;70.13&lt;/D&gt;&lt;D xsi:type="xsd:double"&gt;72.68&lt;/D&gt;&lt;D xsi:type="xsd:double"&gt;69.31&lt;/D&gt;&lt;D xsi:type="xsd:double"&gt;69.1&lt;/D&gt;&lt;D xsi:type="xsd:double"&gt;70.25&lt;/D&gt;&lt;D xsi:type="xsd:double"&gt;70.07&lt;/D&gt;&lt;D xsi:type="xsd:double"&gt;70.67&lt;/D&gt;&lt;D xsi:type="xsd:double"&gt;70.49&lt;/D&gt;&lt;D xsi:type="xsd:double"&gt;69.6&lt;/D&gt;&lt;D xsi:type="xsd:double"&gt;69.22&lt;/D&gt;&lt;D xsi:type="xsd:double"&gt;69.05&lt;/D&gt;&lt;D xsi:type="xsd:double"&gt;67.85&lt;/D&gt;&lt;D xsi:type="xsd:double"&gt;67.16&lt;/D&gt;&lt;D xsi:type="xsd:double"&gt;66.48&lt;/D&gt;&lt;D xsi:type="xsd:double"&gt;66.15&lt;/D&gt;&lt;D xsi:type="xsd:double"&gt;65.43&lt;/D&gt;&lt;D xsi:type="xsd:double"&gt;65.51&lt;/D&gt;&lt;D xsi:type="xsd:double"&gt;64.79&lt;/D&gt;&lt;D xsi:type="xsd:double"&gt;65.9&lt;/D&gt;&lt;D xsi:type="xsd:double"&gt;64.63&lt;/D&gt;&lt;D xsi:type="xsd:double"&gt;66.01&lt;/D&gt;&lt;D xsi:type="xsd:double"&gt;67.16&lt;/D&gt;&lt;D xsi:type="xsd:double"&gt;66.96&lt;/D&gt;&lt;D xsi:type="xsd:double"&gt;65.99&lt;/D&gt;&lt;D xsi:type="xsd:double"&gt;64.88&lt;/D&gt;&lt;D xsi:type="xsd:double"&gt;65.13&lt;/D&gt;&lt;D xsi:type="xsd:double"&gt;64.48&lt;/D&gt;&lt;D xsi:type="xsd:double"&gt;63.48&lt;/D&gt;&lt;D xsi:type="xsd:double"&gt;63.21&lt;/D&gt;&lt;D xsi:type="xsd:double"&gt;63.02&lt;/D&gt;&lt;D xsi:type="xsd:double"&gt;62.08&lt;/D&gt;&lt;D xsi:type="xsd:double"&gt;62.33&lt;/D&gt;&lt;D xsi:type="xsd:double"&gt;63.09&lt;/D&gt;&lt;D xsi:type="xsd:double"&gt;63&lt;/D&gt;&lt;D xsi:type="xsd:double"&gt;63.51&lt;/D&gt;&lt;D xsi:type="xsd:double"&gt;64&lt;/D&gt;&lt;D xsi:type="xsd:double"&gt;63.52&lt;/D&gt;&lt;D xsi:type="xsd:double"&gt;63.8&lt;/D&gt;&lt;D xsi:type="xsd:double"&gt;63.63&lt;/D&gt;&lt;D xsi:type="xsd:double"&gt;63.77&lt;/D&gt;&lt;D xsi:type="xsd:double"&gt;63.73&lt;/D&gt;&lt;D xsi:type="xsd:double"&gt;63.44&lt;/D&gt;&lt;D xsi:type="xsd:double"&gt;63.05&lt;/D&gt;&lt;D xsi:type="xsd:double"&gt;62.45&lt;/D&gt;&lt;D xsi:type="xsd:double"&gt;61.36&lt;/D&gt;&lt;D xsi:type="xsd:double"&gt;61.65&lt;/D&gt;&lt;D xsi:type="xsd:double"&gt;61.31&lt;/D&gt;&lt;D xsi:type="xsd:double"&gt;60.49&lt;/D&gt;&lt;D xsi:type="xsd:double"&gt;59.05&lt;/D&gt;&lt;D xsi:type="xsd:double"&gt;59.03&lt;/D&gt;&lt;D xsi:type="xsd:double"&gt;60.02&lt;/D&gt;&lt;D xsi:type="xsd:double"&gt;59.74&lt;/D&gt;&lt;D xsi:type="xsd:double"&gt;60.81&lt;/D&gt;&lt;D xsi:type="xsd:double"&gt;60.42&lt;/D&gt;&lt;D xsi:type="xsd:double"&gt;62.76&lt;/D&gt;&lt;D xsi:type="xsd:double"&gt;63.59&lt;/D&gt;&lt;D xsi:type="xsd:double"&gt;63.44&lt;/D&gt;&lt;D xsi:type="xsd:double"&gt;63.03&lt;/D&gt;&lt;D xsi:type="xsd:double"&gt;62.96&lt;/D&gt;&lt;D xsi:type="xsd:double"&gt;62.94&lt;/D&gt;&lt;D xsi:type="xsd:double"&gt;61.45&lt;/D&gt;&lt;D xsi:type="xsd:double"&gt;60.48&lt;/D&gt;&lt;D xsi:type="xsd:double"&gt;60.44&lt;/D&gt;&lt;D xsi:type="xsd:double"&gt;61.08&lt;/D&gt;&lt;D xsi:type="xsd:double"&gt;61.16&lt;/D&gt;&lt;D xsi:type="xsd:double"&gt;61.28&lt;/D&gt;&lt;D xsi:type="xsd:double"&gt;61.01&lt;/D&gt;&lt;D xsi:type="xsd:double"&gt;60.22&lt;/D&gt;&lt;D xsi:type="xsd:double"&gt;61.13&lt;/D&gt;&lt;D xsi:type="xsd:double"&gt;61.38&lt;/D&gt;&lt;D xsi:type="xsd:double"&gt;61.47&lt;/D&gt;&lt;D xsi:type="xsd:double"&gt;60.87&lt;/D&gt;&lt;D xsi:type="xsd:double"&gt;60.06&lt;/D&gt;&lt;D xsi:type="xsd:double"&gt;59.09&lt;/D&gt;&lt;D xsi:type="xsd:double"&gt;59.02&lt;/D&gt;&lt;D xsi:type="xsd:double"&gt;59.96&lt;/D&gt;&lt;D xsi:type="xsd:double"&gt;60.69&lt;/D&gt;&lt;D xsi:type="xsd:double"&gt;60.08&lt;/D&gt;&lt;D xsi:type="xsd:double"&gt;59.61&lt;/D&gt;&lt;D xsi:type="xsd:double"&gt;59.61&lt;/D&gt;&lt;D xsi:type="xsd:double"&gt;58.98&lt;/D&gt;&lt;D xsi:type="xsd:double"&gt;58.01&lt;/D&gt;&lt;D xsi:type="xsd:double"&gt;58.46&lt;/D&gt;&lt;D xsi:type="xsd:double"&gt;58.18&lt;/D&gt;&lt;D xsi:type="xsd:double"&gt;58.15&lt;/D&gt;&lt;D xsi:type="xsd:double"&gt;56.91&lt;/D&gt;&lt;D xsi:type="xsd:double"&gt;56.65&lt;/D&gt;&lt;D xsi:type="xsd:double"&gt;55.3&lt;/D&gt;&lt;D xsi:type="xsd:double"&gt;56.59&lt;/D&gt;&lt;D xsi:type="xsd:double"&gt;55.93&lt;/D&gt;&lt;D xsi:type="xsd:double"&gt;56.09&lt;/D&gt;&lt;D xsi:type="xsd:double"&gt;56.34&lt;/D&gt;&lt;D xsi:type="xsd:double"&gt;56.64&lt;/D&gt;&lt;D xsi:type="xsd:double"&gt;56.26&lt;/D&gt;&lt;D xsi:type="xsd:double"&gt;56.09&lt;/D&gt;&lt;D xsi:type="xsd:double"&gt;56.11&lt;/D&gt;&lt;D xsi:type="xsd:double"&gt;56.15&lt;/D&gt;&lt;D xsi:type="xsd:double"&gt;56&lt;/D&gt;&lt;D xsi:type="xsd:double"&gt;56.19&lt;/D&gt;&lt;D xsi:type="xsd:double"&gt;55.93&lt;/D&gt;&lt;D xsi:type="xsd:double"&gt;55.3&lt;/D&gt;&lt;D xsi:type="xsd:double"&gt;55.08&lt;/D&gt;&lt;D xsi:type="xsd:double"&gt;55.47&lt;/D&gt;&lt;D xsi:type="xsd:double"&gt;55.37&lt;/D&gt;&lt;D xsi:type="xsd:double"&gt;55.02&lt;/D&gt;&lt;D xsi:type="xsd:double"&gt;54.99&lt;/D&gt;&lt;D xsi:type="xsd:double"&gt;54.82&lt;/D&gt;&lt;D xsi:type="xsd:double"&gt;54.38&lt;/D&gt;&lt;D xsi:type="xsd:double"&gt;53.92&lt;/D&gt;&lt;D xsi:type="xsd:double"&gt;53.33&lt;/D&gt;&lt;D xsi:type="xsd:double"&gt;55.23&lt;/D&gt;&lt;D xsi:type="xsd:double"&gt;55.28&lt;/D&gt;&lt;D xsi:type="xsd:double"&gt;55.17&lt;/D&gt;&lt;D xsi:type="xsd:double"&gt;54.88&lt;/D&gt;&lt;D xsi:type="xsd:double"&gt;54.51&lt;/D&gt;&lt;D xsi:type="xsd:double"&gt;53.38&lt;/D&gt;&lt;D xsi:type="xsd:double"&gt;53.5&lt;/D&gt;&lt;D xsi:type="xsd:double"&gt;53.17&lt;/D&gt;&lt;D xsi:type="xsd:double"&gt;53.15&lt;/D&gt;&lt;D xsi:type="xsd:double"&gt;53.5&lt;/D&gt;&lt;D xsi:type="xsd:double"&gt;53.14&lt;/D&gt;&lt;D xsi:type="xsd:double"&gt;54.38&lt;/D&gt;&lt;D xsi:type="xsd:double"&gt;51.7&lt;/D&gt;&lt;D xsi:type="xsd:double"&gt;50.39&lt;/D&gt;&lt;D xsi:type="xsd:double"&gt;49.81&lt;/D&gt;&lt;D xsi:type="xsd:double"&gt;49.48&lt;/D&gt;&lt;D xsi:type="xsd:double"&gt;49.31&lt;/D&gt;&lt;D xsi:type="xsd:double"&gt;49.4&lt;/D&gt;&lt;D xsi:type="xsd:double"&gt;48.84&lt;/D&gt;&lt;D xsi:type="xsd:double"&gt;48.89&lt;/D&gt;&lt;D xsi:type="xsd:double"&gt;49.07&lt;/D&gt;&lt;D xsi:type="xsd:double"&gt;48.84&lt;/D&gt;&lt;D xsi:type="xsd:double"&gt;48.57&lt;/D&gt;&lt;D xsi:type="xsd:double"&gt;48.4&lt;/D&gt;&lt;D xsi:type="xsd:double"&gt;48.08&lt;/D&gt;&lt;D xsi:type="xsd:double"&gt;47.43&lt;/D&gt;&lt;D xsi:type="xsd:double"&gt;47.3&lt;/D&gt;&lt;D xsi:type="xsd:double"&gt;47.12&lt;/D&gt;&lt;D xsi:type="xsd:double"&gt;46.46&lt;/D&gt;&lt;D xsi:type="xsd:double"&gt;46.27&lt;/D&gt;&lt;D xsi:type="xsd:double"&gt;45.79&lt;/D&gt;&lt;D xsi:type="xsd:double"&gt;45.67&lt;/D&gt;&lt;D xsi:type="xsd:double"&gt;44.89&lt;/D&gt;&lt;D xsi:type="xsd:double"&gt;45.07&lt;/D&gt;&lt;D xsi:type="xsd:double"&gt;45.42&lt;/D&gt;&lt;D xsi:type="xsd:double"&gt;44.98&lt;/D&gt;&lt;D xsi:type="xsd:double"&gt;44.6&lt;/D&gt;&lt;D xsi:type="xsd:double"&gt;44.86&lt;/D&gt;&lt;D xsi:type="xsd:double"&gt;45.53&lt;/D&gt;&lt;D xsi:type="xsd:double"&gt;46.14&lt;/D&gt;&lt;D xsi:type="xsd:double"&gt;46.26&lt;/D&gt;&lt;D xsi:type="xsd:double"&gt;46.45&lt;/D&gt;&lt;D xsi:type="xsd:double"&gt;47.03&lt;/D&gt;&lt;D xsi:type="xsd:double"&gt;47.02&lt;/D&gt;&lt;D xsi:type="xsd:double"&gt;47.3&lt;/D&gt;&lt;D xsi:type="xsd:double"&gt;46.76&lt;/D&gt;&lt;D xsi:type="xsd:double"&gt;46.71&lt;/D&gt;&lt;D xsi:type="xsd:double"&gt;46.64&lt;/D&gt;&lt;D xsi:type="xsd:double"&gt;46.15&lt;/D&gt;&lt;D xsi:type="xsd:double"&gt;46.41&lt;/D&gt;&lt;D xsi:type="xsd:double"&gt;45.97&lt;/D&gt;&lt;D xsi:type="xsd:double"&gt;45.95&lt;/D&gt;&lt;D xsi:type="xsd:double"&gt;46.91&lt;/D&gt;&lt;D xsi:type="xsd:double"&gt;46.6&lt;/D&gt;&lt;D xsi:type="xsd:double"&gt;46.03&lt;/D&gt;&lt;D xsi:type="xsd:double"&gt;46.44&lt;/D&gt;&lt;D xsi:type="xsd:double"&gt;45.95&lt;/D&gt;&lt;D xsi:type="xsd:double"&gt;46.17&lt;/D&gt;&lt;D xsi:type="xsd:double"&gt;45.96&lt;/D&gt;&lt;D xsi:type="xsd:double"&gt;45.93&lt;/D&gt;&lt;D xsi:type="xsd:double"&gt;46.26&lt;/D&gt;&lt;D xsi:type="xsd:double"&gt;46.46&lt;/D&gt;&lt;D xsi:type="xsd:double"&gt;46.34&lt;/D&gt;&lt;D xsi:type="xsd:double"&gt;46.04&lt;/D&gt;&lt;D xsi:type="xsd:double"&gt;45.63&lt;/D&gt;&lt;D xsi:type="xsd:double"&gt;45.57&lt;/D&gt;&lt;D xsi:type="xsd:double"&gt;46.81&lt;/D&gt;&lt;D xsi:type="xsd:double"&gt;46.33&lt;/D&gt;&lt;D xsi:type="xsd:double"&gt;45.61&lt;/D&gt;&lt;D xsi:type="xsd:double"&gt;45.4&lt;/D&gt;&lt;D xsi:type="xsd:double"&gt;45.3&lt;/D&gt;&lt;D xsi:type="xsd:double"&gt;45.1&lt;/D&gt;&lt;D xsi:type="xsd:double"&gt;44.98&lt;/D&gt;&lt;D xsi:type="xsd:double"&gt;44.6&lt;/D&gt;&lt;D xsi:type="xsd:double"&gt;44.92&lt;/D&gt;&lt;D xsi:type="xsd:double"&gt;44.6&lt;/D&gt;&lt;D xsi:type="xsd:double"&gt;44.41&lt;/D&gt;&lt;D xsi:type="xsd:double"&gt;44.4&lt;/D&gt;&lt;D xsi:type="xsd:double"&gt;44.73&lt;/D&gt;&lt;D xsi:type="xsd:double"&gt;44.67&lt;/D&gt;&lt;D xsi:type="xsd:double"&gt;44.14&lt;/D&gt;&lt;D xsi:type="xsd:double"&gt;43.81&lt;/D&gt;&lt;D xsi:type="xsd:double"&gt;43.43&lt;/D&gt;&lt;D xsi:type="xsd:double"&gt;43.71&lt;/D&gt;&lt;/FQL&gt;&lt;FQL&gt;&lt;Q&gt;543710-IN^P_PRICE(0)/P_PRICE_LOW_PR(0,,,,,,"PRICE","CLOSE","52W")&lt;/Q&gt;&lt;R&gt;1&lt;/R&gt;&lt;C&gt;1&lt;/C&gt;&lt;D xsi:type="xsd:double"&gt;1.5571525&lt;/D&gt;&lt;/FQL&gt;&lt;FQL&gt;&lt;Q&gt;590107-IN^P_PRICE(0)/P_PRICE_LOW_PR(0,,,,,,"PRICE","CLOSE","52W")&lt;/Q&gt;&lt;R&gt;1&lt;/R&gt;&lt;C&gt;1&lt;/C&gt;&lt;D xsi:type="xsd:double"&gt;1.8648267&lt;/D&gt;&lt;/FQL&gt;&lt;FQL&gt;&lt;Q&gt;543454-IN^PERCENT_CHANGE(FMA_EPS(+1,0,,,,"PORTAGG","MEAN"),FMA_EPS(+1,-1AM,,,,"PORTAGG","MEAN"))&lt;/Q&gt;&lt;R&gt;1&lt;/R&gt;&lt;C&gt;1&lt;/C&gt;&lt;D xsi:type="xsd:double"&gt;1.33185858449636&lt;/D&gt;&lt;/FQL&gt;&lt;FQL&gt;&lt;Q&gt;543454-IN^COUNT(OS_TOP_HLDG_NAME(ALL,0D,,MTD,,ALL,EQ))&lt;/Q&gt;&lt;R&gt;1&lt;/R&gt;&lt;C&gt;1&lt;/C&gt;&lt;D xsi:type="xsd:long"&gt;76&lt;/D&gt;&lt;/FQL&gt;&lt;FQL&gt;&lt;Q&gt;543348-IN^FMA_COS_UP("EPS","1M",+1,0,,,"PORTAGG","MEANR")&lt;/Q&gt;&lt;R&gt;1&lt;/R&gt;&lt;C&gt;1&lt;/C&gt;&lt;D xsi:type="xsd:double"&gt;9&lt;/D&gt;&lt;/FQL&gt;&lt;FQL&gt;&lt;Q&gt;543627-IN^FG_TOTAL_RETURNC(-1AM,-2AM)&lt;/Q&gt;&lt;R&gt;1&lt;/R&gt;&lt;C&gt;1&lt;/C&gt;&lt;D xsi:type="xsd:double"&gt;-1.2067974&lt;/D&gt;&lt;/FQL&gt;&lt;FQL&gt;&lt;Q&gt;543326-IN^FG_COMPANY_NAME&lt;/Q&gt;&lt;R&gt;1&lt;/R&gt;&lt;C&gt;1&lt;/C&gt;&lt;D xsi:type="xsd:string"&gt;ICICI Prudential Nifty FMCG ETF&lt;/D&gt;&lt;/FQL&gt;&lt;FQL&gt;&lt;Q&gt;543710-IN^P_PRICE(0,-200D)&lt;/Q&gt;&lt;R&gt;201&lt;/R&gt;&lt;C&gt;1&lt;/C&gt;&lt;D xsi:type="xsd:double"&gt;92.09&lt;/D&gt;&lt;D xsi:type="xsd:double"&gt;91.84&lt;/D&gt;&lt;D xsi:type="xsd:double"&gt;91.5&lt;/D&gt;&lt;D xsi:type="xsd:double"&gt;91&lt;/D&gt;&lt;D xsi:type="xsd:double"&gt;90.3&lt;/D&gt;&lt;D xsi:type="xsd:double"&gt;88.75&lt;/D&gt;&lt;D xsi:type="xsd:double"&gt;87.51&lt;/D&gt;&lt;D xsi:type="xsd:double"&gt;89.14&lt;/D&gt;&lt;D xsi:type="xsd:double"&gt;93.69&lt;/D&gt;&lt;D xsi:type="xsd:double"&gt;89.57&lt;/D&gt;&lt;D xsi:type="xsd:double"&gt;88.69&lt;/D&gt;&lt;D xsi:type="xsd:double"&gt;90.26&lt;/D&gt;&lt;D xsi:type="xsd:double"&gt;91.1&lt;/D&gt;&lt;D xsi:type="xsd:double"&gt;92.02&lt;/D&gt;&lt;D xsi:type="xsd:double"&gt;91.91&lt;/D&gt;&lt;D xsi:type="xsd:double"&gt;91.62&lt;/D&gt;&lt;D xsi:type="xsd:double"&gt;91.45&lt;/D&gt;&lt;D xsi:type="xsd:double"&gt;90.97&lt;/D&gt;&lt;D xsi:type="xsd:double"&gt;88.83&lt;/D&gt;&lt;D xsi:type="xsd:double"&gt;87.96&lt;/D&gt;&lt;D xsi:type="xsd:double"&gt;88.13&lt;/D&gt;&lt;D xsi:type="xsd:double"&gt;87.19&lt;/D&gt;&lt;D xsi:type="xsd:double"&gt;85.73&lt;/D&gt;&lt;D xsi:type="xsd:double"&gt;85.95&lt;/D&gt;&lt;D xsi:type="xsd:double"&gt;84.92&lt;/D&gt;&lt;D xsi:type="xsd:double"&gt;86.8&lt;/D&gt;&lt;D xsi:type="xsd:double"&gt;85.97&lt;/D&gt;&lt;D xsi:type="xsd:double"&gt;87.97&lt;/D&gt;&lt;D xsi:type="xsd:double"&gt;88.89&lt;/D&gt;&lt;D xsi:type="xsd:double"&gt;89.12&lt;/D&gt;&lt;D xsi:type="xsd:double"&gt;88.75&lt;/D&gt;&lt;D xsi:type="xsd:double"&gt;88.64&lt;/D&gt;&lt;D xsi:type="xsd:double"&gt;87.87&lt;/D&gt;&lt;D xsi:type="xsd:double"&gt;87.99&lt;/D&gt;&lt;D xsi:type="xsd:double"&gt;87.37&lt;/D&gt;&lt;D xsi:type="xsd:double"&gt;86.04&lt;/D&gt;&lt;D xsi:type="xsd:double"&gt;86.</t>
        </r>
      </text>
    </comment>
    <comment ref="A4" authorId="0" shapeId="0" xr:uid="{FBC40F36-540F-47AC-9B15-53F4F5E68FA1}">
      <text>
        <r>
          <rPr>
            <b/>
            <sz val="9"/>
            <color indexed="81"/>
            <rFont val="Tahoma"/>
            <charset val="1"/>
          </rPr>
          <t>33&lt;/D&gt;&lt;D xsi:type="xsd:double"&gt;85.98&lt;/D&gt;&lt;D xsi:type="xsd:double"&gt;86&lt;/D&gt;&lt;D xsi:type="xsd:double"&gt;85.99&lt;/D&gt;&lt;D xsi:type="xsd:double"&gt;86.39&lt;/D&gt;&lt;D xsi:type="xsd:double"&gt;87.19&lt;/D&gt;&lt;D xsi:type="xsd:double"&gt;87.64&lt;/D&gt;&lt;D xsi:type="xsd:double"&gt;86.84&lt;/D&gt;&lt;D xsi:type="xsd:double"&gt;86.54&lt;/D&gt;&lt;D xsi:type="xsd:double"&gt;86.18&lt;/D&gt;&lt;D xsi:type="xsd:double"&gt;86.5&lt;/D&gt;&lt;D xsi:type="xsd:double"&gt;86.35&lt;/D&gt;&lt;D xsi:type="xsd:double"&gt;86.04&lt;/D&gt;&lt;D xsi:type="xsd:double"&gt;85.1&lt;/D&gt;&lt;D xsi:type="xsd:double"&gt;83.78&lt;/D&gt;&lt;D xsi:type="xsd:double"&gt;82.92&lt;/D&gt;&lt;D xsi:type="xsd:double"&gt;82.91&lt;/D&gt;&lt;D xsi:type="xsd:double"&gt;82.03&lt;/D&gt;&lt;D xsi:type="xsd:double"&gt;82.1&lt;/D&gt;&lt;D xsi:type="xsd:double"&gt;79.97&lt;/D&gt;&lt;D xsi:type="xsd:double"&gt;80.26&lt;/D&gt;&lt;D xsi:type="xsd:double"&gt;81.09&lt;/D&gt;&lt;D xsi:type="xsd:double"&gt;80.84&lt;/D&gt;&lt;D xsi:type="xsd:double"&gt;81.17&lt;/D&gt;&lt;D xsi:type="xsd:double"&gt;81&lt;/D&gt;&lt;D xsi:type="xsd:double"&gt;83.59&lt;/D&gt;&lt;D xsi:type="xsd:double"&gt;84.75&lt;/D&gt;&lt;D xsi:type="xsd:double"&gt;85.07&lt;/D&gt;&lt;D xsi:type="xsd:double"&gt;84.74&lt;/D&gt;&lt;D xsi:type="xsd:double"&gt;84.95&lt;/D&gt;&lt;D xsi:type="xsd:double"&gt;84.78&lt;/D&gt;&lt;D xsi:type="xsd:double"&gt;83.65&lt;/D&gt;&lt;D xsi:type="xsd:double"&gt;81.71&lt;/D&gt;&lt;D xsi:type="xsd:double"&gt;81.68&lt;/D&gt;&lt;D xsi:type="xsd:double"&gt;83.08&lt;/D&gt;&lt;D xsi:type="xsd:double"&gt;83.33&lt;/D&gt;&lt;D xsi:type="xsd:double"&gt;83.32&lt;/D&gt;&lt;D xsi:type="xsd:double"&gt;83.39&lt;/D&gt;&lt;D xsi:type="xsd:double"&gt;83.07&lt;/D&gt;&lt;D xsi:type="xsd:double"&gt;83.67&lt;/D&gt;&lt;D xsi:type="xsd:double"&gt;83.65&lt;/D&gt;&lt;D xsi:type="xsd:double"&gt;83.43&lt;/D&gt;&lt;D xsi:type="xsd:double"&gt;83.01&lt;/D&gt;&lt;D xsi:type="xsd:double"&gt;81.99&lt;/D&gt;&lt;D xsi:type="xsd:double"&gt;80.93&lt;/D&gt;&lt;D xsi:type="xsd:double"&gt;80.95&lt;/D&gt;&lt;D xsi:type="xsd:double"&gt;82.87&lt;/D&gt;&lt;D xsi:type="xsd:double"&gt;83.4&lt;/D&gt;&lt;D xsi:type="xsd:double"&gt;83.28&lt;/D&gt;&lt;D xsi:type="xsd:double"&gt;82.6&lt;/D&gt;&lt;D xsi:type="xsd:double"&gt;81.27&lt;/D&gt;&lt;D xsi:type="xsd:double"&gt;81.27&lt;/D&gt;&lt;D xsi:type="xsd:double"&gt;79.76&lt;/D&gt;&lt;D xsi:type="xsd:double"&gt;79.68&lt;/D&gt;&lt;D xsi:type="xsd:double"&gt;79.25&lt;/D&gt;&lt;D xsi:type="xsd:double"&gt;79.74&lt;/D&gt;&lt;D xsi:type="xsd:double"&gt;77.25&lt;/D&gt;&lt;D xsi:type="xsd:double"&gt;76.8&lt;/D&gt;&lt;D xsi:type="xsd:double"&gt;75.62&lt;/D&gt;&lt;D xsi:type="xsd:double"&gt;77.59&lt;/D&gt;&lt;D xsi:type="xsd:double"&gt;76.49&lt;/D&gt;&lt;D xsi:type="xsd:double"&gt;76.99&lt;/D&gt;&lt;D xsi:type="xsd:double"&gt;78.44&lt;/D&gt;&lt;D xsi:type="xsd:double"&gt;78.03&lt;/D&gt;&lt;D xsi:type="xsd:double"&gt;77.68&lt;/D&gt;&lt;D xsi:type="xsd:double"&gt;77.55&lt;/D&gt;&lt;D xsi:type="xsd:double"&gt;76.48&lt;/D&gt;&lt;D xsi:type="xsd:double"&gt;76.59&lt;/D&gt;&lt;D xsi:type="xsd:double"&gt;76.76&lt;/D&gt;&lt;D xsi:type="xsd:double"&gt;77.23&lt;/D&gt;&lt;D xsi:type="xsd:double"&gt;77.61&lt;/D&gt;&lt;D xsi:type="xsd:double"&gt;77.05&lt;/D&gt;&lt;D xsi:type="xsd:double"&gt;77.44&lt;/D&gt;&lt;D xsi:type="xsd:double"&gt;77.48&lt;/D&gt;&lt;D xsi:type="xsd:double"&gt;77.26&lt;/D&gt;&lt;D xsi:type="xsd:double"&gt;77.73&lt;/D&gt;&lt;D xsi:type="xsd:double"&gt;76.25&lt;/D&gt;&lt;D xsi:type="xsd:double"&gt;75.67&lt;/D&gt;&lt;D xsi:type="xsd:double"&gt;74.89&lt;/D&gt;&lt;D xsi:type="xsd:double"&gt;74.47&lt;/D&gt;&lt;D xsi:type="xsd:double"&gt;73.43&lt;/D&gt;&lt;D xsi:type="xsd:double"&gt;75.85&lt;/D&gt;&lt;D xsi:type="xsd:double"&gt;75.55&lt;/D&gt;&lt;D xsi:type="xsd:double"&gt;75.11&lt;/D&gt;&lt;D xsi:type="xsd:double"&gt;74.11&lt;/D&gt;&lt;D xsi:type="xsd:double"&gt;72.85&lt;/D&gt;&lt;D xsi:type="xsd:double"&gt;72.75&lt;/D&gt;&lt;D xsi:type="xsd:double"&gt;73.42&lt;/D&gt;&lt;D xsi:type="xsd:double"&gt;72.76&lt;/D&gt;&lt;D xsi:type="xsd:double"&gt;73.39&lt;/D&gt;&lt;D xsi:type="xsd:double"&gt;72.73&lt;/D&gt;&lt;D xsi:type="xsd:double"&gt;72.8&lt;/D&gt;&lt;D xsi:type="xsd:double"&gt;70.86&lt;/D&gt;&lt;D xsi:type="xsd:double"&gt;69.54&lt;/D&gt;&lt;D xsi:type="xsd:double"&gt;68.6&lt;/D&gt;&lt;D xsi:type="xsd:double"&gt;68.35&lt;/D&gt;&lt;D xsi:type="xsd:double"&gt;67.99&lt;/D&gt;&lt;D xsi:type="xsd:double"&gt;66.9&lt;/D&gt;&lt;D xsi:type="xsd:double"&gt;66.79&lt;/D&gt;&lt;D xsi:type="xsd:double"&gt;66.74&lt;/D&gt;&lt;D xsi:type="xsd:double"&gt;66.66&lt;/D&gt;&lt;D xsi:type="xsd:double"&gt;66.47&lt;/D&gt;&lt;D xsi:type="xsd:double"&gt;66.61&lt;/D&gt;&lt;D xsi:type="xsd:double"&gt;66.59&lt;/D&gt;&lt;D xsi:type="xsd:double"&gt;66.5&lt;/D&gt;&lt;D xsi:type="xsd:double"&gt;65.46&lt;/D&gt;&lt;D xsi:type="xsd:double"&gt;65.04&lt;/D&gt;&lt;D xsi:type="xsd:double"&gt;65&lt;/D&gt;&lt;D xsi:type="xsd:double"&gt;64.81&lt;/D&gt;&lt;D xsi:type="xsd:double"&gt;64.77&lt;/D&gt;&lt;D xsi:type="xsd:double"&gt;64.37&lt;/D&gt;&lt;D xsi:type="xsd:double"&gt;63.34&lt;/D&gt;&lt;D xsi:type="xsd:double"&gt;63.23&lt;/D&gt;&lt;D xsi:type="xsd:double"&gt;62.3&lt;/D&gt;&lt;D xsi:type="xsd:double"&gt;62.55&lt;/D&gt;&lt;D xsi:type="xsd:double"&gt;62.59&lt;/D&gt;&lt;D xsi:type="xsd:double"&gt;62.42&lt;/D&gt;&lt;D xsi:type="xsd:double"&gt;61.7&lt;/D&gt;&lt;D xsi:type="xsd:double"&gt;62.55&lt;/D&gt;&lt;D xsi:type="xsd:double"&gt;62.52&lt;/D&gt;&lt;D xsi:type="xsd:double"&gt;63.97&lt;/D&gt;&lt;D xsi:type="xsd:double"&gt;64.8&lt;/D&gt;&lt;D xsi:type="xsd:double"&gt;64.77&lt;/D&gt;&lt;D xsi:type="xsd:double"&gt;65.13&lt;/D&gt;&lt;D xsi:type="xsd:double"&gt;65.2&lt;/D&gt;&lt;D xsi:type="xsd:double"&gt;64.54&lt;/D&gt;&lt;D xsi:type="xsd:double"&gt;64.59&lt;/D&gt;&lt;D xsi:type="xsd:double"&gt;64.55&lt;/D&gt;&lt;D xsi:type="xsd:double"&gt;64.08&lt;/D&gt;&lt;D xsi:type="xsd:double"&gt;63.39&lt;/D&gt;&lt;D xsi:type="xsd:double"&gt;63.99&lt;/D&gt;&lt;D xsi:type="xsd:double"&gt;63.73&lt;/D&gt;&lt;D xsi:type="xsd:double"&gt;63.88&lt;/D&gt;&lt;D xsi:type="xsd:double"&gt;64.81&lt;/D&gt;&lt;D xsi:type="xsd:double"&gt;65.15&lt;/D&gt;&lt;D xsi:type="xsd:double"&gt;64.26&lt;/D&gt;&lt;D xsi:type="xsd:double"&gt;65.01&lt;/D&gt;&lt;D xsi:type="xsd:double"&gt;65.1&lt;/D&gt;&lt;D xsi:type="xsd:double"&gt;64.7&lt;/D&gt;&lt;D xsi:type="xsd:double"&gt;64.85&lt;/D&gt;&lt;D xsi:type="xsd:double"&gt;64.98&lt;/D&gt;&lt;D xsi:type="xsd:double"&gt;65.55&lt;/D&gt;&lt;D xsi:type="xsd:double"&gt;65.98&lt;/D&gt;&lt;D xsi:type="xsd:double"&gt;65.45&lt;/D&gt;&lt;D xsi:type="xsd:double"&gt;66.2&lt;/D&gt;&lt;D xsi:type="xsd:double"&gt;65.75&lt;/D&gt;&lt;D xsi:type="xsd:double"&gt;65.48&lt;/D&gt;&lt;D xsi:type="xsd:double"&gt;66.49&lt;/D&gt;&lt;D xsi:type="xsd:double"&gt;66.03&lt;/D&gt;&lt;D xsi:type="xsd:double"&gt;65.31&lt;/D&gt;&lt;D xsi:type="xsd:double"&gt;65&lt;/D&gt;&lt;D xsi:type="xsd:double"&gt;65.1&lt;/D&gt;&lt;D xsi:type="xsd:double"&gt;64.69&lt;/D&gt;&lt;D xsi:type="xsd:double"&gt;63.63&lt;/D&gt;&lt;D xsi:type="xsd:double"&gt;62.55&lt;/D&gt;&lt;D xsi:type="xsd:double"&gt;62.94&lt;/D&gt;&lt;D xsi:type="xsd:double"&gt;62.87&lt;/D&gt;&lt;D xsi:type="xsd:double"&gt;62.11&lt;/D&gt;&lt;D xsi:type="xsd:double"&gt;62.02&lt;/D&gt;&lt;D xsi:type="xsd:double"&gt;62.75&lt;/D&gt;&lt;D xsi:type="xsd:double"&gt;62.69&lt;/D&gt;&lt;D xsi:type="xsd:double"&gt;62.9&lt;/D&gt;&lt;D xsi:type="xsd:double"&gt;62.5&lt;/D&gt;&lt;D xsi:type="xsd:double"&gt;62.24&lt;/D&gt;&lt;D xsi:type="xsd:double"&gt;62.03&lt;/D&gt;&lt;/FQL&gt;&lt;FQL&gt;&lt;Q&gt;543454-IN^FMA_COS_DOWN("EPS","1M",+1,0,,,"PORTAGG","MEANR")&lt;/Q&gt;&lt;R&gt;1&lt;/R&gt;&lt;C&gt;1&lt;/C&gt;&lt;D xsi:type="xsd:double"&gt;27&lt;/D&gt;&lt;/FQL&gt;&lt;FQL&gt;&lt;Q&gt;543454-IN^P_PRICE(-1AM)/P_PRICE_HIGH_PR(-1AM,,,,,,"PRICE","CLOSE","52W")&lt;/Q&gt;&lt;R&gt;1&lt;/R&gt;&lt;C&gt;1&lt;/C&gt;&lt;D xsi:type="xsd:double"&gt;0.99719894&lt;/D&gt;&lt;/FQL&gt;&lt;FQL&gt;&lt;Q&gt;543326-IN^FG_TOTAL_RETURNC(0,-6AM)&lt;/Q&gt;&lt;R&gt;1&lt;/R&gt;&lt;C&gt;1&lt;/C&gt;&lt;D xsi:type="xsd:double"&gt;6.5285444&lt;/D&gt;&lt;/FQL&gt;&lt;FQL&gt;&lt;Q&gt;543710-IN^FG_TOTAL_RETURNC(0,-6AM)&lt;/Q&gt;&lt;R&gt;1&lt;/R&gt;&lt;C&gt;1&lt;/C&gt;&lt;D xsi:type="xsd:double"&gt;26.410425&lt;/D&gt;&lt;/FQL&gt;&lt;FQL&gt;&lt;Q&gt;543666-IN^PERCENT_CHANGE(FMA_EPS(+1,0,,,,"PORTAGG","MEAN"),FMA_EPS(+1,-3AM,,,,"PORTAGG","MEAN"))&lt;/Q&gt;&lt;R&gt;1&lt;/R&gt;&lt;C&gt;1&lt;/C&gt;&lt;D xsi:type="xsd:double"&gt;-1.45505759517969&lt;/D&gt;&lt;/FQL&gt;&lt;FQL&gt;&lt;Q&gt;543454-IN^FMA_COS_UP("EPS","1M",+1,0,,,"PORTAGG","MEANR")&lt;/Q&gt;&lt;R&gt;1&lt;/R&gt;&lt;C&gt;1&lt;/C&gt;&lt;D xsi:type="xsd:double"&gt;40&lt;/D&gt;&lt;/FQL&gt;&lt;FQL&gt;&lt;Q&gt;543454-IN^FG_TOTAL_RETURNC(-1AM,-7AM)&lt;/Q&gt;&lt;R&gt;1&lt;/R&gt;&lt;C&gt;1&lt;/C&gt;&lt;D xsi:type="xsd:double"&gt;33.725895&lt;/D&gt;&lt;/FQL&gt;&lt;FQL&gt;&lt;Q&gt;543348-IN^P_PRICE(0,-200D)&lt;/Q&gt;&lt;R&gt;201&lt;/R&gt;&lt;C&gt;1&lt;/C&gt;&lt;D xsi:type="xsd:double"&gt;125&lt;/D&gt;&lt;D xsi:type="xsd:double"&gt;125.04&lt;/D&gt;&lt;D xsi:type="xsd:double"&gt;125.1&lt;/D&gt;&lt;D xsi:type="xsd:double"&gt;124.86&lt;/D&gt;&lt;D xsi:type="xsd:double"&gt;124.16&lt;/D&gt;&lt;D xsi:type="xsd:double"&gt;123.16&lt;/D&gt;&lt;D xsi:type="xsd:double"&gt;121&lt;/D&gt;&lt;D xsi:type="xsd:double"&gt;121&lt;/D&gt;&lt;D xsi:type="xsd:double"&gt;121.5&lt;/D&gt;&lt;D xsi:type="xsd:double"&gt;119.41&lt;/D&gt;&lt;D xsi:type="xsd:double"&gt;121.38&lt;/D&gt;&lt;D xsi:type="xsd:double"&gt;123.45&lt;/D&gt;&lt;D xsi:type="xsd:double"&gt;122.31&lt;/D&gt;&lt;D xsi:type="xsd:double"&gt;122&lt;/D&gt;&lt;D xsi:type="xsd:double"&gt;121.73&lt;/D&gt;&lt;D xsi:type="xsd:double"&gt;122.9&lt;/D&gt;&lt;D xsi:type="xsd:double"&gt;123.36&lt;/D&gt;&lt;D xsi:type="xsd:double"&gt;127&lt;/D&gt;&lt;D xsi:type="xsd:double"&gt;121.92&lt;/D&gt;&lt;D xsi:type="xsd:double"&gt;121&lt;/D&gt;&lt;D xsi:type="xsd:double"&gt;120.43&lt;/D&gt;&lt;D xsi:type="xsd:double"&gt;122&lt;/D&gt;&lt;D xsi:type="xsd:double"&gt;121&lt;/D&gt;&lt;D xsi:type="xsd:double"&gt;118.15&lt;/D&gt;&lt;D xsi:type="xsd:double"&gt;118.22&lt;/D&gt;&lt;D xsi:type="xsd:double"&gt;120.7&lt;/D&gt;&lt;D xsi:type="xsd:double"&gt;122.89&lt;/D&gt;&lt;D xsi:type="xsd:double"&gt;122.78&lt;/D&gt;&lt;D xsi:type="xsd:double"&gt;122.02&lt;/D&gt;&lt;D xsi:type="xsd:double"&gt;121.78&lt;/D&gt;&lt;D xsi:type="xsd:double"&gt;121.3&lt;/D&gt;&lt;D xsi:type="xsd:double"&gt;121.67&lt;/D&gt;&lt;D xsi:type="xsd:double"&gt;121.9&lt;/D&gt;&lt;D xsi:type="xsd:double"&gt;120.32&lt;/D&gt;&lt;D xsi:type="xsd:double"&gt;119.91&lt;/D&gt;&lt;D xsi:type="xsd:double"&gt;119.76&lt;/D&gt;&lt;D xsi:type="xsd:double"&gt;119.22&lt;/D&gt;&lt;D xsi:type="xsd:double"&gt;117.77&lt;/D&gt;&lt;D xsi:type="xsd:double"&gt;118.8&lt;/D&gt;&lt;D xsi:type="xsd:double"&gt;120&lt;/D&gt;&lt;D xsi:type="xsd:double"&gt;121.01&lt;/D&gt;&lt;D xsi:type="xsd:double"&gt;121.34&lt;/D&gt;&lt;D xsi:type="xsd:double"&gt;123.09&lt;/D&gt;&lt;D xsi:type="xsd:double"&gt;123.45&lt;/D&gt;&lt;D xsi:type="xsd:double"&gt;122.37&lt;/D&gt;&lt;D xsi:type="xsd:double"&gt;122.45&lt;/D&gt;&lt;D xsi:type="xsd:double"&gt;122.86&lt;/D&gt;&lt;D xsi:type="xsd:double"&gt;123.47&lt;/D&gt;&lt;D xsi:type="xsd:double"&gt;123.35&lt;/D&gt;&lt;D xsi:type="xsd:double"&gt;123.35&lt;/D&gt;&lt;D xsi:type="xsd:double"&gt;122.18&lt;/D&gt;&lt;D xsi:type="xsd:double"&gt;119.97&lt;/D&gt;&lt;D xsi:type="xsd:double"&gt;119.97&lt;/D&gt;&lt;D xsi:type="xsd:double"&gt;122&lt;/D&gt;&lt;D xsi:type="xsd:double"&gt;117.85&lt;/D&gt;&lt;D xsi:type="xsd:double"&gt;117.01&lt;/D&gt;&lt;D xsi:type="xsd:double"&gt;117.57&lt;/D&gt;&lt;D xsi:type="xsd:double"&gt;119.7&lt;/D&gt;&lt;D xsi:type="xsd:double"&gt;118.6&lt;/D&gt;&lt;D xsi:type="xsd:double"&gt;119.7&lt;/D&gt;&lt;D xsi:type="xsd:double"&gt;113.01&lt;/D&gt;&lt;D xsi:type="xsd:double"&gt;121.11&lt;/D&gt;&lt;D xsi:type="xsd:double"&gt;121.5&lt;/D&gt;&lt;D xsi:type="xsd:double"&gt;121.1&lt;/D&gt;&lt;D xsi:type="xsd:double"&gt;121.11&lt;/D&gt;&lt;D xsi:type="xsd:double"&gt;120.3&lt;/D&gt;&lt;D xsi:type="xsd:double"&gt;120.55&lt;/D&gt;&lt;D xsi:type="xsd:double"&gt;120.07&lt;/D&gt;&lt;D xsi:type="xsd:double"&gt;121.65&lt;/D&gt;&lt;D xsi:type="xsd:double"&gt;122.72&lt;/D&gt;&lt;D xsi:type="xsd:double"&gt;123.25&lt;/D&gt;&lt;D xsi:type="xsd:double"&gt;139.86&lt;/D&gt;&lt;D xsi:type="xsd:double"&gt;123.2&lt;/D&gt;&lt;D xsi:type="xsd:double"&gt;122.73&lt;/D&gt;&lt;D xsi:type="xsd:double"&gt;122.72&lt;/D&gt;&lt;D xsi:type="xsd:double"&gt;138.12&lt;/D&gt;&lt;D xsi:type="xsd:double"&gt;122.7&lt;/D&gt;&lt;D xsi:type="xsd:double"&gt;121.88&lt;/D&gt;&lt;D xsi:type="xsd:double"&gt;121.5&lt;/D&gt;&lt;D xsi:type="xsd:double"&gt;120.21&lt;/D&gt;&lt;D xsi:type="xsd:double"&gt;122.35&lt;/D&gt;&lt;D xsi:type="xsd:double"&gt;103.29&lt;/D&gt;&lt;D xsi:type="xsd:double"&gt;119.96&lt;/D&gt;&lt;D xsi:type="xsd:double"&gt;119.81&lt;/D&gt;&lt;D xsi:type="xsd:double"&gt;118.47&lt;/D&gt;&lt;D xsi:type="xsd:double"&gt;118.5&lt;/D&gt;&lt;D xsi:type="xsd:double"&gt;116.99&lt;/D&gt;&lt;D xsi:type="xsd:double"&gt;114.71&lt;/D&gt;&lt;D xsi:type="xsd:double"&gt;115.45&lt;/D&gt;&lt;D xsi:type="xsd:double"&gt;116.07&lt;/D&gt;&lt;D xsi:type="xsd:double"&gt;112.29&lt;/D&gt;&lt;D xsi:type="xsd:double"&gt;112.26&lt;/D&gt;&lt;D xsi:type="xsd:double"&gt;111.7&lt;/D&gt;&lt;D xsi:type="xsd:double"&gt;113.33&lt;/D&gt;&lt;D xsi:type="xsd:double"&gt;112.15&lt;/D&gt;&lt;D xsi:type="xsd:double"&gt;113&lt;/D&gt;&lt;D xsi:type="xsd:double"&gt;110.02&lt;/D&gt;&lt;D xsi:type="xsd:double"&gt;110.3&lt;/D&gt;&lt;D xsi:type="xsd:double"&gt;110.86&lt;/D&gt;&lt;D xsi:type="xsd:double"&gt;112.86&lt;/D&gt;&lt;D xsi:type="xsd:double"&gt;113.86&lt;/D&gt;&lt;D xsi:type="xsd:double"&gt;111.5&lt;/D&gt;&lt;D xsi:type="xsd:double"&gt;111&lt;/D&gt;&lt;D xsi:type="xsd:double"&gt;110.68&lt;/D&gt;&lt;D xsi:type="xsd:double"&gt;109.25&lt;/D&gt;&lt;D xsi:type="xsd:double"&gt;110.65&lt;/D&gt;&lt;D xsi:type="xsd:double"&gt;111.62&lt;/D&gt;&lt;D xsi:type="xsd:double"&gt;109.42&lt;/D&gt;&lt;D xsi:type="xsd:double"&gt;110.04&lt;/D&gt;&lt;D xsi:type="xsd:double"&gt;107.52&lt;/D&gt;&lt;D xsi:type="xsd:double"&gt;107.49&lt;/D&gt;&lt;D xsi:type="xsd:double"&gt;107.52&lt;/D&gt;&lt;D xsi:type="xsd:double"&gt;106.31&lt;/D&gt;&lt;D xsi:type="xsd:double"&gt;105.98&lt;/D&gt;&lt;D xsi:type="xsd:double"&gt;105.02&lt;/D&gt;&lt;D xsi:type="xsd:double"&gt;103.45&lt;/D&gt;&lt;D xsi:type="xsd:double"&gt;103.15&lt;/D&gt;&lt;D xsi:type="xsd:double"&gt;104.91&lt;/D&gt;&lt;D xsi:type="xsd:double"&gt;104.94&lt;/D&gt;&lt;D xsi:type="xsd:double"&gt;103.57&lt;/D&gt;&lt;D xsi:type="xsd:double"&gt;104.17&lt;/D&gt;&lt;D xsi:type="xsd:double"&gt;103.95&lt;/D&gt;&lt;D xsi:type="xsd:double"&gt;103.7&lt;/D&gt;&lt;D xsi:type="xsd:double"&gt;103.19&lt;/D&gt;&lt;D xsi:type="xsd:double"&gt;103.76&lt;/D&gt;&lt;D xsi:type="xsd:double"&gt;104.65&lt;/D&gt;&lt;D xsi:type="xsd:double"&gt;103.53&lt;/D&gt;&lt;D xsi:type="xsd:double"&gt;104.11&lt;/D&gt;&lt;D xsi:type="xsd:double"&gt;95.69&lt;/D&gt;&lt;D xsi:type="xsd:double"&gt;104.55&lt;/D&gt;&lt;D xsi:type="xsd:double"&gt;104.26&lt;/D&gt;&lt;D xsi:type="xsd:double"&gt;102.43&lt;/D&gt;&lt;D xsi:type="xsd:double"&gt;101.23&lt;/D&gt;&lt;D xsi:type="xsd:double"&gt;101.72&lt;/D&gt;&lt;D xsi:type="xsd:double"&gt;101.75&lt;/D&gt;&lt;D xsi:type="xsd:double"&gt;103.55&lt;/D&gt;&lt;D xsi:type="xsd:double"&gt;102.06&lt;/D&gt;&lt;D xsi:type="xsd:double"&gt;101.9&lt;/D&gt;&lt;D xsi:type="xsd:double"&gt;99.3&lt;/D&gt;&lt;D xsi:type="xsd:double"&gt;100.09&lt;/D&gt;&lt;D xsi:type="xsd:double"&gt;99.7&lt;/D&gt;&lt;D xsi:type="xsd:double"&gt;98.67&lt;/D&gt;&lt;D xsi:type="xsd:double"&gt;99.19&lt;/D&gt;&lt;D xsi:type="xsd:double"&gt;99.08&lt;/D&gt;&lt;D xsi:type="xsd:double"&gt;98.96&lt;/D&gt;&lt;D xsi:type="xsd:double"&gt;97.97&lt;/D&gt;&lt;D xsi:type="xsd:double"&gt;94.85&lt;/D&gt;&lt;D xsi:type="xsd:double"&gt;95.37&lt;/D&gt;&lt;D xsi:type="xsd:double"&gt;95.3&lt;/D&gt;&lt;D xsi:type="xsd:double"&gt;94.4&lt;/D&gt;&lt;D xsi:type="xsd:double"&gt;93.89&lt;/D&gt;&lt;D xsi:type="xsd:double"&gt;94.45&lt;/D&gt;&lt;D xsi:type="xsd:double"&gt;93.91&lt;/D&gt;&lt;D xsi:type="xsd:double"&gt;94.79&lt;/D&gt;&lt;D xsi:type="xsd:double"&gt;94.47&lt;/D&gt;&lt;D xsi:type="xsd:double"&gt;94.47&lt;/D&gt;&lt;D xsi:type="xsd:double"&gt;96.12&lt;/D&gt;&lt;D xsi:type="xsd:double"&gt;97.2&lt;/D&gt;&lt;D xsi:type="xsd:double"&gt;97.2&lt;/D&gt;&lt;D xsi:type="xsd:double"&gt;97.59&lt;/D&gt;&lt;D xsi:type="xsd:double"&gt;97.19&lt;/D&gt;&lt;D xsi:type="xsd:double"&gt;96.82&lt;/D&gt;&lt;D xsi:type="xsd:double"&gt;97.45&lt;/D&gt;&lt;D xsi:type="xsd:double"&gt;97.2&lt;/D&gt;&lt;D xsi:type="xsd:double"&gt;96.72&lt;/D&gt;&lt;D xsi:type="xsd:double"&gt;96.72&lt;/D&gt;&lt;D xsi:type="xsd:double"&gt;96.12&lt;/D&gt;&lt;D xsi:type="xsd:double"&gt;96.17&lt;/D&gt;&lt;D xsi:type="xsd:double"&gt;95.82&lt;/D&gt;&lt;D xsi:type="xsd:double"&gt;97.7&lt;/D&gt;&lt;D xsi:type="xsd:double"&gt;98.22&lt;/D&gt;&lt;D xsi:type="xsd:double"&gt;80&lt;/D&gt;&lt;D xsi:type="xsd:double"&gt;96.37&lt;/D&gt;&lt;D xsi:type="xsd:double"&gt;96.01&lt;/D&gt;&lt;D xsi:type="xsd:double"&gt;95.75&lt;/D&gt;&lt;D xsi:type="xsd:double"&gt;96&lt;/D&gt;&lt;D xsi:type="xsd:double"&gt;97.81&lt;/D&gt;&lt;D xsi:type="xsd:double"&gt;98&lt;/D&gt;&lt;D xsi:type="xsd:double"&gt;99.66&lt;/D&gt;&lt;D xsi:type="xsd:double"&gt;98.91&lt;/D&gt;&lt;D xsi:type="xsd:double"&gt;98.9&lt;/D&gt;&lt;D xsi:type="xsd:double"&gt;98.4&lt;/D&gt;&lt;D xsi:type="xsd:double"&gt;98.23&lt;/D&gt;&lt;D xsi:type="xsd:double"&gt;98.23&lt;/D&gt;&lt;D xsi:type="xsd:double"&gt;97.17&lt;/D&gt;&lt;D xsi:type="xsd:double"&gt;98&lt;/D&gt;&lt;D xsi:type="xsd:double"&gt;98&lt;/D&gt;&lt;D xsi:type="xsd:double"&gt;96.75&lt;/D&gt;&lt;D xsi:type="xsd:double"&gt;98.13&lt;/D&gt;&lt;D xsi:type="xsd:double"&gt;95.3&lt;/D&gt;&lt;D xsi:type="xsd:double"&gt;95.6&lt;/D&gt;&lt;D xsi:type="xsd:double"&gt;97.73&lt;/D&gt;&lt;D xsi:type="xsd:double"&gt;95.87&lt;/D&gt;&lt;D xsi:type="xsd:double"&gt;96.3&lt;/D&gt;&lt;D xsi:type="xsd:double"&gt;98.9&lt;/D&gt;&lt;D xsi:type="xsd:double"&gt;97.03&lt;/D&gt;&lt;D xsi:type="xsd:double"&gt;97.21&lt;/D&gt;&lt;D xsi:type="xsd:double"&gt;97.5&lt;/D&gt;&lt;D xsi:type="xsd:double"&gt;98.5&lt;/D&gt;&lt;D xsi:type="xsd:double"&gt;96.51&lt;/D&gt;&lt;D xsi:type="xsd:double"&gt;97.69&lt;/D&gt;&lt;/FQL&gt;&lt;FQL&gt;&lt;Q&gt;543710-IN^FG_TOTAL_RETURNC(0,-3AM)&lt;/Q&gt;&lt;R&gt;1&lt;/R&gt;&lt;C&gt;1&lt;/C&gt;&lt;D xsi:type="xsd:double"&gt;13.691354&lt;/D&gt;&lt;/FQL&gt;&lt;FQL&gt;&lt;Q&gt;543666-IN^PERCENT_CHANGE(FMA_EPS(+1,0,,,,"PORTAGG","MEAN"),FMA_EPS(+1,-1AM,,,,"PORTAGG","MEAN"))&lt;/Q&gt;&lt;R&gt;1&lt;/R&gt;&lt;C&gt;1&lt;/C&gt;&lt;D xsi:type="xsd:double"&gt;-0.150733315401784&lt;/D&gt;&lt;/FQL&gt;&lt;FQL&gt;&lt;Q&gt;543666-IN^COUNT(OS_TOP_HLDG_NAME(ALL,0D,,MTD,,ALL,EQ))&lt;/Q&gt;&lt;R&gt;1&lt;/R&gt;&lt;C&gt;1&lt;/C&gt;&lt;D xsi:type="xsd:long"&gt;11&lt;/D&gt;&lt;/FQL&gt;&lt;FQL&gt;&lt;Q&gt;543454-IN^FG_TOTAL_RETURNC(-1AM,-4AM)&lt;/Q&gt;&lt;R&gt;1&lt;/R&gt;&lt;C&gt;1&lt;/C&gt;&lt;D xsi:type="xsd:double"&gt;14.251018&lt;/D&gt;&lt;/FQL&gt;&lt;FQL&gt;&lt;Q&gt;590107-IN^FG_TOTAL_RETURNC(0,-3AM)&lt;/Q&gt;&lt;R&gt;1&lt;/R&gt;&lt;C&gt;1&lt;/C&gt;&lt;D xsi:type="xsd:double"&gt;9.950817&lt;/D&gt;&lt;/FQL&gt;&lt;FQL&gt;&lt;Q&gt;590107-IN^P_PRICE(0,-200D)&lt;/Q&gt;&lt;R&gt;201&lt;/R&gt;&lt;C&gt;1&lt;/C&gt;&lt;D xsi:type="xsd:double"&gt;739.87&lt;/D&gt;&lt;D xsi:type="xsd:double"&gt;742.34&lt;/D&gt;&lt;D xsi:type="xsd:double"&gt;733.91&lt;/D&gt;&lt;D xsi:type="xsd:double"&gt;730.57&lt;/D&gt;&lt;D xsi:type="xsd:double"&gt;724.9&lt;/D&gt;&lt;D xsi:type="xsd:double"&gt;715.02&lt;/D&gt;&lt;D xsi:type="xsd:double"&gt;696.16&lt;/D&gt;&lt;D xsi:type="xsd:double"&gt;686.42&lt;/D&gt;&lt;D xsi:type="xsd:double"&gt;798.89&lt;/D&gt;&lt;D xsi:type="xsd:double"&gt;738.06&lt;/D&gt;&lt;D xsi:type="xsd:double"&gt;728.3&lt;/D&gt;&lt;D xsi:type="xsd:double"&gt;732.05&lt;/D&gt;&lt;D xsi:type="xsd:double"&gt;735.69&lt;/D&gt;&lt;D xsi:type="xsd:double"&gt;741.69&lt;/D&gt;&lt;D xsi:type="xsd:double"&gt;734.42&lt;/D&gt;&lt;D xsi:type="xsd:double"&gt;732.76&lt;/D&gt;&lt;D xsi:type="xsd:double"&gt;723.22&lt;/D&gt;&lt;D xsi:type="xsd:double"&gt;719.42&lt;/D&gt;&lt;D xsi:type="xsd:double"&gt;707.84&lt;/D&gt;&lt;D xsi:type="xsd:double"&gt;705.19&lt;/D&gt;&lt;D xsi:type="xsd:double"&gt;710.44&lt;/D&gt;&lt;D xsi:type="xsd:double"&gt;704.06&lt;/D&gt;&lt;D xsi:type="xsd:double"&gt;700.6&lt;/D&gt;&lt;D xsi:type="xsd:double"&gt;705.94&lt;/D&gt;&lt;D xsi:type="xsd:double"&gt;701.34&lt;/D&gt;&lt;D xsi:type="xsd:double"&gt;710.71&lt;/D&gt;&lt;D xsi:type="xsd:double"&gt;705.43&lt;/D&gt;&lt;D xsi:type="xsd:double"&gt;803.39&lt;/D&gt;&lt;D xsi:type="xsd:double"&gt;748.7&lt;/D&gt;&lt;D xsi:type="xsd:double"&gt;749.41&lt;/D&gt;&lt;D xsi:type="xsd:double"&gt;751.75&lt;/D&gt;&lt;D xsi:type="xsd:double"&gt;751.54&lt;/D&gt;&lt;D xsi:type="xsd:double"&gt;733.85&lt;/D&gt;&lt;D xsi:type="xsd:double"&gt;734.08&lt;/D&gt;&lt;D xsi:type="xsd:double"&gt;706.68&lt;/D&gt;&lt;D xsi:type="xsd:double"&gt;710&lt;/D&gt;&lt;D xsi:type="xsd:double"&gt;706.89&lt;/D&gt;&lt;D xsi:type="xsd:double"&gt;689.85&lt;/D&gt;&lt;D xsi:type="xsd:double"&gt;693.96&lt;/D&gt;&lt;D xsi:type="xsd:double"&gt;689.77&lt;/D&gt;&lt;D xsi:type="xsd:double"&gt;702.27&lt;/D&gt;&lt;D xsi:type="xsd:double"&gt;717.21&lt;/D&gt;&lt;D xsi:type="xsd:double"&gt;723&lt;/D&gt;&lt;D xsi:type="xsd:double"&gt;714.57&lt;/D&gt;&lt;D xsi:type="xsd:double"&gt;720.28&lt;/D&gt;&lt;D xsi:type="xsd:double"&gt;726.99&lt;/D&gt;&lt;D xsi:type="xsd:double"&gt;719.84&lt;/D&gt;&lt;D xsi:type="xsd:double"&gt;723.12&lt;/D&gt;&lt;D xsi:type="xsd:double"&gt;709.25&lt;/D&gt;&lt;D xsi:type="xsd:double"&gt;705.36&lt;/D&gt;&lt;D xsi:type="xsd:double"&gt;695.76&lt;/D&gt;&lt;D xsi:type="xsd:double"&gt;682.56&lt;/D&gt;&lt;D xsi:type="xsd:double"&gt;688.95&lt;/D&gt;&lt;D xsi:type="xsd:double"&gt;685.51&lt;/D&gt;&lt;D xsi:type="xsd:double"&gt;675.3&lt;/D&gt;&lt;D xsi:type="xsd:double"&gt;666.64&lt;/D&gt;&lt;D xsi:type="xsd:double"&gt;663.36&lt;/D&gt;&lt;D xsi:type="xsd:double"&gt;680.18&lt;/D&gt;&lt;D xsi:type="xsd:double"&gt;670.46&lt;/D&gt;&lt;D xsi:type="xsd:double"&gt;677.99&lt;/D&gt;&lt;D xsi:type="xsd:double"&gt;672.91&lt;/D&gt;&lt;D xsi:type="xsd:double"&gt;703.44&lt;/D&gt;&lt;D xsi:type="xsd:double"&gt;722.25&lt;/D&gt;&lt;D xsi:type="xsd:double"&gt;727.96&lt;/D&gt;&lt;D xsi:type="xsd:double"&gt;728.54&lt;/D&gt;&lt;D xsi:type="xsd:double"&gt;726.65&lt;/D&gt;&lt;D xsi:type="xsd:double"&gt;707&lt;/D&gt;&lt;D xsi:type="xsd:double"&gt;704.19&lt;/D&gt;&lt;D xsi:type="xsd:double"&gt;689.46&lt;/D&gt;&lt;D xsi:type="xsd:double"&gt;681.75&lt;/D&gt;&lt;D xsi:type="xsd:double"&gt;695.88&lt;/D&gt;&lt;D xsi:type="xsd:double"&gt;702.62&lt;/D&gt;&lt;D xsi:type="xsd:double"&gt;707.7&lt;/D&gt;&lt;D xsi:type="xsd:double"&gt;713.81&lt;/D&gt;&lt;D xsi:type="xsd:double"&gt;711.72&lt;/D&gt;&lt;D xsi:type="xsd:double"&gt;708.25&lt;/D&gt;&lt;D xsi:type="xsd:double"&gt;707.61&lt;/D&gt;&lt;D xsi:type="xsd:double"&gt;712.25&lt;/D&gt;&lt;D xsi:type="xsd:double"&gt;712.44&lt;/D&gt;&lt;D xsi:type="xsd:double"&gt;687.73&lt;/D&gt;&lt;D xsi:type="xsd:double"&gt;668.53&lt;/D&gt;&lt;D xsi:type="xsd:double"&gt;665.96&lt;/D&gt;&lt;D xsi:type="xsd:double"&gt;689.31&lt;/D&gt;&lt;D xsi:type="xsd:double"&gt;683.37&lt;/D&gt;&lt;D xsi:type="xsd:double"&gt;673.98&lt;/D&gt;&lt;D xsi:type="xsd:double"&gt;653.28&lt;/D&gt;&lt;D xsi:type="xsd:double"&gt;654.39&lt;/D&gt;&lt;D xsi:type="xsd:double"&gt;658.3&lt;/D&gt;&lt;D xsi:type="xsd:double"&gt;644.99&lt;/D&gt;&lt;D xsi:type="xsd:double"&gt;622.84&lt;/D&gt;&lt;D xsi:type="xsd:double"&gt;612.4&lt;/D&gt;&lt;D xsi:type="xsd:double"&gt;604.01&lt;/D&gt;&lt;D xsi:type="xsd:double"&gt;591.56&lt;/D&gt;&lt;D xsi:type="xsd:double"&gt;591.06&lt;/D&gt;&lt;D xsi:type="xsd:double"&gt;580.22&lt;/D&gt;&lt;D xsi:type="xsd:double"&gt;592.76&lt;/D&gt;&lt;D xsi:type="xsd:double"&gt;585.36&lt;/D&gt;&lt;D xsi:type="xsd:double"&gt;579.62&lt;/D&gt;&lt;D xsi:type="xsd:double"&gt;591.25&lt;/D&gt;&lt;D xsi:type="xsd:double"&gt;589.88&lt;/D&gt;&lt;D xsi:type="xsd:double"&gt;581.65&lt;/D&gt;&lt;D xsi:type="xsd:double"&gt;568.49&lt;/D&gt;&lt;D xsi:type="xsd:double"&gt;564.79&lt;/D&gt;&lt;D xsi:type="xsd:double"&gt;566.61&lt;/D&gt;&lt;D xsi:type="xsd:double"&gt;567.13&lt;/D&gt;&lt;D xsi:type="xsd:double"&gt;582.35&lt;/D&gt;&lt;D xsi:type="xsd:double"&gt;583.72&lt;/D&gt;&lt;D xsi:type="xsd:double"&gt;580.15&lt;/D&gt;&lt;D xsi:type="xsd:double"&gt;572.19&lt;/D&gt;&lt;D xsi:type="xsd:double"&gt;572.93&lt;/D&gt;&lt;D xsi:type="xsd:double"&gt;568.92&lt;/D&gt;&lt;D xsi:type="xsd:double"&gt;572.11&lt;/D&gt;&lt;D xsi:type="xsd:double"&gt;565.09&lt;/D&gt;&lt;D xsi:type="xsd:double"&gt;556.72&lt;/D&gt;&lt;D xsi:type="xsd:double"&gt;557.07&lt;/D&gt;&lt;D xsi:type="xsd:double"&gt;558.12&lt;/D&gt;&lt;D xsi:type="xsd:double"&gt;550.51&lt;/D&gt;&lt;D xsi:type="xsd:double"&gt;574.96&lt;/D&gt;&lt;D xsi:type="xsd:double"&gt;570.55&lt;/D&gt;&lt;D xsi:type="xsd:double"&gt;574.84&lt;/D&gt;&lt;D xsi:type="xsd:double"&gt;557.51&lt;/D&gt;&lt;D xsi:type="xsd:double"&gt;556.24&lt;/D&gt;&lt;D xsi:type="xsd:double"&gt;551.04&lt;/D&gt;&lt;D xsi:type="xsd:double"&gt;554.25&lt;/D&gt;&lt;D xsi:type="xsd:double"&gt;544.1&lt;/D&gt;&lt;D xsi:type="xsd:double"&gt;542.93&lt;/D&gt;&lt;D xsi:type="xsd:double"&gt;540.97&lt;/D&gt;&lt;D xsi:type="xsd:double"&gt;537&lt;/D&gt;&lt;D xsi:type="xsd:double"&gt;528.88&lt;/D&gt;&lt;D xsi:type="xsd:double"&gt;511.67&lt;/D&gt;&lt;D xsi:type="xsd:double"&gt;503.36&lt;/D&gt;&lt;D xsi:type="xsd:double"&gt;506.57&lt;/D&gt;&lt;D xsi:type="xsd:double"&gt;504.75&lt;/D&gt;&lt;D xsi:type="xsd:double"&gt;496.84&lt;/D&gt;&lt;D xsi:type="xsd:double"&gt;499.43&lt;/D&gt;&lt;D xsi:type="xsd:double"&gt;499.38&lt;/D&gt;&lt;D xsi:type="xsd:double"&gt;504.42&lt;/D&gt;&lt;D xsi:type="xsd:double"&gt;504.04&lt;/D&gt;&lt;D xsi:type="xsd:double"&gt;506.23&lt;/D&gt;&lt;D xsi:type="xsd:double"&gt;516&lt;/D&gt;&lt;D xsi:type="xsd:double"&gt;516.19&lt;/D&gt;&lt;D xsi:type="xsd:double"&gt;515.14&lt;/D&gt;&lt;D xsi:type="xsd:double"&gt;500.39&lt;/D&gt;&lt;D xsi:type="xsd:double"&gt;499.75&lt;/D&gt;&lt;D xsi:type="xsd:double"&gt;498.87&lt;/D&gt;&lt;D xsi:type="xsd:double"&gt;500.29&lt;/D&gt;&lt;D xsi:type="xsd:double"&gt;496.8&lt;/D&gt;&lt;D xsi:type="xsd:double"&gt;502.79&lt;/D&gt;&lt;D xsi:type="xsd:double"&gt;498.87&lt;/D&gt;&lt;D xsi:type="xsd:double"&gt;491.76&lt;/D&gt;&lt;D xsi:type="xsd:double"&gt;493.09&lt;/D&gt;&lt;D xsi:type="xsd:double"&gt;489.07&lt;/D&gt;&lt;D xsi:type="xsd:double"&gt;491.34&lt;/D&gt;&lt;D xsi:type="xsd:double"&gt;471.36&lt;/D&gt;&lt;D xsi:type="xsd:double"&gt;474.07&lt;/D&gt;&lt;D xsi:type="xsd:double"&gt;476.11&lt;/D&gt;&lt;D xsi:type="xsd:double"&gt;493.47&lt;/D&gt;&lt;D xsi:type="xsd:double"&gt;502.3&lt;/D&gt;&lt;D xsi:type="xsd:double"&gt;502.36&lt;/D&gt;&lt;D xsi:type="xsd:double"&gt;507.36&lt;/D&gt;&lt;D xsi:type="xsd:double"&gt;503.9&lt;/D&gt;&lt;D xsi:type="xsd:double"&gt;503.66&lt;/D&gt;&lt;D xsi:type="xsd:double"&gt;511.13&lt;/D&gt;&lt;D xsi:type="xsd:double"&gt;510.63&lt;/D&gt;&lt;D xsi:type="xsd:double"&gt;512.78&lt;/D&gt;&lt;D xsi:type="xsd:double"&gt;504.11&lt;/D&gt;&lt;D xsi:type="xsd:double"&gt;520.22&lt;/D&gt;&lt;D xsi:type="xsd:double"&gt;518.28&lt;/D&gt;&lt;D xsi:type="xsd:double"&gt;517.54&lt;/D&gt;&lt;D xsi:type="xsd:double"&gt;537.37&lt;/D&gt;&lt;D xsi:type="xsd:double"&gt;524.48&lt;/D&gt;&lt;D xsi:type="xsd:double"&gt;515.08&lt;/D&gt;&lt;D xsi:type="xsd:double"&gt;520.55&lt;/D&gt;&lt;D xsi:type="xsd:double"&gt;516.89&lt;/D&gt;&lt;D xsi:type="xsd:double"&gt;519.29&lt;/D&gt;&lt;D xsi:type="xsd:double"&gt;518.17&lt;/D&gt;&lt;D xsi:type="xsd:double"&gt;501.21&lt;/D&gt;&lt;D xsi:type="xsd:double"&gt;513.22&lt;/D&gt;&lt;D xsi:type="xsd:double"&gt;519.33&lt;/D&gt;&lt;D xsi:type="xsd:double"&gt;516.52&lt;/D&gt;&lt;D xsi:type="xsd:double"&gt;500&lt;/D&gt;&lt;D xsi:type="xsd:double"&gt;492.53&lt;/D&gt;&lt;D xsi:type="xsd:double"&gt;464.38&lt;/D&gt;&lt;D xsi:type="xsd:double"&gt;483.87&lt;/D&gt;&lt;D xsi:type="xsd:double"&gt;470.22&lt;/D&gt;&lt;D xsi:type="xsd:double"&gt;467.95&lt;/D&gt;&lt;D xsi:type="xsd:double"&gt;463.24&lt;/D&gt;&lt;D xsi:type="xsd:double"&gt;465.95&lt;/D&gt;&lt;D xsi:type="xsd:double"&gt;462&lt;/D&gt;&lt;D xsi:type="xsd:double"&gt;450.02&lt;/D&gt;&lt;D xsi:type="xsd:double"&gt;445.33&lt;/D&gt;&lt;D xsi:type="xsd:double"&gt;450.72&lt;/D&gt;&lt;D xsi:type="xsd:double"&gt;451.52&lt;/D&gt;&lt;D xsi:type="xsd:double"&gt;455.93&lt;/D&gt;&lt;D xsi:type="xsd:double"&gt;451.18&lt;/D&gt;&lt;D xsi:type="xsd:double"&gt;457.64&lt;/D&gt;&lt;D xsi:type="xsd:double"&gt;460.56&lt;/D&gt;&lt;D xsi:type="xsd:double"&gt;455.1&lt;/D&gt;&lt;D xsi:type="xsd:double"&gt;455.14&lt;/D&gt;&lt;D xsi:type="xsd:double"&gt;458.76&lt;/D&gt;&lt;D xsi:type="xsd:double"&gt;457.37&lt;/D&gt;&lt;/FQL&gt;&lt;FQL&gt;&lt;Q&gt;543454-IN^FG_TOTAL_RETURNC(0,-6AM)&lt;/Q&gt;&lt;R&gt;1&lt;/R&gt;&lt;C&gt;1&lt;/C&gt;&lt;D xsi:type="xsd:double"&gt;37.271606&lt;/D&gt;&lt;/FQL&gt;&lt;FQL&gt;&lt;Q&gt;543571-IN^FG_TOTAL_RETURNC(0,-6AM)&lt;/Q&gt;&lt;R&gt;1&lt;/R&gt;&lt;C&gt;1&lt;/C&gt;&lt;D xsi:type="xsd:double"&gt;27.67173&lt;/D&gt;&lt;/FQL&gt;&lt;FQL&gt;&lt;Q&gt;DIVOPPBEES-IN^FMA_PCT_ABOVE_MAVG(200,0,,,,"PORTAGG")&lt;/Q&gt;&lt;R&gt;0&lt;/R&gt;&lt;C&gt;0&lt;/C&gt;&lt;/FQL&gt;&lt;FQL&gt;&lt;Q&gt;543465-IN^FMA_PCT_ABOVE_MAVG(200,0,,,,"PORTAGG")&lt;/Q&gt;&lt;R&gt;1&lt;/R&gt;&lt;C&gt;1&lt;/C&gt;&lt;D xsi:type="xsd:double"&gt;90.3225806451613&lt;/D&gt;&lt;/FQL&gt;&lt;FQL&gt;&lt;Q&gt;DIVOPPBEES-IN^FMA_COS_DOWN("EPS","1M",+1,0,,,"PORTAGG","MEANR")&lt;/Q&gt;&lt;R&gt;0&lt;/R&gt;&lt;C&gt;0&lt;/C&gt;&lt;/FQL&gt;&lt;FQL&gt;&lt;Q&gt;543563-IN^COUNT(OS_TOP_HLDG_NAME(ALL,0D,,MTD,,ALL,EQ))&lt;/Q&gt;&lt;R&gt;1&lt;/R&gt;&lt;C&gt;1&lt;/C&gt;&lt;D xsi:type="xsd:long"&gt;0&lt;/D&gt;&lt;/FQL&gt;&lt;FQL&gt;&lt;Q&gt;540787-IN^FG_TOTAL_RETURNC(-1AM,-7AM)&lt;/Q&gt;&lt;R&gt;1&lt;/R&gt;&lt;C&gt;1&lt;/C&gt;&lt;D xsi:type="xsd:double"&gt;33.11888&lt;/D&gt;&lt;/FQL&gt;&lt;FQL&gt;&lt;Q&gt;543666-IN^FG_TOTAL_RETURNC(-1AM,-7AM)&lt;/Q&gt;&lt;R&gt;1&lt;/R&gt;&lt;C&gt;1&lt;/C&gt;&lt;D xsi:type="xsd:double"&gt;4.757738&lt;/D&gt;&lt;/FQL&gt;&lt;FQL&gt;&lt;Q&gt;543608-IN^FG_TOTAL_RETURNC(-1AM,-7AM)&lt;/Q&gt;&lt;R&gt;1&lt;/R&gt;&lt;C&gt;1&lt;/C&gt;&lt;D xsi:type="xsd:double"&gt;21.577728&lt;/D&gt;&lt;/FQL&gt;&lt;FQL&gt;&lt;Q&gt;590107-IN^JULIAN(P_PRICE(0,-200D).DATES)&lt;/Q&gt;&lt;R&gt;201&lt;/R&gt;&lt;C&gt;1&lt;/C&gt;&lt;D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xsi:type="xsd:long"&gt;45439&lt;/D&gt;&lt;D xsi:type="xsd:long"&gt;45436&lt;/D&gt;&lt;D xsi:type="xsd:long"&gt;45435&lt;/D&gt;&lt;D xsi:type="xsd:long"&gt;45434&lt;/D&gt;&lt;D xsi:type="xsd:long"&gt;45433&lt;/D&gt;&lt;D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xsi:type="xsd:long"&gt;45398&lt;/D&gt;&lt;D xsi:type="xsd:long"&gt;45397&lt;/D&gt;&lt;D xsi:type="xsd:long"&gt;45394&lt;/D&gt;&lt;D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xsi:type="xsd:long"&gt;45341&lt;/D&gt;&lt;D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xsi:type="xsd:long"&gt;45316&lt;/D&gt;&lt;D xsi:type="xsd:long"&gt;45315&lt;/D&gt;&lt;D xsi:type="xsd:long"&gt;45314&lt;/D&gt;&lt;D xsi:type="xsd:long"&gt;45310&lt;/D&gt;&lt;D xsi:type="xsd:long"&gt;45309&lt;/D&gt;&lt;D xsi:type="xsd:long"&gt;45308&lt;/D&gt;&lt;D xsi:type="xsd:long"&gt;45307&lt;/D&gt;&lt;D xsi:type="xsd:long"&gt;45306&lt;/D&gt;&lt;D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xsi:type="xsd:long"&gt;45292&lt;/D&gt;&lt;D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xsi:type="xsd:long"&gt;45254&lt;/D&gt;&lt;D xsi:type="xsd:long"&gt;45253&lt;/D&gt;&lt;D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xsi:type="xsd:long"&gt;45173&lt;/D&gt;&lt;D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xsi:type="xsd:long"&gt;45155&lt;/D&gt;&lt;/FQL&gt;&lt;FQL&gt;&lt;Q&gt;543454-IN^FG_TOTAL_RETURNC(0,-3AM)&lt;/Q&gt;&lt;R&gt;1&lt;/R&gt;&lt;C&gt;1&lt;/C&gt;&lt;D xsi:type="xsd:double"&gt;25.147343&lt;/D&gt;&lt;/FQL&gt;&lt;FQL&gt;&lt;Q&gt;543571-IN^FG_TOTAL_RETURNC(0,-3AM)&lt;/Q&gt;&lt;R&gt;1&lt;/R&gt;&lt;C&gt;1&lt;/C&gt;&lt;D xsi:type="xsd:double"&gt;12.942195&lt;/D&gt;&lt;/FQL&gt;&lt;FQL&gt;&lt;Q&gt;540787-IN^PERCENT_CHANGE(FMA_EPS(+1,0,,,,"PORTAGG","MEAN"),FMA_EPS(+1,-3AM,,,,"PORTAGG","MEAN"))&lt;/Q&gt;&lt;R&gt;1&lt;/R&gt;&lt;C&gt;1&lt;/C&gt;&lt;D xsi:type="xsd:double"&gt;-1.04743294626216&lt;/D&gt;&lt;/FQL&gt;&lt;FQL&gt;&lt;Q&gt;543710-IN^PERCENT_CHANGE(FMA_EPS(+1,0,,,,"PORTAGG","MEAN"),FMA_EPS(+1,-3AM,,,,"PORTAGG","MEAN"))&lt;/Q&gt;&lt;R&gt;0&lt;/R&gt;&lt;C&gt;0&lt;/C&gt;&lt;/FQL&gt;&lt;FQL&gt;&lt;Q&gt;DIVOPPBEES-IN^FMA_COS_UP("EPS","1M",+1,0,,,"PORTAGG","MEANR")&lt;/Q&gt;&lt;R&gt;0&lt;/R&gt;&lt;C&gt;0&lt;/C&gt;&lt;/FQL&gt;&lt;FQL&gt;&lt;Q&gt;543563-IN^FMA_COS_DOWN("EPS","1M",+1,0,,,"PORTAGG","MEANR")&lt;/Q&gt;&lt;R&gt;1&lt;/R&gt;&lt;C&gt;1&lt;/C&gt;&lt;D xsi:type="xsd:double"&gt;32&lt;/D&gt;&lt;/FQL&gt;&lt;FQL&gt;&lt;Q&gt;540787-IN^FG_TOTAL_RETURNC(-1AM,-4AM)&lt;/Q&gt;&lt;R&gt;1&lt;/R&gt;&lt;C&gt;1&lt;/C&gt;&lt;D xsi:type="xsd:double"&gt;6.8691254&lt;/D&gt;&lt;/FQL&gt;&lt;FQL&gt;&lt;Q&gt;543666-IN^FG_TOTAL_RETURNC(-1AM,-4AM)&lt;/Q&gt;&lt;R&gt;1&lt;/R&gt;&lt;C&gt;1&lt;/C&gt;&lt;D xsi:type="xsd:double"&gt;3.9410949&lt;/D&gt;&lt;/FQL&gt;&lt;FQL&gt;&lt;Q&gt;543608-IN^FG_TOTAL_RETURNC(-1AM,-4AM)&lt;/Q&gt;&lt;R&gt;1&lt;/R&gt;&lt;C&gt;1&lt;/C&gt;&lt;D xsi:type="xsd:double"&gt;1.4193535&lt;/D&gt;&lt;/FQL&gt;&lt;FQL&gt;&lt;Q&gt;543326-IN^FG_TOTAL_RETURNC(0,-1AM)&lt;/Q&gt;&lt;R&gt;1&lt;/R&gt;&lt;C&gt;1&lt;/C&gt;&lt;D xsi:type="xsd:double"&gt;3.5776258&lt;/D&gt;&lt;/FQL&gt;&lt;FQL&gt;&lt;Q&gt;543710-IN^FG_TOTAL_RETURNC(0,-1AM)&lt;/Q&gt;&lt;R&gt;1&lt;/R&gt;&lt;C&gt;1&lt;/C&gt;&lt;D xsi:type="xsd:double"&gt;7.4186325&lt;/D&gt;&lt;/FQL&gt;&lt;FQL&gt;&lt;Q&gt;590107-IN^FG_TOTAL_RETURNC(0,-1AM)&lt;/Q&gt;&lt;R&gt;1&lt;/R&gt;&lt;C&gt;1&lt;/C&gt;&lt;D xsi:type="xsd:double"&gt;5.605197&lt;/D&gt;&lt;/FQL&gt;&lt;FQL&gt;&lt;Q&gt;540787-IN^P_PRICE(0)/P_PRICE_LOW_PR(0,,,,,,"PRICE","CLOSE","52W")&lt;/Q&gt;&lt;R&gt;1&lt;/R&gt;&lt;C&gt;1&lt;/C&gt;&lt;D xsi:type="xsd:double"&gt;1.7078531&lt;/D&gt;&lt;/FQL&gt;&lt;FQL&gt;&lt;Q&gt;543666-IN^P_PRICE(0)/P_PRICE_LOW_PR(0,,,,,,"PRICE","CLOSE","52W")&lt;/Q&gt;&lt;R&gt;1&lt;/R&gt;&lt;C&gt;1&lt;/C&gt;&lt;D xsi:type="xsd:double"&gt;1.1352997&lt;/D&gt;&lt;/FQL&gt;&lt;FQL&gt;&lt;Q&gt;543348-IN^P_PRICE(0)/P_PRICE_LOW_PR(0,,,,,,"PRICE","CLOSE","52W")&lt;/Q&gt;&lt;R&gt;1&lt;/R&gt;&lt;C&gt;1&lt;/C&gt;&lt;D xsi:type="xsd:double"&gt;1.8288223&lt;/D&gt;&lt;/FQL&gt;&lt;FQL&gt;&lt;Q&gt;538057-IN^FMA_PCT_ABOVE_MAVG(200,0,,,,"PORTAGG")&lt;/Q&gt;&lt;R&gt;0&lt;/R&gt;&lt;C&gt;0&lt;/C&gt;&lt;/FQL&gt;&lt;FQL&gt;&lt;Q&gt;543710-IN^PERCENT_CHANGE(FMA_EPS(+1,0,,,,"PORTAGG","MEAN"),FMA_EPS(+1,-1AM,,,,"PORTAGG","MEAN"))&lt;/Q&gt;&lt;R&gt;0&lt;/R&gt;&lt;C&gt;0&lt;/C&gt;&lt;/FQL&gt;&lt;FQL&gt;&lt;Q&gt;540787-IN^COUNT(OS_TOP_HLDG_NAME(ALL,0D,,MTD,,ALL,EQ))&lt;/Q&gt;&lt;R&gt;1&lt;/R&gt;&lt;C&gt;1&lt;/C&gt;&lt;D xsi:type="xsd:long"&gt;23&lt;/D&gt;&lt;/FQL&gt;&lt;FQL&gt;&lt;Q&gt;543710-IN^COUNT(OS_TOP_HLDG_NAME(ALL,0D,,MTD,,ALL,EQ))&lt;/Q&gt;&lt;R&gt;1&lt;/R&gt;&lt;C&gt;1&lt;/C&gt;&lt;D xsi:type="xsd:long"&gt;31&lt;/D&gt;&lt;/FQL&gt;&lt;FQL&gt;&lt;Q&gt;540787-IN^FG_TOTAL_RETURNC(-1AM,-2AM)&lt;/Q&gt;&lt;R&gt;1&lt;/R&gt;&lt;C&gt;1&lt;/C&gt;&lt;D xsi:type="xsd:double"&gt;-0.6529689&lt;/D&gt;&lt;/FQL&gt;&lt;FQL&gt;&lt;Q&gt;543956-IN^P_PRICE(0,-200D)&lt;/Q&gt;&lt;R&gt;201&lt;/R&gt;&lt;C&gt;1&lt;/C&gt;&lt;D xsi:type="xsd:double"&gt;20.78&lt;/D&gt;&lt;D xsi:type="xsd:double"&gt;20.69&lt;/D&gt;&lt;D xsi:type="xsd:double"&gt;20.72&lt;/D&gt;&lt;D xsi:type="xsd:double"&gt;20.47&lt;/D&gt;&lt;D xsi:type="xsd:double"&gt;20.55&lt;/D&gt;&lt;D xsi:type="xsd:double"&gt;20.16&lt;/D&gt;&lt;D xsi:type="xsd:double"&gt;20.14&lt;/D&gt;&lt;D xsi:type="xsd:double"&gt;19.21&lt;/D&gt;&lt;D xsi:type="xsd:double"&gt;20&lt;/D&gt;&lt;D xsi:type="xsd:double"&gt;19.73&lt;/D&gt;&lt;D xsi:type="xsd:double"&gt;19.7&lt;/D&gt;&lt;D xsi:type="xsd:double"&gt;19.99&lt;/D&gt;&lt;D xsi:type="xsd:double"&gt;20.03&lt;/D&gt;&lt;D xsi:type="xsd:double"&gt;20.02&lt;/D&gt;&lt;D xsi:type="xsd:double"&gt;19.98&lt;/D&gt;&lt;D xsi:type="xsd:double"&gt;19.85&lt;/D&gt;&lt;D xsi:type="xsd:double"&gt;19.76&lt;/D&gt;&lt;D xsi:type="xsd:double"&gt;19.6&lt;/D&gt;&lt;D xsi:type="xsd:double"&gt;19.4&lt;/D&gt;&lt;D xsi:type="xsd:double"&gt;19.25&lt;/D&gt;&lt;D xsi:type="xsd:double"&gt;19.1&lt;/D&gt;&lt;D xsi:type="xsd:double"&gt;19.15&lt;/D&gt;&lt;D xsi:type="xsd:double"&gt;18.92&lt;/D&gt;&lt;D xsi:type="xsd:double"&gt;19.04&lt;/D&gt;&lt;D xsi:type="xsd:double"&gt;18.788&lt;/D&gt;&lt;D xsi:type="xsd:double"&gt;18.832&lt;/D&gt;&lt;D xsi:type="xsd:double"&gt;18.997&lt;/D&gt;&lt;D xsi:type="xsd:double"&gt;19.972&lt;/D&gt;&lt;D xsi:type="xsd:double"&gt;19.25&lt;/D&gt;&lt;D xsi:type="xsd:double"&gt;18.948&lt;/D&gt;&lt;D xsi:type="xsd:double"&gt;18.882002&lt;/D&gt;&lt;D xsi:type="xsd:double"&gt;18.87&lt;/D&gt;&lt;D xsi:type="xsd:double"&gt;19.033&lt;/D&gt;&lt;D xsi:type="xsd:double"&gt;18.463001&lt;/D&gt;&lt;D xsi:type="xsd:double"&gt;18.759&lt;/D&gt;&lt;D xsi:type="xsd:double"&gt;18.759&lt;/D&gt;&lt;D xsi:type="xsd:double"&gt;18.203001&lt;/D&gt;&lt;D xsi:type="xsd:double"&gt;18.315&lt;/D&gt;&lt;D xsi:type="xsd:double"&gt;18.607&lt;/D&gt;&lt;D xsi:type="xsd:double"&gt;18.768&lt;/D&gt;&lt;D xsi:type="xsd:double"&gt;18.77&lt;/D&gt;&lt;D xsi:type="xsd:double"&gt;18.77&lt;/D&gt;&lt;D xsi:type="xsd:double"&gt;18.800001&lt;/D&gt;&lt;D xsi:type="xsd:double"&gt;18.85&lt;/D&gt;&lt;D xsi:type="xsd:double"&gt;18.924002&lt;/D&gt;&lt;D xsi:type="xsd:double"&gt;19&lt;/D&gt;&lt;D xsi:type="xsd:double"&gt;18.910002&lt;/D&gt;&lt;D xsi:type="xsd:double"&gt;18.93&lt;/D&gt;&lt;D xsi:type="xsd:double"&gt;18.653&lt;/D&gt;&lt;D xsi:type="xsd:double"&gt;18.793&lt;/D&gt;&lt;D xsi:type="xsd:double"&gt;18.503&lt;/D&gt;&lt;D xsi:type="xsd:double"&gt;18.589&lt;/D&gt;&lt;D xsi:type="xsd:double"&gt;18.7</t>
        </r>
      </text>
    </comment>
    <comment ref="A5" authorId="0" shapeId="0" xr:uid="{E4E3FE26-76B6-40D0-9AE0-0DECDC7C6A6D}">
      <text>
        <r>
          <rPr>
            <b/>
            <sz val="9"/>
            <color indexed="81"/>
            <rFont val="Tahoma"/>
            <charset val="1"/>
          </rPr>
          <t>2&lt;/D&gt;&lt;D xsi:type="xsd:double"&gt;18.705&lt;/D&gt;&lt;D xsi:type="xsd:double"&gt;18.573&lt;/D&gt;&lt;D xsi:type="xsd:double"&gt;18.453001&lt;/D&gt;&lt;D xsi:type="xsd:double"&gt;18.4&lt;/D&gt;&lt;D xsi:type="xsd:double"&gt;18.800001&lt;/D&gt;&lt;D xsi:type="xsd:double"&gt;18.938002&lt;/D&gt;&lt;D xsi:type="xsd:double"&gt;18.689001&lt;/D&gt;&lt;D xsi:type="xsd:double"&gt;18.672&lt;/D&gt;&lt;D xsi:type="xsd:double"&gt;18.832&lt;/D&gt;&lt;D xsi:type="xsd:double"&gt;19.137&lt;/D&gt;&lt;D xsi:type="xsd:double"&gt;19.173&lt;/D&gt;&lt;D xsi:type="xsd:double"&gt;18.894001&lt;/D&gt;&lt;D xsi:type="xsd:double"&gt;18.772001&lt;/D&gt;&lt;D xsi:type="xsd:double"&gt;18.85&lt;/D&gt;&lt;D xsi:type="xsd:double"&gt;18.876&lt;/D&gt;&lt;D xsi:type="xsd:double"&gt;18.7&lt;/D&gt;&lt;D xsi:type="xsd:double"&gt;18.67&lt;/D&gt;&lt;D xsi:type="xsd:double"&gt;18.880001&lt;/D&gt;&lt;D xsi:type="xsd:double"&gt;18.895&lt;/D&gt;&lt;D xsi:type="xsd:double"&gt;19.085001&lt;/D&gt;&lt;D xsi:type="xsd:double"&gt;18.925001&lt;/D&gt;&lt;D xsi:type="xsd:double"&gt;18.710001&lt;/D&gt;&lt;D xsi:type="xsd:double"&gt;18.964&lt;/D&gt;&lt;D xsi:type="xsd:double"&gt;19.115&lt;/D&gt;&lt;D xsi:type="xsd:double"&gt;19.038&lt;/D&gt;&lt;D xsi:type="xsd:double"&gt;18.962&lt;/D&gt;&lt;D xsi:type="xsd:double"&gt;18.928999&lt;/D&gt;&lt;D xsi:type="xsd:double"&gt;18.6&lt;/D&gt;&lt;D xsi:type="xsd:double"&gt;18.403&lt;/D&gt;&lt;D xsi:type="xsd:double"&gt;18.555&lt;/D&gt;&lt;D xsi:type="xsd:double"&gt;18.705&lt;/D&gt;&lt;D xsi:type="xsd:double"&gt;18.910002&lt;/D&gt;&lt;D xsi:type="xsd:double"&gt;18.908&lt;/D&gt;&lt;D xsi:type="xsd:double"&gt;18.789&lt;/D&gt;&lt;D xsi:type="xsd:double"&gt;18.453001&lt;/D&gt;&lt;D xsi:type="xsd:double"&gt;18.555&lt;/D&gt;&lt;D xsi:type="xsd:double"&gt;18.233&lt;/D&gt;&lt;D xsi:type="xsd:double"&gt;18.233&lt;/D&gt;&lt;D xsi:type="xsd:double"&gt;18.36&lt;/D&gt;&lt;D xsi:type="xsd:double"&gt;18.153&lt;/D&gt;&lt;D xsi:type="xsd:double"&gt;18.460001&lt;/D&gt;&lt;D xsi:type="xsd:double"&gt;18.291&lt;/D&gt;&lt;D xsi:type="xsd:double"&gt;18.728&lt;/D&gt;&lt;D xsi:type="xsd:double"&gt;18.263&lt;/D&gt;&lt;D xsi:type="xsd:double"&gt;18.403&lt;/D&gt;&lt;D xsi:type="xsd:double"&gt;18.705&lt;/D&gt;&lt;D xsi:type="xsd:double"&gt;18.919&lt;/D&gt;&lt;D xsi:type="xsd:double"&gt;18.74&lt;/D&gt;&lt;D xsi:type="xsd:double"&gt;18.514&lt;/D&gt;&lt;D xsi:type="xsd:double"&gt;18.352001&lt;/D&gt;&lt;D xsi:type="xsd:double"&gt;18.103&lt;/D&gt;&lt;D xsi:type="xsd:double"&gt;18.28&lt;/D&gt;&lt;D xsi:type="xsd:double"&gt;18.601&lt;/D&gt;&lt;D xsi:type="xsd:double"&gt;18.213001&lt;/D&gt;&lt;D xsi:type="xsd:double"&gt;18.398&lt;/D&gt;&lt;D xsi:type="xsd:double"&gt;18.495&lt;/D&gt;&lt;D xsi:type="xsd:double"&gt;18.599&lt;/D&gt;&lt;D xsi:type="xsd:double"&gt;18.471&lt;/D&gt;&lt;D xsi:type="xsd:double"&gt;18.499&lt;/D&gt;&lt;D xsi:type="xsd:double"&gt;18.285002&lt;/D&gt;&lt;D xsi:type="xsd:double"&gt;17.903&lt;/D&gt;&lt;D xsi:type="xsd:double"&gt;18.101&lt;/D&gt;&lt;D xsi:type="xsd:double"&gt;17.885&lt;/D&gt;&lt;D xsi:type="xsd:double"&gt;17.883001&lt;/D&gt;&lt;D xsi:type="xsd:double"&gt;18.164999&lt;/D&gt;&lt;D xsi:type="xsd:double"&gt;17.926&lt;/D&gt;&lt;D xsi:type="xsd:double"&gt;17.603&lt;/D&gt;&lt;D xsi:type="xsd:double"&gt;17.453001&lt;/D&gt;&lt;D xsi:type="xsd:double"&gt;17.508001&lt;/D&gt;&lt;D xsi:type="xsd:double"&gt;17.644001&lt;/D&gt;&lt;D xsi:type="xsd:double"&gt;17.482&lt;/D&gt;&lt;D xsi:type="xsd:double"&gt;17.599&lt;/D&gt;&lt;D xsi:type="xsd:double"&gt;17.517&lt;/D&gt;&lt;D xsi:type="xsd:double"&gt;17.303&lt;/D&gt;&lt;D xsi:type="xsd:double"&gt;17.371&lt;/D&gt;&lt;D xsi:type="xsd:double"&gt;17.203001&lt;/D&gt;&lt;D xsi:type="xsd:double"&gt;17.103&lt;/D&gt;&lt;D xsi:type="xsd:double"&gt;17.28&lt;/D&gt;&lt;D xsi:type="xsd:double"&gt;17.208&lt;/D&gt;&lt;D xsi:type="xsd:double"&gt;16.969&lt;/D&gt;&lt;D xsi:type="xsd:double"&gt;16.921001&lt;/D&gt;&lt;D xsi:type="xsd:double"&gt;16.813002&lt;/D&gt;&lt;D xsi:type="xsd:double"&gt;16.703001&lt;/D&gt;&lt;D xsi:type="xsd:double"&gt;16.753&lt;/D&gt;&lt;D xsi:type="xsd:double"&gt;16.653&lt;/D&gt;&lt;D xsi:type="xsd:double"&gt;16.871&lt;/D&gt;&lt;D xsi:type="xsd:double"&gt;16.857&lt;/D&gt;&lt;D xsi:type="xsd:double"&gt;16.303&lt;/D&gt;&lt;D xsi:type="xsd:double"&gt;16.123&lt;/D&gt;&lt;D xsi:type="xsd:double"&gt;16.344&lt;/D&gt;&lt;D xsi:type="xsd:double"&gt;16.507002&lt;/D&gt;&lt;D xsi:type="xsd:double"&gt;16.411001&lt;/D&gt;&lt;D xsi:type="xsd:double"&gt;16.053&lt;/D&gt;&lt;D xsi:type="xsd:double"&gt;16.388&lt;/D&gt;&lt;D xsi:type="xsd:double"&gt;15.803&lt;/D&gt;&lt;D xsi:type="xsd:double"&gt;15.903&lt;/D&gt;&lt;D xsi:type="xsd:double"&gt;15.813001&lt;/D&gt;&lt;D xsi:type="xsd:double"&gt;16.201&lt;/D&gt;&lt;D xsi:type="xsd:double"&gt;16.058&lt;/D&gt;&lt;D xsi:type="xsd:double"&gt;13.708&lt;/D&gt;&lt;D xsi:type="xsd:double"&gt;15.703&lt;/D&gt;&lt;D xsi:type="xsd:double"&gt;16.129&lt;/D&gt;&lt;D xsi:type="xsd:double"&gt;15.967999&lt;/D&gt;&lt;D xsi:type="xsd:double"&gt;16.203001&lt;/D&gt;&lt;D xsi:type="xsd:double"&gt;16.692999&lt;/D&gt;&lt;D xsi:type="xsd:double"&gt;16.323&lt;/D&gt;&lt;D xsi:type="xsd:double"&gt;16.68&lt;/D&gt;&lt;D xsi:type="xsd:double"&gt;16.333&lt;/D&gt;&lt;D xsi:type="xsd:double"&gt;16.303&lt;/D&gt;&lt;D xsi:type="xsd:double"&gt;16.273&lt;/D&gt;&lt;D xsi:type="xsd:double"&gt;16.303&lt;/D&gt;&lt;D xsi:type="xsd:double"&gt;16.563002&lt;/D&gt;&lt;D xsi:type="xsd:double"&gt;16.123&lt;/D&gt;&lt;D xsi:type="xsd:double"&gt;16.063002&lt;/D&gt;&lt;D xsi:type="xsd:double"&gt;16.395&lt;/D&gt;&lt;D xsi:type="xsd:double"&gt;15.933001&lt;/D&gt;&lt;D xsi:type="xsd:double"&gt;16.103&lt;/D&gt;&lt;D xsi:type="xsd:double"&gt;16.003&lt;/D&gt;&lt;D xsi:type="xsd:double"&gt;16.279&lt;/D&gt;&lt;D xsi:type="xsd:double"&gt;16.303&lt;/D&gt;&lt;D xsi:type="xsd:double"&gt;16.253&lt;/D&gt;&lt;D xsi:type="xsd:double"&gt;16.501&lt;/D&gt;&lt;D xsi:type="xsd:double"&gt;16.163&lt;/D&gt;&lt;D xsi:type="xsd:double"&gt;16.497&lt;/D&gt;&lt;D xsi:type="xsd:double"&gt;16.403&lt;/D&gt;&lt;D xsi:type="xsd:double"&gt;16.403&lt;/D&gt;&lt;D xsi:type="xsd:double"&gt;16.761&lt;/D&gt;&lt;D xsi:type="xsd:double"&gt;16.585001&lt;/D&gt;&lt;D xsi:type="xsd:double"&gt;13.577001&lt;/D&gt;&lt;D xsi:type="xsd:double"&gt;16.203001&lt;/D&gt;&lt;D xsi:type="xsd:double"&gt;16.553&lt;/D&gt;&lt;D xsi:type="xsd:double"&gt;16.553&lt;/D&gt;&lt;D xsi:type="xsd:double"&gt;16.449001&lt;/D&gt;&lt;D xsi:type="xsd:double"&gt;16.298&lt;/D&gt;&lt;D xsi:type="xsd:double"&gt;16.273&lt;/D&gt;&lt;D xsi:type="xsd:double"&gt;16&lt;/D&gt;&lt;D xsi:type="xsd:double"&gt;15.504&lt;/D&gt;&lt;D xsi:type="xsd:double"&gt;15.533&lt;/D&gt;&lt;D xsi:type="xsd:double"&gt;16.049002&lt;/D&gt;&lt;D xsi:type="xsd:double"&gt;15.503&lt;/D&gt;&lt;D xsi:type="xsd:double"&gt;15.817&lt;/D&gt;&lt;D xsi:type="xsd:double"&gt;15.900001&lt;/D&gt;&lt;D xsi:type="xsd:double"&gt;15.85&lt;/D&gt;&lt;D xsi:type="xsd:double"&gt;16.1&lt;/D&gt;&lt;D xsi:type="xsd:double"&gt;15.503&lt;/D&gt;&lt;D xsi:type="xsd:double"&gt;15.403&lt;/D&gt;&lt;D xsi:type="xsd:double"&gt;15.900001&lt;/D&gt;&lt;D xsi:type="xsd:double"&gt;15.603&lt;/D&gt;&lt;/FQL&gt;&lt;FQL&gt;&lt;Q&gt;543326-IN^PERCENT_CHANGE(FMA_EPS(+1,0,,,,"PORTAGG","MEAN"),FMA_EPS(+1,-1AM,,,,"PORTAGG","MEAN"))&lt;/Q&gt;&lt;R&gt;1&lt;/R&gt;&lt;C&gt;1&lt;/C&gt;&lt;D xsi:type="xsd:double"&gt;-0.831928147636654&lt;/D&gt;&lt;/FQL&gt;&lt;FQL&gt;&lt;Q&gt;543956-IN^P_PRICE(-1AM)/P_PRICE_HIGH_PR(-1AM,,,,,,"PRICE","CLOSE","52W")&lt;/Q&gt;&lt;R&gt;1&lt;/R&gt;&lt;C&gt;1&lt;/C&gt;&lt;D xsi:type="xsd:double"&gt;0.94732624&lt;/D&gt;&lt;/FQL&gt;&lt;FQL&gt;&lt;Q&gt;543326-IN^FMA_PCT_ABOVE_MAVG(200,0,,,,"PORTAGG")&lt;/Q&gt;&lt;R&gt;1&lt;/R&gt;&lt;C&gt;1&lt;/C&gt;&lt;D xsi:type="xsd:double"&gt;62.5&lt;/D&gt;&lt;/FQL&gt;&lt;FQL&gt;&lt;Q&gt;543956-IN^FG_TOTAL_RETURNC(-1AM,-7AM)&lt;/Q&gt;&lt;R&gt;1&lt;/R&gt;&lt;C&gt;1&lt;/C&gt;&lt;D xsi:type="xsd:double"&gt;17.347897&lt;/D&gt;&lt;/FQL&gt;&lt;FQL&gt;&lt;Q&gt;543571-IN^FG_TOTAL_RETURNC(0,-1AM)&lt;/Q&gt;&lt;R&gt;1&lt;/R&gt;&lt;C&gt;1&lt;/C&gt;&lt;D xsi:type="xsd:double"&gt;7.812679&lt;/D&gt;&lt;/FQL&gt;&lt;FQL&gt;&lt;Q&gt;543465-IN^PERCENT_CHANGE(FMA_EPS(+1,0,,,,"PORTAGG","MEAN"),FMA_EPS(+1,-1AM,,,,"PORTAGG","MEAN"))&lt;/Q&gt;&lt;R&gt;1&lt;/R&gt;&lt;C&gt;1&lt;/C&gt;&lt;D xsi:type="xsd:double"&gt;4.21997804972155&lt;/D&gt;&lt;/FQL&gt;&lt;FQL&gt;&lt;Q&gt;543956-IN^FG_TOTAL_RETURNC(-1AM,-4AM)&lt;/Q&gt;&lt;R&gt;1&lt;/R&gt;&lt;C&gt;1&lt;/C&gt;&lt;D xsi:type="xsd:double"&gt;1.7204285&lt;/D&gt;&lt;/FQL&gt;&lt;FQL&gt;&lt;Q&gt;540787-IN^P_PRICE(-1AM)/P_PRICE_HIGH_PR(-1AM,,,,,,"PRICE","CLOSE","52W")&lt;/Q&gt;&lt;R&gt;1&lt;/R&gt;&lt;C&gt;1&lt;/C&gt;&lt;D xsi:type="xsd:double"&gt;0.9557506&lt;/D&gt;&lt;/FQL&gt;&lt;FQL&gt;&lt;Q&gt;543571-IN^PERCENT_CHANGE(FMA_EPS(+1,0,,,,"PORTAGG","MEAN"),FMA_EPS(+1,-3AM,,,,"PORTAGG","MEAN"))&lt;/Q&gt;&lt;R&gt;1&lt;/R&gt;&lt;C&gt;1&lt;/C&gt;&lt;D xsi:type="xsd:double"&gt;-1.88028745733665&lt;/D&gt;&lt;/FQL&gt;&lt;FQL&gt;&lt;Q&gt;538057-IN^P_PRICE(-1AM)/P_PRICE_HIGH_PR(-1AM,,,,,,"PRICE","CLOSE","52W")&lt;/Q&gt;&lt;R&gt;1&lt;/R&gt;&lt;C&gt;1&lt;/C&gt;&lt;D xsi:type="xsd:double"&gt;0.95341223&lt;/D&gt;&lt;/FQL&gt;&lt;FQL&gt;&lt;Q&gt;DIVOPPBEES-IN^COUNT(OS_TOP_HLDG_NAME(ALL,0D,,MTD,,ALL,EQ))&lt;/Q&gt;&lt;R&gt;1&lt;/R&gt;&lt;C&gt;1&lt;/C&gt;&lt;D xsi:type="xsd:long"&gt;51&lt;/D&gt;&lt;/FQL&gt;&lt;FQL&gt;&lt;Q&gt;543666-IN^P_PRICE(-1AM)/P_PRICE_HIGH_PR(-1AM,,,,,,"PRICE","CLOSE","52W")&lt;/Q&gt;&lt;R&gt;1&lt;/R&gt;&lt;C&gt;1&lt;/C&gt;&lt;D xsi:type="xsd:double"&gt;0.9523809&lt;/D&gt;&lt;/FQL&gt;&lt;FQL&gt;&lt;Q&gt;540787-IN^FMA_COS_UP("EPS","1M",+1,0,,,"PORTAGG","MEANR")&lt;/Q&gt;&lt;R&gt;1&lt;/R&gt;&lt;C&gt;1&lt;/C&gt;&lt;D xsi:type="xsd:double"&gt;12&lt;/D&gt;&lt;/FQL&gt;&lt;FQL&gt;&lt;Q&gt;543563-IN^FG_TOTAL_RETURNC(-1AM,-2AM)&lt;/Q&gt;&lt;R&gt;1&lt;/R&gt;&lt;C&gt;1&lt;/C&gt;&lt;D xsi:type="xsd:double"&gt;-0.64679384&lt;/D&gt;&lt;/FQL&gt;&lt;FQL&gt;&lt;Q&gt;543465-IN^FG_TOTAL_RETURNC(-1AM,-7AM)&lt;/Q&gt;&lt;R&gt;1&lt;/R&gt;&lt;C&gt;1&lt;/C&gt;&lt;D xsi:type="xsd:double"&gt;36.08569&lt;/D&gt;&lt;/FQL&gt;&lt;FQL&gt;&lt;Q&gt;543465-IN^FG_TOTAL_RETURNC(-1AM,-4AM)&lt;/Q&gt;&lt;R&gt;1&lt;/R&gt;&lt;C&gt;1&lt;/C&gt;&lt;D xsi:type="xsd:double"&gt;10.729397&lt;/D&gt;&lt;/FQL&gt;&lt;FQL&gt;&lt;Q&gt;DIVOPPBEES-IN^PERCENT_CHANGE(FMA_EPS(+1,0,,,,"PORTAGG","MEAN"),FMA_EPS(+1,-1AM,,,,"PORTAGG","MEAN"))&lt;/Q&gt;&lt;R&gt;0&lt;/R&gt;&lt;C&gt;0&lt;/C&gt;&lt;/FQL&gt;&lt;FQL&gt;&lt;Q&gt;543710-IN^FMA_COS_UP("EPS","1M",+1,0,,,"PORTAGG","MEANR")&lt;/Q&gt;&lt;R&gt;0&lt;/R&gt;&lt;C&gt;0&lt;/C&gt;&lt;/FQL&gt;&lt;FQL&gt;&lt;Q&gt;543571-IN^P_PRICE(0)/P_PRICE_HIGH_PR(0,,,,,,"PRICE","CLOSE","52W")&lt;/Q&gt;&lt;R&gt;1&lt;/R&gt;&lt;C&gt;1&lt;/C&gt;&lt;D xsi:type="xsd:double"&gt;0.9687071&lt;/D&gt;&lt;/FQL&gt;&lt;FQL&gt;&lt;Q&gt;543608-IN^FG_TOTAL_RETURNC(-1AM,-2AM)&lt;/Q&gt;&lt;R&gt;1&lt;/R&gt;&lt;C&gt;1&lt;/C&gt;&lt;D xsi:type="xsd:double"&gt;-3.3433259&lt;/D&gt;&lt;/FQL&gt;&lt;FQL&gt;&lt;Q&gt;543710-IN^FMA_PCT_ABOVE_MAVG(200,0,,,,"PORTAGG")&lt;/Q&gt;&lt;R&gt;0&lt;/R&gt;&lt;C&gt;0&lt;/C&gt;&lt;/FQL&gt;&lt;FQL&gt;&lt;Q&gt;543454-IN^P_PRICE(0)/P_PRICE_HIGH_PR(0,,,,,,"PRICE","CLOSE","52W")&lt;/Q&gt;&lt;R&gt;1&lt;/R&gt;&lt;C&gt;1&lt;/C&gt;&lt;D xsi:type="xsd:double"&gt;1&lt;/D&gt;&lt;/FQL&gt;&lt;FQL&gt;&lt;Q&gt;543571-IN^PERCENT_CHANGE(FMA_EPS(+1,0,,,,"PORTAGG","MEAN"),FMA_EPS(+1,-1AM,,,,"PORTAGG","MEAN"))&lt;/Q&gt;&lt;R&gt;1&lt;/R&gt;&lt;C&gt;1&lt;/C&gt;&lt;D xsi:type="xsd:double"&gt;-0.679827482693608&lt;/D&gt;&lt;/FQL&gt;&lt;FQL&gt;&lt;Q&gt;538057-IN^FG_TOTAL_RETURNC(-1AM,-7AM)&lt;/Q&gt;&lt;R&gt;1&lt;/R&gt;&lt;C&gt;1&lt;/C&gt;&lt;D xsi:type="xsd:double"&gt;49.091553&lt;/D&gt;&lt;/FQL&gt;&lt;FQL&gt;&lt;Q&gt;538057-IN^FG_TOTAL_RETURNC(-1AM,-4AM)&lt;/Q&gt;&lt;R&gt;1&lt;/R&gt;&lt;C&gt;1&lt;/C&gt;&lt;D xsi:type="xsd:double"&gt;10.874975&lt;/D&gt;&lt;/FQL&gt;&lt;FQL&gt;&lt;Q&gt;540787-IN^FMA_COS_DOWN("EPS","1M",+1,0,,,"PORTAGG","MEANR")&lt;/Q&gt;&lt;R&gt;1&lt;/R&gt;&lt;C&gt;1&lt;/C&gt;&lt;D xsi:type="xsd:double"&gt;10&lt;/D&gt;&lt;/FQL&gt;&lt;FQL&gt;&lt;Q&gt;538057-IN^COUNT(OS_TOP_HLDG_NAME(ALL,0D,,MTD,,ALL,EQ))&lt;/Q&gt;&lt;R&gt;1&lt;/R&gt;&lt;C&gt;1&lt;/C&gt;&lt;D xsi:type="xsd:long"&gt;12&lt;/D&gt;&lt;/FQL&gt;&lt;FQL&gt;&lt;Q&gt;543465-IN^P_PRICE(-1AM)/P_PRICE_HIGH_PR(-1AM,,,,,,"PRICE","CLOSE","52W")&lt;/Q&gt;&lt;R&gt;1&lt;/R&gt;&lt;C&gt;1&lt;/C&gt;&lt;D xsi:type="xsd:double"&gt;0.97424054&lt;/D&gt;&lt;/FQL&gt;&lt;FQL&gt;&lt;Q&gt;543666-IN^FMA_COS_UP("EPS","1M",+1,0,,,"PORTAGG","MEANR")&lt;/Q&gt;&lt;R&gt;1&lt;/R&gt;&lt;C&gt;1&lt;/C&gt;&lt;D xsi:type="xsd:double"&gt;3&lt;/D&gt;&lt;/FQL&gt;&lt;FQL&gt;&lt;Q&gt;543454-IN^FG_TOTAL_RETURNC(0,-1AM)&lt;/Q&gt;&lt;R&gt;1&lt;/R&gt;&lt;C&gt;1&lt;/C&gt;&lt;D xsi:type="xsd:double"&gt;11.228359&lt;/D&gt;&lt;/FQL&gt;&lt;FQL&gt;&lt;Q&gt;543710-IN^FMA_COS_DOWN("EPS","1M",+1,0,,,"PORTAGG","MEANR")&lt;/Q&gt;&lt;R&gt;0&lt;/R&gt;&lt;C&gt;0&lt;/C&gt;&lt;/FQL&gt;&lt;FQL&gt;&lt;Q&gt;543608-IN^P_PRICE(-1AM)/P_PRICE_HIGH_PR(-1AM,,,,,,"PRICE","CLOSE","52W")&lt;/Q&gt;&lt;R&gt;1&lt;/R&gt;&lt;C&gt;1&lt;/C&gt;&lt;D xsi:type="xsd:double"&gt;0.9371786&lt;/D&gt;&lt;/FQL&gt;&lt;FQL&gt;&lt;Q&gt;543326-IN^PERCENT_CHANGE(FMA_EPS(+1,0,,,,"PORTAGG","MEAN"),FMA_EPS(+1,-3AM,,,,"PORTAGG","MEAN"))&lt;/Q&gt;&lt;R&gt;1&lt;/R&gt;&lt;C&gt;1&lt;/C&gt;&lt;D xsi:type="xsd:double"&gt;-0.25595368262795&lt;/D&gt;&lt;/FQL&gt;&lt;FQL&gt;&lt;Q&gt;543571-IN^COUNT(OS_TOP_HLDG_NAME(ALL,0D,,MTD,,ALL,EQ))&lt;/Q&gt;&lt;R&gt;1&lt;/R&gt;&lt;C&gt;1&lt;/C&gt;&lt;D xsi:type="xsd:long"&gt;31&lt;/D&gt;&lt;/FQL&gt;&lt;FQL&gt;&lt;Q&gt;590107-IN^FMA_COS_UP("EPS","1M",+1,0,,,"PORTAGG","MEANR")&lt;/Q&gt;&lt;R&gt;1&lt;/R&gt;&lt;C&gt;1&lt;/C&gt;&lt;D xsi:type="xsd:double"&gt;4&lt;/D&gt;&lt;/FQL&gt;&lt;/Schema&gt;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25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<sst xmlns="http://schemas.openxmlformats.org/spreadsheetml/2006/main" count="197" uniqueCount="63">
  <si>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</si>
  <si>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</si>
  <si>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</si>
  <si>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</si>
  <si>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</si>
  <si>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</si>
  <si>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</si>
  <si>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</si>
  <si>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</si>
  <si>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</si>
  <si>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</si>
  <si>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</si>
  <si>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</si>
  <si>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</si>
  <si>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</si>
  <si>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</si>
  <si>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</si>
  <si>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</si>
  <si>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</si>
  <si>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</si>
  <si>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</si>
  <si>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</si>
  <si>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</si>
  <si>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</si>
  <si>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</si>
  <si>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</si>
  <si>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</si>
  <si>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</si>
  <si>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</si>
  <si>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</si>
  <si>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30D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</si>
  <si>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</si>
  <si>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</si>
  <si>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</si>
  <si>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</si>
  <si>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</si>
  <si>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</si>
  <si>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</si>
  <si>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</si>
  <si>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</si>
  <si>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</si>
  <si>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</si>
  <si>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</si>
  <si>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</si>
  <si>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</si>
  <si>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590107-IN</t>
  </si>
  <si>
    <t>543956-IN</t>
  </si>
  <si>
    <t>543608-IN</t>
  </si>
  <si>
    <t>543348-IN</t>
  </si>
  <si>
    <t>543571-IN</t>
  </si>
  <si>
    <t>543710-IN</t>
  </si>
  <si>
    <t>543465-IN</t>
  </si>
  <si>
    <t>543563-IN</t>
  </si>
  <si>
    <t>543666-IN</t>
  </si>
  <si>
    <t>543454-IN</t>
  </si>
  <si>
    <t>543627-IN</t>
  </si>
  <si>
    <t>543326-IN</t>
  </si>
  <si>
    <t>538057-IN</t>
  </si>
  <si>
    <t>540787-IN</t>
  </si>
  <si>
    <t>TICKER</t>
  </si>
  <si>
    <t>DIVOPPBEES-IN</t>
  </si>
  <si>
    <t>Prev Month Rank</t>
  </si>
  <si>
    <t>Current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</si>
</sst>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_);\(0.0%\);0.0%_);@_)"/>
    <numFmt numFmtId="166" formatCode="0.000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5" fillId="0" borderId="0"/>
    <xf numFmtId="0" fontId="6" fillId="0" borderId="0"/>
    <xf numFmtId="0" fontId="10" fillId="0" borderId="0"/>
    <xf numFmtId="0" fontId="11" fillId="0" borderId="12"/>
    <xf numFmtId="0" fontId="12" fillId="0" borderId="12"/>
    <xf numFmtId="0" fontId="13" fillId="0" borderId="5"/>
    <xf numFmtId="0" fontId="13" fillId="0" borderId="0"/>
    <xf numFmtId="0" fontId="14" fillId="11" borderId="0"/>
    <xf numFmtId="0" fontId="15" fillId="12" borderId="0"/>
    <xf numFmtId="0" fontId="16" fillId="13" borderId="0"/>
    <xf numFmtId="0" fontId="17" fillId="9" borderId="11"/>
    <xf numFmtId="0" fontId="18" fillId="14" borderId="11"/>
    <xf numFmtId="0" fontId="19" fillId="14" borderId="11"/>
    <xf numFmtId="0" fontId="20" fillId="0" borderId="13"/>
    <xf numFmtId="0" fontId="7" fillId="15" borderId="14"/>
    <xf numFmtId="0" fontId="8" fillId="0" borderId="0"/>
    <xf numFmtId="0" fontId="5" fillId="10" borderId="11"/>
    <xf numFmtId="0" fontId="21" fillId="0" borderId="0"/>
    <xf numFmtId="0" fontId="4" fillId="0" borderId="15"/>
    <xf numFmtId="0" fontId="9" fillId="16" borderId="0"/>
    <xf numFmtId="0" fontId="5" fillId="17" borderId="0"/>
    <xf numFmtId="0" fontId="5" fillId="18" borderId="0"/>
    <xf numFmtId="0" fontId="9" fillId="19" borderId="0"/>
    <xf numFmtId="0" fontId="9" fillId="20" borderId="0"/>
    <xf numFmtId="0" fontId="5" fillId="6" borderId="0"/>
    <xf numFmtId="0" fontId="5" fillId="4" borderId="0"/>
    <xf numFmtId="0" fontId="9" fillId="21" borderId="0"/>
    <xf numFmtId="0" fontId="9" fillId="22" borderId="0"/>
    <xf numFmtId="0" fontId="5" fillId="23" borderId="0"/>
    <xf numFmtId="0" fontId="5" fillId="3" borderId="0"/>
    <xf numFmtId="0" fontId="9" fillId="24" borderId="0"/>
    <xf numFmtId="0" fontId="9" fillId="25" borderId="0"/>
    <xf numFmtId="0" fontId="5" fillId="26" borderId="0"/>
    <xf numFmtId="0" fontId="5" fillId="5" borderId="0"/>
    <xf numFmtId="0" fontId="9" fillId="27" borderId="0"/>
    <xf numFmtId="0" fontId="9" fillId="28" borderId="0"/>
    <xf numFmtId="0" fontId="5" fillId="7" borderId="0"/>
    <xf numFmtId="0" fontId="5" fillId="29" borderId="0"/>
    <xf numFmtId="0" fontId="9" fillId="30" borderId="0"/>
    <xf numFmtId="0" fontId="9" fillId="31" borderId="0"/>
    <xf numFmtId="0" fontId="5" fillId="32" borderId="0"/>
    <xf numFmtId="0" fontId="5" fillId="33" borderId="0"/>
    <xf numFmtId="0" fontId="9" fillId="8" borderId="0"/>
    <xf numFmtId="0" fontId="6" fillId="0" borderId="0"/>
    <xf numFmtId="0" fontId="6" fillId="0" borderId="0"/>
    <xf numFmtId="0" fontId="5" fillId="0" borderId="0"/>
    <xf numFmtId="0" fontId="3" fillId="0" borderId="0"/>
    <xf numFmtId="0" fontId="5" fillId="0" borderId="0" applyFill="0" applyProtection="0"/>
  </cellStyleXfs>
  <cellXfs count="81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3" borderId="7" xfId="0" applyFill="1" applyBorder="1"/>
    <xf numFmtId="0" fontId="0" fillId="3" borderId="8" xfId="0" applyFill="1" applyBorder="1"/>
    <xf numFmtId="2" fontId="0" fillId="2" borderId="0" xfId="0" applyNumberFormat="1" applyFill="1"/>
    <xf numFmtId="164" fontId="2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9" xfId="0" applyBorder="1"/>
    <xf numFmtId="165" fontId="0" fillId="0" borderId="10" xfId="0" applyNumberFormat="1" applyBorder="1"/>
    <xf numFmtId="0" fontId="0" fillId="0" borderId="1" xfId="0" applyBorder="1"/>
    <xf numFmtId="0" fontId="0" fillId="0" borderId="0" xfId="0" applyAlignment="1">
      <alignment wrapText="1"/>
    </xf>
    <xf numFmtId="9" fontId="1" fillId="3" borderId="8" xfId="0" applyNumberFormat="1" applyFont="1" applyFill="1" applyBorder="1"/>
    <xf numFmtId="0" fontId="0" fillId="0" borderId="11" xfId="0" applyBorder="1"/>
    <xf numFmtId="0" fontId="0" fillId="0" borderId="16" xfId="0" applyBorder="1"/>
    <xf numFmtId="0" fontId="0" fillId="0" borderId="17" xfId="0" applyBorder="1"/>
    <xf numFmtId="0" fontId="1" fillId="0" borderId="7" xfId="0" applyFont="1" applyBorder="1"/>
    <xf numFmtId="0" fontId="1" fillId="0" borderId="8" xfId="0" applyFont="1" applyBorder="1"/>
    <xf numFmtId="0" fontId="1" fillId="0" borderId="18" xfId="0" applyFont="1" applyBorder="1"/>
    <xf numFmtId="0" fontId="22" fillId="0" borderId="0" xfId="0" applyFont="1"/>
    <xf numFmtId="0" fontId="0" fillId="0" borderId="10" xfId="0" applyBorder="1"/>
    <xf numFmtId="0" fontId="0" fillId="0" borderId="6" xfId="0" applyBorder="1"/>
    <xf numFmtId="0" fontId="1" fillId="0" borderId="5" xfId="0" applyFont="1" applyBorder="1"/>
    <xf numFmtId="165" fontId="0" fillId="0" borderId="11" xfId="0" applyNumberFormat="1" applyBorder="1"/>
    <xf numFmtId="9" fontId="0" fillId="0" borderId="11" xfId="0" applyNumberFormat="1" applyBorder="1"/>
    <xf numFmtId="164" fontId="0" fillId="0" borderId="11" xfId="0" applyNumberFormat="1" applyBorder="1"/>
    <xf numFmtId="9" fontId="1" fillId="3" borderId="0" xfId="0" applyNumberFormat="1" applyFont="1" applyFill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 applyAlignment="1">
      <alignment horizontal="center"/>
    </xf>
    <xf numFmtId="0" fontId="23" fillId="0" borderId="2" xfId="0" applyFont="1" applyBorder="1"/>
    <xf numFmtId="0" fontId="24" fillId="2" borderId="2" xfId="0" applyFont="1" applyFill="1" applyBorder="1"/>
    <xf numFmtId="0" fontId="24" fillId="2" borderId="2" xfId="0" applyFont="1" applyFill="1" applyBorder="1" applyAlignment="1">
      <alignment wrapText="1"/>
    </xf>
    <xf numFmtId="0" fontId="24" fillId="2" borderId="3" xfId="0" applyFont="1" applyFill="1" applyBorder="1"/>
    <xf numFmtId="0" fontId="0" fillId="0" borderId="21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24" fillId="2" borderId="1" xfId="0" applyFont="1" applyFill="1" applyBorder="1"/>
    <xf numFmtId="165" fontId="0" fillId="0" borderId="16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166" fontId="0" fillId="0" borderId="0" xfId="0" applyNumberFormat="1"/>
    <xf numFmtId="0" fontId="0" fillId="0" borderId="7" xfId="0" applyBorder="1"/>
    <xf numFmtId="0" fontId="0" fillId="0" borderId="28" xfId="0" applyBorder="1"/>
    <xf numFmtId="0" fontId="0" fillId="0" borderId="8" xfId="0" applyBorder="1"/>
    <xf numFmtId="0" fontId="0" fillId="0" borderId="18" xfId="0" applyBorder="1"/>
    <xf numFmtId="0" fontId="0" fillId="0" borderId="29" xfId="0" applyBorder="1"/>
    <xf numFmtId="0" fontId="0" fillId="0" borderId="30" xfId="0" applyBorder="1"/>
    <xf numFmtId="165" fontId="0" fillId="0" borderId="29" xfId="0" applyNumberFormat="1" applyBorder="1"/>
    <xf numFmtId="9" fontId="0" fillId="0" borderId="31" xfId="0" applyNumberFormat="1" applyBorder="1"/>
    <xf numFmtId="165" fontId="0" fillId="0" borderId="31" xfId="0" applyNumberFormat="1" applyBorder="1"/>
    <xf numFmtId="164" fontId="0" fillId="0" borderId="31" xfId="0" applyNumberFormat="1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3" xfId="0" applyBorder="1"/>
    <xf numFmtId="165" fontId="0" fillId="0" borderId="34" xfId="0" applyNumberFormat="1" applyBorder="1"/>
    <xf numFmtId="9" fontId="0" fillId="0" borderId="35" xfId="0" applyNumberFormat="1" applyBorder="1"/>
    <xf numFmtId="165" fontId="0" fillId="0" borderId="35" xfId="0" applyNumberFormat="1" applyBorder="1"/>
    <xf numFmtId="164" fontId="0" fillId="0" borderId="35" xfId="0" applyNumberFormat="1" applyBorder="1"/>
    <xf numFmtId="0" fontId="0" fillId="0" borderId="35" xfId="0" applyBorder="1"/>
    <xf numFmtId="0" fontId="0" fillId="0" borderId="28" xfId="0" applyBorder="1" applyAlignment="1">
      <alignment horizontal="center"/>
    </xf>
    <xf numFmtId="165" fontId="0" fillId="0" borderId="8" xfId="0" applyNumberFormat="1" applyBorder="1"/>
    <xf numFmtId="165" fontId="0" fillId="0" borderId="18" xfId="0" applyNumberFormat="1" applyBorder="1"/>
    <xf numFmtId="0" fontId="0" fillId="0" borderId="36" xfId="0" applyBorder="1"/>
    <xf numFmtId="0" fontId="0" fillId="0" borderId="37" xfId="0" applyBorder="1"/>
    <xf numFmtId="0" fontId="0" fillId="0" borderId="38" xfId="0" applyBorder="1"/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5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64"/>
  <sheetViews>
    <sheetView tabSelected="1" zoomScale="93" zoomScaleNormal="93" workbookViewId="0">
      <selection activeCell="J2" sqref="J2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5.363281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2" width="25.26953125" customWidth="1"/>
    <col min="13" max="13" width="18.7265625" customWidth="1"/>
    <col min="14" max="14" width="19.26953125" bestFit="1" customWidth="1"/>
    <col min="15" max="15" width="16.7265625" bestFit="1" customWidth="1"/>
    <col min="16" max="16" width="15.453125" customWidth="1"/>
    <col min="17" max="17" width="12.81640625" customWidth="1"/>
  </cols>
  <sheetData>
    <row r="3" spans="4:11" x14ac:dyDescent="0.35">
      <c r="E3" s="28" t="s">
        <v>42</v>
      </c>
    </row>
    <row r="4" spans="4:11" x14ac:dyDescent="0.35">
      <c r="E4" t="s">
        <v>26</v>
      </c>
      <c r="F4" t="s">
        <v>1</v>
      </c>
      <c r="G4" t="s">
        <v>11</v>
      </c>
    </row>
    <row r="5" spans="4:11" x14ac:dyDescent="0.35">
      <c r="E5" s="35">
        <v>0.33</v>
      </c>
      <c r="F5" s="35">
        <v>0.33</v>
      </c>
      <c r="G5" s="35">
        <v>0.33</v>
      </c>
    </row>
    <row r="6" spans="4:11" ht="15" thickBot="1" x14ac:dyDescent="0.4">
      <c r="F6" t="s">
        <v>61</v>
      </c>
      <c r="G6" t="s">
        <v>62</v>
      </c>
      <c r="H6" s="1" t="s">
        <v>28</v>
      </c>
      <c r="I6" s="1" t="s">
        <v>31</v>
      </c>
      <c r="J6" s="1" t="s">
        <v>29</v>
      </c>
    </row>
    <row r="7" spans="4:11" x14ac:dyDescent="0.35">
      <c r="D7" s="36" t="s">
        <v>45</v>
      </c>
      <c r="E7" s="37" t="str">
        <f>'Asset class'!B3</f>
        <v>Kotak Nifty PSU Bank ETF</v>
      </c>
      <c r="F7" s="78">
        <f>'Asset class prev month'!S3</f>
        <v>8</v>
      </c>
      <c r="G7" s="40">
        <f>'Asset class'!S3</f>
        <v>10</v>
      </c>
      <c r="H7" s="37">
        <f t="shared" ref="H7:H20" si="0">G7</f>
        <v>10</v>
      </c>
      <c r="I7" s="7" t="str">
        <f>IF(HLOOKUP($D7,'Factset Price Data'!$C$208:$Z$215,6,FALSE)&gt;=1,"INVESTED","CASH")</f>
        <v>INVESTED</v>
      </c>
      <c r="J7" s="7" t="str">
        <f>IF(HLOOKUP($D7,'Factset Price Data'!$C$208:$Z$215,7,FALSE)&gt;=1,"INVESTED","CASH")</f>
        <v>INVESTED</v>
      </c>
      <c r="K7" s="8" t="str">
        <f>IF(HLOOKUP($D7,'Factset Price Data'!$C$208:$Z$215,8,FALSE)&gt;=1,"INVESTED","CASH")</f>
        <v>INVESTED</v>
      </c>
    </row>
    <row r="8" spans="4:11" x14ac:dyDescent="0.35">
      <c r="D8" s="23" t="s">
        <v>46</v>
      </c>
      <c r="E8" s="38" t="str">
        <f>'Asset class'!B4</f>
        <v>ICICI Prudential Nifty 200 Quality 30 ETF Exchange Traded Fund Units</v>
      </c>
      <c r="F8" s="79">
        <f>'Asset class prev month'!S4</f>
        <v>13</v>
      </c>
      <c r="G8" s="41">
        <f>'Asset class'!S4</f>
        <v>5</v>
      </c>
      <c r="H8" s="38">
        <f t="shared" si="0"/>
        <v>5</v>
      </c>
      <c r="I8" t="str">
        <f>IF(HLOOKUP($D8,'Factset Price Data'!$C$208:$Z$215,6,FALSE)&gt;=1,"INVESTED","CASH")</f>
        <v>INVESTED</v>
      </c>
      <c r="J8" t="str">
        <f>IF(HLOOKUP($D8,'Factset Price Data'!$C$208:$Z$215,7,FALSE)&gt;=1,"INVESTED","CASH")</f>
        <v>INVESTED</v>
      </c>
      <c r="K8" s="29" t="str">
        <f>IF(HLOOKUP($D8,'Factset Price Data'!$C$208:$Z$215,8,FALSE)&gt;=1,"INVESTED","CASH")</f>
        <v>INVESTED</v>
      </c>
    </row>
    <row r="9" spans="4:11" x14ac:dyDescent="0.35">
      <c r="D9" s="23" t="s">
        <v>47</v>
      </c>
      <c r="E9" s="38" t="str">
        <f>'Asset class'!B5</f>
        <v>HDFC NIFTY50 Value 20 ETF</v>
      </c>
      <c r="F9" s="79">
        <f>'Asset class prev month'!S5</f>
        <v>14</v>
      </c>
      <c r="G9" s="41">
        <f>'Asset class'!S5</f>
        <v>15</v>
      </c>
      <c r="H9" s="38">
        <f t="shared" si="0"/>
        <v>15</v>
      </c>
      <c r="I9" t="str">
        <f>IF(HLOOKUP($D9,'Factset Price Data'!$C$208:$Z$215,6,FALSE)&gt;=1,"INVESTED","CASH")</f>
        <v>INVESTED</v>
      </c>
      <c r="J9" t="str">
        <f>IF(HLOOKUP($D9,'Factset Price Data'!$C$208:$Z$215,7,FALSE)&gt;=1,"INVESTED","CASH")</f>
        <v>INVESTED</v>
      </c>
      <c r="K9" s="29" t="str">
        <f>IF(HLOOKUP($D9,'Factset Price Data'!$C$208:$Z$215,8,FALSE)&gt;=1,"INVESTED","CASH")</f>
        <v>INVESTED</v>
      </c>
    </row>
    <row r="10" spans="4:11" x14ac:dyDescent="0.35">
      <c r="D10" s="23" t="s">
        <v>48</v>
      </c>
      <c r="E10" s="38" t="str">
        <f>'Asset class'!B6</f>
        <v>Axis NIFTY Healthcare ETF</v>
      </c>
      <c r="F10" s="79">
        <f>'Asset class prev month'!S6</f>
        <v>15</v>
      </c>
      <c r="G10" s="41">
        <f>'Asset class'!S6</f>
        <v>12</v>
      </c>
      <c r="H10" s="38">
        <f t="shared" si="0"/>
        <v>12</v>
      </c>
      <c r="I10" t="str">
        <f>IF(HLOOKUP($D10,'Factset Price Data'!$C$208:$Z$215,6,FALSE)&gt;=1,"INVESTED","CASH")</f>
        <v>INVESTED</v>
      </c>
      <c r="J10" t="str">
        <f>IF(HLOOKUP($D10,'Factset Price Data'!$C$208:$Z$215,7,FALSE)&gt;=1,"INVESTED","CASH")</f>
        <v>INVESTED</v>
      </c>
      <c r="K10" s="29" t="str">
        <f>IF(HLOOKUP($D10,'Factset Price Data'!$C$208:$Z$215,8,FALSE)&gt;=1,"INVESTED","CASH")</f>
        <v>INVESTED</v>
      </c>
    </row>
    <row r="11" spans="4:11" x14ac:dyDescent="0.35">
      <c r="D11" s="23" t="s">
        <v>49</v>
      </c>
      <c r="E11" s="38" t="str">
        <f>'Asset class'!B7</f>
        <v>ICICI Prudential Nifty Infrastructure ETF</v>
      </c>
      <c r="F11" s="79">
        <f>'Asset class prev month'!S7</f>
        <v>4</v>
      </c>
      <c r="G11" s="41">
        <f>'Asset class'!S7</f>
        <v>9</v>
      </c>
      <c r="H11" s="38">
        <f t="shared" si="0"/>
        <v>9</v>
      </c>
      <c r="I11" t="str">
        <f>IF(HLOOKUP($D11,'Factset Price Data'!$C$208:$Z$215,6,FALSE)&gt;=1,"INVESTED","CASH")</f>
        <v>INVESTED</v>
      </c>
      <c r="J11" t="str">
        <f>IF(HLOOKUP($D11,'Factset Price Data'!$C$208:$Z$215,7,FALSE)&gt;=1,"INVESTED","CASH")</f>
        <v>INVESTED</v>
      </c>
      <c r="K11" s="29" t="str">
        <f>IF(HLOOKUP($D11,'Factset Price Data'!$C$208:$Z$215,8,FALSE)&gt;=1,"INVESTED","CASH")</f>
        <v>INVESTED</v>
      </c>
    </row>
    <row r="12" spans="4:11" x14ac:dyDescent="0.35">
      <c r="D12" s="23" t="s">
        <v>50</v>
      </c>
      <c r="E12" s="38" t="str">
        <f>'Asset class'!B8</f>
        <v>ICICI Prudential Nifty Commodities ETF</v>
      </c>
      <c r="F12" s="79">
        <f>'Asset class prev month'!S8</f>
        <v>6</v>
      </c>
      <c r="G12" s="41">
        <f>'Asset class'!S8</f>
        <v>6</v>
      </c>
      <c r="H12" s="38">
        <f t="shared" si="0"/>
        <v>6</v>
      </c>
      <c r="I12" t="str">
        <f>IF(HLOOKUP($D12,'Factset Price Data'!$C$208:$Z$215,6,FALSE)&gt;=1,"INVESTED","CASH")</f>
        <v>INVESTED</v>
      </c>
      <c r="J12" t="str">
        <f>IF(HLOOKUP($D12,'Factset Price Data'!$C$208:$Z$215,7,FALSE)&gt;=1,"INVESTED","CASH")</f>
        <v>INVESTED</v>
      </c>
      <c r="K12" s="29" t="str">
        <f>IF(HLOOKUP($D12,'Factset Price Data'!$C$208:$Z$215,8,FALSE)&gt;=1,"INVESTED","CASH")</f>
        <v>INVESTED</v>
      </c>
    </row>
    <row r="13" spans="4:11" x14ac:dyDescent="0.35">
      <c r="D13" s="23" t="s">
        <v>51</v>
      </c>
      <c r="E13" s="38" t="str">
        <f>'Asset class'!B9</f>
        <v>Motilal Oswal Nifty 200 Momentum 30 ETF Units Exchange Traded Fund</v>
      </c>
      <c r="F13" s="79">
        <f>'Asset class prev month'!S9</f>
        <v>2</v>
      </c>
      <c r="G13" s="41">
        <f>'Asset class'!S9</f>
        <v>2</v>
      </c>
      <c r="H13" s="38">
        <f t="shared" si="0"/>
        <v>2</v>
      </c>
      <c r="I13" t="str">
        <f>IF(HLOOKUP($D13,'Factset Price Data'!$C$208:$Z$215,6,FALSE)&gt;=1,"INVESTED","CASH")</f>
        <v>INVESTED</v>
      </c>
      <c r="J13" t="str">
        <f>IF(HLOOKUP($D13,'Factset Price Data'!$C$208:$Z$215,7,FALSE)&gt;=1,"INVESTED","CASH")</f>
        <v>INVESTED</v>
      </c>
      <c r="K13" s="29" t="str">
        <f>IF(HLOOKUP($D13,'Factset Price Data'!$C$208:$Z$215,8,FALSE)&gt;=1,"INVESTED","CASH")</f>
        <v>INVESTED</v>
      </c>
    </row>
    <row r="14" spans="4:11" x14ac:dyDescent="0.35">
      <c r="D14" s="23" t="s">
        <v>52</v>
      </c>
      <c r="E14" s="38" t="str">
        <f>'Asset class'!B10</f>
        <v>Motilal Oswal S&amp;P BSE Healthcare ETF</v>
      </c>
      <c r="F14" s="79">
        <f>'Asset class prev month'!S10</f>
        <v>10</v>
      </c>
      <c r="G14" s="41">
        <f>'Asset class'!S10</f>
        <v>8</v>
      </c>
      <c r="H14" s="38">
        <f t="shared" si="0"/>
        <v>8</v>
      </c>
      <c r="I14" t="str">
        <f>IF(HLOOKUP($D14,'Factset Price Data'!$C$208:$Z$215,6,FALSE)&gt;=1,"INVESTED","CASH")</f>
        <v>INVESTED</v>
      </c>
      <c r="J14" t="str">
        <f>IF(HLOOKUP($D14,'Factset Price Data'!$C$208:$Z$215,7,FALSE)&gt;=1,"INVESTED","CASH")</f>
        <v>INVESTED</v>
      </c>
      <c r="K14" s="29" t="str">
        <f>IF(HLOOKUP($D14,'Factset Price Data'!$C$208:$Z$215,8,FALSE)&gt;=1,"INVESTED","CASH")</f>
        <v>INVESTED</v>
      </c>
    </row>
    <row r="15" spans="4:11" x14ac:dyDescent="0.35">
      <c r="D15" s="23" t="s">
        <v>53</v>
      </c>
      <c r="E15" s="38" t="str">
        <f>'Asset class'!B11</f>
        <v>HDFC Nifty Private Bank ETF Exchange Traded Fund Units</v>
      </c>
      <c r="F15" s="79">
        <f>'Asset class prev month'!S11</f>
        <v>12</v>
      </c>
      <c r="G15" s="41">
        <f>'Asset class'!S11</f>
        <v>14</v>
      </c>
      <c r="H15" s="38">
        <f t="shared" si="0"/>
        <v>14</v>
      </c>
      <c r="I15" t="str">
        <f>IF(HLOOKUP($D15,'Factset Price Data'!$C$208:$Z$215,6,FALSE)&gt;=1,"INVESTED","CASH")</f>
        <v>INVESTED</v>
      </c>
      <c r="J15" t="str">
        <f>IF(HLOOKUP($D15,'Factset Price Data'!$C$208:$Z$215,7,FALSE)&gt;=1,"INVESTED","CASH")</f>
        <v>INVESTED</v>
      </c>
      <c r="K15" s="29" t="str">
        <f>IF(HLOOKUP($D15,'Factset Price Data'!$C$208:$Z$215,8,FALSE)&gt;=1,"INVESTED","CASH")</f>
        <v>INVESTED</v>
      </c>
    </row>
    <row r="16" spans="4:11" x14ac:dyDescent="0.35">
      <c r="D16" s="23" t="s">
        <v>54</v>
      </c>
      <c r="E16" s="38" t="str">
        <f>'Asset class'!B12</f>
        <v>Mirae Asset Nifty India Manufacturing ETF Units Exchange Traded Fund</v>
      </c>
      <c r="F16" s="79">
        <f>'Asset class prev month'!S12</f>
        <v>1</v>
      </c>
      <c r="G16" s="41">
        <f>'Asset class'!S12</f>
        <v>1</v>
      </c>
      <c r="H16" s="38">
        <f t="shared" si="0"/>
        <v>1</v>
      </c>
      <c r="I16" t="str">
        <f>IF(HLOOKUP($D16,'Factset Price Data'!$C$208:$Z$215,6,FALSE)&gt;=1,"INVESTED","CASH")</f>
        <v>INVESTED</v>
      </c>
      <c r="J16" t="str">
        <f>IF(HLOOKUP($D16,'Factset Price Data'!$C$208:$Z$215,7,FALSE)&gt;=1,"INVESTED","CASH")</f>
        <v>INVESTED</v>
      </c>
      <c r="K16" s="29" t="str">
        <f>IF(HLOOKUP($D16,'Factset Price Data'!$C$208:$Z$215,8,FALSE)&gt;=1,"INVESTED","CASH")</f>
        <v>INVESTED</v>
      </c>
    </row>
    <row r="17" spans="4:16" x14ac:dyDescent="0.35">
      <c r="D17" s="23" t="s">
        <v>55</v>
      </c>
      <c r="E17" s="38" t="str">
        <f>'Asset class'!B13</f>
        <v>HDFC Nifty 100 Low Volatility 30 ETF</v>
      </c>
      <c r="F17" s="79">
        <f>'Asset class prev month'!S13</f>
        <v>10</v>
      </c>
      <c r="G17" s="41">
        <f>'Asset class'!S13</f>
        <v>11</v>
      </c>
      <c r="H17" s="38">
        <f t="shared" si="0"/>
        <v>11</v>
      </c>
      <c r="I17" t="str">
        <f>IF(HLOOKUP($D17,'Factset Price Data'!$C$208:$Z$215,6,FALSE)&gt;=1,"INVESTED","CASH")</f>
        <v>INVESTED</v>
      </c>
      <c r="J17" t="str">
        <f>IF(HLOOKUP($D17,'Factset Price Data'!$C$208:$Z$215,7,FALSE)&gt;=1,"INVESTED","CASH")</f>
        <v>INVESTED</v>
      </c>
      <c r="K17" s="29" t="str">
        <f>IF(HLOOKUP($D17,'Factset Price Data'!$C$208:$Z$215,8,FALSE)&gt;=1,"INVESTED","CASH")</f>
        <v>INVESTED</v>
      </c>
    </row>
    <row r="18" spans="4:16" x14ac:dyDescent="0.35">
      <c r="D18" s="23" t="s">
        <v>56</v>
      </c>
      <c r="E18" s="38" t="str">
        <f>'Asset class'!B14</f>
        <v>ICICI Prudential Nifty FMCG ETF</v>
      </c>
      <c r="F18" s="79">
        <f>'Asset class prev month'!S14</f>
        <v>11</v>
      </c>
      <c r="G18" s="41">
        <f>'Asset class'!S14</f>
        <v>14</v>
      </c>
      <c r="H18" s="38">
        <f t="shared" si="0"/>
        <v>14</v>
      </c>
      <c r="I18" t="str">
        <f>IF(HLOOKUP($D18,'Factset Price Data'!$C$208:$Z$215,6,FALSE)&gt;=1,"INVESTED","CASH")</f>
        <v>INVESTED</v>
      </c>
      <c r="J18" t="str">
        <f>IF(HLOOKUP($D18,'Factset Price Data'!$C$208:$Z$215,7,FALSE)&gt;=1,"INVESTED","CASH")</f>
        <v>INVESTED</v>
      </c>
      <c r="K18" s="29" t="str">
        <f>IF(HLOOKUP($D18,'Factset Price Data'!$C$208:$Z$215,8,FALSE)&gt;=1,"INVESTED","CASH")</f>
        <v>INVESTED</v>
      </c>
    </row>
    <row r="19" spans="4:16" x14ac:dyDescent="0.35">
      <c r="D19" s="23" t="s">
        <v>57</v>
      </c>
      <c r="E19" s="38" t="str">
        <f>'Asset class'!B15</f>
        <v>CPSE ETF</v>
      </c>
      <c r="F19" s="79">
        <f>'Asset class prev month'!S15</f>
        <v>3</v>
      </c>
      <c r="G19" s="41">
        <f>'Asset class'!S15</f>
        <v>3</v>
      </c>
      <c r="H19" s="38">
        <f t="shared" si="0"/>
        <v>3</v>
      </c>
      <c r="I19" t="str">
        <f>IF(HLOOKUP($D19,'Factset Price Data'!$C$208:$Z$215,6,FALSE)&gt;=1,"INVESTED","CASH")</f>
        <v>INVESTED</v>
      </c>
      <c r="J19" t="str">
        <f>IF(HLOOKUP($D19,'Factset Price Data'!$C$208:$Z$215,7,FALSE)&gt;=1,"INVESTED","CASH")</f>
        <v>INVESTED</v>
      </c>
      <c r="K19" s="29" t="str">
        <f>IF(HLOOKUP($D19,'Factset Price Data'!$C$208:$Z$215,8,FALSE)&gt;=1,"INVESTED","CASH")</f>
        <v>INVESTED</v>
      </c>
    </row>
    <row r="20" spans="4:16" ht="15" thickBot="1" x14ac:dyDescent="0.4">
      <c r="D20" s="24" t="s">
        <v>58</v>
      </c>
      <c r="E20" s="39" t="str">
        <f>'Asset class'!B16</f>
        <v>BHARAT 22 ETF</v>
      </c>
      <c r="F20" s="80">
        <f>'Asset class prev month'!S16</f>
        <v>5</v>
      </c>
      <c r="G20" s="42">
        <f>'Asset class'!S16</f>
        <v>7</v>
      </c>
      <c r="H20" s="39">
        <f t="shared" si="0"/>
        <v>7</v>
      </c>
      <c r="I20" s="10" t="str">
        <f>IF(HLOOKUP($D20,'Factset Price Data'!$C$208:$Z$215,6,FALSE)&gt;=1,"INVESTED","CASH")</f>
        <v>INVESTED</v>
      </c>
      <c r="J20" s="10" t="str">
        <f>IF(HLOOKUP($D20,'Factset Price Data'!$C$208:$Z$215,7,FALSE)&gt;=1,"INVESTED","CASH")</f>
        <v>INVESTED</v>
      </c>
      <c r="K20" s="30" t="str">
        <f>IF(HLOOKUP($D20,'Factset Price Data'!$C$208:$Z$215,8,FALSE)&gt;=1,"INVESTED","CASH")</f>
        <v>INVESTED</v>
      </c>
    </row>
    <row r="21" spans="4:16" ht="15" thickBot="1" x14ac:dyDescent="0.4">
      <c r="D21" s="57" t="s">
        <v>60</v>
      </c>
      <c r="E21" s="58" t="str">
        <f>'Asset class'!B17</f>
        <v>Nippon India ETF Nifty Dividend Opportunities 50</v>
      </c>
      <c r="F21" s="59">
        <f>'Asset class prev month'!S17</f>
        <v>7</v>
      </c>
      <c r="G21" s="59">
        <f>'Asset class'!S17</f>
        <v>4</v>
      </c>
      <c r="H21" s="59">
        <f t="shared" ref="H21" si="1">G21</f>
        <v>4</v>
      </c>
      <c r="I21" s="59" t="str">
        <f>IF(HLOOKUP($D21,'Factset Price Data'!$C$208:$Z$215,6,FALSE)&gt;=1,"INVESTED","CASH")</f>
        <v>INVESTED</v>
      </c>
      <c r="J21" s="59" t="str">
        <f>IF(HLOOKUP($D21,'Factset Price Data'!$C$208:$Z$215,7,FALSE)&gt;=1,"INVESTED","CASH")</f>
        <v>INVESTED</v>
      </c>
      <c r="K21" s="60" t="str">
        <f>IF(HLOOKUP($D21,'Factset Price Data'!$C$208:$Z$215,8,FALSE)&gt;=1,"INVESTED","CASH")</f>
        <v>INVESTED</v>
      </c>
    </row>
    <row r="23" spans="4:16" ht="15" thickBot="1" x14ac:dyDescent="0.4">
      <c r="E23" s="28" t="s">
        <v>41</v>
      </c>
    </row>
    <row r="24" spans="4:16" ht="29.5" thickBot="1" x14ac:dyDescent="0.4">
      <c r="D24" s="19"/>
      <c r="E24" s="44"/>
      <c r="F24" s="51" t="s">
        <v>12</v>
      </c>
      <c r="G24" s="45" t="s">
        <v>10</v>
      </c>
      <c r="H24" s="46" t="s">
        <v>26</v>
      </c>
      <c r="I24" s="45" t="s">
        <v>1</v>
      </c>
      <c r="J24" s="45"/>
      <c r="K24" s="45" t="s">
        <v>12</v>
      </c>
      <c r="L24" s="45" t="s">
        <v>10</v>
      </c>
      <c r="M24" s="46" t="s">
        <v>24</v>
      </c>
      <c r="N24" s="45" t="s">
        <v>1</v>
      </c>
      <c r="O24" s="45" t="s">
        <v>17</v>
      </c>
      <c r="P24" s="47" t="s">
        <v>40</v>
      </c>
    </row>
    <row r="25" spans="4:16" x14ac:dyDescent="0.35">
      <c r="D25" s="36" t="s">
        <v>45</v>
      </c>
      <c r="E25" s="49" t="str">
        <f>'Momnetum ranking'!B5</f>
        <v>Kotak Nifty PSU Bank ETF</v>
      </c>
      <c r="F25" s="52">
        <f>IFERROR('Momnetum ranking'!J5,0)</f>
        <v>7.6923076923076927E-2</v>
      </c>
      <c r="G25" s="33">
        <f>IFERROR('Momnetum ranking'!K5,0)</f>
        <v>0.92307692307692302</v>
      </c>
      <c r="H25" s="32">
        <f>'Momnetum ranking'!Q5</f>
        <v>0.92093502999999999</v>
      </c>
      <c r="I25" s="34">
        <f>'Momnetum ranking'!O5</f>
        <v>9.9508170000000007</v>
      </c>
      <c r="J25" s="22"/>
      <c r="K25" s="22">
        <f>_xlfn.RANK.EQ(F25,$F$25:$F$39)</f>
        <v>4</v>
      </c>
      <c r="L25" s="22">
        <f>_xlfn.RANK.EQ(G25,$G$25:$G$39)</f>
        <v>2</v>
      </c>
      <c r="M25" s="22">
        <f>_xlfn.RANK.EQ(H25,$H$25:$H$39)</f>
        <v>14</v>
      </c>
      <c r="N25" s="22">
        <f>_xlfn.RANK.EQ(I25,$I$25:$I$39)</f>
        <v>10</v>
      </c>
      <c r="O25" s="22">
        <f>MEDIAN(K25:N25)</f>
        <v>7</v>
      </c>
      <c r="P25" s="48">
        <f>O25</f>
        <v>7</v>
      </c>
    </row>
    <row r="26" spans="4:16" x14ac:dyDescent="0.35">
      <c r="D26" s="23" t="s">
        <v>46</v>
      </c>
      <c r="E26" s="50" t="str">
        <f>'Momnetum ranking'!B6</f>
        <v>ICICI Prudential Nifty 200 Quality 30 ETF Exchange Traded Fund Units</v>
      </c>
      <c r="F26" s="52">
        <f>IFERROR('Momnetum ranking'!J6,0)</f>
        <v>0</v>
      </c>
      <c r="G26" s="33">
        <f>IFERROR('Momnetum ranking'!K6,0)</f>
        <v>0</v>
      </c>
      <c r="H26" s="32">
        <f>'Momnetum ranking'!Q6</f>
        <v>1</v>
      </c>
      <c r="I26" s="34">
        <f>'Momnetum ranking'!O6</f>
        <v>11.289633</v>
      </c>
      <c r="J26" s="22"/>
      <c r="K26" s="22">
        <f t="shared" ref="K26:K38" si="2">_xlfn.RANK.EQ(F26,$F$25:$F$39)</f>
        <v>5</v>
      </c>
      <c r="L26" s="22">
        <f t="shared" ref="L26:L38" si="3">_xlfn.RANK.EQ(G26,$G$25:$G$39)</f>
        <v>11</v>
      </c>
      <c r="M26" s="22">
        <f t="shared" ref="M26:M38" si="4">_xlfn.RANK.EQ(H26,$H$25:$H$39)</f>
        <v>1</v>
      </c>
      <c r="N26" s="22">
        <f t="shared" ref="N26:N38" si="5">_xlfn.RANK.EQ(I26,$I$25:$I$39)</f>
        <v>7</v>
      </c>
      <c r="O26" s="22">
        <f t="shared" ref="O26:O38" si="6">MEDIAN(K26:N26)</f>
        <v>6</v>
      </c>
      <c r="P26" s="48">
        <f t="shared" ref="P26:P39" si="7">O26</f>
        <v>6</v>
      </c>
    </row>
    <row r="27" spans="4:16" x14ac:dyDescent="0.35">
      <c r="D27" s="23" t="s">
        <v>47</v>
      </c>
      <c r="E27" s="50" t="str">
        <f>'Momnetum ranking'!B7</f>
        <v>HDFC NIFTY50 Value 20 ETF</v>
      </c>
      <c r="F27" s="52">
        <f>IFERROR('Momnetum ranking'!J7,0)</f>
        <v>-0.1428571428571429</v>
      </c>
      <c r="G27" s="33">
        <f>IFERROR('Momnetum ranking'!K7,0)</f>
        <v>0.57142857142857106</v>
      </c>
      <c r="H27" s="32">
        <f>'Momnetum ranking'!Q7</f>
        <v>0.97548246000000005</v>
      </c>
      <c r="I27" s="34">
        <f>'Momnetum ranking'!O7</f>
        <v>-2.4517536</v>
      </c>
      <c r="J27" s="22"/>
      <c r="K27" s="22">
        <f t="shared" si="2"/>
        <v>15</v>
      </c>
      <c r="L27" s="22">
        <f t="shared" si="3"/>
        <v>9</v>
      </c>
      <c r="M27" s="22">
        <f t="shared" si="4"/>
        <v>10</v>
      </c>
      <c r="N27" s="22">
        <f t="shared" si="5"/>
        <v>15</v>
      </c>
      <c r="O27" s="22">
        <f t="shared" si="6"/>
        <v>12.5</v>
      </c>
      <c r="P27" s="48">
        <f t="shared" si="7"/>
        <v>12.5</v>
      </c>
    </row>
    <row r="28" spans="4:16" x14ac:dyDescent="0.35">
      <c r="D28" s="23" t="s">
        <v>48</v>
      </c>
      <c r="E28" s="50" t="str">
        <f>'Momnetum ranking'!B8</f>
        <v>Axis NIFTY Healthcare ETF</v>
      </c>
      <c r="F28" s="52">
        <f>IFERROR('Momnetum ranking'!J8,0)</f>
        <v>-4.7619047619047616E-2</v>
      </c>
      <c r="G28" s="33">
        <f>IFERROR('Momnetum ranking'!K8,0)</f>
        <v>0.85714285714285698</v>
      </c>
      <c r="H28" s="32">
        <f>'Momnetum ranking'!Q8</f>
        <v>0.89375090000000001</v>
      </c>
      <c r="I28" s="34">
        <f>'Momnetum ranking'!O8</f>
        <v>10.609674</v>
      </c>
      <c r="J28" s="22"/>
      <c r="K28" s="22">
        <f t="shared" si="2"/>
        <v>13</v>
      </c>
      <c r="L28" s="22">
        <f t="shared" si="3"/>
        <v>5</v>
      </c>
      <c r="M28" s="22">
        <f t="shared" si="4"/>
        <v>15</v>
      </c>
      <c r="N28" s="22">
        <f t="shared" si="5"/>
        <v>9</v>
      </c>
      <c r="O28" s="22">
        <f t="shared" si="6"/>
        <v>11</v>
      </c>
      <c r="P28" s="48">
        <f t="shared" si="7"/>
        <v>11</v>
      </c>
    </row>
    <row r="29" spans="4:16" x14ac:dyDescent="0.35">
      <c r="D29" s="23" t="s">
        <v>49</v>
      </c>
      <c r="E29" s="50" t="str">
        <f>'Momnetum ranking'!B9</f>
        <v>ICICI Prudential Nifty Infrastructure ETF</v>
      </c>
      <c r="F29" s="52">
        <f>IFERROR('Momnetum ranking'!J9,0)</f>
        <v>-3.2258064516129059E-2</v>
      </c>
      <c r="G29" s="33">
        <f>IFERROR('Momnetum ranking'!K9,0)</f>
        <v>0.9354838709677421</v>
      </c>
      <c r="H29" s="32">
        <f>'Momnetum ranking'!Q9</f>
        <v>0.96870710000000004</v>
      </c>
      <c r="I29" s="34">
        <f>'Momnetum ranking'!O9</f>
        <v>12.942195</v>
      </c>
      <c r="J29" s="22"/>
      <c r="K29" s="22">
        <f t="shared" si="2"/>
        <v>12</v>
      </c>
      <c r="L29" s="22">
        <f t="shared" si="3"/>
        <v>1</v>
      </c>
      <c r="M29" s="22">
        <f t="shared" si="4"/>
        <v>11</v>
      </c>
      <c r="N29" s="22">
        <f t="shared" si="5"/>
        <v>6</v>
      </c>
      <c r="O29" s="22">
        <f t="shared" si="6"/>
        <v>8.5</v>
      </c>
      <c r="P29" s="48">
        <f t="shared" si="7"/>
        <v>8.5</v>
      </c>
    </row>
    <row r="30" spans="4:16" x14ac:dyDescent="0.35">
      <c r="D30" s="23" t="s">
        <v>50</v>
      </c>
      <c r="E30" s="50" t="str">
        <f>'Momnetum ranking'!B10</f>
        <v>ICICI Prudential Nifty Commodities ETF</v>
      </c>
      <c r="F30" s="52">
        <f>IFERROR('Momnetum ranking'!J10,0)</f>
        <v>0</v>
      </c>
      <c r="G30" s="33">
        <f>IFERROR('Momnetum ranking'!K10,0)</f>
        <v>0</v>
      </c>
      <c r="H30" s="32">
        <f>'Momnetum ranking'!Q10</f>
        <v>0.98292230000000003</v>
      </c>
      <c r="I30" s="34">
        <f>'Momnetum ranking'!O10</f>
        <v>13.691354</v>
      </c>
      <c r="J30" s="22"/>
      <c r="K30" s="22">
        <f t="shared" si="2"/>
        <v>5</v>
      </c>
      <c r="L30" s="22">
        <f t="shared" si="3"/>
        <v>11</v>
      </c>
      <c r="M30" s="22">
        <f t="shared" si="4"/>
        <v>8</v>
      </c>
      <c r="N30" s="22">
        <f t="shared" si="5"/>
        <v>5</v>
      </c>
      <c r="O30" s="22">
        <f t="shared" si="6"/>
        <v>6.5</v>
      </c>
      <c r="P30" s="48">
        <f t="shared" si="7"/>
        <v>6.5</v>
      </c>
    </row>
    <row r="31" spans="4:16" x14ac:dyDescent="0.35">
      <c r="D31" s="23" t="s">
        <v>51</v>
      </c>
      <c r="E31" s="50" t="str">
        <f>'Momnetum ranking'!B11</f>
        <v>Motilal Oswal Nifty 200 Momentum 30 ETF Units Exchange Traded Fund</v>
      </c>
      <c r="F31" s="52">
        <f>IFERROR('Momnetum ranking'!J11,0)</f>
        <v>0.58064516129032251</v>
      </c>
      <c r="G31" s="33">
        <f>IFERROR('Momnetum ranking'!K11,0)</f>
        <v>0.90322580645161299</v>
      </c>
      <c r="H31" s="32">
        <f>'Momnetum ranking'!Q11</f>
        <v>0.99545950000000005</v>
      </c>
      <c r="I31" s="34">
        <f>'Momnetum ranking'!O11</f>
        <v>19.745123</v>
      </c>
      <c r="J31" s="22"/>
      <c r="K31" s="22">
        <f t="shared" si="2"/>
        <v>1</v>
      </c>
      <c r="L31" s="22">
        <f t="shared" si="3"/>
        <v>4</v>
      </c>
      <c r="M31" s="22">
        <f t="shared" si="4"/>
        <v>6</v>
      </c>
      <c r="N31" s="22">
        <f t="shared" si="5"/>
        <v>3</v>
      </c>
      <c r="O31" s="22">
        <f t="shared" si="6"/>
        <v>3.5</v>
      </c>
      <c r="P31" s="48">
        <f t="shared" si="7"/>
        <v>3.5</v>
      </c>
    </row>
    <row r="32" spans="4:16" x14ac:dyDescent="0.35">
      <c r="D32" s="23" t="s">
        <v>52</v>
      </c>
      <c r="E32" s="50" t="str">
        <f>'Momnetum ranking'!B12</f>
        <v>Motilal Oswal S&amp;P BSE Healthcare ETF</v>
      </c>
      <c r="F32" s="52">
        <f>IFERROR('Momnetum ranking'!J12,0)</f>
        <v>0</v>
      </c>
      <c r="G32" s="33">
        <f>IFERROR('Momnetum ranking'!K12,0)</f>
        <v>0.69072164948453607</v>
      </c>
      <c r="H32" s="32">
        <f>'Momnetum ranking'!Q12</f>
        <v>1</v>
      </c>
      <c r="I32" s="34">
        <f>'Momnetum ranking'!O12</f>
        <v>8.3576920000000001</v>
      </c>
      <c r="J32" s="22"/>
      <c r="K32" s="22">
        <f t="shared" si="2"/>
        <v>5</v>
      </c>
      <c r="L32" s="22">
        <f t="shared" si="3"/>
        <v>7</v>
      </c>
      <c r="M32" s="22">
        <f t="shared" si="4"/>
        <v>1</v>
      </c>
      <c r="N32" s="22">
        <f t="shared" si="5"/>
        <v>11</v>
      </c>
      <c r="O32" s="22">
        <f t="shared" si="6"/>
        <v>6</v>
      </c>
      <c r="P32" s="48">
        <f t="shared" si="7"/>
        <v>6</v>
      </c>
    </row>
    <row r="33" spans="4:16" x14ac:dyDescent="0.35">
      <c r="D33" s="23" t="s">
        <v>53</v>
      </c>
      <c r="E33" s="50" t="str">
        <f>'Momnetum ranking'!B13</f>
        <v>HDFC Nifty Private Bank ETF Exchange Traded Fund Units</v>
      </c>
      <c r="F33" s="52">
        <f>IFERROR('Momnetum ranking'!J13,0)</f>
        <v>-9.0909090909090939E-2</v>
      </c>
      <c r="G33" s="33">
        <f>IFERROR('Momnetum ranking'!K13,0)</f>
        <v>0.45454545454545503</v>
      </c>
      <c r="H33" s="32">
        <f>'Momnetum ranking'!Q13</f>
        <v>0.99126977000000005</v>
      </c>
      <c r="I33" s="34">
        <f>'Momnetum ranking'!O13</f>
        <v>6.3431262999999998</v>
      </c>
      <c r="J33" s="22"/>
      <c r="K33" s="22">
        <f t="shared" si="2"/>
        <v>14</v>
      </c>
      <c r="L33" s="22">
        <f t="shared" si="3"/>
        <v>10</v>
      </c>
      <c r="M33" s="22">
        <f t="shared" si="4"/>
        <v>7</v>
      </c>
      <c r="N33" s="22">
        <f t="shared" si="5"/>
        <v>13</v>
      </c>
      <c r="O33" s="22">
        <f t="shared" si="6"/>
        <v>11.5</v>
      </c>
      <c r="P33" s="48">
        <f t="shared" si="7"/>
        <v>11.5</v>
      </c>
    </row>
    <row r="34" spans="4:16" x14ac:dyDescent="0.35">
      <c r="D34" s="23" t="s">
        <v>54</v>
      </c>
      <c r="E34" s="50" t="str">
        <f>'Momnetum ranking'!B14</f>
        <v>Mirae Asset Nifty India Manufacturing ETF Units Exchange Traded Fund</v>
      </c>
      <c r="F34" s="52">
        <f>IFERROR('Momnetum ranking'!J14,0)</f>
        <v>0.17105263157894735</v>
      </c>
      <c r="G34" s="33">
        <f>IFERROR('Momnetum ranking'!K14,0)</f>
        <v>0.81578947368421095</v>
      </c>
      <c r="H34" s="32">
        <f>'Momnetum ranking'!Q14</f>
        <v>1</v>
      </c>
      <c r="I34" s="34">
        <f>'Momnetum ranking'!O14</f>
        <v>25.147342999999999</v>
      </c>
      <c r="J34" s="22"/>
      <c r="K34" s="22">
        <f t="shared" si="2"/>
        <v>2</v>
      </c>
      <c r="L34" s="22">
        <f t="shared" si="3"/>
        <v>6</v>
      </c>
      <c r="M34" s="22">
        <f t="shared" si="4"/>
        <v>1</v>
      </c>
      <c r="N34" s="22">
        <f t="shared" si="5"/>
        <v>1</v>
      </c>
      <c r="O34" s="22">
        <f t="shared" si="6"/>
        <v>1.5</v>
      </c>
      <c r="P34" s="48">
        <f t="shared" si="7"/>
        <v>1.5</v>
      </c>
    </row>
    <row r="35" spans="4:16" x14ac:dyDescent="0.35">
      <c r="D35" s="23" t="s">
        <v>55</v>
      </c>
      <c r="E35" s="50" t="str">
        <f>'Momnetum ranking'!B15</f>
        <v>HDFC Nifty 100 Low Volatility 30 ETF</v>
      </c>
      <c r="F35" s="52">
        <f>IFERROR('Momnetum ranking'!J15,0)</f>
        <v>0</v>
      </c>
      <c r="G35" s="33">
        <f>IFERROR('Momnetum ranking'!K15,0)</f>
        <v>0</v>
      </c>
      <c r="H35" s="32">
        <f>'Momnetum ranking'!Q15</f>
        <v>0.99790460000000003</v>
      </c>
      <c r="I35" s="34">
        <f>'Momnetum ranking'!O15</f>
        <v>5.5401683000000004</v>
      </c>
      <c r="J35" s="22"/>
      <c r="K35" s="22">
        <f t="shared" si="2"/>
        <v>5</v>
      </c>
      <c r="L35" s="22">
        <f t="shared" si="3"/>
        <v>11</v>
      </c>
      <c r="M35" s="22">
        <f t="shared" si="4"/>
        <v>5</v>
      </c>
      <c r="N35" s="22">
        <f t="shared" si="5"/>
        <v>14</v>
      </c>
      <c r="O35" s="22">
        <f t="shared" si="6"/>
        <v>8</v>
      </c>
      <c r="P35" s="48">
        <f t="shared" si="7"/>
        <v>8</v>
      </c>
    </row>
    <row r="36" spans="4:16" x14ac:dyDescent="0.35">
      <c r="D36" s="23" t="s">
        <v>56</v>
      </c>
      <c r="E36" s="50" t="str">
        <f>'Momnetum ranking'!B16</f>
        <v>ICICI Prudential Nifty FMCG ETF</v>
      </c>
      <c r="F36" s="52">
        <f>IFERROR('Momnetum ranking'!J16,0)</f>
        <v>0</v>
      </c>
      <c r="G36" s="33">
        <f>IFERROR('Momnetum ranking'!K16,0)</f>
        <v>0.625</v>
      </c>
      <c r="H36" s="32">
        <f>'Momnetum ranking'!Q16</f>
        <v>0.98253703000000003</v>
      </c>
      <c r="I36" s="34">
        <f>'Momnetum ranking'!O16</f>
        <v>7.1024536999999999</v>
      </c>
      <c r="J36" s="22"/>
      <c r="K36" s="22">
        <f t="shared" si="2"/>
        <v>5</v>
      </c>
      <c r="L36" s="22">
        <f t="shared" si="3"/>
        <v>8</v>
      </c>
      <c r="M36" s="22">
        <f t="shared" si="4"/>
        <v>9</v>
      </c>
      <c r="N36" s="22">
        <f t="shared" si="5"/>
        <v>12</v>
      </c>
      <c r="O36" s="22">
        <f t="shared" si="6"/>
        <v>8.5</v>
      </c>
      <c r="P36" s="48">
        <f t="shared" si="7"/>
        <v>8.5</v>
      </c>
    </row>
    <row r="37" spans="4:16" x14ac:dyDescent="0.35">
      <c r="D37" s="23" t="s">
        <v>57</v>
      </c>
      <c r="E37" s="50" t="str">
        <f>'Momnetum ranking'!B17</f>
        <v>CPSE ETF</v>
      </c>
      <c r="F37" s="52">
        <f>IFERROR('Momnetum ranking'!J17,0)</f>
        <v>0</v>
      </c>
      <c r="G37" s="33">
        <f>IFERROR('Momnetum ranking'!K17,0)</f>
        <v>0</v>
      </c>
      <c r="H37" s="32">
        <f>'Momnetum ranking'!Q17</f>
        <v>0.9466329</v>
      </c>
      <c r="I37" s="34">
        <f>'Momnetum ranking'!O17</f>
        <v>23.454834000000002</v>
      </c>
      <c r="J37" s="22"/>
      <c r="K37" s="22">
        <f t="shared" si="2"/>
        <v>5</v>
      </c>
      <c r="L37" s="22">
        <f t="shared" si="3"/>
        <v>11</v>
      </c>
      <c r="M37" s="22">
        <f t="shared" si="4"/>
        <v>13</v>
      </c>
      <c r="N37" s="22">
        <f t="shared" si="5"/>
        <v>2</v>
      </c>
      <c r="O37" s="22">
        <f t="shared" si="6"/>
        <v>8</v>
      </c>
      <c r="P37" s="48">
        <f t="shared" si="7"/>
        <v>8</v>
      </c>
    </row>
    <row r="38" spans="4:16" ht="15" thickBot="1" x14ac:dyDescent="0.4">
      <c r="D38" s="61" t="s">
        <v>58</v>
      </c>
      <c r="E38" s="62" t="str">
        <f>'Momnetum ranking'!B18</f>
        <v>BHARAT 22 ETF</v>
      </c>
      <c r="F38" s="63">
        <f>IFERROR('Momnetum ranking'!J18,0)</f>
        <v>8.6956521739130432E-2</v>
      </c>
      <c r="G38" s="64">
        <f>IFERROR('Momnetum ranking'!K18,0)</f>
        <v>0.91304347826086996</v>
      </c>
      <c r="H38" s="65">
        <f>'Momnetum ranking'!Q18</f>
        <v>0.95867835999999995</v>
      </c>
      <c r="I38" s="66">
        <f>'Momnetum ranking'!O18</f>
        <v>14.190291999999999</v>
      </c>
      <c r="J38" s="67"/>
      <c r="K38" s="67">
        <f t="shared" si="2"/>
        <v>3</v>
      </c>
      <c r="L38" s="67">
        <f t="shared" si="3"/>
        <v>3</v>
      </c>
      <c r="M38" s="67">
        <f t="shared" si="4"/>
        <v>12</v>
      </c>
      <c r="N38" s="67">
        <f t="shared" si="5"/>
        <v>4</v>
      </c>
      <c r="O38" s="67">
        <f t="shared" si="6"/>
        <v>3.5</v>
      </c>
      <c r="P38" s="68">
        <f t="shared" si="7"/>
        <v>3.5</v>
      </c>
    </row>
    <row r="39" spans="4:16" ht="15" thickBot="1" x14ac:dyDescent="0.4">
      <c r="D39" s="57" t="s">
        <v>60</v>
      </c>
      <c r="E39" s="69" t="str">
        <f>'Momnetum ranking'!B19</f>
        <v>Nippon India ETF Nifty Dividend Opportunities 50</v>
      </c>
      <c r="F39" s="70">
        <f>IFERROR('Momnetum ranking'!J19,0)</f>
        <v>0</v>
      </c>
      <c r="G39" s="71">
        <f>IFERROR('Momnetum ranking'!K19,0)</f>
        <v>0</v>
      </c>
      <c r="H39" s="72">
        <f>'Momnetum ranking'!Q19</f>
        <v>1</v>
      </c>
      <c r="I39" s="73">
        <f>'Momnetum ranking'!O19</f>
        <v>10.790062000000001</v>
      </c>
      <c r="J39" s="59"/>
      <c r="K39" s="74">
        <f>_xlfn.RANK.EQ(F39,$F$25:$F$39)</f>
        <v>5</v>
      </c>
      <c r="L39" s="74">
        <f>_xlfn.RANK.EQ(G39,$G$25:$G$39)</f>
        <v>11</v>
      </c>
      <c r="M39" s="74">
        <f>_xlfn.RANK.EQ(H39,$H$25:$H$39)</f>
        <v>1</v>
      </c>
      <c r="N39" s="74">
        <f>_xlfn.RANK.EQ(I39,$I$25:$I$39)</f>
        <v>8</v>
      </c>
      <c r="O39" s="74">
        <f>MEDIAN(K39:N39)</f>
        <v>6.5</v>
      </c>
      <c r="P39" s="75">
        <f t="shared" si="7"/>
        <v>6.5</v>
      </c>
    </row>
    <row r="40" spans="4:16" x14ac:dyDescent="0.35">
      <c r="F40" s="6"/>
      <c r="G40" s="5"/>
      <c r="H40" s="6"/>
      <c r="I40" s="3"/>
      <c r="P40" s="43"/>
    </row>
    <row r="42" spans="4:16" ht="15" thickBot="1" x14ac:dyDescent="0.4">
      <c r="E42" s="28" t="s">
        <v>43</v>
      </c>
      <c r="K42" s="28" t="s">
        <v>44</v>
      </c>
    </row>
    <row r="43" spans="4:16" ht="15" thickBot="1" x14ac:dyDescent="0.4">
      <c r="D43" s="55" t="s">
        <v>59</v>
      </c>
      <c r="E43" s="53" t="s">
        <v>39</v>
      </c>
      <c r="F43" s="7"/>
      <c r="G43" s="53" t="s">
        <v>30</v>
      </c>
      <c r="H43" s="53" t="s">
        <v>31</v>
      </c>
      <c r="I43" s="54" t="s">
        <v>29</v>
      </c>
      <c r="K43" s="25" t="s">
        <v>59</v>
      </c>
      <c r="L43" s="27" t="s">
        <v>39</v>
      </c>
      <c r="M43" s="26" t="s">
        <v>22</v>
      </c>
      <c r="N43" s="27" t="s">
        <v>23</v>
      </c>
    </row>
    <row r="44" spans="4:16" x14ac:dyDescent="0.35">
      <c r="D44" s="17" t="s">
        <v>45</v>
      </c>
      <c r="E44" t="str">
        <f>'Momnetum ranking'!B5</f>
        <v>Kotak Nifty PSU Bank ETF</v>
      </c>
      <c r="F44" s="1"/>
      <c r="G44" t="str">
        <f>IF(HLOOKUP($D44,'Factset Price Data'!$C$208:$Z$215,6,FALSE)&gt;=1,"INVESTED","CASH")</f>
        <v>INVESTED</v>
      </c>
      <c r="H44" t="str">
        <f>IF(HLOOKUP($D44,'Factset Price Data'!$C$208:$Z$215,7,FALSE)&gt;=1,"INVESTED","CASH")</f>
        <v>INVESTED</v>
      </c>
      <c r="I44" s="29" t="str">
        <f>IF(HLOOKUP($D44,'Factset Price Data'!$C$208:$Z$215,8,FALSE)&gt;=1,"INVESTED","CASH")</f>
        <v>INVESTED</v>
      </c>
      <c r="K44" s="17" t="s">
        <v>45</v>
      </c>
      <c r="L44" s="29" t="str">
        <f>'Momnetum ranking'!B5</f>
        <v>Kotak Nifty PSU Bank ETF</v>
      </c>
      <c r="M44" s="6">
        <f>'Momnetum ranking'!H5</f>
        <v>0.30769230769230771</v>
      </c>
      <c r="N44" s="18">
        <f>'Momnetum ranking'!I5</f>
        <v>0.23076923076923078</v>
      </c>
    </row>
    <row r="45" spans="4:16" x14ac:dyDescent="0.35">
      <c r="D45" s="17" t="s">
        <v>46</v>
      </c>
      <c r="E45" t="str">
        <f>'Momnetum ranking'!B6</f>
        <v>ICICI Prudential Nifty 200 Quality 30 ETF Exchange Traded Fund Units</v>
      </c>
      <c r="F45" s="1"/>
      <c r="G45" t="str">
        <f>IF(HLOOKUP($D45,'Factset Price Data'!$C$208:$Z$215,6,FALSE)&gt;=1,"INVESTED","CASH")</f>
        <v>INVESTED</v>
      </c>
      <c r="H45" t="str">
        <f>IF(HLOOKUP($D45,'Factset Price Data'!$C$208:$Z$215,7,FALSE)&gt;=1,"INVESTED","CASH")</f>
        <v>INVESTED</v>
      </c>
      <c r="I45" s="29" t="str">
        <f>IF(HLOOKUP($D45,'Factset Price Data'!$C$208:$Z$215,8,FALSE)&gt;=1,"INVESTED","CASH")</f>
        <v>INVESTED</v>
      </c>
      <c r="K45" s="17" t="s">
        <v>46</v>
      </c>
      <c r="L45" s="29" t="str">
        <f>'Momnetum ranking'!B6</f>
        <v>ICICI Prudential Nifty 200 Quality 30 ETF Exchange Traded Fund Units</v>
      </c>
      <c r="M45" s="6" t="e">
        <f>'Momnetum ranking'!H6</f>
        <v>#N/A</v>
      </c>
      <c r="N45" s="18" t="e">
        <f>'Momnetum ranking'!I6</f>
        <v>#N/A</v>
      </c>
    </row>
    <row r="46" spans="4:16" x14ac:dyDescent="0.35">
      <c r="D46" s="17" t="s">
        <v>47</v>
      </c>
      <c r="E46" t="str">
        <f>'Momnetum ranking'!B7</f>
        <v>HDFC NIFTY50 Value 20 ETF</v>
      </c>
      <c r="F46" s="1"/>
      <c r="G46" t="str">
        <f>IF(HLOOKUP($D46,'Factset Price Data'!$C$208:$Z$215,6,FALSE)&gt;=1,"INVESTED","CASH")</f>
        <v>INVESTED</v>
      </c>
      <c r="H46" t="str">
        <f>IF(HLOOKUP($D46,'Factset Price Data'!$C$208:$Z$215,7,FALSE)&gt;=1,"INVESTED","CASH")</f>
        <v>INVESTED</v>
      </c>
      <c r="I46" s="29" t="str">
        <f>IF(HLOOKUP($D46,'Factset Price Data'!$C$208:$Z$215,8,FALSE)&gt;=1,"INVESTED","CASH")</f>
        <v>INVESTED</v>
      </c>
      <c r="K46" s="17" t="s">
        <v>47</v>
      </c>
      <c r="L46" s="29" t="str">
        <f>'Momnetum ranking'!B7</f>
        <v>HDFC NIFTY50 Value 20 ETF</v>
      </c>
      <c r="M46" s="6">
        <f>'Momnetum ranking'!H7</f>
        <v>0.38095238095238093</v>
      </c>
      <c r="N46" s="18">
        <f>'Momnetum ranking'!I7</f>
        <v>0.52380952380952384</v>
      </c>
    </row>
    <row r="47" spans="4:16" x14ac:dyDescent="0.35">
      <c r="D47" s="17" t="s">
        <v>48</v>
      </c>
      <c r="E47" t="str">
        <f>'Momnetum ranking'!B8</f>
        <v>Axis NIFTY Healthcare ETF</v>
      </c>
      <c r="F47" s="1"/>
      <c r="G47" t="str">
        <f>IF(HLOOKUP($D47,'Factset Price Data'!$C$208:$Z$215,6,FALSE)&gt;=1,"INVESTED","CASH")</f>
        <v>INVESTED</v>
      </c>
      <c r="H47" t="str">
        <f>IF(HLOOKUP($D47,'Factset Price Data'!$C$208:$Z$215,7,FALSE)&gt;=1,"INVESTED","CASH")</f>
        <v>INVESTED</v>
      </c>
      <c r="I47" s="29" t="str">
        <f>IF(HLOOKUP($D47,'Factset Price Data'!$C$208:$Z$215,8,FALSE)&gt;=1,"INVESTED","CASH")</f>
        <v>INVESTED</v>
      </c>
      <c r="K47" s="17" t="s">
        <v>48</v>
      </c>
      <c r="L47" s="29" t="str">
        <f>'Momnetum ranking'!B8</f>
        <v>Axis NIFTY Healthcare ETF</v>
      </c>
      <c r="M47" s="6">
        <f>'Momnetum ranking'!H8</f>
        <v>0.42857142857142855</v>
      </c>
      <c r="N47" s="18">
        <f>'Momnetum ranking'!I8</f>
        <v>0.47619047619047616</v>
      </c>
    </row>
    <row r="48" spans="4:16" x14ac:dyDescent="0.35">
      <c r="D48" s="17" t="s">
        <v>49</v>
      </c>
      <c r="E48" t="str">
        <f>'Momnetum ranking'!B9</f>
        <v>ICICI Prudential Nifty Infrastructure ETF</v>
      </c>
      <c r="F48" s="1"/>
      <c r="G48" t="str">
        <f>IF(HLOOKUP($D48,'Factset Price Data'!$C$208:$Z$215,6,FALSE)&gt;=1,"INVESTED","CASH")</f>
        <v>INVESTED</v>
      </c>
      <c r="H48" t="str">
        <f>IF(HLOOKUP($D48,'Factset Price Data'!$C$208:$Z$215,7,FALSE)&gt;=1,"INVESTED","CASH")</f>
        <v>INVESTED</v>
      </c>
      <c r="I48" s="29" t="str">
        <f>IF(HLOOKUP($D48,'Factset Price Data'!$C$208:$Z$215,8,FALSE)&gt;=1,"INVESTED","CASH")</f>
        <v>INVESTED</v>
      </c>
      <c r="K48" s="17" t="s">
        <v>49</v>
      </c>
      <c r="L48" s="29" t="str">
        <f>'Momnetum ranking'!B9</f>
        <v>ICICI Prudential Nifty Infrastructure ETF</v>
      </c>
      <c r="M48" s="6">
        <f>'Momnetum ranking'!H9</f>
        <v>0.45161290322580644</v>
      </c>
      <c r="N48" s="18">
        <f>'Momnetum ranking'!I9</f>
        <v>0.4838709677419355</v>
      </c>
    </row>
    <row r="49" spans="4:14" x14ac:dyDescent="0.35">
      <c r="D49" s="17" t="s">
        <v>50</v>
      </c>
      <c r="E49" t="str">
        <f>'Momnetum ranking'!B10</f>
        <v>ICICI Prudential Nifty Commodities ETF</v>
      </c>
      <c r="F49" s="1"/>
      <c r="G49" t="str">
        <f>IF(HLOOKUP($D49,'Factset Price Data'!$C$208:$Z$215,6,FALSE)&gt;=1,"INVESTED","CASH")</f>
        <v>INVESTED</v>
      </c>
      <c r="H49" t="str">
        <f>IF(HLOOKUP($D49,'Factset Price Data'!$C$208:$Z$215,7,FALSE)&gt;=1,"INVESTED","CASH")</f>
        <v>INVESTED</v>
      </c>
      <c r="I49" s="29" t="str">
        <f>IF(HLOOKUP($D49,'Factset Price Data'!$C$208:$Z$215,8,FALSE)&gt;=1,"INVESTED","CASH")</f>
        <v>INVESTED</v>
      </c>
      <c r="K49" s="17" t="s">
        <v>50</v>
      </c>
      <c r="L49" s="29" t="str">
        <f>'Momnetum ranking'!B10</f>
        <v>ICICI Prudential Nifty Commodities ETF</v>
      </c>
      <c r="M49" s="6" t="e">
        <f>'Momnetum ranking'!H10</f>
        <v>#N/A</v>
      </c>
      <c r="N49" s="18" t="e">
        <f>'Momnetum ranking'!I10</f>
        <v>#N/A</v>
      </c>
    </row>
    <row r="50" spans="4:14" x14ac:dyDescent="0.35">
      <c r="D50" s="17" t="s">
        <v>51</v>
      </c>
      <c r="E50" t="str">
        <f>'Momnetum ranking'!B11</f>
        <v>Motilal Oswal Nifty 200 Momentum 30 ETF Units Exchange Traded Fund</v>
      </c>
      <c r="F50" s="1"/>
      <c r="G50" t="str">
        <f>IF(HLOOKUP($D50,'Factset Price Data'!$C$208:$Z$215,6,FALSE)&gt;=1,"INVESTED","CASH")</f>
        <v>INVESTED</v>
      </c>
      <c r="H50" t="str">
        <f>IF(HLOOKUP($D50,'Factset Price Data'!$C$208:$Z$215,7,FALSE)&gt;=1,"INVESTED","CASH")</f>
        <v>INVESTED</v>
      </c>
      <c r="I50" s="29" t="str">
        <f>IF(HLOOKUP($D50,'Factset Price Data'!$C$208:$Z$215,8,FALSE)&gt;=1,"INVESTED","CASH")</f>
        <v>INVESTED</v>
      </c>
      <c r="K50" s="17" t="s">
        <v>51</v>
      </c>
      <c r="L50" s="29" t="str">
        <f>'Momnetum ranking'!B11</f>
        <v>Motilal Oswal Nifty 200 Momentum 30 ETF Units Exchange Traded Fund</v>
      </c>
      <c r="M50" s="6">
        <f>'Momnetum ranking'!H11</f>
        <v>0.77419354838709675</v>
      </c>
      <c r="N50" s="18">
        <f>'Momnetum ranking'!I11</f>
        <v>0.19354838709677419</v>
      </c>
    </row>
    <row r="51" spans="4:14" x14ac:dyDescent="0.35">
      <c r="D51" s="17" t="s">
        <v>52</v>
      </c>
      <c r="E51" t="str">
        <f>'Momnetum ranking'!B12</f>
        <v>Motilal Oswal S&amp;P BSE Healthcare ETF</v>
      </c>
      <c r="F51" s="1"/>
      <c r="G51" t="str">
        <f>IF(HLOOKUP($D51,'Factset Price Data'!$C$208:$Z$215,6,FALSE)&gt;=1,"INVESTED","CASH")</f>
        <v>INVESTED</v>
      </c>
      <c r="H51" t="str">
        <f>IF(HLOOKUP($D51,'Factset Price Data'!$C$208:$Z$215,7,FALSE)&gt;=1,"INVESTED","CASH")</f>
        <v>INVESTED</v>
      </c>
      <c r="I51" s="29" t="str">
        <f>IF(HLOOKUP($D51,'Factset Price Data'!$C$208:$Z$215,8,FALSE)&gt;=1,"INVESTED","CASH")</f>
        <v>INVESTED</v>
      </c>
      <c r="K51" s="17" t="s">
        <v>52</v>
      </c>
      <c r="L51" s="29" t="str">
        <f>'Momnetum ranking'!B12</f>
        <v>Motilal Oswal S&amp;P BSE Healthcare ETF</v>
      </c>
      <c r="M51" s="6" t="e">
        <f>'Momnetum ranking'!H12</f>
        <v>#DIV/0!</v>
      </c>
      <c r="N51" s="18" t="e">
        <f>'Momnetum ranking'!I12</f>
        <v>#DIV/0!</v>
      </c>
    </row>
    <row r="52" spans="4:14" x14ac:dyDescent="0.35">
      <c r="D52" s="17" t="s">
        <v>53</v>
      </c>
      <c r="E52" t="str">
        <f>'Momnetum ranking'!B13</f>
        <v>HDFC Nifty Private Bank ETF Exchange Traded Fund Units</v>
      </c>
      <c r="F52" s="1"/>
      <c r="G52" t="str">
        <f>IF(HLOOKUP($D52,'Factset Price Data'!$C$208:$Z$215,6,FALSE)&gt;=1,"INVESTED","CASH")</f>
        <v>INVESTED</v>
      </c>
      <c r="H52" t="str">
        <f>IF(HLOOKUP($D52,'Factset Price Data'!$C$208:$Z$215,7,FALSE)&gt;=1,"INVESTED","CASH")</f>
        <v>INVESTED</v>
      </c>
      <c r="I52" s="29" t="str">
        <f>IF(HLOOKUP($D52,'Factset Price Data'!$C$208:$Z$215,8,FALSE)&gt;=1,"INVESTED","CASH")</f>
        <v>INVESTED</v>
      </c>
      <c r="K52" s="17" t="s">
        <v>53</v>
      </c>
      <c r="L52" s="29" t="str">
        <f>'Momnetum ranking'!B13</f>
        <v>HDFC Nifty Private Bank ETF Exchange Traded Fund Units</v>
      </c>
      <c r="M52" s="6">
        <f>'Momnetum ranking'!H13</f>
        <v>0.27272727272727271</v>
      </c>
      <c r="N52" s="18">
        <f>'Momnetum ranking'!I13</f>
        <v>0.36363636363636365</v>
      </c>
    </row>
    <row r="53" spans="4:14" x14ac:dyDescent="0.35">
      <c r="D53" s="17" t="s">
        <v>54</v>
      </c>
      <c r="E53" t="str">
        <f>'Momnetum ranking'!B14</f>
        <v>Mirae Asset Nifty India Manufacturing ETF Units Exchange Traded Fund</v>
      </c>
      <c r="F53" s="1"/>
      <c r="G53" t="str">
        <f>IF(HLOOKUP($D53,'Factset Price Data'!$C$208:$Z$215,6,FALSE)&gt;=1,"INVESTED","CASH")</f>
        <v>INVESTED</v>
      </c>
      <c r="H53" t="str">
        <f>IF(HLOOKUP($D53,'Factset Price Data'!$C$208:$Z$215,7,FALSE)&gt;=1,"INVESTED","CASH")</f>
        <v>INVESTED</v>
      </c>
      <c r="I53" s="29" t="str">
        <f>IF(HLOOKUP($D53,'Factset Price Data'!$C$208:$Z$215,8,FALSE)&gt;=1,"INVESTED","CASH")</f>
        <v>INVESTED</v>
      </c>
      <c r="K53" s="17" t="s">
        <v>54</v>
      </c>
      <c r="L53" s="29" t="str">
        <f>'Momnetum ranking'!B14</f>
        <v>Mirae Asset Nifty India Manufacturing ETF Units Exchange Traded Fund</v>
      </c>
      <c r="M53" s="6">
        <f>'Momnetum ranking'!H14</f>
        <v>0.52631578947368418</v>
      </c>
      <c r="N53" s="18">
        <f>'Momnetum ranking'!I14</f>
        <v>0.35526315789473684</v>
      </c>
    </row>
    <row r="54" spans="4:14" x14ac:dyDescent="0.35">
      <c r="D54" s="17" t="s">
        <v>55</v>
      </c>
      <c r="E54" t="str">
        <f>'Momnetum ranking'!B15</f>
        <v>HDFC Nifty 100 Low Volatility 30 ETF</v>
      </c>
      <c r="F54" s="1"/>
      <c r="G54" t="str">
        <f>IF(HLOOKUP($D54,'Factset Price Data'!$C$208:$Z$215,6,FALSE)&gt;=1,"INVESTED","CASH")</f>
        <v>INVESTED</v>
      </c>
      <c r="H54" t="str">
        <f>IF(HLOOKUP($D54,'Factset Price Data'!$C$208:$Z$215,7,FALSE)&gt;=1,"INVESTED","CASH")</f>
        <v>INVESTED</v>
      </c>
      <c r="I54" s="29" t="str">
        <f>IF(HLOOKUP($D54,'Factset Price Data'!$C$208:$Z$215,8,FALSE)&gt;=1,"INVESTED","CASH")</f>
        <v>INVESTED</v>
      </c>
      <c r="K54" s="17" t="s">
        <v>55</v>
      </c>
      <c r="L54" s="29" t="str">
        <f>'Momnetum ranking'!B15</f>
        <v>HDFC Nifty 100 Low Volatility 30 ETF</v>
      </c>
      <c r="M54" s="6" t="e">
        <f>'Momnetum ranking'!H15</f>
        <v>#N/A</v>
      </c>
      <c r="N54" s="18" t="e">
        <f>'Momnetum ranking'!I15</f>
        <v>#N/A</v>
      </c>
    </row>
    <row r="55" spans="4:14" x14ac:dyDescent="0.35">
      <c r="D55" s="17" t="s">
        <v>56</v>
      </c>
      <c r="E55" t="str">
        <f>'Momnetum ranking'!B16</f>
        <v>ICICI Prudential Nifty FMCG ETF</v>
      </c>
      <c r="F55" s="1"/>
      <c r="G55" t="str">
        <f>IF(HLOOKUP($D55,'Factset Price Data'!$C$208:$Z$215,6,FALSE)&gt;=1,"INVESTED","CASH")</f>
        <v>INVESTED</v>
      </c>
      <c r="H55" t="str">
        <f>IF(HLOOKUP($D55,'Factset Price Data'!$C$208:$Z$215,7,FALSE)&gt;=1,"INVESTED","CASH")</f>
        <v>INVESTED</v>
      </c>
      <c r="I55" s="29" t="str">
        <f>IF(HLOOKUP($D55,'Factset Price Data'!$C$208:$Z$215,8,FALSE)&gt;=1,"INVESTED","CASH")</f>
        <v>INVESTED</v>
      </c>
      <c r="K55" s="17" t="s">
        <v>56</v>
      </c>
      <c r="L55" s="29" t="str">
        <f>'Momnetum ranking'!B16</f>
        <v>ICICI Prudential Nifty FMCG ETF</v>
      </c>
      <c r="M55" s="6" t="e">
        <f>'Momnetum ranking'!H16</f>
        <v>#DIV/0!</v>
      </c>
      <c r="N55" s="18" t="e">
        <f>'Momnetum ranking'!I16</f>
        <v>#DIV/0!</v>
      </c>
    </row>
    <row r="56" spans="4:14" x14ac:dyDescent="0.35">
      <c r="D56" s="17" t="s">
        <v>57</v>
      </c>
      <c r="E56" t="str">
        <f>'Momnetum ranking'!B17</f>
        <v>CPSE ETF</v>
      </c>
      <c r="F56" s="1"/>
      <c r="G56" t="str">
        <f>IF(HLOOKUP($D56,'Factset Price Data'!$C$208:$Z$215,6,FALSE)&gt;=1,"INVESTED","CASH")</f>
        <v>INVESTED</v>
      </c>
      <c r="H56" t="str">
        <f>IF(HLOOKUP($D56,'Factset Price Data'!$C$208:$Z$215,7,FALSE)&gt;=1,"INVESTED","CASH")</f>
        <v>INVESTED</v>
      </c>
      <c r="I56" s="29" t="str">
        <f>IF(HLOOKUP($D56,'Factset Price Data'!$C$208:$Z$215,8,FALSE)&gt;=1,"INVESTED","CASH")</f>
        <v>INVESTED</v>
      </c>
      <c r="K56" s="17" t="s">
        <v>57</v>
      </c>
      <c r="L56" s="29" t="str">
        <f>'Momnetum ranking'!B17</f>
        <v>CPSE ETF</v>
      </c>
      <c r="M56" s="6" t="e">
        <f>'Momnetum ranking'!H17</f>
        <v>#N/A</v>
      </c>
      <c r="N56" s="18" t="e">
        <f>'Momnetum ranking'!I17</f>
        <v>#N/A</v>
      </c>
    </row>
    <row r="57" spans="4:14" ht="15" thickBot="1" x14ac:dyDescent="0.4">
      <c r="D57" s="9" t="s">
        <v>58</v>
      </c>
      <c r="E57" s="10" t="str">
        <f>'Momnetum ranking'!B18</f>
        <v>BHARAT 22 ETF</v>
      </c>
      <c r="F57" s="31"/>
      <c r="G57" s="10" t="str">
        <f>IF(HLOOKUP($D57,'Factset Price Data'!$C$208:$Z$215,6,FALSE)&gt;=1,"INVESTED","CASH")</f>
        <v>INVESTED</v>
      </c>
      <c r="H57" s="10" t="str">
        <f>IF(HLOOKUP($D57,'Factset Price Data'!$C$208:$Z$215,7,FALSE)&gt;=1,"INVESTED","CASH")</f>
        <v>INVESTED</v>
      </c>
      <c r="I57" s="30" t="str">
        <f>IF(HLOOKUP($D57,'Factset Price Data'!$C$208:$Z$215,8,FALSE)&gt;=1,"INVESTED","CASH")</f>
        <v>INVESTED</v>
      </c>
      <c r="K57" s="17" t="s">
        <v>58</v>
      </c>
      <c r="L57" s="29" t="str">
        <f>'Momnetum ranking'!B18</f>
        <v>BHARAT 22 ETF</v>
      </c>
      <c r="M57" s="6">
        <f>'Momnetum ranking'!H18</f>
        <v>0.52173913043478259</v>
      </c>
      <c r="N57" s="18">
        <f>'Momnetum ranking'!I18</f>
        <v>0.43478260869565216</v>
      </c>
    </row>
    <row r="58" spans="4:14" ht="15" thickBot="1" x14ac:dyDescent="0.4">
      <c r="D58" s="57" t="s">
        <v>60</v>
      </c>
      <c r="E58" s="59" t="str">
        <f>'Momnetum ranking'!B19</f>
        <v>Nippon India ETF Nifty Dividend Opportunities 50</v>
      </c>
      <c r="F58" s="26"/>
      <c r="G58" s="59" t="str">
        <f>IF(HLOOKUP($D58,'Factset Price Data'!$C$208:$Z$215,6,FALSE)&gt;=1,"INVESTED","CASH")</f>
        <v>INVESTED</v>
      </c>
      <c r="H58" s="59" t="str">
        <f>IF(HLOOKUP($D58,'Factset Price Data'!$C$208:$Z$215,7,FALSE)&gt;=1,"INVESTED","CASH")</f>
        <v>INVESTED</v>
      </c>
      <c r="I58" s="60" t="str">
        <f>IF(HLOOKUP($D58,'Factset Price Data'!$C$208:$Z$215,8,FALSE)&gt;=1,"INVESTED","CASH")</f>
        <v>INVESTED</v>
      </c>
      <c r="K58" s="57" t="s">
        <v>60</v>
      </c>
      <c r="L58" s="60" t="str">
        <f>'Momnetum ranking'!B19</f>
        <v>Nippon India ETF Nifty Dividend Opportunities 50</v>
      </c>
      <c r="M58" s="76" t="e">
        <f>'Momnetum ranking'!H19</f>
        <v>#N/A</v>
      </c>
      <c r="N58" s="77" t="e">
        <f>'Momnetum ranking'!I19</f>
        <v>#N/A</v>
      </c>
    </row>
    <row r="59" spans="4:14" x14ac:dyDescent="0.35">
      <c r="F59" s="6"/>
      <c r="J59" s="6"/>
    </row>
    <row r="60" spans="4:14" x14ac:dyDescent="0.35">
      <c r="F60" s="6"/>
      <c r="J60" s="6"/>
    </row>
    <row r="61" spans="4:14" x14ac:dyDescent="0.35">
      <c r="F61" s="6"/>
      <c r="J61" s="6"/>
    </row>
    <row r="62" spans="4:14" x14ac:dyDescent="0.35">
      <c r="F62" s="6"/>
      <c r="J62" s="6"/>
    </row>
    <row r="63" spans="4:14" x14ac:dyDescent="0.35">
      <c r="F63" s="6"/>
      <c r="J63" s="6"/>
    </row>
    <row r="64" spans="4:14" x14ac:dyDescent="0.35">
      <c r="F64" s="6"/>
      <c r="J64" s="6"/>
    </row>
  </sheetData>
  <conditionalFormatting sqref="G44:I58">
    <cfRule type="cellIs" dxfId="3" priority="46" operator="equal">
      <formula>"CASH"</formula>
    </cfRule>
    <cfRule type="cellIs" dxfId="2" priority="47" operator="equal">
      <formula>"INVESTED"</formula>
    </cfRule>
    <cfRule type="colorScale" priority="48">
      <colorScale>
        <cfvo type="formula" val="$I$11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conditionalFormatting sqref="I7:K21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I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25:P39">
    <cfRule type="iconSet" priority="1">
      <iconSet showValue="0" reverse="1">
        <cfvo type="percent" val="0"/>
        <cfvo type="percent" val="33"/>
        <cfvo type="percent" val="67"/>
      </iconSet>
    </cfRule>
  </conditionalFormatting>
  <conditionalFormatting sqref="P40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G22 H7:H21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workbookViewId="0">
      <selection activeCell="A17" sqref="A17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1">
        <f>'Aset class Rankings'!E5</f>
        <v>0.33</v>
      </c>
      <c r="L2" s="21">
        <f>'Aset class Rankings'!F5</f>
        <v>0.33</v>
      </c>
      <c r="M2" s="21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_xll.FDS(C3,"FG_TOTAL_RETURNC(0,-1AM)")</f>
        <v>5.6051970000000004</v>
      </c>
      <c r="F3" s="3" cm="1">
        <f t="array" ref="F3">_xll.FDS(C3,"FG_TOTAL_RETURNC(0,-3AM)")</f>
        <v>9.9508170000000007</v>
      </c>
      <c r="G3" s="3" cm="1">
        <f t="array" ref="G3">IFERROR(_xll.FDS(C3,"FG_TOTAL_RETURNC(0,-6AM)"),_xll.FDS(C3,"FG_TOTAL_RETURNC(0,-4AM)"))</f>
        <v>33.012726000000001</v>
      </c>
      <c r="H3" s="15" cm="1">
        <f t="array" ref="H3">_xll.FDS(C3,"P_PRICE(0)/P_PRICE_HIGH_PR(0,,,,,,""PRICE"",""CLOSE"",""52W"")")</f>
        <v>0.92093502999999999</v>
      </c>
      <c r="K3" s="4">
        <f>_xlfn.RANK.EQ(H3,H$3:H$17)</f>
        <v>14</v>
      </c>
      <c r="L3" s="4">
        <f>_xlfn.RANK.EQ(F3,F$3:F$17)</f>
        <v>10</v>
      </c>
      <c r="M3" s="4">
        <f>_xlfn.RANK.EQ(G3,G$3:G$17)</f>
        <v>3</v>
      </c>
      <c r="N3" s="4"/>
      <c r="P3" s="3">
        <f t="shared" ref="P3:P9" si="0">SUMPRODUCT($K$2:$M$2,K3:M3)</f>
        <v>8.91</v>
      </c>
      <c r="Q3">
        <f t="shared" ref="Q3:Q11" si="1">COUNTIF(K3:N3,"&gt;70")</f>
        <v>0</v>
      </c>
      <c r="S3">
        <f>16-_xlfn.RANK.EQ(P3,$P$3:$P$17)</f>
        <v>10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2" si="2">A4</f>
        <v>543956-IN</v>
      </c>
      <c r="E4" s="3" cm="1">
        <f t="array" ref="E4">_xll.FDS(C4,"FG_TOTAL_RETURNC(0,-1AM)")</f>
        <v>9.8308680000000006</v>
      </c>
      <c r="F4" s="3" cm="1">
        <f t="array" ref="F4">_xll.FDS(C4,"FG_TOTAL_RETURNC(0,-3AM)")</f>
        <v>11.289633</v>
      </c>
      <c r="G4" s="3" cm="1">
        <f t="array" ref="G4">IFERROR(_xll.FDS(C4,"FG_TOTAL_RETURNC(0,-6AM)"),_xll.FDS(C4,"FG_TOTAL_RETURNC(0,-4AM)"))</f>
        <v>18.688594999999999</v>
      </c>
      <c r="H4" s="15" cm="1">
        <f t="array" ref="H4">_xll.FDS(C4,"P_PRICE(0)/P_PRICE_HIGH_PR(0,,,,,,""PRICE"",""CLOSE"",""52W"")")</f>
        <v>1</v>
      </c>
      <c r="K4" s="4">
        <f t="shared" ref="K4:K17" si="3">_xlfn.RANK.EQ(H4,H$3:H$17)</f>
        <v>1</v>
      </c>
      <c r="L4" s="4">
        <f t="shared" ref="L4:L17" si="4">_xlfn.RANK.EQ(F4,F$3:F$17)</f>
        <v>7</v>
      </c>
      <c r="M4" s="4">
        <f t="shared" ref="M4:M17" si="5">_xlfn.RANK.EQ(G4,G$3:G$17)</f>
        <v>11</v>
      </c>
      <c r="N4" s="4"/>
      <c r="P4" s="3">
        <f t="shared" si="0"/>
        <v>6.2700000000000005</v>
      </c>
      <c r="Q4">
        <f t="shared" si="1"/>
        <v>0</v>
      </c>
      <c r="S4">
        <f t="shared" ref="S4:S17" si="6">16-_xlfn.RANK.EQ(P4,$P$3:$P$17)</f>
        <v>5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_xll.FDS(C5,"FG_TOTAL_RETURNC(0,-1AM)")</f>
        <v>4.0871380000000004</v>
      </c>
      <c r="F5" s="3" cm="1">
        <f t="array" ref="F5">_xll.FDS(C5,"FG_TOTAL_RETURNC(0,-3AM)")</f>
        <v>-2.4517536</v>
      </c>
      <c r="G5" s="3" cm="1">
        <f t="array" ref="G5">IFERROR(_xll.FDS(C5,"FG_TOTAL_RETURNC(0,-6AM)"),_xll.FDS(C5,"FG_TOTAL_RETURNC(0,-4AM)"))</f>
        <v>17.063130000000001</v>
      </c>
      <c r="H5" s="15" cm="1">
        <f t="array" ref="H5">_xll.FDS(C5,"P_PRICE(0)/P_PRICE_HIGH_PR(0,,,,,,""PRICE"",""CLOSE"",""52W"")")</f>
        <v>0.97548246000000005</v>
      </c>
      <c r="I5" s="1"/>
      <c r="K5" s="4">
        <f t="shared" si="3"/>
        <v>10</v>
      </c>
      <c r="L5" s="4">
        <f t="shared" si="4"/>
        <v>15</v>
      </c>
      <c r="M5" s="4">
        <f t="shared" si="5"/>
        <v>12</v>
      </c>
      <c r="N5" s="4"/>
      <c r="P5" s="3">
        <f t="shared" si="0"/>
        <v>12.21</v>
      </c>
      <c r="Q5">
        <f t="shared" si="1"/>
        <v>0</v>
      </c>
      <c r="S5">
        <f t="shared" si="6"/>
        <v>15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_xll.FDS(C6,"FG_TOTAL_RETURNC(0,-1AM)")</f>
        <v>3.3057810000000001</v>
      </c>
      <c r="F6" s="3" cm="1">
        <f t="array" ref="F6">_xll.FDS(C6,"FG_TOTAL_RETURNC(0,-3AM)")</f>
        <v>10.609674</v>
      </c>
      <c r="G6" s="3" cm="1">
        <f t="array" ref="G6">IFERROR(_xll.FDS(C6,"FG_TOTAL_RETURNC(0,-6AM)"),_xll.FDS(C6,"FG_TOTAL_RETURNC(0,-4AM)"))</f>
        <v>20.250129999999999</v>
      </c>
      <c r="H6" s="15" cm="1">
        <f t="array" ref="H6">_xll.FDS(C6,"P_PRICE(0)/P_PRICE_HIGH_PR(0,,,,,,""PRICE"",""CLOSE"",""52W"")")</f>
        <v>0.89375090000000001</v>
      </c>
      <c r="I6" s="1"/>
      <c r="K6" s="4">
        <f t="shared" si="3"/>
        <v>15</v>
      </c>
      <c r="L6" s="4">
        <f t="shared" si="4"/>
        <v>9</v>
      </c>
      <c r="M6" s="4">
        <f t="shared" si="5"/>
        <v>9</v>
      </c>
      <c r="N6" s="4"/>
      <c r="P6" s="3">
        <f t="shared" si="0"/>
        <v>10.89</v>
      </c>
      <c r="Q6">
        <f t="shared" si="1"/>
        <v>0</v>
      </c>
      <c r="S6">
        <f t="shared" si="6"/>
        <v>12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_xll.FDS(C7,"FG_TOTAL_RETURNC(0,-1AM)")</f>
        <v>7.8126790000000002</v>
      </c>
      <c r="F7" s="3" cm="1">
        <f t="array" ref="F7">_xll.FDS(C7,"FG_TOTAL_RETURNC(0,-3AM)")</f>
        <v>12.942195</v>
      </c>
      <c r="G7" s="3" cm="1">
        <f t="array" ref="G7">IFERROR(_xll.FDS(C7,"FG_TOTAL_RETURNC(0,-6AM)"),_xll.FDS(C7,"FG_TOTAL_RETURNC(0,-4AM)"))</f>
        <v>27.67173</v>
      </c>
      <c r="H7" s="15" cm="1">
        <f t="array" ref="H7">_xll.FDS(C7,"P_PRICE(0)/P_PRICE_HIGH_PR(0,,,,,,""PRICE"",""CLOSE"",""52W"")")</f>
        <v>0.96870710000000004</v>
      </c>
      <c r="I7" s="1"/>
      <c r="K7" s="4">
        <f t="shared" si="3"/>
        <v>11</v>
      </c>
      <c r="L7" s="4">
        <f t="shared" si="4"/>
        <v>6</v>
      </c>
      <c r="M7" s="4">
        <f t="shared" si="5"/>
        <v>6</v>
      </c>
      <c r="N7" s="4"/>
      <c r="P7" s="3">
        <f t="shared" si="0"/>
        <v>7.59</v>
      </c>
      <c r="Q7">
        <f t="shared" si="1"/>
        <v>0</v>
      </c>
      <c r="S7">
        <f t="shared" si="6"/>
        <v>9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_xll.FDS(C8,"FG_TOTAL_RETURNC(0,-1AM)")</f>
        <v>7.4186325000000002</v>
      </c>
      <c r="F8" s="3" cm="1">
        <f t="array" ref="F8">_xll.FDS(C8,"FG_TOTAL_RETURNC(0,-3AM)")</f>
        <v>13.691354</v>
      </c>
      <c r="G8" s="3" cm="1">
        <f t="array" ref="G8">IFERROR(_xll.FDS(C8,"FG_TOTAL_RETURNC(0,-6AM)"),_xll.FDS(C8,"FG_TOTAL_RETURNC(0,-4AM)"))</f>
        <v>26.410425</v>
      </c>
      <c r="H8" s="15" cm="1">
        <f t="array" ref="H8">_xll.FDS(C8,"P_PRICE(0)/P_PRICE_HIGH_PR(0,,,,,,""PRICE"",""CLOSE"",""52W"")")</f>
        <v>0.98292230000000003</v>
      </c>
      <c r="K8" s="4">
        <f t="shared" si="3"/>
        <v>8</v>
      </c>
      <c r="L8" s="4">
        <f t="shared" si="4"/>
        <v>5</v>
      </c>
      <c r="M8" s="4">
        <f t="shared" si="5"/>
        <v>7</v>
      </c>
      <c r="N8" s="4"/>
      <c r="P8" s="3">
        <f t="shared" si="0"/>
        <v>6.6</v>
      </c>
      <c r="Q8">
        <f t="shared" si="1"/>
        <v>0</v>
      </c>
      <c r="S8">
        <f t="shared" si="6"/>
        <v>6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_xll.FDS(C9,"FG_TOTAL_RETURNC(0,-1AM)")</f>
        <v>10.576188999999999</v>
      </c>
      <c r="F9" s="3" cm="1">
        <f t="array" ref="F9">_xll.FDS(C9,"FG_TOTAL_RETURNC(0,-3AM)")</f>
        <v>19.745123</v>
      </c>
      <c r="G9" s="3" cm="1">
        <f t="array" ref="G9">IFERROR(_xll.FDS(C9,"FG_TOTAL_RETURNC(0,-6AM)"),_xll.FDS(C9,"FG_TOTAL_RETURNC(0,-4AM)"))</f>
        <v>32.727943000000003</v>
      </c>
      <c r="H9" s="15" cm="1">
        <f t="array" ref="H9">_xll.FDS(C9,"P_PRICE(0)/P_PRICE_HIGH_PR(0,,,,,,""PRICE"",""CLOSE"",""52W"")")</f>
        <v>0.99545950000000005</v>
      </c>
      <c r="K9" s="4">
        <f t="shared" si="3"/>
        <v>6</v>
      </c>
      <c r="L9" s="4">
        <f t="shared" si="4"/>
        <v>3</v>
      </c>
      <c r="M9" s="4">
        <f t="shared" si="5"/>
        <v>4</v>
      </c>
      <c r="P9" s="3">
        <f t="shared" si="0"/>
        <v>4.29</v>
      </c>
      <c r="Q9">
        <f t="shared" si="1"/>
        <v>0</v>
      </c>
      <c r="S9">
        <f t="shared" si="6"/>
        <v>2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_xll.FDS(C10,"FG_TOTAL_RETURNC(0,-1AM)")</f>
        <v>4.9533009999999997</v>
      </c>
      <c r="F10" s="3" cm="1">
        <f t="array" ref="F10">_xll.FDS(C10,"FG_TOTAL_RETURNC(0,-3AM)")</f>
        <v>8.3576920000000001</v>
      </c>
      <c r="G10" s="3" cm="1">
        <f t="array" ref="G10">IFERROR(_xll.FDS(C10,"FG_TOTAL_RETURNC(0,-6AM)"),_xll.FDS(C10,"FG_TOTAL_RETURNC(0,-4AM)"))</f>
        <v>19.844866</v>
      </c>
      <c r="H10" s="15" cm="1">
        <f t="array" ref="H10">_xll.FDS(C10,"P_PRICE(0)/P_PRICE_HIGH_PR(0,,,,,,""PRICE"",""CLOSE"",""52W"")")</f>
        <v>1</v>
      </c>
      <c r="K10" s="4">
        <f t="shared" si="3"/>
        <v>1</v>
      </c>
      <c r="L10" s="4">
        <f t="shared" si="4"/>
        <v>11</v>
      </c>
      <c r="M10" s="4">
        <f t="shared" si="5"/>
        <v>10</v>
      </c>
      <c r="P10" s="3">
        <f t="shared" ref="P10" si="7">SUMPRODUCT($K$2:$M$2,K10:M10)</f>
        <v>7.2600000000000007</v>
      </c>
      <c r="Q10">
        <f t="shared" ref="Q10" si="8">COUNTIF(K10:N10,"&gt;70")</f>
        <v>0</v>
      </c>
      <c r="S10">
        <f t="shared" si="6"/>
        <v>8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_xll.FDS(C11,"FG_TOTAL_RETURNC(0,-1AM)")</f>
        <v>4.0833354000000002</v>
      </c>
      <c r="F11" s="3" cm="1">
        <f t="array" ref="F11">_xll.FDS(C11,"FG_TOTAL_RETURNC(0,-3AM)")</f>
        <v>6.3431262999999998</v>
      </c>
      <c r="G11" s="3" cm="1">
        <f t="array" ref="G11">IFERROR(_xll.FDS(C11,"FG_TOTAL_RETURNC(0,-6AM)"),_xll.FDS(C11,"FG_TOTAL_RETURNC(0,-4AM)"))</f>
        <v>1.565361</v>
      </c>
      <c r="H11" s="15" cm="1">
        <f t="array" ref="H11">_xll.FDS(C11,"P_PRICE(0)/P_PRICE_HIGH_PR(0,,,,,,""PRICE"",""CLOSE"",""52W"")")</f>
        <v>0.99126977000000005</v>
      </c>
      <c r="K11" s="4">
        <f t="shared" si="3"/>
        <v>7</v>
      </c>
      <c r="L11" s="4">
        <f t="shared" si="4"/>
        <v>13</v>
      </c>
      <c r="M11" s="4">
        <f t="shared" si="5"/>
        <v>15</v>
      </c>
      <c r="P11" s="3">
        <f t="shared" ref="P11:P16" si="9">SUMPRODUCT($K$2:$M$2,K11:M11)</f>
        <v>11.55</v>
      </c>
      <c r="Q11">
        <f t="shared" si="1"/>
        <v>0</v>
      </c>
      <c r="S11">
        <f t="shared" si="6"/>
        <v>14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_xll.FDS(C12,"FG_TOTAL_RETURNC(0,-1AM)")</f>
        <v>11.228358999999999</v>
      </c>
      <c r="F12" s="3" cm="1">
        <f t="array" ref="F12">_xll.FDS(C12,"FG_TOTAL_RETURNC(0,-3AM)")</f>
        <v>25.147342999999999</v>
      </c>
      <c r="G12" s="3" cm="1">
        <f t="array" ref="G12">IFERROR(_xll.FDS(C12,"FG_TOTAL_RETURNC(0,-6AM)"),_xll.FDS(C12,"FG_TOTAL_RETURNC(0,-4AM)"))</f>
        <v>37.271605999999998</v>
      </c>
      <c r="H12" s="15" cm="1">
        <f t="array" ref="H12">_xll.FDS(C12,"P_PRICE(0)/P_PRICE_HIGH_PR(0,,,,,,""PRICE"",""CLOSE"",""52W"")")</f>
        <v>1</v>
      </c>
      <c r="K12" s="4">
        <f t="shared" si="3"/>
        <v>1</v>
      </c>
      <c r="L12" s="4">
        <f t="shared" si="4"/>
        <v>1</v>
      </c>
      <c r="M12" s="4">
        <f t="shared" si="5"/>
        <v>2</v>
      </c>
      <c r="P12" s="3">
        <f t="shared" si="9"/>
        <v>1.32</v>
      </c>
      <c r="Q12">
        <f>COUNTIF(K12:N12,"&gt;70")</f>
        <v>0</v>
      </c>
      <c r="S12">
        <f t="shared" si="6"/>
        <v>1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ref="C13:C16" si="10">A13</f>
        <v>543627-IN</v>
      </c>
      <c r="E13" s="3" cm="1">
        <f t="array" ref="E13">_xll.FDS(C13,"FG_TOTAL_RETURNC(0,-1AM)")</f>
        <v>5.7745695000000001</v>
      </c>
      <c r="F13" s="3" cm="1">
        <f t="array" ref="F13">_xll.FDS(C13,"FG_TOTAL_RETURNC(0,-3AM)")</f>
        <v>5.5401683000000004</v>
      </c>
      <c r="G13" s="3" cm="1">
        <f t="array" ref="G13">IFERROR(_xll.FDS(C13,"FG_TOTAL_RETURNC(0,-6AM)"),_xll.FDS(C13,"FG_TOTAL_RETURNC(0,-4AM)"))</f>
        <v>15.594662</v>
      </c>
      <c r="H13" s="15" cm="1">
        <f t="array" ref="H13">_xll.FDS(C13,"P_PRICE(0)/P_PRICE_HIGH_PR(0,,,,,,""PRICE"",""CLOSE"",""52W"")")</f>
        <v>0.99790460000000003</v>
      </c>
      <c r="K13" s="4">
        <f t="shared" si="3"/>
        <v>5</v>
      </c>
      <c r="L13" s="4">
        <f t="shared" si="4"/>
        <v>14</v>
      </c>
      <c r="M13" s="4">
        <f t="shared" si="5"/>
        <v>13</v>
      </c>
      <c r="P13" s="3">
        <f t="shared" si="9"/>
        <v>10.56</v>
      </c>
      <c r="Q13">
        <f t="shared" ref="Q13:Q16" si="11">COUNTIF(K13:N13,"&gt;70")</f>
        <v>0</v>
      </c>
      <c r="S13">
        <f t="shared" si="6"/>
        <v>11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10"/>
        <v>543326-IN</v>
      </c>
      <c r="E14" s="3" cm="1">
        <f t="array" ref="E14">_xll.FDS(C14,"FG_TOTAL_RETURNC(0,-1AM)")</f>
        <v>3.5776257999999999</v>
      </c>
      <c r="F14" s="3" cm="1">
        <f t="array" ref="F14">_xll.FDS(C14,"FG_TOTAL_RETURNC(0,-3AM)")</f>
        <v>7.1024536999999999</v>
      </c>
      <c r="G14" s="3" cm="1">
        <f t="array" ref="G14">IFERROR(_xll.FDS(C14,"FG_TOTAL_RETURNC(0,-6AM)"),_xll.FDS(C14,"FG_TOTAL_RETURNC(0,-4AM)"))</f>
        <v>6.5285444000000004</v>
      </c>
      <c r="H14" s="15" cm="1">
        <f t="array" ref="H14">_xll.FDS(C14,"P_PRICE(0)/P_PRICE_HIGH_PR(0,,,,,,""PRICE"",""CLOSE"",""52W"")")</f>
        <v>0.98253703000000003</v>
      </c>
      <c r="K14" s="4">
        <f t="shared" si="3"/>
        <v>9</v>
      </c>
      <c r="L14" s="4">
        <f t="shared" si="4"/>
        <v>12</v>
      </c>
      <c r="M14" s="4">
        <f t="shared" si="5"/>
        <v>14</v>
      </c>
      <c r="P14" s="3">
        <f t="shared" si="9"/>
        <v>11.55</v>
      </c>
      <c r="Q14">
        <f t="shared" si="11"/>
        <v>0</v>
      </c>
      <c r="S14">
        <f t="shared" si="6"/>
        <v>14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10"/>
        <v>538057-IN</v>
      </c>
      <c r="E15" s="3" cm="1">
        <f t="array" ref="E15">_xll.FDS(C15,"FG_TOTAL_RETURNC(0,-1AM)")</f>
        <v>10.601044</v>
      </c>
      <c r="F15" s="3" cm="1">
        <f t="array" ref="F15">_xll.FDS(C15,"FG_TOTAL_RETURNC(0,-3AM)")</f>
        <v>23.454834000000002</v>
      </c>
      <c r="G15" s="3" cm="1">
        <f t="array" ref="G15">IFERROR(_xll.FDS(C15,"FG_TOTAL_RETURNC(0,-6AM)"),_xll.FDS(C15,"FG_TOTAL_RETURNC(0,-4AM)"))</f>
        <v>49.18609</v>
      </c>
      <c r="H15" s="15" cm="1">
        <f t="array" ref="H15">_xll.FDS(C15,"P_PRICE(0)/P_PRICE_HIGH_PR(0,,,,,,""PRICE"",""CLOSE"",""52W"")")</f>
        <v>0.9466329</v>
      </c>
      <c r="K15" s="4">
        <f t="shared" si="3"/>
        <v>13</v>
      </c>
      <c r="L15" s="4">
        <f t="shared" si="4"/>
        <v>2</v>
      </c>
      <c r="M15" s="4">
        <f t="shared" si="5"/>
        <v>1</v>
      </c>
      <c r="P15" s="3">
        <f t="shared" si="9"/>
        <v>5.28</v>
      </c>
      <c r="Q15">
        <f t="shared" si="11"/>
        <v>0</v>
      </c>
      <c r="S15">
        <f t="shared" si="6"/>
        <v>3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10"/>
        <v>540787-IN</v>
      </c>
      <c r="E16" s="3" cm="1">
        <f t="array" ref="E16">_xll.FDS(C16,"FG_TOTAL_RETURNC(0,-1AM)")</f>
        <v>7.4134945999999999</v>
      </c>
      <c r="F16" s="3" cm="1">
        <f t="array" ref="F16">_xll.FDS(C16,"FG_TOTAL_RETURNC(0,-3AM)")</f>
        <v>14.190291999999999</v>
      </c>
      <c r="G16" s="3" cm="1">
        <f t="array" ref="G16">IFERROR(_xll.FDS(C16,"FG_TOTAL_RETURNC(0,-6AM)"),_xll.FDS(C16,"FG_TOTAL_RETURNC(0,-4AM)"))</f>
        <v>28.236782000000002</v>
      </c>
      <c r="H16" s="15" cm="1">
        <f t="array" ref="H16">_xll.FDS(C16,"P_PRICE(0)/P_PRICE_HIGH_PR(0,,,,,,""PRICE"",""CLOSE"",""52W"")")</f>
        <v>0.95867835999999995</v>
      </c>
      <c r="K16" s="4">
        <f t="shared" si="3"/>
        <v>12</v>
      </c>
      <c r="L16" s="4">
        <f t="shared" si="4"/>
        <v>4</v>
      </c>
      <c r="M16" s="4">
        <f t="shared" si="5"/>
        <v>5</v>
      </c>
      <c r="P16" s="3">
        <f t="shared" si="9"/>
        <v>6.9300000000000006</v>
      </c>
      <c r="Q16">
        <f t="shared" si="11"/>
        <v>0</v>
      </c>
      <c r="S16">
        <f t="shared" si="6"/>
        <v>7</v>
      </c>
    </row>
    <row r="17" spans="1:19" x14ac:dyDescent="0.35">
      <c r="A17" t="s">
        <v>60</v>
      </c>
      <c r="B17" t="str" cm="1">
        <f t="array" ref="B17">_xll.FDSR(A17,"FG_COMPANY_NAME")</f>
        <v>Nippon India ETF Nifty Dividend Opportunities 50</v>
      </c>
      <c r="C17" t="str">
        <f t="shared" ref="C17" si="12">A17</f>
        <v>DIVOPPBEES-IN</v>
      </c>
      <c r="E17" s="3" cm="1">
        <f t="array" ref="E17">_xll.FDS(C17,"FG_TOTAL_RETURNC(0,-1AM)")</f>
        <v>6.9532514000000001</v>
      </c>
      <c r="F17" s="3" cm="1">
        <f t="array" ref="F17">_xll.FDS(C17,"FG_TOTAL_RETURNC(0,-3AM)")</f>
        <v>10.790062000000001</v>
      </c>
      <c r="G17" s="3" cm="1">
        <f t="array" ref="G17">IFERROR(_xll.FDS(C17,"FG_TOTAL_RETURNC(0,-6AM)"),_xll.FDS(C17,"FG_TOTAL_RETURNC(0,-4AM)"))</f>
        <v>22.032595000000001</v>
      </c>
      <c r="H17" s="15" cm="1">
        <f t="array" ref="H17">_xll.FDS(C17,"P_PRICE(0)/P_PRICE_HIGH_PR(0,,,,,,""PRICE"",""CLOSE"",""52W"")")</f>
        <v>1</v>
      </c>
      <c r="K17" s="4">
        <f t="shared" si="3"/>
        <v>1</v>
      </c>
      <c r="L17" s="4">
        <f t="shared" si="4"/>
        <v>8</v>
      </c>
      <c r="M17" s="4">
        <f t="shared" si="5"/>
        <v>8</v>
      </c>
      <c r="P17" s="3">
        <f t="shared" ref="P17" si="13">SUMPRODUCT($K$2:$M$2,K17:M17)</f>
        <v>5.61</v>
      </c>
      <c r="Q17">
        <f t="shared" ref="Q17" si="14">COUNTIF(K17:N17,"&gt;70")</f>
        <v>0</v>
      </c>
      <c r="S17">
        <f t="shared" si="6"/>
        <v>4</v>
      </c>
    </row>
    <row r="19" spans="1:19" ht="15" customHeight="1" x14ac:dyDescent="0.35"/>
    <row r="20" spans="1:19" ht="15" customHeight="1" x14ac:dyDescent="0.35"/>
    <row r="21" spans="1:19" ht="15" customHeight="1" x14ac:dyDescent="0.35"/>
    <row r="22" spans="1:19" ht="15" customHeight="1" x14ac:dyDescent="0.35">
      <c r="C22" s="1"/>
    </row>
    <row r="23" spans="1:19" ht="15" customHeight="1" x14ac:dyDescent="0.35"/>
    <row r="24" spans="1:19" ht="15" customHeight="1" x14ac:dyDescent="0.35"/>
    <row r="25" spans="1:19" ht="15" customHeight="1" x14ac:dyDescent="0.35"/>
    <row r="26" spans="1:19" ht="15" customHeight="1" x14ac:dyDescent="0.35"/>
    <row r="27" spans="1:19" ht="15" customHeight="1" x14ac:dyDescent="0.35"/>
    <row r="28" spans="1:19" ht="15" customHeight="1" x14ac:dyDescent="0.35"/>
    <row r="29" spans="1:19" ht="15" customHeight="1" x14ac:dyDescent="0.35">
      <c r="C29" s="1"/>
    </row>
    <row r="30" spans="1:19" ht="15" customHeight="1" x14ac:dyDescent="0.35"/>
    <row r="31" spans="1:19" ht="15" customHeight="1" x14ac:dyDescent="0.35"/>
    <row r="32" spans="1:19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01ADC-B3C1-43E9-90D7-B4B1CDB075A7}">
  <dimension ref="A1:S57"/>
  <sheetViews>
    <sheetView topLeftCell="C1" workbookViewId="0">
      <selection activeCell="S2" sqref="S2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2" customFormat="1" ht="15" thickBot="1" x14ac:dyDescent="0.4">
      <c r="A2" s="11"/>
      <c r="K2" s="21">
        <f>'Aset class Rankings'!E5</f>
        <v>0.33</v>
      </c>
      <c r="L2" s="21">
        <f>'Aset class Rankings'!F5</f>
        <v>0.33</v>
      </c>
      <c r="M2" s="21">
        <f>'Aset class Rankings'!G5</f>
        <v>0.33</v>
      </c>
    </row>
    <row r="3" spans="1:19" x14ac:dyDescent="0.35">
      <c r="A3" t="s">
        <v>45</v>
      </c>
      <c r="B3" t="str" cm="1">
        <f t="array" ref="B3">_xll.FDSR(A3,"FG_COMPANY_NAME")</f>
        <v>Kotak Nifty PSU Bank ETF</v>
      </c>
      <c r="C3" t="str">
        <f>A3</f>
        <v>590107-IN</v>
      </c>
      <c r="E3" s="3" cm="1">
        <f t="array" ref="E3">_xll.FDS(C3,"FG_TOTAL_RETURNC(-1AM,-2AM)")</f>
        <v>-2.3159266000000001</v>
      </c>
      <c r="F3" s="3" cm="1">
        <f t="array" ref="F3">_xll.FDS(C3,"FG_TOTAL_RETURNC(-1AM,-4AM)")</f>
        <v>4.7970889999999997</v>
      </c>
      <c r="G3" s="3" cm="1">
        <f t="array" ref="G3">IFERROR(_xll.FDS(C3,"FG_TOTAL_RETURNC(-1AM,-7AM)"),_xll.FDS(C3,"FG_TOTAL_RETURNC(-1AM,-5AM)"))</f>
        <v>36.001849999999997</v>
      </c>
      <c r="H3" s="15" cm="1">
        <f t="array" ref="H3">_xll.FDS(C3,"P_PRICE(-1AM)/P_PRICE_HIGH_PR(-1AM,,,,,,""PRICE"",""CLOSE"",""52W"")")</f>
        <v>0.87205463999999999</v>
      </c>
      <c r="K3" s="4">
        <f>_xlfn.RANK.EQ(H3,H$3:H$17)</f>
        <v>14</v>
      </c>
      <c r="L3" s="4">
        <f>_xlfn.RANK.EQ(F3,F$3:F$17)</f>
        <v>7</v>
      </c>
      <c r="M3" s="4">
        <f>_xlfn.RANK.EQ(G3,G$3:G$17)</f>
        <v>3</v>
      </c>
      <c r="N3" s="4"/>
      <c r="P3" s="3">
        <f t="shared" ref="P3:P17" si="0">SUMPRODUCT($K$2:$M$2,K3:M3)</f>
        <v>7.92</v>
      </c>
      <c r="Q3">
        <f t="shared" ref="Q3:Q11" si="1">COUNTIF(K3:N3,"&gt;70")</f>
        <v>0</v>
      </c>
      <c r="S3">
        <f>16-_xlfn.RANK.EQ(P3,$P$3:$P$17)</f>
        <v>8</v>
      </c>
    </row>
    <row r="4" spans="1:19" x14ac:dyDescent="0.35">
      <c r="A4" t="s">
        <v>46</v>
      </c>
      <c r="B4" t="str" cm="1">
        <f t="array" ref="B4">_xll.FDSR(A4,"FG_COMPANY_NAME")</f>
        <v>ICICI Prudential Nifty 200 Quality 30 ETF Exchange Traded Fund Units</v>
      </c>
      <c r="C4" t="str">
        <f t="shared" ref="C4:C17" si="2">A4</f>
        <v>543956-IN</v>
      </c>
      <c r="E4" s="3" cm="1">
        <f t="array" ref="E4">_xll.FDS(C4,"FG_TOTAL_RETURNC(-1AM,-2AM)")</f>
        <v>0.7991433</v>
      </c>
      <c r="F4" s="3" cm="1">
        <f t="array" ref="F4">_xll.FDS(C4,"FG_TOTAL_RETURNC(-1AM,-4AM)")</f>
        <v>1.7204284999999999</v>
      </c>
      <c r="G4" s="3" cm="1">
        <f t="array" ref="G4">IFERROR(_xll.FDS(C4,"FG_TOTAL_RETURNC(-1AM,-7AM)"),_xll.FDS(C4,"FG_TOTAL_RETURNC(-1AM,-5AM)"))</f>
        <v>17.347897</v>
      </c>
      <c r="H4" s="15" cm="1">
        <f t="array" ref="H4">_xll.FDS(C4,"P_PRICE(-1AM)/P_PRICE_HIGH_PR(-1AM,,,,,,""PRICE"",""CLOSE"",""52W"")")</f>
        <v>0.94732623999999999</v>
      </c>
      <c r="K4" s="4">
        <f t="shared" ref="K4:K17" si="3">_xlfn.RANK.EQ(H4,H$3:H$17)</f>
        <v>12</v>
      </c>
      <c r="L4" s="4">
        <f t="shared" ref="L4:M17" si="4">_xlfn.RANK.EQ(F4,F$3:F$17)</f>
        <v>11</v>
      </c>
      <c r="M4" s="4">
        <f t="shared" si="4"/>
        <v>13</v>
      </c>
      <c r="N4" s="4"/>
      <c r="P4" s="3">
        <f t="shared" si="0"/>
        <v>11.879999999999999</v>
      </c>
      <c r="Q4">
        <f t="shared" si="1"/>
        <v>0</v>
      </c>
      <c r="S4">
        <f t="shared" ref="S4:S17" si="5">16-_xlfn.RANK.EQ(P4,$P$3:$P$17)</f>
        <v>13</v>
      </c>
    </row>
    <row r="5" spans="1:19" x14ac:dyDescent="0.35">
      <c r="A5" t="s">
        <v>47</v>
      </c>
      <c r="B5" t="str" cm="1">
        <f t="array" ref="B5">_xll.FDSR(A5,"FG_COMPANY_NAME")</f>
        <v>HDFC NIFTY50 Value 20 ETF</v>
      </c>
      <c r="C5" t="str">
        <f t="shared" si="2"/>
        <v>543608-IN</v>
      </c>
      <c r="E5" s="3" cm="1">
        <f t="array" ref="E5">_xll.FDS(C5,"FG_TOTAL_RETURNC(-1AM,-2AM)")</f>
        <v>-3.3433259</v>
      </c>
      <c r="F5" s="3" cm="1">
        <f t="array" ref="F5">_xll.FDS(C5,"FG_TOTAL_RETURNC(-1AM,-4AM)")</f>
        <v>1.4193534999999999</v>
      </c>
      <c r="G5" s="3" cm="1">
        <f t="array" ref="G5">IFERROR(_xll.FDS(C5,"FG_TOTAL_RETURNC(-1AM,-7AM)"),_xll.FDS(C5,"FG_TOTAL_RETURNC(-1AM,-5AM)"))</f>
        <v>21.577728</v>
      </c>
      <c r="H5" s="15" cm="1">
        <f t="array" ref="H5">_xll.FDS(C5,"P_PRICE(-1AM)/P_PRICE_HIGH_PR(-1AM,,,,,,""PRICE"",""CLOSE"",""52W"")")</f>
        <v>0.93717859999999997</v>
      </c>
      <c r="I5" s="1"/>
      <c r="K5" s="4">
        <f t="shared" si="3"/>
        <v>13</v>
      </c>
      <c r="L5" s="4">
        <f t="shared" si="4"/>
        <v>12</v>
      </c>
      <c r="M5" s="4">
        <f t="shared" si="4"/>
        <v>11</v>
      </c>
      <c r="N5" s="4"/>
      <c r="P5" s="3">
        <f t="shared" si="0"/>
        <v>11.88</v>
      </c>
      <c r="Q5">
        <f t="shared" si="1"/>
        <v>0</v>
      </c>
      <c r="S5">
        <f t="shared" si="5"/>
        <v>14</v>
      </c>
    </row>
    <row r="6" spans="1:19" x14ac:dyDescent="0.35">
      <c r="A6" t="s">
        <v>48</v>
      </c>
      <c r="B6" t="str" cm="1">
        <f t="array" ref="B6">_xll.FDSR(A6,"FG_COMPANY_NAME")</f>
        <v>Axis NIFTY Healthcare ETF</v>
      </c>
      <c r="C6" t="str">
        <f t="shared" si="2"/>
        <v>543348-IN</v>
      </c>
      <c r="E6" s="3" cm="1">
        <f t="array" ref="E6">_xll.FDS(C6,"FG_TOTAL_RETURNC(-1AM,-2AM)")</f>
        <v>-0.28020144000000002</v>
      </c>
      <c r="F6" s="3" cm="1">
        <f t="array" ref="F6">_xll.FDS(C6,"FG_TOTAL_RETURNC(-1AM,-4AM)")</f>
        <v>-1.1033892999999999</v>
      </c>
      <c r="G6" s="3" cm="1">
        <f t="array" ref="G6">IFERROR(_xll.FDS(C6,"FG_TOTAL_RETURNC(-1AM,-7AM)"),_xll.FDS(C6,"FG_TOTAL_RETURNC(-1AM,-5AM)"))</f>
        <v>22.630990000000001</v>
      </c>
      <c r="H6" s="15" cm="1">
        <f t="array" ref="H6">_xll.FDS(C6,"P_PRICE(-1AM)/P_PRICE_HIGH_PR(-1AM,,,,,,""PRICE"",""CLOSE"",""52W"")")</f>
        <v>0.86515087000000002</v>
      </c>
      <c r="I6" s="1"/>
      <c r="K6" s="4">
        <f t="shared" si="3"/>
        <v>15</v>
      </c>
      <c r="L6" s="4">
        <f t="shared" si="4"/>
        <v>15</v>
      </c>
      <c r="M6" s="4">
        <f t="shared" si="4"/>
        <v>9</v>
      </c>
      <c r="N6" s="4"/>
      <c r="P6" s="3">
        <f t="shared" si="0"/>
        <v>12.870000000000001</v>
      </c>
      <c r="Q6">
        <f t="shared" si="1"/>
        <v>0</v>
      </c>
      <c r="S6">
        <f t="shared" si="5"/>
        <v>15</v>
      </c>
    </row>
    <row r="7" spans="1:19" x14ac:dyDescent="0.35">
      <c r="A7" t="s">
        <v>49</v>
      </c>
      <c r="B7" t="str" cm="1">
        <f t="array" ref="B7">_xll.FDSR(A7,"FG_COMPANY_NAME")</f>
        <v>ICICI Prudential Nifty Infrastructure ETF</v>
      </c>
      <c r="C7" t="str">
        <f t="shared" si="2"/>
        <v>543571-IN</v>
      </c>
      <c r="E7" s="3" cm="1">
        <f t="array" ref="E7">_xll.FDS(C7,"FG_TOTAL_RETURNC(-1AM,-2AM)")</f>
        <v>-1.3121307</v>
      </c>
      <c r="F7" s="3" cm="1">
        <f t="array" ref="F7">_xll.FDS(C7,"FG_TOTAL_RETURNC(-1AM,-4AM)")</f>
        <v>5.2116870000000004</v>
      </c>
      <c r="G7" s="3" cm="1">
        <f t="array" ref="G7">IFERROR(_xll.FDS(C7,"FG_TOTAL_RETURNC(-1AM,-7AM)"),_xll.FDS(C7,"FG_TOTAL_RETURNC(-1AM,-5AM)"))</f>
        <v>31.522739999999999</v>
      </c>
      <c r="H7" s="15" cm="1">
        <f t="array" ref="H7">_xll.FDS(C7,"P_PRICE(-1AM)/P_PRICE_HIGH_PR(-1AM,,,,,,""PRICE"",""CLOSE"",""52W"")")</f>
        <v>0.96524699999999997</v>
      </c>
      <c r="I7" s="1"/>
      <c r="K7" s="4">
        <f t="shared" si="3"/>
        <v>6</v>
      </c>
      <c r="L7" s="4">
        <f t="shared" si="4"/>
        <v>6</v>
      </c>
      <c r="M7" s="4">
        <f t="shared" si="4"/>
        <v>6</v>
      </c>
      <c r="N7" s="4"/>
      <c r="P7" s="3">
        <f t="shared" si="0"/>
        <v>5.9399999999999995</v>
      </c>
      <c r="Q7">
        <f t="shared" si="1"/>
        <v>0</v>
      </c>
      <c r="S7">
        <f t="shared" si="5"/>
        <v>4</v>
      </c>
    </row>
    <row r="8" spans="1:19" x14ac:dyDescent="0.35">
      <c r="A8" t="s">
        <v>50</v>
      </c>
      <c r="B8" t="str" cm="1">
        <f t="array" ref="B8">_xll.FDSR(A8,"FG_COMPANY_NAME")</f>
        <v>ICICI Prudential Nifty Commodities ETF</v>
      </c>
      <c r="C8" t="str">
        <f t="shared" si="2"/>
        <v>543710-IN</v>
      </c>
      <c r="E8" s="3" cm="1">
        <f t="array" ref="E8">_xll.FDS(C8,"FG_TOTAL_RETURNC(-1AM,-2AM)")</f>
        <v>-1.6745030999999999</v>
      </c>
      <c r="F8" s="3" cm="1">
        <f t="array" ref="F8">_xll.FDS(C8,"FG_TOTAL_RETURNC(-1AM,-4AM)")</f>
        <v>5.9310555000000003</v>
      </c>
      <c r="G8" s="3" cm="1">
        <f t="array" ref="G8">IFERROR(_xll.FDS(C8,"FG_TOTAL_RETURNC(-1AM,-7AM)"),_xll.FDS(C8,"FG_TOTAL_RETURNC(-1AM,-5AM)"))</f>
        <v>30.965482999999999</v>
      </c>
      <c r="H8" s="15" cm="1">
        <f t="array" ref="H8">_xll.FDS(C8,"P_PRICE(-1AM)/P_PRICE_HIGH_PR(-1AM,,,,,,""PRICE"",""CLOSE"",""52W"")")</f>
        <v>0.96196139999999997</v>
      </c>
      <c r="K8" s="4">
        <f t="shared" si="3"/>
        <v>8</v>
      </c>
      <c r="L8" s="4">
        <f t="shared" si="4"/>
        <v>5</v>
      </c>
      <c r="M8" s="4">
        <f t="shared" si="4"/>
        <v>7</v>
      </c>
      <c r="N8" s="4"/>
      <c r="P8" s="3">
        <f t="shared" si="0"/>
        <v>6.6</v>
      </c>
      <c r="Q8">
        <f t="shared" si="1"/>
        <v>0</v>
      </c>
      <c r="S8">
        <f t="shared" si="5"/>
        <v>6</v>
      </c>
    </row>
    <row r="9" spans="1:19" x14ac:dyDescent="0.35">
      <c r="A9" t="s">
        <v>51</v>
      </c>
      <c r="B9" t="str" cm="1">
        <f t="array" ref="B9">_xll.FDSR(A9,"FG_COMPANY_NAME")</f>
        <v>Motilal Oswal Nifty 200 Momentum 30 ETF Units Exchange Traded Fund</v>
      </c>
      <c r="C9" t="str">
        <f t="shared" si="2"/>
        <v>543465-IN</v>
      </c>
      <c r="E9" s="3" cm="1">
        <f t="array" ref="E9">_xll.FDS(C9,"FG_TOTAL_RETURNC(-1AM,-2AM)")</f>
        <v>3.0231476000000002</v>
      </c>
      <c r="F9" s="3" cm="1">
        <f t="array" ref="F9">_xll.FDS(C9,"FG_TOTAL_RETURNC(-1AM,-4AM)")</f>
        <v>10.729397000000001</v>
      </c>
      <c r="G9" s="3" cm="1">
        <f t="array" ref="G9">IFERROR(_xll.FDS(C9,"FG_TOTAL_RETURNC(-1AM,-7AM)"),_xll.FDS(C9,"FG_TOTAL_RETURNC(-1AM,-5AM)"))</f>
        <v>36.08569</v>
      </c>
      <c r="H9" s="15" cm="1">
        <f t="array" ref="H9">_xll.FDS(C9,"P_PRICE(-1AM)/P_PRICE_HIGH_PR(-1AM,,,,,,""PRICE"",""CLOSE"",""52W"")")</f>
        <v>0.97424054000000004</v>
      </c>
      <c r="K9" s="4">
        <f t="shared" si="3"/>
        <v>3</v>
      </c>
      <c r="L9" s="4">
        <f t="shared" si="4"/>
        <v>3</v>
      </c>
      <c r="M9" s="4">
        <f t="shared" si="4"/>
        <v>2</v>
      </c>
      <c r="P9" s="3">
        <f t="shared" si="0"/>
        <v>2.64</v>
      </c>
      <c r="Q9">
        <f t="shared" si="1"/>
        <v>0</v>
      </c>
      <c r="S9">
        <f t="shared" si="5"/>
        <v>2</v>
      </c>
    </row>
    <row r="10" spans="1:19" x14ac:dyDescent="0.35">
      <c r="A10" t="s">
        <v>52</v>
      </c>
      <c r="B10" t="str" cm="1">
        <f t="array" ref="B10">_xll.FDSR(A10,"FG_COMPANY_NAME")</f>
        <v>Motilal Oswal S&amp;P BSE Healthcare ETF</v>
      </c>
      <c r="C10" t="str">
        <f t="shared" si="2"/>
        <v>543563-IN</v>
      </c>
      <c r="E10" s="3" cm="1">
        <f t="array" ref="E10">_xll.FDS(C10,"FG_TOTAL_RETURNC(-1AM,-2AM)")</f>
        <v>-0.64679383999999995</v>
      </c>
      <c r="F10" s="3" cm="1">
        <f t="array" ref="F10">_xll.FDS(C10,"FG_TOTAL_RETURNC(-1AM,-4AM)")</f>
        <v>-0.64679383999999995</v>
      </c>
      <c r="G10" s="3" cm="1">
        <f t="array" ref="G10">IFERROR(_xll.FDS(C10,"FG_TOTAL_RETURNC(-1AM,-7AM)"),_xll.FDS(C10,"FG_TOTAL_RETURNC(-1AM,-5AM)"))</f>
        <v>22.588491000000001</v>
      </c>
      <c r="H10" s="15" cm="1">
        <f t="array" ref="H10">_xll.FDS(C10,"P_PRICE(-1AM)/P_PRICE_HIGH_PR(-1AM,,,,,,""PRICE"",""CLOSE"",""52W"")")</f>
        <v>0.96927302999999998</v>
      </c>
      <c r="K10" s="4">
        <f t="shared" si="3"/>
        <v>5</v>
      </c>
      <c r="L10" s="4">
        <f t="shared" si="4"/>
        <v>14</v>
      </c>
      <c r="M10" s="4">
        <f t="shared" si="4"/>
        <v>10</v>
      </c>
      <c r="P10" s="3">
        <f t="shared" si="0"/>
        <v>9.57</v>
      </c>
      <c r="Q10">
        <f t="shared" si="1"/>
        <v>0</v>
      </c>
      <c r="S10">
        <f t="shared" si="5"/>
        <v>10</v>
      </c>
    </row>
    <row r="11" spans="1:19" x14ac:dyDescent="0.35">
      <c r="A11" t="s">
        <v>53</v>
      </c>
      <c r="B11" t="str" cm="1">
        <f t="array" ref="B11">_xll.FDSR(A11,"FG_COMPANY_NAME")</f>
        <v>HDFC Nifty Private Bank ETF Exchange Traded Fund Units</v>
      </c>
      <c r="C11" t="str">
        <f t="shared" si="2"/>
        <v>543666-IN</v>
      </c>
      <c r="E11" s="3" cm="1">
        <f t="array" ref="E11">_xll.FDS(C11,"FG_TOTAL_RETURNC(-1AM,-2AM)")</f>
        <v>-1.5182614000000001</v>
      </c>
      <c r="F11" s="3" cm="1">
        <f t="array" ref="F11">_xll.FDS(C11,"FG_TOTAL_RETURNC(-1AM,-4AM)")</f>
        <v>3.9410949</v>
      </c>
      <c r="G11" s="3" cm="1">
        <f t="array" ref="G11">IFERROR(_xll.FDS(C11,"FG_TOTAL_RETURNC(-1AM,-7AM)"),_xll.FDS(C11,"FG_TOTAL_RETURNC(-1AM,-5AM)"))</f>
        <v>4.7577379999999998</v>
      </c>
      <c r="H11" s="15" cm="1">
        <f t="array" ref="H11">_xll.FDS(C11,"P_PRICE(-1AM)/P_PRICE_HIGH_PR(-1AM,,,,,,""PRICE"",""CLOSE"",""52W"")")</f>
        <v>0.95238089999999997</v>
      </c>
      <c r="K11" s="4">
        <f t="shared" si="3"/>
        <v>11</v>
      </c>
      <c r="L11" s="4">
        <f t="shared" si="4"/>
        <v>8</v>
      </c>
      <c r="M11" s="4">
        <f t="shared" si="4"/>
        <v>15</v>
      </c>
      <c r="P11" s="3">
        <f t="shared" si="0"/>
        <v>11.22</v>
      </c>
      <c r="Q11">
        <f t="shared" si="1"/>
        <v>0</v>
      </c>
      <c r="S11">
        <f t="shared" si="5"/>
        <v>12</v>
      </c>
    </row>
    <row r="12" spans="1:19" x14ac:dyDescent="0.35">
      <c r="A12" t="s">
        <v>54</v>
      </c>
      <c r="B12" t="str" cm="1">
        <f t="array" ref="B12">_xll.FDSR(A12,"FG_COMPANY_NAME")</f>
        <v>Mirae Asset Nifty India Manufacturing ETF Units Exchange Traded Fund</v>
      </c>
      <c r="C12" t="str">
        <f t="shared" si="2"/>
        <v>543454-IN</v>
      </c>
      <c r="E12" s="3" cm="1">
        <f t="array" ref="E12">_xll.FDS(C12,"FG_TOTAL_RETURNC(-1AM,-2AM)")</f>
        <v>3.4965038000000002</v>
      </c>
      <c r="F12" s="3" cm="1">
        <f t="array" ref="F12">_xll.FDS(C12,"FG_TOTAL_RETURNC(-1AM,-4AM)")</f>
        <v>14.251018</v>
      </c>
      <c r="G12" s="3" cm="1">
        <f t="array" ref="G12">IFERROR(_xll.FDS(C12,"FG_TOTAL_RETURNC(-1AM,-7AM)"),_xll.FDS(C12,"FG_TOTAL_RETURNC(-1AM,-5AM)"))</f>
        <v>33.725895000000001</v>
      </c>
      <c r="H12" s="15" cm="1">
        <f t="array" ref="H12">_xll.FDS(C12,"P_PRICE(-1AM)/P_PRICE_HIGH_PR(-1AM,,,,,,""PRICE"",""CLOSE"",""52W"")")</f>
        <v>0.99719893999999998</v>
      </c>
      <c r="K12" s="4">
        <f t="shared" si="3"/>
        <v>1</v>
      </c>
      <c r="L12" s="4">
        <f t="shared" si="4"/>
        <v>1</v>
      </c>
      <c r="M12" s="4">
        <f t="shared" si="4"/>
        <v>4</v>
      </c>
      <c r="P12" s="3">
        <f t="shared" si="0"/>
        <v>1.98</v>
      </c>
      <c r="Q12">
        <f>COUNTIF(K12:N12,"&gt;70")</f>
        <v>0</v>
      </c>
      <c r="S12">
        <f t="shared" si="5"/>
        <v>1</v>
      </c>
    </row>
    <row r="13" spans="1:19" x14ac:dyDescent="0.35">
      <c r="A13" t="s">
        <v>55</v>
      </c>
      <c r="B13" t="str" cm="1">
        <f t="array" ref="B13">_xll.FDSR(A13,"FG_COMPANY_NAME")</f>
        <v>HDFC Nifty 100 Low Volatility 30 ETF</v>
      </c>
      <c r="C13" t="str">
        <f t="shared" si="2"/>
        <v>543627-IN</v>
      </c>
      <c r="E13" s="3" cm="1">
        <f t="array" ref="E13">_xll.FDS(C13,"FG_TOTAL_RETURNC(-1AM,-2AM)")</f>
        <v>-1.2067973999999999</v>
      </c>
      <c r="F13" s="3" cm="1">
        <f t="array" ref="F13">_xll.FDS(C13,"FG_TOTAL_RETURNC(-1AM,-4AM)")</f>
        <v>0.72708130000000004</v>
      </c>
      <c r="G13" s="3" cm="1">
        <f t="array" ref="G13">IFERROR(_xll.FDS(C13,"FG_TOTAL_RETURNC(-1AM,-7AM)"),_xll.FDS(C13,"FG_TOTAL_RETURNC(-1AM,-5AM)"))</f>
        <v>18.642949999999999</v>
      </c>
      <c r="H13" s="15" cm="1">
        <f t="array" ref="H13">_xll.FDS(C13,"P_PRICE(-1AM)/P_PRICE_HIGH_PR(-1AM,,,,,,""PRICE"",""CLOSE"",""52W"")")</f>
        <v>0.97193735999999997</v>
      </c>
      <c r="K13" s="4">
        <f t="shared" si="3"/>
        <v>4</v>
      </c>
      <c r="L13" s="4">
        <f t="shared" si="4"/>
        <v>13</v>
      </c>
      <c r="M13" s="4">
        <f t="shared" si="4"/>
        <v>12</v>
      </c>
      <c r="P13" s="3">
        <f t="shared" si="0"/>
        <v>9.57</v>
      </c>
      <c r="Q13">
        <f t="shared" ref="Q13:Q17" si="6">COUNTIF(K13:N13,"&gt;70")</f>
        <v>0</v>
      </c>
      <c r="S13">
        <f t="shared" si="5"/>
        <v>10</v>
      </c>
    </row>
    <row r="14" spans="1:19" x14ac:dyDescent="0.35">
      <c r="A14" t="s">
        <v>56</v>
      </c>
      <c r="B14" t="str" cm="1">
        <f t="array" ref="B14">_xll.FDSR(A14,"FG_COMPANY_NAME")</f>
        <v>ICICI Prudential Nifty FMCG ETF</v>
      </c>
      <c r="C14" t="str">
        <f t="shared" si="2"/>
        <v>543326-IN</v>
      </c>
      <c r="E14" s="3" cm="1">
        <f t="array" ref="E14">_xll.FDS(C14,"FG_TOTAL_RETURNC(-1AM,-2AM)")</f>
        <v>2.8012394999999999</v>
      </c>
      <c r="F14" s="3" cm="1">
        <f t="array" ref="F14">_xll.FDS(C14,"FG_TOTAL_RETURNC(-1AM,-4AM)")</f>
        <v>3.6263823999999998</v>
      </c>
      <c r="G14" s="3" cm="1">
        <f t="array" ref="G14">IFERROR(_xll.FDS(C14,"FG_TOTAL_RETURNC(-1AM,-7AM)"),_xll.FDS(C14,"FG_TOTAL_RETURNC(-1AM,-5AM)"))</f>
        <v>7.2612762000000002</v>
      </c>
      <c r="H14" s="15" cm="1">
        <f t="array" ref="H14">_xll.FDS(C14,"P_PRICE(-1AM)/P_PRICE_HIGH_PR(-1AM,,,,,,""PRICE"",""CLOSE"",""52W"")")</f>
        <v>0.96421456000000005</v>
      </c>
      <c r="K14" s="4">
        <f t="shared" si="3"/>
        <v>7</v>
      </c>
      <c r="L14" s="4">
        <f t="shared" si="4"/>
        <v>9</v>
      </c>
      <c r="M14" s="4">
        <f t="shared" si="4"/>
        <v>14</v>
      </c>
      <c r="P14" s="3">
        <f t="shared" si="0"/>
        <v>9.9</v>
      </c>
      <c r="Q14">
        <f t="shared" si="6"/>
        <v>0</v>
      </c>
      <c r="S14">
        <f t="shared" si="5"/>
        <v>11</v>
      </c>
    </row>
    <row r="15" spans="1:19" x14ac:dyDescent="0.35">
      <c r="A15" t="s">
        <v>57</v>
      </c>
      <c r="B15" t="str" cm="1">
        <f t="array" ref="B15">_xll.FDSR(A15,"FG_COMPANY_NAME")</f>
        <v>CPSE ETF</v>
      </c>
      <c r="C15" t="str">
        <f t="shared" si="2"/>
        <v>538057-IN</v>
      </c>
      <c r="E15" s="3" cm="1">
        <f t="array" ref="E15">_xll.FDS(C15,"FG_TOTAL_RETURNC(-1AM,-2AM)")</f>
        <v>0.51136017</v>
      </c>
      <c r="F15" s="3" cm="1">
        <f t="array" ref="F15">_xll.FDS(C15,"FG_TOTAL_RETURNC(-1AM,-4AM)")</f>
        <v>10.874974999999999</v>
      </c>
      <c r="G15" s="3" cm="1">
        <f t="array" ref="G15">IFERROR(_xll.FDS(C15,"FG_TOTAL_RETURNC(-1AM,-7AM)"),_xll.FDS(C15,"FG_TOTAL_RETURNC(-1AM,-5AM)"))</f>
        <v>49.091552999999998</v>
      </c>
      <c r="H15" s="15" cm="1">
        <f t="array" ref="H15">_xll.FDS(C15,"P_PRICE(-1AM)/P_PRICE_HIGH_PR(-1AM,,,,,,""PRICE"",""CLOSE"",""52W"")")</f>
        <v>0.95341222999999997</v>
      </c>
      <c r="K15" s="4">
        <f t="shared" si="3"/>
        <v>10</v>
      </c>
      <c r="L15" s="4">
        <f t="shared" si="4"/>
        <v>2</v>
      </c>
      <c r="M15" s="4">
        <f t="shared" si="4"/>
        <v>1</v>
      </c>
      <c r="P15" s="3">
        <f t="shared" si="0"/>
        <v>4.29</v>
      </c>
      <c r="Q15">
        <f t="shared" si="6"/>
        <v>0</v>
      </c>
      <c r="S15">
        <f t="shared" si="5"/>
        <v>3</v>
      </c>
    </row>
    <row r="16" spans="1:19" x14ac:dyDescent="0.35">
      <c r="A16" t="s">
        <v>58</v>
      </c>
      <c r="B16" t="str" cm="1">
        <f t="array" ref="B16">_xll.FDSR(A16,"FG_COMPANY_NAME")</f>
        <v>BHARAT 22 ETF</v>
      </c>
      <c r="C16" t="str">
        <f t="shared" si="2"/>
        <v>540787-IN</v>
      </c>
      <c r="E16" s="3" cm="1">
        <f t="array" ref="E16">_xll.FDS(C16,"FG_TOTAL_RETURNC(-1AM,-2AM)")</f>
        <v>-0.65296889999999996</v>
      </c>
      <c r="F16" s="3" cm="1">
        <f t="array" ref="F16">_xll.FDS(C16,"FG_TOTAL_RETURNC(-1AM,-4AM)")</f>
        <v>6.8691253999999997</v>
      </c>
      <c r="G16" s="3" cm="1">
        <f t="array" ref="G16">IFERROR(_xll.FDS(C16,"FG_TOTAL_RETURNC(-1AM,-7AM)"),_xll.FDS(C16,"FG_TOTAL_RETURNC(-1AM,-5AM)"))</f>
        <v>33.118879999999997</v>
      </c>
      <c r="H16" s="15" cm="1">
        <f t="array" ref="H16">_xll.FDS(C16,"P_PRICE(-1AM)/P_PRICE_HIGH_PR(-1AM,,,,,,""PRICE"",""CLOSE"",""52W"")")</f>
        <v>0.95575060000000001</v>
      </c>
      <c r="K16" s="4">
        <f t="shared" si="3"/>
        <v>9</v>
      </c>
      <c r="L16" s="4">
        <f t="shared" si="4"/>
        <v>4</v>
      </c>
      <c r="M16" s="4">
        <f t="shared" si="4"/>
        <v>5</v>
      </c>
      <c r="P16" s="3">
        <f t="shared" si="0"/>
        <v>5.94</v>
      </c>
      <c r="Q16">
        <f t="shared" si="6"/>
        <v>0</v>
      </c>
      <c r="S16">
        <f t="shared" si="5"/>
        <v>5</v>
      </c>
    </row>
    <row r="17" spans="1:19" x14ac:dyDescent="0.35">
      <c r="A17" t="s">
        <v>60</v>
      </c>
      <c r="B17" t="str" cm="1">
        <f t="array" ref="B17">_xll.FDSR(A17,"FG_COMPANY_NAME")</f>
        <v>Nippon India ETF Nifty Dividend Opportunities 50</v>
      </c>
      <c r="C17" t="str">
        <f t="shared" si="2"/>
        <v>DIVOPPBEES-IN</v>
      </c>
      <c r="E17" s="3" cm="1">
        <f t="array" ref="E17">_xll.FDS(C17,"FG_TOTAL_RETURNC(-1AM,-2AM)")</f>
        <v>-0.24197102000000001</v>
      </c>
      <c r="F17" s="3" cm="1">
        <f t="array" ref="F17">_xll.FDS(C17,"FG_TOTAL_RETURNC(-1AM,-4AM)")</f>
        <v>1.9648314</v>
      </c>
      <c r="G17" s="3" cm="1">
        <f t="array" ref="G17">IFERROR(_xll.FDS(C17,"FG_TOTAL_RETURNC(-1AM,-7AM)"),_xll.FDS(C17,"FG_TOTAL_RETURNC(-1AM,-5AM)"))</f>
        <v>25.673162000000001</v>
      </c>
      <c r="H17" s="15" cm="1">
        <f t="array" ref="H17">_xll.FDS(C17,"P_PRICE(-1AM)/P_PRICE_HIGH_PR(-1AM,,,,,,""PRICE"",""CLOSE"",""52W"")")</f>
        <v>0.97941140000000004</v>
      </c>
      <c r="K17" s="4">
        <f t="shared" si="3"/>
        <v>2</v>
      </c>
      <c r="L17" s="4">
        <f t="shared" si="4"/>
        <v>10</v>
      </c>
      <c r="M17" s="4">
        <f t="shared" si="4"/>
        <v>8</v>
      </c>
      <c r="P17" s="3">
        <f t="shared" si="0"/>
        <v>6.6000000000000005</v>
      </c>
      <c r="Q17">
        <f t="shared" si="6"/>
        <v>0</v>
      </c>
      <c r="S17">
        <f t="shared" si="5"/>
        <v>7</v>
      </c>
    </row>
    <row r="19" spans="1:19" ht="15" customHeight="1" x14ac:dyDescent="0.35"/>
    <row r="20" spans="1:19" ht="15" customHeight="1" x14ac:dyDescent="0.35"/>
    <row r="21" spans="1:19" ht="15" customHeight="1" x14ac:dyDescent="0.35"/>
    <row r="22" spans="1:19" ht="15" customHeight="1" x14ac:dyDescent="0.35">
      <c r="C22" s="1"/>
    </row>
    <row r="23" spans="1:19" ht="15" customHeight="1" x14ac:dyDescent="0.35"/>
    <row r="24" spans="1:19" ht="15" customHeight="1" x14ac:dyDescent="0.35"/>
    <row r="25" spans="1:19" ht="15" customHeight="1" x14ac:dyDescent="0.35"/>
    <row r="26" spans="1:19" ht="15" customHeight="1" x14ac:dyDescent="0.35"/>
    <row r="27" spans="1:19" ht="15" customHeight="1" x14ac:dyDescent="0.35"/>
    <row r="28" spans="1:19" ht="15" customHeight="1" x14ac:dyDescent="0.35"/>
    <row r="29" spans="1:19" ht="15" customHeight="1" x14ac:dyDescent="0.35">
      <c r="C29" s="1"/>
    </row>
    <row r="30" spans="1:19" ht="15" customHeight="1" x14ac:dyDescent="0.35"/>
    <row r="31" spans="1:19" ht="15" customHeight="1" x14ac:dyDescent="0.35"/>
    <row r="32" spans="1:19" ht="15" customHeight="1" x14ac:dyDescent="0.35"/>
    <row r="33" spans="3:3" ht="15" customHeight="1" x14ac:dyDescent="0.35"/>
    <row r="34" spans="3:3" ht="15" customHeight="1" x14ac:dyDescent="0.35">
      <c r="C34" s="1"/>
    </row>
    <row r="35" spans="3:3" ht="15" customHeight="1" x14ac:dyDescent="0.35"/>
    <row r="36" spans="3:3" ht="15" customHeight="1" x14ac:dyDescent="0.35"/>
    <row r="37" spans="3:3" ht="15" customHeight="1" x14ac:dyDescent="0.35"/>
    <row r="38" spans="3:3" ht="15" customHeight="1" x14ac:dyDescent="0.35"/>
    <row r="39" spans="3:3" ht="15" customHeight="1" x14ac:dyDescent="0.35">
      <c r="C39" s="1"/>
    </row>
    <row r="40" spans="3:3" ht="15" customHeight="1" x14ac:dyDescent="0.35">
      <c r="C40" s="1"/>
    </row>
    <row r="41" spans="3:3" ht="15" customHeight="1" x14ac:dyDescent="0.35"/>
    <row r="42" spans="3:3" ht="15" customHeight="1" x14ac:dyDescent="0.35"/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3"/>
  <sheetViews>
    <sheetView zoomScale="82" zoomScaleNormal="82" workbookViewId="0">
      <pane xSplit="1" topLeftCell="B1" activePane="topRight" state="frozen"/>
      <selection activeCell="L48" sqref="L48"/>
      <selection pane="topRight" activeCell="M32" sqref="M32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6" t="s">
        <v>20</v>
      </c>
      <c r="E1" s="20" t="s">
        <v>21</v>
      </c>
      <c r="F1" s="20" t="s">
        <v>5</v>
      </c>
      <c r="G1" s="20" t="s">
        <v>7</v>
      </c>
      <c r="H1" s="20" t="s">
        <v>6</v>
      </c>
      <c r="I1" s="20" t="s">
        <v>9</v>
      </c>
      <c r="J1" s="20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2" customFormat="1" ht="15" thickBot="1" x14ac:dyDescent="0.4">
      <c r="A2" s="11"/>
    </row>
    <row r="3" spans="1:18" x14ac:dyDescent="0.35">
      <c r="H3" s="6"/>
      <c r="I3" s="6"/>
      <c r="J3" s="6"/>
      <c r="K3" s="5"/>
      <c r="L3" s="13"/>
      <c r="M3" s="13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3"/>
      <c r="M4" s="13"/>
      <c r="O4" s="3"/>
      <c r="Q4" s="6"/>
      <c r="R4" s="6"/>
    </row>
    <row r="5" spans="1:18" x14ac:dyDescent="0.35">
      <c r="A5" t="s">
        <v>45</v>
      </c>
      <c r="B5" t="str" cm="1">
        <f t="array" ref="B5">_xll.FDSR(A5,"FG_COMPANY_NAME")</f>
        <v>Kotak Nifty PSU Bank ETF</v>
      </c>
      <c r="C5" t="str">
        <f>A5</f>
        <v>590107-IN</v>
      </c>
      <c r="E5" cm="1">
        <f t="array" ref="E5">_xll.FDS(C5,"FMA_COS_UP(""EPS"",""1M"",+1,0,,,""PORTAGG"",""MEANR"")")</f>
        <v>4</v>
      </c>
      <c r="F5" cm="1">
        <f t="array" ref="F5">_xll.FDS(C5,"FMA_COS_DOWN(""EPS"",""1M"",+1,0,,,""PORTAGG"",""MEANR"")")</f>
        <v>3</v>
      </c>
      <c r="G5" cm="1">
        <f t="array" ref="G5">_xll.FDS(A5,"COUNT(OS_TOP_HLDG_NAME(ALL,0D,,MTD,,ALL,EQ))")</f>
        <v>13</v>
      </c>
      <c r="H5" s="6">
        <f>E5/$G5</f>
        <v>0.30769230769230771</v>
      </c>
      <c r="I5" s="6">
        <f>F5/$G5</f>
        <v>0.23076923076923078</v>
      </c>
      <c r="J5" s="6">
        <f t="shared" ref="J5" si="0">H5-I5</f>
        <v>7.6923076923076927E-2</v>
      </c>
      <c r="K5" s="5" cm="1">
        <f t="array" ref="K5">_xll.FDS(A5,"FMA_PCT_ABOVE_MAVG(200,0,,,,""PORTAGG"")")/100</f>
        <v>0.92307692307692302</v>
      </c>
      <c r="L5" s="13" cm="1">
        <f t="array" ref="L5">_xll.FDSB(A5,"PERCENT_CHANGE(FMA_EPS(+1,0,,,,""PORTAGG"",""MEAN""),FMA_EPS(+1,-1AM,,,,""PORTAGG"",""MEAN""))")</f>
        <v>3.3567182455381599</v>
      </c>
      <c r="M5" s="13" cm="1">
        <f t="array" ref="M5">_xll.FDSB(A5,"PERCENT_CHANGE(FMA_EPS(+1,0,,,,""PORTAGG"",""MEAN""),FMA_EPS(+1,-3AM,,,,""PORTAGG"",""MEAN""))")</f>
        <v>1.7198448292139199</v>
      </c>
      <c r="O5" s="3" cm="1">
        <f t="array" ref="O5">_xll.FDS(C5,"FG_TOTAL_RETURNC(0,-3AM)")</f>
        <v>9.9508170000000007</v>
      </c>
      <c r="P5" s="3" cm="1">
        <f t="array" ref="P5">_xll.FDS(C5,"FG_TOTAL_RETURNC(0,-6AM)")</f>
        <v>33.012726000000001</v>
      </c>
      <c r="Q5" s="6" cm="1">
        <f t="array" ref="Q5">_xll.FDS(A5,"P_PRICE(0)/P_PRICE_HIGH_PR(0,,,,,,""PRICE"",""CLOSE"",""52W"")")</f>
        <v>0.92093502999999999</v>
      </c>
      <c r="R5" s="6" cm="1">
        <f t="array" ref="R5">_xll.FDS(A5,"P_PRICE(0)/P_PRICE_LOW_PR(0,,,,,,""PRICE"",""CLOSE"",""52W"")")</f>
        <v>1.8648267000000001</v>
      </c>
    </row>
    <row r="6" spans="1:18" x14ac:dyDescent="0.35">
      <c r="A6" t="s">
        <v>46</v>
      </c>
      <c r="B6" t="str" cm="1">
        <f t="array" ref="B6">_xll.FDSR(A6,"FG_COMPANY_NAME")</f>
        <v>ICICI Prudential Nifty 200 Quality 30 ETF Exchange Traded Fund Units</v>
      </c>
      <c r="C6" t="str">
        <f>A6</f>
        <v>543956-IN</v>
      </c>
      <c r="E6" t="e" cm="1">
        <f t="array" ref="E6">_xll.FDS(C6,"FMA_COS_UP(""EPS"",""1M"",+1,0,,,""PORTAGG"",""MEANR"")")</f>
        <v>#N/A</v>
      </c>
      <c r="F6" t="e" cm="1">
        <f t="array" ref="F6">_xll.FDS(C6,"FMA_COS_DOWN(""EPS"",""1M"",+1,0,,,""PORTAGG"",""MEANR"")")</f>
        <v>#N/A</v>
      </c>
      <c r="G6" cm="1">
        <f t="array" ref="G6">_xll.FDS(A6,"COUNT(OS_TOP_HLDG_NAME(ALL,0D,,MTD,,ALL,EQ))")</f>
        <v>0</v>
      </c>
      <c r="H6" s="6" t="e">
        <f>E6/$G6</f>
        <v>#N/A</v>
      </c>
      <c r="I6" s="6" t="e">
        <f>F6/$G6</f>
        <v>#N/A</v>
      </c>
      <c r="J6" s="6" t="e">
        <f t="shared" ref="J6" si="1">H6-I6</f>
        <v>#N/A</v>
      </c>
      <c r="K6" s="5" t="e" cm="1">
        <f t="array" ref="K6">_xll.FDS(A6,"FMA_PCT_ABOVE_MAVG(200,0,,,,""PORTAGG"")")/100</f>
        <v>#N/A</v>
      </c>
      <c r="L6" s="13" t="str" cm="1">
        <f t="array" ref="L6">_xll.FDSB(A6,"PERCENT_CHANGE(FMA_EPS(+1,0,,,,""PORTAGG"",""MEAN""),FMA_EPS(+1,-1AM,,,,""PORTAGG"",""MEAN""))")</f>
        <v/>
      </c>
      <c r="M6" s="13" t="str" cm="1">
        <f t="array" ref="M6">_xll.FDSB(A6,"PERCENT_CHANGE(FMA_EPS(+1,0,,,,""PORTAGG"",""MEAN""),FMA_EPS(+1,-3AM,,,,""PORTAGG"",""MEAN""))")</f>
        <v/>
      </c>
      <c r="O6" s="3" cm="1">
        <f t="array" ref="O6">_xll.FDS(C6,"FG_TOTAL_RETURNC(0,-3AM)")</f>
        <v>11.289633</v>
      </c>
      <c r="P6" s="3" cm="1">
        <f t="array" ref="P6">_xll.FDS(C6,"FG_TOTAL_RETURNC(0,-6AM)")</f>
        <v>18.688594999999999</v>
      </c>
      <c r="Q6" s="6" cm="1">
        <f t="array" ref="Q6">_xll.FDS(A6,"P_PRICE(0)/P_PRICE_HIGH_PR(0,,,,,,""PRICE"",""CLOSE"",""52W"")")</f>
        <v>1</v>
      </c>
      <c r="R6" s="6" cm="1">
        <f t="array" ref="R6">_xll.FDS(A6,"P_PRICE(0)/P_PRICE_LOW_PR(0,,,,,,""PRICE"",""CLOSE"",""52W"")")</f>
        <v>1.5305295000000001</v>
      </c>
    </row>
    <row r="7" spans="1:18" x14ac:dyDescent="0.35">
      <c r="A7" t="s">
        <v>47</v>
      </c>
      <c r="B7" t="str" cm="1">
        <f t="array" ref="B7">_xll.FDSR(A7,"FG_COMPANY_NAME")</f>
        <v>HDFC NIFTY50 Value 20 ETF</v>
      </c>
      <c r="C7" t="str">
        <f t="shared" ref="C7" si="2">A7</f>
        <v>543608-IN</v>
      </c>
      <c r="E7" cm="1">
        <f t="array" ref="E7">_xll.FDS(C7,"FMA_COS_UP(""EPS"",""1M"",+1,0,,,""PORTAGG"",""MEANR"")")</f>
        <v>8</v>
      </c>
      <c r="F7" cm="1">
        <f t="array" ref="F7">_xll.FDS(C7,"FMA_COS_DOWN(""EPS"",""1M"",+1,0,,,""PORTAGG"",""MEANR"")")</f>
        <v>11</v>
      </c>
      <c r="G7" cm="1">
        <f t="array" ref="G7">_xll.FDS(A7,"COUNT(OS_TOP_HLDG_NAME(ALL,0D,,MTD,,ALL,EQ))")</f>
        <v>21</v>
      </c>
      <c r="H7" s="6">
        <f t="shared" ref="H7" si="3">E7/$G7</f>
        <v>0.38095238095238093</v>
      </c>
      <c r="I7" s="6">
        <f t="shared" ref="I7" si="4">F7/$G7</f>
        <v>0.52380952380952384</v>
      </c>
      <c r="J7" s="6">
        <f t="shared" ref="J7" si="5">H7-I7</f>
        <v>-0.1428571428571429</v>
      </c>
      <c r="K7" s="5" cm="1">
        <f t="array" ref="K7">_xll.FDS(A7,"FMA_PCT_ABOVE_MAVG(200,0,,,,""PORTAGG"")")/100</f>
        <v>0.57142857142857106</v>
      </c>
      <c r="L7" s="13" cm="1">
        <f t="array" ref="L7">_xll.FDSB(A7,"PERCENT_CHANGE(FMA_EPS(+1,0,,,,""PORTAGG"",""MEAN""),FMA_EPS(+1,-1AM,,,,""PORTAGG"",""MEAN""))")</f>
        <v>0.97332139219660496</v>
      </c>
      <c r="M7" s="13" cm="1">
        <f t="array" ref="M7">_xll.FDSB(A7,"PERCENT_CHANGE(FMA_EPS(+1,0,,,,""PORTAGG"",""MEAN""),FMA_EPS(+1,-3AM,,,,""PORTAGG"",""MEAN""))")</f>
        <v>2.5699411892406401</v>
      </c>
      <c r="O7" s="3" cm="1">
        <f t="array" ref="O7">_xll.FDS(C7,"FG_TOTAL_RETURNC(0,-3AM)")</f>
        <v>-2.4517536</v>
      </c>
      <c r="P7" s="3" cm="1">
        <f t="array" ref="P7">_xll.FDS(C7,"FG_TOTAL_RETURNC(0,-6AM)")</f>
        <v>17.063130000000001</v>
      </c>
      <c r="Q7" s="6" cm="1">
        <f t="array" ref="Q7">_xll.FDS(A7,"P_PRICE(0)/P_PRICE_HIGH_PR(0,,,,,,""PRICE"",""CLOSE"",""52W"")")</f>
        <v>0.97548246000000005</v>
      </c>
      <c r="R7" s="6" cm="1">
        <f t="array" ref="R7">_xll.FDS(A7,"P_PRICE(0)/P_PRICE_LOW_PR(0,,,,,,""PRICE"",""CLOSE"",""52W"")")</f>
        <v>1.3522726</v>
      </c>
    </row>
    <row r="8" spans="1:18" x14ac:dyDescent="0.35">
      <c r="A8" t="s">
        <v>48</v>
      </c>
      <c r="B8" t="str" cm="1">
        <f t="array" ref="B8">_xll.FDSR(A8,"FG_COMPANY_NAME")</f>
        <v>Axis NIFTY Healthcare ETF</v>
      </c>
      <c r="C8" t="str">
        <f t="shared" ref="C8:C9" si="6">A8</f>
        <v>543348-IN</v>
      </c>
      <c r="E8" cm="1">
        <f t="array" ref="E8">_xll.FDS(C8,"FMA_COS_UP(""EPS"",""1M"",+1,0,,,""PORTAGG"",""MEANR"")")</f>
        <v>9</v>
      </c>
      <c r="F8" cm="1">
        <f t="array" ref="F8">_xll.FDS(C8,"FMA_COS_DOWN(""EPS"",""1M"",+1,0,,,""PORTAGG"",""MEANR"")")</f>
        <v>10</v>
      </c>
      <c r="G8" cm="1">
        <f t="array" ref="G8">_xll.FDS(A8,"COUNT(OS_TOP_HLDG_NAME(ALL,0D,,MTD,,ALL,EQ))")</f>
        <v>21</v>
      </c>
      <c r="H8" s="6">
        <f t="shared" ref="H8:H9" si="7">E8/$G8</f>
        <v>0.42857142857142855</v>
      </c>
      <c r="I8" s="6">
        <f t="shared" ref="I8:I9" si="8">F8/$G8</f>
        <v>0.47619047619047616</v>
      </c>
      <c r="J8" s="6">
        <f t="shared" ref="J8:J9" si="9">H8-I8</f>
        <v>-4.7619047619047616E-2</v>
      </c>
      <c r="K8" s="5" cm="1">
        <f t="array" ref="K8">_xll.FDS(A8,"FMA_PCT_ABOVE_MAVG(200,0,,,,""PORTAGG"")")/100</f>
        <v>0.85714285714285698</v>
      </c>
      <c r="L8" s="13" cm="1">
        <f t="array" ref="L8">_xll.FDSB(A8,"PERCENT_CHANGE(FMA_EPS(+1,0,,,,""PORTAGG"",""MEAN""),FMA_EPS(+1,-1AM,,,,""PORTAGG"",""MEAN""))")</f>
        <v>-0.60224753589407898</v>
      </c>
      <c r="M8" s="13" cm="1">
        <f t="array" ref="M8">_xll.FDSB(A8,"PERCENT_CHANGE(FMA_EPS(+1,0,,,,""PORTAGG"",""MEAN""),FMA_EPS(+1,-3AM,,,,""PORTAGG"",""MEAN""))")</f>
        <v>-1.5541046588515399</v>
      </c>
      <c r="O8" s="3" cm="1">
        <f t="array" ref="O8">_xll.FDS(C8,"FG_TOTAL_RETURNC(0,-3AM)")</f>
        <v>10.609674</v>
      </c>
      <c r="P8" s="3" cm="1">
        <f t="array" ref="P8">_xll.FDS(C8,"FG_TOTAL_RETURNC(0,-6AM)")</f>
        <v>20.250129999999999</v>
      </c>
      <c r="Q8" s="6" cm="1">
        <f t="array" ref="Q8">_xll.FDS(A8,"P_PRICE(0)/P_PRICE_HIGH_PR(0,,,,,,""PRICE"",""CLOSE"",""52W"")")</f>
        <v>0.89375090000000001</v>
      </c>
      <c r="R8" s="6" cm="1">
        <f t="array" ref="R8">_xll.FDS(A8,"P_PRICE(0)/P_PRICE_LOW_PR(0,,,,,,""PRICE"",""CLOSE"",""52W"")")</f>
        <v>1.8288222999999999</v>
      </c>
    </row>
    <row r="9" spans="1:18" x14ac:dyDescent="0.35">
      <c r="A9" t="s">
        <v>49</v>
      </c>
      <c r="B9" t="str" cm="1">
        <f t="array" ref="B9">_xll.FDSR(A9,"FG_COMPANY_NAME")</f>
        <v>ICICI Prudential Nifty Infrastructure ETF</v>
      </c>
      <c r="C9" t="str">
        <f t="shared" si="6"/>
        <v>543571-IN</v>
      </c>
      <c r="E9" cm="1">
        <f t="array" ref="E9">_xll.FDS(C9,"FMA_COS_UP(""EPS"",""1M"",+1,0,,,""PORTAGG"",""MEANR"")")</f>
        <v>14</v>
      </c>
      <c r="F9" cm="1">
        <f t="array" ref="F9">_xll.FDS(C9,"FMA_COS_DOWN(""EPS"",""1M"",+1,0,,,""PORTAGG"",""MEANR"")")</f>
        <v>15</v>
      </c>
      <c r="G9" cm="1">
        <f t="array" ref="G9">_xll.FDS(A9,"COUNT(OS_TOP_HLDG_NAME(ALL,0D,,MTD,,ALL,EQ))")</f>
        <v>31</v>
      </c>
      <c r="H9" s="6">
        <f t="shared" si="7"/>
        <v>0.45161290322580644</v>
      </c>
      <c r="I9" s="6">
        <f t="shared" si="8"/>
        <v>0.4838709677419355</v>
      </c>
      <c r="J9" s="6">
        <f t="shared" si="9"/>
        <v>-3.2258064516129059E-2</v>
      </c>
      <c r="K9" s="5" cm="1">
        <f t="array" ref="K9">_xll.FDS(A9,"FMA_PCT_ABOVE_MAVG(200,0,,,,""PORTAGG"")")/100</f>
        <v>0.9354838709677421</v>
      </c>
      <c r="L9" s="13" cm="1">
        <f t="array" ref="L9">_xll.FDSB(A9,"PERCENT_CHANGE(FMA_EPS(+1,0,,,,""PORTAGG"",""MEAN""),FMA_EPS(+1,-1AM,,,,""PORTAGG"",""MEAN""))")</f>
        <v>-0.67982748269360804</v>
      </c>
      <c r="M9" s="13" cm="1">
        <f t="array" ref="M9">_xll.FDSB(A9,"PERCENT_CHANGE(FMA_EPS(+1,0,,,,""PORTAGG"",""MEAN""),FMA_EPS(+1,-3AM,,,,""PORTAGG"",""MEAN""))")</f>
        <v>-1.8802874573366499</v>
      </c>
      <c r="O9" s="3" cm="1">
        <f t="array" ref="O9">_xll.FDS(C9,"FG_TOTAL_RETURNC(0,-3AM)")</f>
        <v>12.942195</v>
      </c>
      <c r="P9" s="3" cm="1">
        <f t="array" ref="P9">_xll.FDS(C9,"FG_TOTAL_RETURNC(0,-6AM)")</f>
        <v>27.67173</v>
      </c>
      <c r="Q9" s="6" cm="1">
        <f t="array" ref="Q9">_xll.FDS(A9,"P_PRICE(0)/P_PRICE_HIGH_PR(0,,,,,,""PRICE"",""CLOSE"",""52W"")")</f>
        <v>0.96870710000000004</v>
      </c>
      <c r="R9" s="6" cm="1">
        <f t="array" ref="R9">_xll.FDS(A9,"P_PRICE(0)/P_PRICE_LOW_PR(0,,,,,,""PRICE"",""CLOSE"",""52W"")")</f>
        <v>1.6027636999999999</v>
      </c>
    </row>
    <row r="10" spans="1:18" x14ac:dyDescent="0.35">
      <c r="A10" t="s">
        <v>50</v>
      </c>
      <c r="B10" t="str" cm="1">
        <f t="array" ref="B10">_xll.FDSR(A10,"FG_COMPANY_NAME")</f>
        <v>ICICI Prudential Nifty Commodities ETF</v>
      </c>
      <c r="C10" t="str">
        <f t="shared" ref="C10:C14" si="10">A10</f>
        <v>543710-IN</v>
      </c>
      <c r="E10" t="e" cm="1">
        <f t="array" ref="E10">_xll.FDS(C10,"FMA_COS_UP(""EPS"",""1M"",+1,0,,,""PORTAGG"",""MEANR"")")</f>
        <v>#N/A</v>
      </c>
      <c r="F10" t="e" cm="1">
        <f t="array" ref="F10">_xll.FDS(C10,"FMA_COS_DOWN(""EPS"",""1M"",+1,0,,,""PORTAGG"",""MEANR"")")</f>
        <v>#N/A</v>
      </c>
      <c r="G10" cm="1">
        <f t="array" ref="G10">_xll.FDS(A10,"COUNT(OS_TOP_HLDG_NAME(ALL,0D,,MTD,,ALL,EQ))")</f>
        <v>31</v>
      </c>
      <c r="H10" s="6" t="e">
        <f t="shared" ref="H10" si="11">E10/$G10</f>
        <v>#N/A</v>
      </c>
      <c r="I10" s="6" t="e">
        <f t="shared" ref="I10" si="12">F10/$G10</f>
        <v>#N/A</v>
      </c>
      <c r="J10" s="6" t="e">
        <f t="shared" ref="J10" si="13">H10-I10</f>
        <v>#N/A</v>
      </c>
      <c r="K10" s="5" t="e" cm="1">
        <f t="array" ref="K10">_xll.FDS(A10,"FMA_PCT_ABOVE_MAVG(200,0,,,,""PORTAGG"")")/100</f>
        <v>#N/A</v>
      </c>
      <c r="L10" s="13" t="str" cm="1">
        <f t="array" ref="L10">_xll.FDSB(A10,"PERCENT_CHANGE(FMA_EPS(+1,0,,,,""PORTAGG"",""MEAN""),FMA_EPS(+1,-1AM,,,,""PORTAGG"",""MEAN""))")</f>
        <v/>
      </c>
      <c r="M10" s="13" t="str" cm="1">
        <f t="array" ref="M10">_xll.FDSB(A10,"PERCENT_CHANGE(FMA_EPS(+1,0,,,,""PORTAGG"",""MEAN""),FMA_EPS(+1,-3AM,,,,""PORTAGG"",""MEAN""))")</f>
        <v/>
      </c>
      <c r="O10" s="3" cm="1">
        <f t="array" ref="O10">_xll.FDS(C10,"FG_TOTAL_RETURNC(0,-3AM)")</f>
        <v>13.691354</v>
      </c>
      <c r="P10" s="3" cm="1">
        <f t="array" ref="P10">_xll.FDS(C10,"FG_TOTAL_RETURNC(0,-6AM)")</f>
        <v>26.410425</v>
      </c>
      <c r="Q10" s="6" cm="1">
        <f t="array" ref="Q10">_xll.FDS(A10,"P_PRICE(0)/P_PRICE_HIGH_PR(0,,,,,,""PRICE"",""CLOSE"",""52W"")")</f>
        <v>0.98292230000000003</v>
      </c>
      <c r="R10" s="6" cm="1">
        <f t="array" ref="R10">_xll.FDS(A10,"P_PRICE(0)/P_PRICE_LOW_PR(0,,,,,,""PRICE"",""CLOSE"",""52W"")")</f>
        <v>1.5571524999999999</v>
      </c>
    </row>
    <row r="11" spans="1:18" x14ac:dyDescent="0.35">
      <c r="A11" t="s">
        <v>51</v>
      </c>
      <c r="B11" t="str" cm="1">
        <f t="array" ref="B11">_xll.FDSR(A11,"FG_COMPANY_NAME")</f>
        <v>Motilal Oswal Nifty 200 Momentum 30 ETF Units Exchange Traded Fund</v>
      </c>
      <c r="C11" t="str">
        <f t="shared" si="10"/>
        <v>543465-IN</v>
      </c>
      <c r="E11" cm="1">
        <f t="array" ref="E11">_xll.FDS(C11,"FMA_COS_UP(""EPS"",""1M"",+1,0,,,""PORTAGG"",""MEANR"")")</f>
        <v>24</v>
      </c>
      <c r="F11" cm="1">
        <f t="array" ref="F11">_xll.FDS(C11,"FMA_COS_DOWN(""EPS"",""1M"",+1,0,,,""PORTAGG"",""MEANR"")")</f>
        <v>6</v>
      </c>
      <c r="G11" cm="1">
        <f t="array" ref="G11">_xll.FDS(A11,"COUNT(OS_TOP_HLDG_NAME(ALL,0D,,MTD,,ALL,EQ))")</f>
        <v>31</v>
      </c>
      <c r="H11" s="6">
        <f t="shared" ref="H11" si="14">E11/$G11</f>
        <v>0.77419354838709675</v>
      </c>
      <c r="I11" s="6">
        <f t="shared" ref="I11" si="15">F11/$G11</f>
        <v>0.19354838709677419</v>
      </c>
      <c r="J11" s="6">
        <f t="shared" ref="J11" si="16">H11-I11</f>
        <v>0.58064516129032251</v>
      </c>
      <c r="K11" s="5" cm="1">
        <f t="array" ref="K11">_xll.FDS(A11,"FMA_PCT_ABOVE_MAVG(200,0,,,,""PORTAGG"")")/100</f>
        <v>0.90322580645161299</v>
      </c>
      <c r="L11" s="13" cm="1">
        <f t="array" ref="L11">_xll.FDSB(A11,"PERCENT_CHANGE(FMA_EPS(+1,0,,,,""PORTAGG"",""MEAN""),FMA_EPS(+1,-1AM,,,,""PORTAGG"",""MEAN""))")</f>
        <v>4.2199780497215498</v>
      </c>
      <c r="M11" s="13" cm="1">
        <f t="array" ref="M11">_xll.FDSB(A11,"PERCENT_CHANGE(FMA_EPS(+1,0,,,,""PORTAGG"",""MEAN""),FMA_EPS(+1,-3AM,,,,""PORTAGG"",""MEAN""))")</f>
        <v>5.0801864962982304</v>
      </c>
      <c r="O11" s="3" cm="1">
        <f t="array" ref="O11">_xll.FDS(C11,"FG_TOTAL_RETURNC(0,-3AM)")</f>
        <v>19.745123</v>
      </c>
      <c r="P11" s="3" cm="1">
        <f t="array" ref="P11">_xll.FDS(C11,"FG_TOTAL_RETURNC(0,-6AM)")</f>
        <v>32.727943000000003</v>
      </c>
      <c r="Q11" s="6" cm="1">
        <f t="array" ref="Q11">_xll.FDS(A11,"P_PRICE(0)/P_PRICE_HIGH_PR(0,,,,,,""PRICE"",""CLOSE"",""52W"")")</f>
        <v>0.99545950000000005</v>
      </c>
      <c r="R11" s="6" cm="1">
        <f t="array" ref="R11">_xll.FDS(A11,"P_PRICE(0)/P_PRICE_LOW_PR(0,,,,,,""PRICE"",""CLOSE"",""52W"")")</f>
        <v>1.7271425</v>
      </c>
    </row>
    <row r="12" spans="1:18" x14ac:dyDescent="0.35">
      <c r="A12" t="s">
        <v>52</v>
      </c>
      <c r="B12" t="str" cm="1">
        <f t="array" ref="B12">_xll.FDSR(A12,"FG_COMPANY_NAME")</f>
        <v>Motilal Oswal S&amp;P BSE Healthcare ETF</v>
      </c>
      <c r="C12" t="str">
        <f t="shared" si="10"/>
        <v>543563-IN</v>
      </c>
      <c r="E12" cm="1">
        <f t="array" ref="E12">_xll.FDS(C12,"FMA_COS_UP(""EPS"",""1M"",+1,0,,,""PORTAGG"",""MEANR"")")</f>
        <v>25</v>
      </c>
      <c r="F12" cm="1">
        <f t="array" ref="F12">_xll.FDS(C12,"FMA_COS_DOWN(""EPS"",""1M"",+1,0,,,""PORTAGG"",""MEANR"")")</f>
        <v>32</v>
      </c>
      <c r="G12" cm="1">
        <f t="array" ref="G12">_xll.FDS(A12,"COUNT(OS_TOP_HLDG_NAME(ALL,0D,,MTD,,ALL,EQ))")</f>
        <v>0</v>
      </c>
      <c r="H12" s="6" t="e">
        <f t="shared" ref="H12:H14" si="17">E12/$G12</f>
        <v>#DIV/0!</v>
      </c>
      <c r="I12" s="6" t="e">
        <f t="shared" ref="I12:I14" si="18">F12/$G12</f>
        <v>#DIV/0!</v>
      </c>
      <c r="J12" s="6" t="e">
        <f t="shared" ref="J12:J14" si="19">H12-I12</f>
        <v>#DIV/0!</v>
      </c>
      <c r="K12" s="5" cm="1">
        <f t="array" ref="K12">_xll.FDS(A12,"FMA_PCT_ABOVE_MAVG(200,0,,,,""PORTAGG"")")/100</f>
        <v>0.69072164948453607</v>
      </c>
      <c r="L12" s="13" cm="1">
        <f t="array" ref="L12">_xll.FDSB(A12,"PERCENT_CHANGE(FMA_EPS(+1,0,,,,""PORTAGG"",""MEAN""),FMA_EPS(+1,-1AM,,,,""PORTAGG"",""MEAN""))")</f>
        <v>-0.29278304475608802</v>
      </c>
      <c r="M12" s="13" cm="1">
        <f t="array" ref="M12">_xll.FDSB(A12,"PERCENT_CHANGE(FMA_EPS(+1,0,,,,""PORTAGG"",""MEAN""),FMA_EPS(+1,-3AM,,,,""PORTAGG"",""MEAN""))")</f>
        <v>-1.25923961591685</v>
      </c>
      <c r="O12" s="3" cm="1">
        <f t="array" ref="O12">_xll.FDS(C12,"FG_TOTAL_RETURNC(0,-3AM)")</f>
        <v>8.3576920000000001</v>
      </c>
      <c r="P12" s="3" cm="1">
        <f t="array" ref="P12">_xll.FDS(C12,"FG_TOTAL_RETURNC(0,-6AM)")</f>
        <v>19.844866</v>
      </c>
      <c r="Q12" s="6" cm="1">
        <f t="array" ref="Q12">_xll.FDS(A12,"P_PRICE(0)/P_PRICE_HIGH_PR(0,,,,,,""PRICE"",""CLOSE"",""52W"")")</f>
        <v>1</v>
      </c>
      <c r="R12" s="6" cm="1">
        <f t="array" ref="R12">_xll.FDS(A12,"P_PRICE(0)/P_PRICE_LOW_PR(0,,,,,,""PRICE"",""CLOSE"",""52W"")")</f>
        <v>1.5159445</v>
      </c>
    </row>
    <row r="13" spans="1:18" ht="15" customHeight="1" x14ac:dyDescent="0.35">
      <c r="A13" t="s">
        <v>53</v>
      </c>
      <c r="B13" t="str" cm="1">
        <f t="array" ref="B13">_xll.FDSR(A13,"FG_COMPANY_NAME")</f>
        <v>HDFC Nifty Private Bank ETF Exchange Traded Fund Units</v>
      </c>
      <c r="C13" t="str">
        <f t="shared" si="10"/>
        <v>543666-IN</v>
      </c>
      <c r="E13" cm="1">
        <f t="array" ref="E13">_xll.FDS(C13,"FMA_COS_UP(""EPS"",""1M"",+1,0,,,""PORTAGG"",""MEANR"")")</f>
        <v>3</v>
      </c>
      <c r="F13" cm="1">
        <f t="array" ref="F13">_xll.FDS(C13,"FMA_COS_DOWN(""EPS"",""1M"",+1,0,,,""PORTAGG"",""MEANR"")")</f>
        <v>4</v>
      </c>
      <c r="G13" cm="1">
        <f t="array" ref="G13">_xll.FDS(A13,"COUNT(OS_TOP_HLDG_NAME(ALL,0D,,MTD,,ALL,EQ))")</f>
        <v>11</v>
      </c>
      <c r="H13" s="6">
        <f t="shared" si="17"/>
        <v>0.27272727272727271</v>
      </c>
      <c r="I13" s="6">
        <f t="shared" si="18"/>
        <v>0.36363636363636365</v>
      </c>
      <c r="J13" s="6">
        <f t="shared" si="19"/>
        <v>-9.0909090909090939E-2</v>
      </c>
      <c r="K13" s="5" cm="1">
        <f t="array" ref="K13">_xll.FDS(A13,"FMA_PCT_ABOVE_MAVG(200,0,,,,""PORTAGG"")")/100</f>
        <v>0.45454545454545503</v>
      </c>
      <c r="L13" s="13" cm="1">
        <f t="array" ref="L13">_xll.FDSB(A13,"PERCENT_CHANGE(FMA_EPS(+1,0,,,,""PORTAGG"",""MEAN""),FMA_EPS(+1,-1AM,,,,""PORTAGG"",""MEAN""))")</f>
        <v>-0.150733315401784</v>
      </c>
      <c r="M13" s="13" cm="1">
        <f t="array" ref="M13">_xll.FDSB(A13,"PERCENT_CHANGE(FMA_EPS(+1,0,,,,""PORTAGG"",""MEAN""),FMA_EPS(+1,-3AM,,,,""PORTAGG"",""MEAN""))")</f>
        <v>-1.45505759517969</v>
      </c>
      <c r="O13" s="3" cm="1">
        <f t="array" ref="O13">_xll.FDS(C13,"FG_TOTAL_RETURNC(0,-3AM)")</f>
        <v>6.3431262999999998</v>
      </c>
      <c r="P13" s="3" cm="1">
        <f t="array" ref="P13">_xll.FDS(C13,"FG_TOTAL_RETURNC(0,-6AM)")</f>
        <v>1.565361</v>
      </c>
      <c r="Q13" s="6" cm="1">
        <f t="array" ref="Q13">_xll.FDS(A13,"P_PRICE(0)/P_PRICE_HIGH_PR(0,,,,,,""PRICE"",""CLOSE"",""52W"")")</f>
        <v>0.99126977000000005</v>
      </c>
      <c r="R13" s="6" cm="1">
        <f t="array" ref="R13">_xll.FDS(A13,"P_PRICE(0)/P_PRICE_LOW_PR(0,,,,,,""PRICE"",""CLOSE"",""52W"")")</f>
        <v>1.1352997</v>
      </c>
    </row>
    <row r="14" spans="1:18" ht="15" customHeight="1" x14ac:dyDescent="0.35">
      <c r="A14" t="s">
        <v>54</v>
      </c>
      <c r="B14" t="str" cm="1">
        <f t="array" ref="B14">_xll.FDSR(A14,"FG_COMPANY_NAME")</f>
        <v>Mirae Asset Nifty India Manufacturing ETF Units Exchange Traded Fund</v>
      </c>
      <c r="C14" t="str">
        <f t="shared" si="10"/>
        <v>543454-IN</v>
      </c>
      <c r="E14" cm="1">
        <f t="array" ref="E14">_xll.FDS(C14,"FMA_COS_UP(""EPS"",""1M"",+1,0,,,""PORTAGG"",""MEANR"")")</f>
        <v>40</v>
      </c>
      <c r="F14" cm="1">
        <f t="array" ref="F14">_xll.FDS(C14,"FMA_COS_DOWN(""EPS"",""1M"",+1,0,,,""PORTAGG"",""MEANR"")")</f>
        <v>27</v>
      </c>
      <c r="G14" cm="1">
        <f t="array" ref="G14">_xll.FDS(A14,"COUNT(OS_TOP_HLDG_NAME(ALL,0D,,MTD,,ALL,EQ))")</f>
        <v>76</v>
      </c>
      <c r="H14" s="6">
        <f t="shared" si="17"/>
        <v>0.52631578947368418</v>
      </c>
      <c r="I14" s="6">
        <f t="shared" si="18"/>
        <v>0.35526315789473684</v>
      </c>
      <c r="J14" s="6">
        <f t="shared" si="19"/>
        <v>0.17105263157894735</v>
      </c>
      <c r="K14" s="5" cm="1">
        <f t="array" ref="K14">_xll.FDS(A14,"FMA_PCT_ABOVE_MAVG(200,0,,,,""PORTAGG"")")/100</f>
        <v>0.81578947368421095</v>
      </c>
      <c r="L14" s="13" cm="1">
        <f t="array" ref="L14">_xll.FDSB(A14,"PERCENT_CHANGE(FMA_EPS(+1,0,,,,""PORTAGG"",""MEAN""),FMA_EPS(+1,-1AM,,,,""PORTAGG"",""MEAN""))")</f>
        <v>1.33185858449636</v>
      </c>
      <c r="M14" s="13" cm="1">
        <f t="array" ref="M14">_xll.FDSB(A14,"PERCENT_CHANGE(FMA_EPS(+1,0,,,,""PORTAGG"",""MEAN""),FMA_EPS(+1,-3AM,,,,""PORTAGG"",""MEAN""))")</f>
        <v>0.95986903486892206</v>
      </c>
      <c r="O14" s="3" cm="1">
        <f t="array" ref="O14">_xll.FDS(C14,"FG_TOTAL_RETURNC(0,-3AM)")</f>
        <v>25.147342999999999</v>
      </c>
      <c r="P14" s="3" cm="1">
        <f t="array" ref="P14">_xll.FDS(C14,"FG_TOTAL_RETURNC(0,-6AM)")</f>
        <v>37.271605999999998</v>
      </c>
      <c r="Q14" s="6" cm="1">
        <f t="array" ref="Q14">_xll.FDS(A14,"P_PRICE(0)/P_PRICE_HIGH_PR(0,,,,,,""PRICE"",""CLOSE"",""52W"")")</f>
        <v>1</v>
      </c>
      <c r="R14" s="6" cm="1">
        <f t="array" ref="R14">_xll.FDS(A14,"P_PRICE(0)/P_PRICE_LOW_PR(0,,,,,,""PRICE"",""CLOSE"",""52W"")")</f>
        <v>1.6188948999999999</v>
      </c>
    </row>
    <row r="15" spans="1:18" ht="15" customHeight="1" x14ac:dyDescent="0.35">
      <c r="A15" t="s">
        <v>55</v>
      </c>
      <c r="B15" t="str" cm="1">
        <f t="array" ref="B15">_xll.FDSR(A15,"FG_COMPANY_NAME")</f>
        <v>HDFC Nifty 100 Low Volatility 30 ETF</v>
      </c>
      <c r="C15" t="str">
        <f t="shared" ref="C15:C18" si="20">A15</f>
        <v>543627-IN</v>
      </c>
      <c r="E15" t="e" cm="1">
        <f t="array" ref="E15">_xll.FDS(C15,"FMA_COS_UP(""EPS"",""1M"",+1,0,,,""PORTAGG"",""MEANR"")")</f>
        <v>#N/A</v>
      </c>
      <c r="F15" t="e" cm="1">
        <f t="array" ref="F15">_xll.FDS(C15,"FMA_COS_DOWN(""EPS"",""1M"",+1,0,,,""PORTAGG"",""MEANR"")")</f>
        <v>#N/A</v>
      </c>
      <c r="G15" cm="1">
        <f t="array" ref="G15">_xll.FDS(A15,"COUNT(OS_TOP_HLDG_NAME(ALL,0D,,MTD,,ALL,EQ))")</f>
        <v>31</v>
      </c>
      <c r="H15" s="6" t="e">
        <f t="shared" ref="H15:H18" si="21">E15/$G15</f>
        <v>#N/A</v>
      </c>
      <c r="I15" s="6" t="e">
        <f t="shared" ref="I15:I18" si="22">F15/$G15</f>
        <v>#N/A</v>
      </c>
      <c r="J15" s="6" t="e">
        <f t="shared" ref="J15:J18" si="23">H15-I15</f>
        <v>#N/A</v>
      </c>
      <c r="K15" s="5" t="e" cm="1">
        <f t="array" ref="K15">_xll.FDS(A15,"FMA_PCT_ABOVE_MAVG(200,0,,,,""PORTAGG"")")/100</f>
        <v>#N/A</v>
      </c>
      <c r="L15" s="13" t="str" cm="1">
        <f t="array" ref="L15">_xll.FDSB(A15,"PERCENT_CHANGE(FMA_EPS(+1,0,,,,""PORTAGG"",""MEAN""),FMA_EPS(+1,-1AM,,,,""PORTAGG"",""MEAN""))")</f>
        <v/>
      </c>
      <c r="M15" s="13" t="str" cm="1">
        <f t="array" ref="M15">_xll.FDSB(A15,"PERCENT_CHANGE(FMA_EPS(+1,0,,,,""PORTAGG"",""MEAN""),FMA_EPS(+1,-3AM,,,,""PORTAGG"",""MEAN""))")</f>
        <v/>
      </c>
      <c r="O15" s="3" cm="1">
        <f t="array" ref="O15">_xll.FDS(C15,"FG_TOTAL_RETURNC(0,-3AM)")</f>
        <v>5.5401683000000004</v>
      </c>
      <c r="P15" s="3" cm="1">
        <f t="array" ref="P15">_xll.FDS(C15,"FG_TOTAL_RETURNC(0,-6AM)")</f>
        <v>15.594662</v>
      </c>
      <c r="Q15" s="6" cm="1">
        <f t="array" ref="Q15">_xll.FDS(A15,"P_PRICE(0)/P_PRICE_HIGH_PR(0,,,,,,""PRICE"",""CLOSE"",""52W"")")</f>
        <v>0.99790460000000003</v>
      </c>
      <c r="R15" s="6" cm="1">
        <f t="array" ref="R15">_xll.FDS(A15,"P_PRICE(0)/P_PRICE_LOW_PR(0,,,,,,""PRICE"",""CLOSE"",""52W"")")</f>
        <v>1.6259815</v>
      </c>
    </row>
    <row r="16" spans="1:18" ht="15" customHeight="1" x14ac:dyDescent="0.35">
      <c r="A16" t="s">
        <v>56</v>
      </c>
      <c r="B16" t="str" cm="1">
        <f t="array" ref="B16">_xll.FDSR(A16,"FG_COMPANY_NAME")</f>
        <v>ICICI Prudential Nifty FMCG ETF</v>
      </c>
      <c r="C16" t="str">
        <f t="shared" si="20"/>
        <v>543326-IN</v>
      </c>
      <c r="E16" cm="1">
        <f t="array" ref="E16">_xll.FDS(C16,"FMA_COS_UP(""EPS"",""1M"",+1,0,,,""PORTAGG"",""MEANR"")")</f>
        <v>5</v>
      </c>
      <c r="F16" cm="1">
        <f t="array" ref="F16">_xll.FDS(C16,"FMA_COS_DOWN(""EPS"",""1M"",+1,0,,,""PORTAGG"",""MEANR"")")</f>
        <v>8</v>
      </c>
      <c r="G16" cm="1">
        <f t="array" ref="G16">_xll.FDS(A16,"COUNT(OS_TOP_HLDG_NAME(ALL,0D,,MTD,,ALL,EQ))")</f>
        <v>0</v>
      </c>
      <c r="H16" s="6" t="e">
        <f t="shared" si="21"/>
        <v>#DIV/0!</v>
      </c>
      <c r="I16" s="6" t="e">
        <f t="shared" si="22"/>
        <v>#DIV/0!</v>
      </c>
      <c r="J16" s="6" t="e">
        <f t="shared" si="23"/>
        <v>#DIV/0!</v>
      </c>
      <c r="K16" s="5" cm="1">
        <f t="array" ref="K16">_xll.FDS(A16,"FMA_PCT_ABOVE_MAVG(200,0,,,,""PORTAGG"")")/100</f>
        <v>0.625</v>
      </c>
      <c r="L16" s="13" cm="1">
        <f t="array" ref="L16">_xll.FDSB(A16,"PERCENT_CHANGE(FMA_EPS(+1,0,,,,""PORTAGG"",""MEAN""),FMA_EPS(+1,-1AM,,,,""PORTAGG"",""MEAN""))")</f>
        <v>-0.83192814763665401</v>
      </c>
      <c r="M16" s="13" cm="1">
        <f t="array" ref="M16">_xll.FDSB(A16,"PERCENT_CHANGE(FMA_EPS(+1,0,,,,""PORTAGG"",""MEAN""),FMA_EPS(+1,-3AM,,,,""PORTAGG"",""MEAN""))")</f>
        <v>-0.25595368262794999</v>
      </c>
      <c r="O16" s="3" cm="1">
        <f t="array" ref="O16">_xll.FDS(C16,"FG_TOTAL_RETURNC(0,-3AM)")</f>
        <v>7.1024536999999999</v>
      </c>
      <c r="P16" s="3" cm="1">
        <f t="array" ref="P16">_xll.FDS(C16,"FG_TOTAL_RETURNC(0,-6AM)")</f>
        <v>6.5285444000000004</v>
      </c>
      <c r="Q16" s="6" cm="1">
        <f t="array" ref="Q16">_xll.FDS(A16,"P_PRICE(0)/P_PRICE_HIGH_PR(0,,,,,,""PRICE"",""CLOSE"",""52W"")")</f>
        <v>0.98253703000000003</v>
      </c>
      <c r="R16" s="6" cm="1">
        <f t="array" ref="R16">_xll.FDS(A16,"P_PRICE(0)/P_PRICE_LOW_PR(0,,,,,,""PRICE"",""CLOSE"",""52W"")")</f>
        <v>1.1334308</v>
      </c>
    </row>
    <row r="17" spans="1:18" ht="15" customHeight="1" x14ac:dyDescent="0.35">
      <c r="A17" t="s">
        <v>57</v>
      </c>
      <c r="B17" t="str" cm="1">
        <f t="array" ref="B17">_xll.FDSR(A17,"FG_COMPANY_NAME")</f>
        <v>CPSE ETF</v>
      </c>
      <c r="C17" t="str">
        <f t="shared" si="20"/>
        <v>538057-IN</v>
      </c>
      <c r="E17" t="e" cm="1">
        <f t="array" ref="E17">_xll.FDS(C17,"FMA_COS_UP(""EPS"",""1M"",+1,0,,,""PORTAGG"",""MEANR"")")</f>
        <v>#N/A</v>
      </c>
      <c r="F17" t="e" cm="1">
        <f t="array" ref="F17">_xll.FDS(C17,"FMA_COS_DOWN(""EPS"",""1M"",+1,0,,,""PORTAGG"",""MEANR"")")</f>
        <v>#N/A</v>
      </c>
      <c r="G17" cm="1">
        <f t="array" ref="G17">_xll.FDS(A17,"COUNT(OS_TOP_HLDG_NAME(ALL,0D,,MTD,,ALL,EQ))")</f>
        <v>12</v>
      </c>
      <c r="H17" s="6" t="e">
        <f t="shared" si="21"/>
        <v>#N/A</v>
      </c>
      <c r="I17" s="6" t="e">
        <f t="shared" si="22"/>
        <v>#N/A</v>
      </c>
      <c r="J17" s="6" t="e">
        <f t="shared" si="23"/>
        <v>#N/A</v>
      </c>
      <c r="K17" s="5" t="e" cm="1">
        <f t="array" ref="K17">_xll.FDS(A17,"FMA_PCT_ABOVE_MAVG(200,0,,,,""PORTAGG"")")/100</f>
        <v>#N/A</v>
      </c>
      <c r="L17" s="13" t="str" cm="1">
        <f t="array" ref="L17">_xll.FDSB(A17,"PERCENT_CHANGE(FMA_EPS(+1,0,,,,""PORTAGG"",""MEAN""),FMA_EPS(+1,-1AM,,,,""PORTAGG"",""MEAN""))")</f>
        <v/>
      </c>
      <c r="M17" s="13" t="str" cm="1">
        <f t="array" ref="M17">_xll.FDSB(A17,"PERCENT_CHANGE(FMA_EPS(+1,0,,,,""PORTAGG"",""MEAN""),FMA_EPS(+1,-3AM,,,,""PORTAGG"",""MEAN""))")</f>
        <v/>
      </c>
      <c r="O17" s="3" cm="1">
        <f t="array" ref="O17">_xll.FDS(C17,"FG_TOTAL_RETURNC(0,-3AM)")</f>
        <v>23.454834000000002</v>
      </c>
      <c r="P17" s="3" cm="1">
        <f t="array" ref="P17">_xll.FDS(C17,"FG_TOTAL_RETURNC(0,-6AM)")</f>
        <v>49.18609</v>
      </c>
      <c r="Q17" s="6" cm="1">
        <f t="array" ref="Q17">_xll.FDS(A17,"P_PRICE(0)/P_PRICE_HIGH_PR(0,,,,,,""PRICE"",""CLOSE"",""52W"")")</f>
        <v>0.9466329</v>
      </c>
      <c r="R17" s="6" cm="1">
        <f t="array" ref="R17">_xll.FDS(A17,"P_PRICE(0)/P_PRICE_LOW_PR(0,,,,,,""PRICE"",""CLOSE"",""52W"")")</f>
        <v>2.1618871999999998</v>
      </c>
    </row>
    <row r="18" spans="1:18" ht="15" customHeight="1" x14ac:dyDescent="0.35">
      <c r="A18" t="s">
        <v>58</v>
      </c>
      <c r="B18" t="str" cm="1">
        <f t="array" ref="B18">_xll.FDSR(A18,"FG_COMPANY_NAME")</f>
        <v>BHARAT 22 ETF</v>
      </c>
      <c r="C18" t="str">
        <f t="shared" si="20"/>
        <v>540787-IN</v>
      </c>
      <c r="E18" cm="1">
        <f t="array" ref="E18">_xll.FDS(C18,"FMA_COS_UP(""EPS"",""1M"",+1,0,,,""PORTAGG"",""MEANR"")")</f>
        <v>12</v>
      </c>
      <c r="F18" cm="1">
        <f t="array" ref="F18">_xll.FDS(C18,"FMA_COS_DOWN(""EPS"",""1M"",+1,0,,,""PORTAGG"",""MEANR"")")</f>
        <v>10</v>
      </c>
      <c r="G18" cm="1">
        <f t="array" ref="G18">_xll.FDS(A18,"COUNT(OS_TOP_HLDG_NAME(ALL,0D,,MTD,,ALL,EQ))")</f>
        <v>23</v>
      </c>
      <c r="H18" s="6">
        <f t="shared" si="21"/>
        <v>0.52173913043478259</v>
      </c>
      <c r="I18" s="6">
        <f t="shared" si="22"/>
        <v>0.43478260869565216</v>
      </c>
      <c r="J18" s="6">
        <f t="shared" si="23"/>
        <v>8.6956521739130432E-2</v>
      </c>
      <c r="K18" s="5" cm="1">
        <f t="array" ref="K18">_xll.FDS(A18,"FMA_PCT_ABOVE_MAVG(200,0,,,,""PORTAGG"")")/100</f>
        <v>0.91304347826086996</v>
      </c>
      <c r="L18" s="13" cm="1">
        <f t="array" ref="L18">_xll.FDSB(A18,"PERCENT_CHANGE(FMA_EPS(+1,0,,,,""PORTAGG"",""MEAN""),FMA_EPS(+1,-1AM,,,,""PORTAGG"",""MEAN""))")</f>
        <v>2.32005509017183</v>
      </c>
      <c r="M18" s="13" cm="1">
        <f t="array" ref="M18">_xll.FDSB(A18,"PERCENT_CHANGE(FMA_EPS(+1,0,,,,""PORTAGG"",""MEAN""),FMA_EPS(+1,-3AM,,,,""PORTAGG"",""MEAN""))")</f>
        <v>-1.0474329462621601</v>
      </c>
      <c r="O18" s="3" cm="1">
        <f t="array" ref="O18">_xll.FDS(C18,"FG_TOTAL_RETURNC(0,-3AM)")</f>
        <v>14.190291999999999</v>
      </c>
      <c r="P18" s="3" cm="1">
        <f t="array" ref="P18">_xll.FDS(C18,"FG_TOTAL_RETURNC(0,-6AM)")</f>
        <v>28.236782000000002</v>
      </c>
      <c r="Q18" s="6" cm="1">
        <f t="array" ref="Q18">_xll.FDS(A18,"P_PRICE(0)/P_PRICE_HIGH_PR(0,,,,,,""PRICE"",""CLOSE"",""52W"")")</f>
        <v>0.95867835999999995</v>
      </c>
      <c r="R18" s="6" cm="1">
        <f t="array" ref="R18">_xll.FDS(A18,"P_PRICE(0)/P_PRICE_LOW_PR(0,,,,,,""PRICE"",""CLOSE"",""52W"")")</f>
        <v>1.7078530999999999</v>
      </c>
    </row>
    <row r="19" spans="1:18" ht="15" customHeight="1" x14ac:dyDescent="0.35">
      <c r="A19" t="s">
        <v>60</v>
      </c>
      <c r="B19" t="str" cm="1">
        <f t="array" ref="B19">_xll.FDSR(A19,"FG_COMPANY_NAME")</f>
        <v>Nippon India ETF Nifty Dividend Opportunities 50</v>
      </c>
      <c r="C19" t="str">
        <f t="shared" ref="C19" si="24">A19</f>
        <v>DIVOPPBEES-IN</v>
      </c>
      <c r="E19" t="e" cm="1">
        <f t="array" ref="E19">_xll.FDS(C19,"FMA_COS_UP(""EPS"",""1M"",+1,0,,,""PORTAGG"",""MEANR"")")</f>
        <v>#N/A</v>
      </c>
      <c r="F19" t="e" cm="1">
        <f t="array" ref="F19">_xll.FDS(C19,"FMA_COS_DOWN(""EPS"",""1M"",+1,0,,,""PORTAGG"",""MEANR"")")</f>
        <v>#N/A</v>
      </c>
      <c r="G19" cm="1">
        <f t="array" ref="G19">_xll.FDS(A19,"COUNT(OS_TOP_HLDG_NAME(ALL,0D,,MTD,,ALL,EQ))")</f>
        <v>51</v>
      </c>
      <c r="H19" s="6" t="e">
        <f t="shared" ref="H19" si="25">E19/$G19</f>
        <v>#N/A</v>
      </c>
      <c r="I19" s="6" t="e">
        <f t="shared" ref="I19" si="26">F19/$G19</f>
        <v>#N/A</v>
      </c>
      <c r="J19" s="6" t="e">
        <f t="shared" ref="J19" si="27">H19-I19</f>
        <v>#N/A</v>
      </c>
      <c r="K19" s="5" t="e" cm="1">
        <f t="array" ref="K19">_xll.FDS(A19,"FMA_PCT_ABOVE_MAVG(200,0,,,,""PORTAGG"")")/100</f>
        <v>#N/A</v>
      </c>
      <c r="L19" s="13" t="str" cm="1">
        <f t="array" ref="L19">_xll.FDSB(A19,"PERCENT_CHANGE(FMA_EPS(+1,0,,,,""PORTAGG"",""MEAN""),FMA_EPS(+1,-1AM,,,,""PORTAGG"",""MEAN""))")</f>
        <v/>
      </c>
      <c r="M19" s="13" t="str" cm="1">
        <f t="array" ref="M19">_xll.FDSB(A19,"PERCENT_CHANGE(FMA_EPS(+1,0,,,,""PORTAGG"",""MEAN""),FMA_EPS(+1,-3AM,,,,""PORTAGG"",""MEAN""))")</f>
        <v/>
      </c>
      <c r="O19" s="3" cm="1">
        <f t="array" ref="O19">_xll.FDS(C19,"FG_TOTAL_RETURNC(0,-3AM)")</f>
        <v>10.790062000000001</v>
      </c>
      <c r="P19" s="3" cm="1">
        <f t="array" ref="P19">_xll.FDS(C19,"FG_TOTAL_RETURNC(0,-6AM)")</f>
        <v>22.032595000000001</v>
      </c>
      <c r="Q19" s="6" cm="1">
        <f t="array" ref="Q19">_xll.FDS(A19,"P_PRICE(0)/P_PRICE_HIGH_PR(0,,,,,,""PRICE"",""CLOSE"",""52W"")")</f>
        <v>1</v>
      </c>
      <c r="R19" s="6" cm="1">
        <f t="array" ref="R19">_xll.FDS(A19,"P_PRICE(0)/P_PRICE_LOW_PR(0,,,,,,""PRICE"",""CLOSE"",""52W"")")</f>
        <v>1.5135394</v>
      </c>
    </row>
    <row r="20" spans="1:18" ht="15" customHeight="1" x14ac:dyDescent="0.35">
      <c r="E20" s="14"/>
      <c r="F20" s="14"/>
      <c r="P20" s="1"/>
      <c r="Q20" s="6"/>
      <c r="R20" s="6"/>
    </row>
    <row r="21" spans="1:18" ht="15" customHeight="1" x14ac:dyDescent="0.35">
      <c r="E21" s="14"/>
      <c r="F21" s="14"/>
      <c r="Q21" s="6"/>
      <c r="R21" s="6"/>
    </row>
    <row r="22" spans="1:18" ht="15" customHeight="1" x14ac:dyDescent="0.35">
      <c r="E22" s="14"/>
      <c r="F22" s="14"/>
      <c r="Q22" s="6"/>
      <c r="R22" s="6"/>
    </row>
    <row r="23" spans="1:18" ht="15" customHeight="1" x14ac:dyDescent="0.35">
      <c r="C23" s="1"/>
      <c r="D23" s="1"/>
      <c r="E23" s="14"/>
      <c r="F23" s="14"/>
      <c r="Q23" s="6"/>
      <c r="R23" s="6"/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Q215"/>
  <sheetViews>
    <sheetView topLeftCell="A181" workbookViewId="0">
      <selection activeCell="C206" sqref="C206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17" x14ac:dyDescent="0.35"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60</v>
      </c>
    </row>
    <row r="6" spans="2:17" x14ac:dyDescent="0.35">
      <c r="B6" s="2" cm="1">
        <f t="array" ref="B6:B206">_xll.FDS(C5,"JULIAN(P_PRICE(0,-200D).dates)")</f>
        <v>45456</v>
      </c>
      <c r="C6" cm="1">
        <f t="array" ref="C6:C206">_xll.FDS(C5,"P_PRICE(0,-200D)")</f>
        <v>739.87</v>
      </c>
      <c r="D6" cm="1">
        <f t="array" ref="D6:D206">_xll.FDS(D5,"P_PRICE(0,-200D)")</f>
        <v>20.78</v>
      </c>
      <c r="E6" cm="1">
        <f t="array" ref="E6:E206">_xll.FDS(E5,"P_PRICE(0,-200D)")</f>
        <v>130.9</v>
      </c>
      <c r="F6" cm="1">
        <f t="array" ref="F6:F206">_xll.FDS(F5,"P_PRICE(0,-200D)")</f>
        <v>125</v>
      </c>
      <c r="G6" cm="1">
        <f t="array" ref="G6:G206">_xll.FDS(G5,"P_PRICE(0,-200D)")</f>
        <v>91.63</v>
      </c>
      <c r="H6" cm="1">
        <f t="array" ref="H6:H206">_xll.FDS(H5,"P_PRICE(0,-200D)")</f>
        <v>92.09</v>
      </c>
      <c r="I6" cm="1">
        <f t="array" ref="I6:I206">_xll.FDS(I5,"P_PRICE(0,-200D)")</f>
        <v>72.349999999999994</v>
      </c>
      <c r="J6" cm="1">
        <f t="array" ref="J6:J206">_xll.FDS(J5,"P_PRICE(0,-200D)")</f>
        <v>37.08</v>
      </c>
      <c r="K6" cm="1">
        <f t="array" ref="K6:K206">_xll.FDS(K5,"P_PRICE(0,-200D)")</f>
        <v>24.98</v>
      </c>
      <c r="L6" cm="1">
        <f t="array" ref="L6:L206">_xll.FDS(L5,"P_PRICE(0,-200D)")</f>
        <v>146.51</v>
      </c>
      <c r="M6" cm="1">
        <f t="array" ref="M6:M206">_xll.FDS(M5,"P_PRICE(0,-200D)")</f>
        <v>19.05</v>
      </c>
      <c r="N6" cm="1">
        <f t="array" ref="N6:N206">_xll.FDS(N5,"P_PRICE(0,-200D)")</f>
        <v>59.64</v>
      </c>
      <c r="O6" cm="1">
        <f t="array" ref="O6:O206">_xll.FDS(O5,"P_PRICE(0,-200D)")</f>
        <v>93.48</v>
      </c>
      <c r="P6" cm="1">
        <f t="array" ref="P6:P206">_xll.FDS(P5,"P_PRICE(0,-200D)")</f>
        <v>111.13</v>
      </c>
      <c r="Q6" cm="1">
        <f t="array" ref="Q6:Q206">_xll.FDS(Q5,"P_PRICE(0,-200D)")</f>
        <v>79.37</v>
      </c>
    </row>
    <row r="7" spans="2:17" x14ac:dyDescent="0.35">
      <c r="B7" s="2">
        <v>45455</v>
      </c>
      <c r="C7">
        <v>742.34</v>
      </c>
      <c r="D7">
        <v>20.69</v>
      </c>
      <c r="E7">
        <v>131.69</v>
      </c>
      <c r="F7">
        <v>125.04</v>
      </c>
      <c r="G7">
        <v>91.11</v>
      </c>
      <c r="H7">
        <v>91.84</v>
      </c>
      <c r="I7">
        <v>71.81</v>
      </c>
      <c r="J7">
        <v>37.03</v>
      </c>
      <c r="K7">
        <v>25.06</v>
      </c>
      <c r="L7">
        <v>145.25</v>
      </c>
      <c r="M7">
        <v>18.89</v>
      </c>
      <c r="N7">
        <v>60.16</v>
      </c>
      <c r="O7">
        <v>93.28</v>
      </c>
      <c r="P7">
        <v>110.86</v>
      </c>
      <c r="Q7">
        <v>78.98</v>
      </c>
    </row>
    <row r="8" spans="2:17" x14ac:dyDescent="0.35">
      <c r="B8" s="2">
        <v>45454</v>
      </c>
      <c r="C8">
        <v>733.91</v>
      </c>
      <c r="D8">
        <v>20.72</v>
      </c>
      <c r="E8">
        <v>130.30000000000001</v>
      </c>
      <c r="F8">
        <v>125.1</v>
      </c>
      <c r="G8">
        <v>90.62</v>
      </c>
      <c r="H8">
        <v>91.5</v>
      </c>
      <c r="I8">
        <v>71.25</v>
      </c>
      <c r="J8">
        <v>36.65</v>
      </c>
      <c r="K8">
        <v>24.88</v>
      </c>
      <c r="L8">
        <v>144.78</v>
      </c>
      <c r="M8">
        <v>19.02</v>
      </c>
      <c r="N8">
        <v>60.41</v>
      </c>
      <c r="O8">
        <v>91.63</v>
      </c>
      <c r="P8">
        <v>109.77</v>
      </c>
      <c r="Q8">
        <v>78.53</v>
      </c>
    </row>
    <row r="9" spans="2:17" x14ac:dyDescent="0.35">
      <c r="B9" s="2">
        <v>45453</v>
      </c>
      <c r="C9">
        <v>730.57</v>
      </c>
      <c r="D9">
        <v>20.47</v>
      </c>
      <c r="E9">
        <v>131.27000000000001</v>
      </c>
      <c r="F9">
        <v>124.86</v>
      </c>
      <c r="G9">
        <v>89.9</v>
      </c>
      <c r="H9">
        <v>91</v>
      </c>
      <c r="I9">
        <v>70.75</v>
      </c>
      <c r="J9">
        <v>36.799999999999997</v>
      </c>
      <c r="K9">
        <v>25</v>
      </c>
      <c r="L9">
        <v>143.76</v>
      </c>
      <c r="M9">
        <v>19.09</v>
      </c>
      <c r="N9">
        <v>60.56</v>
      </c>
      <c r="O9">
        <v>90.38</v>
      </c>
      <c r="P9">
        <v>109.1</v>
      </c>
      <c r="Q9">
        <v>78.19</v>
      </c>
    </row>
    <row r="10" spans="2:17" x14ac:dyDescent="0.35">
      <c r="B10" s="2">
        <v>45450</v>
      </c>
      <c r="C10">
        <v>724.9</v>
      </c>
      <c r="D10">
        <v>20.55</v>
      </c>
      <c r="E10">
        <v>130.03</v>
      </c>
      <c r="F10">
        <v>124.16</v>
      </c>
      <c r="G10">
        <v>89.32</v>
      </c>
      <c r="H10">
        <v>90.3</v>
      </c>
      <c r="I10">
        <v>70.2</v>
      </c>
      <c r="J10">
        <v>36.200000000000003</v>
      </c>
      <c r="K10">
        <v>24.86</v>
      </c>
      <c r="L10">
        <v>142.93</v>
      </c>
      <c r="M10">
        <v>18.73</v>
      </c>
      <c r="N10">
        <v>60.7</v>
      </c>
      <c r="O10">
        <v>89.73</v>
      </c>
      <c r="P10">
        <v>108.44</v>
      </c>
      <c r="Q10">
        <v>78.28</v>
      </c>
    </row>
    <row r="11" spans="2:17" x14ac:dyDescent="0.35">
      <c r="B11" s="2">
        <v>45449</v>
      </c>
      <c r="C11">
        <v>715.02</v>
      </c>
      <c r="D11">
        <v>20.16</v>
      </c>
      <c r="E11">
        <v>128.19</v>
      </c>
      <c r="F11">
        <v>123.16</v>
      </c>
      <c r="G11">
        <v>87.27</v>
      </c>
      <c r="H11">
        <v>88.75</v>
      </c>
      <c r="I11">
        <v>69.069999999999993</v>
      </c>
      <c r="J11">
        <v>35.69</v>
      </c>
      <c r="K11">
        <v>23.69</v>
      </c>
      <c r="L11">
        <v>140.35</v>
      </c>
      <c r="M11">
        <v>18.63</v>
      </c>
      <c r="N11">
        <v>59.96</v>
      </c>
      <c r="O11">
        <v>87.67</v>
      </c>
      <c r="P11">
        <v>106.78</v>
      </c>
      <c r="Q11">
        <v>76.900000000000006</v>
      </c>
    </row>
    <row r="12" spans="2:17" x14ac:dyDescent="0.35">
      <c r="B12" s="2">
        <v>45448</v>
      </c>
      <c r="C12">
        <v>696.16</v>
      </c>
      <c r="D12">
        <v>20.14</v>
      </c>
      <c r="E12">
        <v>125.84</v>
      </c>
      <c r="F12">
        <v>121</v>
      </c>
      <c r="G12">
        <v>85.43</v>
      </c>
      <c r="H12">
        <v>87.51</v>
      </c>
      <c r="I12">
        <v>67.709999999999994</v>
      </c>
      <c r="J12">
        <v>35.840000000000003</v>
      </c>
      <c r="K12">
        <v>24.73</v>
      </c>
      <c r="L12">
        <v>138.85</v>
      </c>
      <c r="M12">
        <v>18.420000000000002</v>
      </c>
      <c r="N12">
        <v>60.53</v>
      </c>
      <c r="O12">
        <v>85.01</v>
      </c>
      <c r="P12">
        <v>104.51</v>
      </c>
      <c r="Q12">
        <v>75.34</v>
      </c>
    </row>
    <row r="13" spans="2:17" x14ac:dyDescent="0.35">
      <c r="B13" s="2">
        <v>45447</v>
      </c>
      <c r="C13">
        <v>686.42</v>
      </c>
      <c r="D13">
        <v>19.21</v>
      </c>
      <c r="E13">
        <v>129.44999999999999</v>
      </c>
      <c r="F13">
        <v>121</v>
      </c>
      <c r="G13">
        <v>88.04</v>
      </c>
      <c r="H13">
        <v>89.14</v>
      </c>
      <c r="I13">
        <v>70.13</v>
      </c>
      <c r="J13">
        <v>35.57</v>
      </c>
      <c r="K13">
        <v>24.82</v>
      </c>
      <c r="L13">
        <v>134.19999999999999</v>
      </c>
      <c r="M13">
        <v>17.78</v>
      </c>
      <c r="N13">
        <v>57.89</v>
      </c>
      <c r="O13">
        <v>87</v>
      </c>
      <c r="P13">
        <v>103.11</v>
      </c>
      <c r="Q13">
        <v>77.989999999999995</v>
      </c>
    </row>
    <row r="14" spans="2:17" x14ac:dyDescent="0.35">
      <c r="B14" s="2">
        <v>45446</v>
      </c>
      <c r="C14">
        <v>798.89</v>
      </c>
      <c r="D14">
        <v>20</v>
      </c>
      <c r="E14">
        <v>130.11000000000001</v>
      </c>
      <c r="F14">
        <v>121.5</v>
      </c>
      <c r="G14">
        <v>94.59</v>
      </c>
      <c r="H14">
        <v>93.69</v>
      </c>
      <c r="I14">
        <v>72.680000000000007</v>
      </c>
      <c r="J14">
        <v>35.64</v>
      </c>
      <c r="K14">
        <v>25.2</v>
      </c>
      <c r="L14">
        <v>142.66</v>
      </c>
      <c r="M14">
        <v>18.27</v>
      </c>
      <c r="N14">
        <v>56.59</v>
      </c>
      <c r="O14">
        <v>98.75</v>
      </c>
      <c r="P14">
        <v>115.92</v>
      </c>
      <c r="Q14">
        <v>78.59</v>
      </c>
    </row>
    <row r="15" spans="2:17" x14ac:dyDescent="0.35">
      <c r="B15" s="2">
        <v>45443</v>
      </c>
      <c r="C15">
        <v>738.06</v>
      </c>
      <c r="D15">
        <v>19.73</v>
      </c>
      <c r="E15">
        <v>125.69</v>
      </c>
      <c r="F15">
        <v>119.41</v>
      </c>
      <c r="G15">
        <v>89.36</v>
      </c>
      <c r="H15">
        <v>89.57</v>
      </c>
      <c r="I15">
        <v>69.31</v>
      </c>
      <c r="J15">
        <v>35.1</v>
      </c>
      <c r="K15">
        <v>24.4</v>
      </c>
      <c r="L15">
        <v>138.61000000000001</v>
      </c>
      <c r="M15">
        <v>18.18</v>
      </c>
      <c r="N15">
        <v>56.34</v>
      </c>
      <c r="O15">
        <v>91.73</v>
      </c>
      <c r="P15">
        <v>109.37</v>
      </c>
      <c r="Q15">
        <v>75.900000000000006</v>
      </c>
    </row>
    <row r="16" spans="2:17" x14ac:dyDescent="0.35">
      <c r="B16" s="2">
        <v>45442</v>
      </c>
      <c r="C16">
        <v>728.3</v>
      </c>
      <c r="D16">
        <v>19.7</v>
      </c>
      <c r="E16">
        <v>126.2</v>
      </c>
      <c r="F16">
        <v>121.38</v>
      </c>
      <c r="G16">
        <v>89.28</v>
      </c>
      <c r="H16">
        <v>88.69</v>
      </c>
      <c r="I16">
        <v>69.099999999999994</v>
      </c>
      <c r="J16">
        <v>35.6</v>
      </c>
      <c r="K16">
        <v>24.26</v>
      </c>
      <c r="L16">
        <v>138.79</v>
      </c>
      <c r="M16">
        <v>18.03</v>
      </c>
      <c r="N16">
        <v>56.46</v>
      </c>
      <c r="O16">
        <v>90.62</v>
      </c>
      <c r="P16">
        <v>108.77</v>
      </c>
      <c r="Q16">
        <v>75.89</v>
      </c>
    </row>
    <row r="17" spans="2:17" x14ac:dyDescent="0.35">
      <c r="B17" s="2">
        <v>45441</v>
      </c>
      <c r="C17">
        <v>732.05</v>
      </c>
      <c r="D17">
        <v>19.989999999999998</v>
      </c>
      <c r="E17">
        <v>127.93</v>
      </c>
      <c r="F17">
        <v>123.45</v>
      </c>
      <c r="G17">
        <v>89.36</v>
      </c>
      <c r="H17">
        <v>90.26</v>
      </c>
      <c r="I17">
        <v>70.25</v>
      </c>
      <c r="J17">
        <v>35.89</v>
      </c>
      <c r="K17">
        <v>24.27</v>
      </c>
      <c r="L17">
        <v>141.33000000000001</v>
      </c>
      <c r="M17">
        <v>18.239999999999998</v>
      </c>
      <c r="N17">
        <v>57.25</v>
      </c>
      <c r="O17">
        <v>91.97</v>
      </c>
      <c r="P17">
        <v>109.94</v>
      </c>
      <c r="Q17">
        <v>76.819999999999993</v>
      </c>
    </row>
    <row r="18" spans="2:17" x14ac:dyDescent="0.35">
      <c r="B18" s="2">
        <v>45440</v>
      </c>
      <c r="C18">
        <v>735.69</v>
      </c>
      <c r="D18">
        <v>20.03</v>
      </c>
      <c r="E18">
        <v>128.78</v>
      </c>
      <c r="F18">
        <v>122.31</v>
      </c>
      <c r="G18">
        <v>89.66</v>
      </c>
      <c r="H18">
        <v>91.1</v>
      </c>
      <c r="I18">
        <v>70.069999999999993</v>
      </c>
      <c r="J18">
        <v>35.85</v>
      </c>
      <c r="K18">
        <v>24.51</v>
      </c>
      <c r="L18">
        <v>140.66</v>
      </c>
      <c r="M18">
        <v>18.41</v>
      </c>
      <c r="N18">
        <v>57.48</v>
      </c>
      <c r="O18">
        <v>91.76</v>
      </c>
      <c r="P18">
        <v>110.01</v>
      </c>
      <c r="Q18">
        <v>77.239999999999995</v>
      </c>
    </row>
    <row r="19" spans="2:17" x14ac:dyDescent="0.35">
      <c r="B19" s="2">
        <v>45439</v>
      </c>
      <c r="C19">
        <v>741.69</v>
      </c>
      <c r="D19">
        <v>20.02</v>
      </c>
      <c r="E19">
        <v>128.44</v>
      </c>
      <c r="F19">
        <v>122</v>
      </c>
      <c r="G19">
        <v>90.36</v>
      </c>
      <c r="H19">
        <v>92.02</v>
      </c>
      <c r="I19">
        <v>70.67</v>
      </c>
      <c r="J19">
        <v>35.880000000000003</v>
      </c>
      <c r="K19">
        <v>24.71</v>
      </c>
      <c r="L19">
        <v>141.06</v>
      </c>
      <c r="M19">
        <v>18.29</v>
      </c>
      <c r="N19">
        <v>57.5</v>
      </c>
      <c r="O19">
        <v>93.34</v>
      </c>
      <c r="P19">
        <v>110.94</v>
      </c>
      <c r="Q19">
        <v>77.650000000000006</v>
      </c>
    </row>
    <row r="20" spans="2:17" x14ac:dyDescent="0.35">
      <c r="B20" s="2">
        <v>45436</v>
      </c>
      <c r="C20">
        <v>734.42</v>
      </c>
      <c r="D20">
        <v>19.98</v>
      </c>
      <c r="E20">
        <v>128.62</v>
      </c>
      <c r="F20">
        <v>121.73</v>
      </c>
      <c r="G20">
        <v>90.49</v>
      </c>
      <c r="H20">
        <v>91.91</v>
      </c>
      <c r="I20">
        <v>70.489999999999995</v>
      </c>
      <c r="J20">
        <v>35.93</v>
      </c>
      <c r="K20">
        <v>24.36</v>
      </c>
      <c r="L20">
        <v>141.05000000000001</v>
      </c>
      <c r="M20">
        <v>18.32</v>
      </c>
      <c r="N20">
        <v>57.79</v>
      </c>
      <c r="O20">
        <v>94.24</v>
      </c>
      <c r="P20">
        <v>111.07</v>
      </c>
      <c r="Q20">
        <v>77.58</v>
      </c>
    </row>
    <row r="21" spans="2:17" x14ac:dyDescent="0.35">
      <c r="B21" s="2">
        <v>45435</v>
      </c>
      <c r="C21">
        <v>732.76</v>
      </c>
      <c r="D21">
        <v>19.850000000000001</v>
      </c>
      <c r="E21">
        <v>129.03</v>
      </c>
      <c r="F21">
        <v>122.9</v>
      </c>
      <c r="G21">
        <v>90.15</v>
      </c>
      <c r="H21">
        <v>91.62</v>
      </c>
      <c r="I21">
        <v>69.599999999999994</v>
      </c>
      <c r="J21">
        <v>35.85</v>
      </c>
      <c r="K21">
        <v>24.43</v>
      </c>
      <c r="L21">
        <v>140.97</v>
      </c>
      <c r="M21">
        <v>18.350000000000001</v>
      </c>
      <c r="N21">
        <v>57.96</v>
      </c>
      <c r="O21">
        <v>93.54</v>
      </c>
      <c r="P21">
        <v>110.38</v>
      </c>
      <c r="Q21">
        <v>77.44</v>
      </c>
    </row>
    <row r="22" spans="2:17" x14ac:dyDescent="0.35">
      <c r="B22" s="2">
        <v>45434</v>
      </c>
      <c r="C22">
        <v>723.22</v>
      </c>
      <c r="D22">
        <v>19.760000000000002</v>
      </c>
      <c r="E22">
        <v>127.94</v>
      </c>
      <c r="F22">
        <v>123.36</v>
      </c>
      <c r="G22">
        <v>89</v>
      </c>
      <c r="H22">
        <v>91.45</v>
      </c>
      <c r="I22">
        <v>69.22</v>
      </c>
      <c r="J22">
        <v>35.869999999999997</v>
      </c>
      <c r="K22">
        <v>24.01</v>
      </c>
      <c r="L22">
        <v>139.63</v>
      </c>
      <c r="M22">
        <v>18.260000000000002</v>
      </c>
      <c r="N22">
        <v>57.98</v>
      </c>
      <c r="O22">
        <v>93.6</v>
      </c>
      <c r="P22">
        <v>109.6</v>
      </c>
      <c r="Q22">
        <v>77</v>
      </c>
    </row>
    <row r="23" spans="2:17" x14ac:dyDescent="0.35">
      <c r="B23" s="2">
        <v>45433</v>
      </c>
      <c r="C23">
        <v>719.42</v>
      </c>
      <c r="D23">
        <v>19.600000000000001</v>
      </c>
      <c r="E23">
        <v>127.99</v>
      </c>
      <c r="F23">
        <v>127</v>
      </c>
      <c r="G23">
        <v>88.61</v>
      </c>
      <c r="H23">
        <v>90.97</v>
      </c>
      <c r="I23">
        <v>69.05</v>
      </c>
      <c r="J23">
        <v>36.119999999999997</v>
      </c>
      <c r="K23">
        <v>24.13</v>
      </c>
      <c r="L23">
        <v>138.65</v>
      </c>
      <c r="M23">
        <v>18.23</v>
      </c>
      <c r="N23">
        <v>57.04</v>
      </c>
      <c r="O23">
        <v>92.72</v>
      </c>
      <c r="P23">
        <v>109.1</v>
      </c>
      <c r="Q23">
        <v>76.56</v>
      </c>
    </row>
    <row r="24" spans="2:17" x14ac:dyDescent="0.35">
      <c r="B24" s="2">
        <v>45429</v>
      </c>
      <c r="C24">
        <v>707.84</v>
      </c>
      <c r="D24">
        <v>19.399999999999999</v>
      </c>
      <c r="E24">
        <v>127.41</v>
      </c>
      <c r="F24">
        <v>121.92</v>
      </c>
      <c r="G24">
        <v>87.84</v>
      </c>
      <c r="H24">
        <v>88.83</v>
      </c>
      <c r="I24">
        <v>67.849999999999994</v>
      </c>
      <c r="J24">
        <v>35.619999999999997</v>
      </c>
      <c r="K24">
        <v>24.24</v>
      </c>
      <c r="L24">
        <v>138.86000000000001</v>
      </c>
      <c r="M24">
        <v>18.2</v>
      </c>
      <c r="N24">
        <v>57.21</v>
      </c>
      <c r="O24">
        <v>88.74</v>
      </c>
      <c r="P24">
        <v>107.43</v>
      </c>
      <c r="Q24">
        <v>75.569999999999993</v>
      </c>
    </row>
    <row r="25" spans="2:17" x14ac:dyDescent="0.35">
      <c r="B25" s="2">
        <v>45428</v>
      </c>
      <c r="C25">
        <v>705.19</v>
      </c>
      <c r="D25">
        <v>19.25</v>
      </c>
      <c r="E25">
        <v>126.7</v>
      </c>
      <c r="F25">
        <v>121</v>
      </c>
      <c r="G25">
        <v>87.27</v>
      </c>
      <c r="H25">
        <v>87.96</v>
      </c>
      <c r="I25">
        <v>67.16</v>
      </c>
      <c r="J25">
        <v>35.72</v>
      </c>
      <c r="K25">
        <v>23.99</v>
      </c>
      <c r="L25">
        <v>135</v>
      </c>
      <c r="M25">
        <v>18.18</v>
      </c>
      <c r="N25">
        <v>56.98</v>
      </c>
      <c r="O25">
        <v>87.7</v>
      </c>
      <c r="P25">
        <v>106.29</v>
      </c>
      <c r="Q25">
        <v>75.540000000000006</v>
      </c>
    </row>
    <row r="26" spans="2:17" x14ac:dyDescent="0.35">
      <c r="B26" s="2">
        <v>45427</v>
      </c>
      <c r="C26">
        <v>710.44</v>
      </c>
      <c r="D26">
        <v>19.100000000000001</v>
      </c>
      <c r="E26">
        <v>126.41</v>
      </c>
      <c r="F26">
        <v>120.43</v>
      </c>
      <c r="G26">
        <v>86.56</v>
      </c>
      <c r="H26">
        <v>88.13</v>
      </c>
      <c r="I26">
        <v>66.48</v>
      </c>
      <c r="J26">
        <v>35.53</v>
      </c>
      <c r="K26">
        <v>23.97</v>
      </c>
      <c r="L26">
        <v>133.88</v>
      </c>
      <c r="M26">
        <v>18.05</v>
      </c>
      <c r="N26">
        <v>56.87</v>
      </c>
      <c r="O26">
        <v>87.43</v>
      </c>
      <c r="P26">
        <v>105.87</v>
      </c>
      <c r="Q26">
        <v>75.069999999999993</v>
      </c>
    </row>
    <row r="27" spans="2:17" x14ac:dyDescent="0.35">
      <c r="B27" s="2">
        <v>45426</v>
      </c>
      <c r="C27">
        <v>704.06</v>
      </c>
      <c r="D27">
        <v>19.149999999999999</v>
      </c>
      <c r="E27">
        <v>126.09</v>
      </c>
      <c r="F27">
        <v>122</v>
      </c>
      <c r="G27">
        <v>85.89</v>
      </c>
      <c r="H27">
        <v>87.19</v>
      </c>
      <c r="I27">
        <v>66.150000000000006</v>
      </c>
      <c r="J27">
        <v>35.47</v>
      </c>
      <c r="K27">
        <v>24.02</v>
      </c>
      <c r="L27">
        <v>132.77000000000001</v>
      </c>
      <c r="M27">
        <v>18.170000000000002</v>
      </c>
      <c r="N27">
        <v>57.21</v>
      </c>
      <c r="O27">
        <v>86.02</v>
      </c>
      <c r="P27">
        <v>104.95</v>
      </c>
      <c r="Q27">
        <v>74.53</v>
      </c>
    </row>
    <row r="28" spans="2:17" x14ac:dyDescent="0.35">
      <c r="B28" s="2">
        <v>45425</v>
      </c>
      <c r="C28">
        <v>700.6</v>
      </c>
      <c r="D28">
        <v>18.920000000000002</v>
      </c>
      <c r="E28">
        <v>125.76</v>
      </c>
      <c r="F28">
        <v>121</v>
      </c>
      <c r="G28">
        <v>84.99</v>
      </c>
      <c r="H28">
        <v>85.73</v>
      </c>
      <c r="I28">
        <v>65.430000000000007</v>
      </c>
      <c r="J28">
        <v>35.33</v>
      </c>
      <c r="K28">
        <v>24</v>
      </c>
      <c r="L28">
        <v>131.72</v>
      </c>
      <c r="M28">
        <v>18.010000000000002</v>
      </c>
      <c r="N28">
        <v>57.58</v>
      </c>
      <c r="O28">
        <v>84.52</v>
      </c>
      <c r="P28">
        <v>103.46</v>
      </c>
      <c r="Q28">
        <v>74.209999999999994</v>
      </c>
    </row>
    <row r="29" spans="2:17" x14ac:dyDescent="0.35">
      <c r="B29" s="2">
        <v>45422</v>
      </c>
      <c r="C29">
        <v>705.94</v>
      </c>
      <c r="D29">
        <v>19.04</v>
      </c>
      <c r="E29">
        <v>125.95</v>
      </c>
      <c r="F29">
        <v>118.15</v>
      </c>
      <c r="G29">
        <v>84.78</v>
      </c>
      <c r="H29">
        <v>85.95</v>
      </c>
      <c r="I29">
        <v>65.510000000000005</v>
      </c>
      <c r="J29">
        <v>35.130000000000003</v>
      </c>
      <c r="K29">
        <v>23.89</v>
      </c>
      <c r="L29">
        <v>130.80000000000001</v>
      </c>
      <c r="M29">
        <v>17.98</v>
      </c>
      <c r="N29">
        <v>57.43</v>
      </c>
      <c r="O29">
        <v>85.07</v>
      </c>
      <c r="P29">
        <v>103.64</v>
      </c>
      <c r="Q29">
        <v>74.3</v>
      </c>
    </row>
    <row r="30" spans="2:17" x14ac:dyDescent="0.35">
      <c r="B30" s="2">
        <v>45421</v>
      </c>
      <c r="C30">
        <v>701.34</v>
      </c>
      <c r="D30">
        <v>18.788</v>
      </c>
      <c r="E30">
        <v>124.73</v>
      </c>
      <c r="F30">
        <v>118.22</v>
      </c>
      <c r="G30">
        <v>83.94</v>
      </c>
      <c r="H30">
        <v>84.92</v>
      </c>
      <c r="I30">
        <v>64.790000000000006</v>
      </c>
      <c r="J30">
        <v>34.72</v>
      </c>
      <c r="K30">
        <v>23.74</v>
      </c>
      <c r="L30">
        <v>129.22999999999999</v>
      </c>
      <c r="M30">
        <v>17.78</v>
      </c>
      <c r="N30">
        <v>56.798999999999999</v>
      </c>
      <c r="O30">
        <v>83.76</v>
      </c>
      <c r="P30">
        <v>102.38</v>
      </c>
      <c r="Q30">
        <v>73.92</v>
      </c>
    </row>
    <row r="31" spans="2:17" x14ac:dyDescent="0.35">
      <c r="B31" s="2">
        <v>45420</v>
      </c>
      <c r="C31">
        <v>710.71</v>
      </c>
      <c r="D31">
        <v>18.832000000000001</v>
      </c>
      <c r="E31">
        <v>125.9</v>
      </c>
      <c r="F31">
        <v>120.7</v>
      </c>
      <c r="G31">
        <v>86.05</v>
      </c>
      <c r="H31">
        <v>86.8</v>
      </c>
      <c r="I31">
        <v>65.900000000000006</v>
      </c>
      <c r="J31">
        <v>35.47</v>
      </c>
      <c r="K31">
        <v>24.09</v>
      </c>
      <c r="L31">
        <v>131.59</v>
      </c>
      <c r="M31">
        <v>18.09</v>
      </c>
      <c r="N31">
        <v>58.094999999999999</v>
      </c>
      <c r="O31">
        <v>86.32</v>
      </c>
      <c r="P31">
        <v>105.79</v>
      </c>
      <c r="Q31">
        <v>75.010000000000005</v>
      </c>
    </row>
    <row r="32" spans="2:17" x14ac:dyDescent="0.35">
      <c r="B32" s="2">
        <v>45419</v>
      </c>
      <c r="C32">
        <v>705.43</v>
      </c>
      <c r="D32">
        <v>18.997</v>
      </c>
      <c r="E32">
        <v>125.85</v>
      </c>
      <c r="F32">
        <v>122.89</v>
      </c>
      <c r="G32">
        <v>85.04</v>
      </c>
      <c r="H32">
        <v>85.97</v>
      </c>
      <c r="I32">
        <v>64.63</v>
      </c>
      <c r="J32">
        <v>35.159999999999997</v>
      </c>
      <c r="K32">
        <v>24.25</v>
      </c>
      <c r="L32">
        <v>129.31</v>
      </c>
      <c r="M32">
        <v>18.07</v>
      </c>
      <c r="N32">
        <v>57.987000000000002</v>
      </c>
      <c r="O32">
        <v>84.94</v>
      </c>
      <c r="P32">
        <v>104.32</v>
      </c>
      <c r="Q32">
        <v>74.680000000000007</v>
      </c>
    </row>
    <row r="33" spans="2:17" x14ac:dyDescent="0.35">
      <c r="B33" s="2">
        <v>45418</v>
      </c>
      <c r="C33">
        <v>803.39</v>
      </c>
      <c r="D33">
        <v>19.972000000000001</v>
      </c>
      <c r="E33">
        <v>126.4</v>
      </c>
      <c r="F33">
        <v>122.78</v>
      </c>
      <c r="G33">
        <v>86.42</v>
      </c>
      <c r="H33">
        <v>87.97</v>
      </c>
      <c r="I33">
        <v>66.010000000000005</v>
      </c>
      <c r="J33">
        <v>36</v>
      </c>
      <c r="K33">
        <v>24.55</v>
      </c>
      <c r="L33">
        <v>131.83000000000001</v>
      </c>
      <c r="M33">
        <v>18.079999999999998</v>
      </c>
      <c r="N33">
        <v>56.706000000000003</v>
      </c>
      <c r="O33">
        <v>87.25</v>
      </c>
      <c r="P33">
        <v>105.98</v>
      </c>
      <c r="Q33">
        <v>75.430000000000007</v>
      </c>
    </row>
    <row r="34" spans="2:17" x14ac:dyDescent="0.35">
      <c r="B34" s="2">
        <v>45415</v>
      </c>
      <c r="C34">
        <v>748.7</v>
      </c>
      <c r="D34">
        <v>19.25</v>
      </c>
      <c r="E34">
        <v>126.61</v>
      </c>
      <c r="F34">
        <v>122.02</v>
      </c>
      <c r="G34">
        <v>87.45</v>
      </c>
      <c r="H34">
        <v>88.89</v>
      </c>
      <c r="I34">
        <v>67.16</v>
      </c>
      <c r="J34">
        <v>35.72</v>
      </c>
      <c r="K34">
        <v>24.43</v>
      </c>
      <c r="L34">
        <v>131.85</v>
      </c>
      <c r="M34">
        <v>18.04</v>
      </c>
      <c r="N34">
        <v>56.74</v>
      </c>
      <c r="O34">
        <v>88.65</v>
      </c>
      <c r="P34">
        <v>107.74</v>
      </c>
      <c r="Q34">
        <v>75.709999999999994</v>
      </c>
    </row>
    <row r="35" spans="2:17" x14ac:dyDescent="0.35">
      <c r="B35" s="2">
        <v>45414</v>
      </c>
      <c r="C35">
        <v>749.41</v>
      </c>
      <c r="D35">
        <v>18.948</v>
      </c>
      <c r="E35">
        <v>126.65</v>
      </c>
      <c r="F35">
        <v>121.78</v>
      </c>
      <c r="G35">
        <v>88.05</v>
      </c>
      <c r="H35">
        <v>89.12</v>
      </c>
      <c r="I35">
        <v>66.959999999999994</v>
      </c>
      <c r="J35">
        <v>35.93</v>
      </c>
      <c r="K35">
        <v>24.66</v>
      </c>
      <c r="L35">
        <v>132.09</v>
      </c>
      <c r="M35">
        <v>18.2</v>
      </c>
      <c r="N35">
        <v>56.640003</v>
      </c>
      <c r="O35">
        <v>88.11</v>
      </c>
      <c r="P35">
        <v>108.25</v>
      </c>
      <c r="Q35">
        <v>75.77</v>
      </c>
    </row>
    <row r="36" spans="2:17" x14ac:dyDescent="0.35">
      <c r="B36" s="2">
        <v>45412</v>
      </c>
      <c r="C36">
        <v>751.75</v>
      </c>
      <c r="D36">
        <v>18.882002</v>
      </c>
      <c r="E36">
        <v>127</v>
      </c>
      <c r="F36">
        <v>121.3</v>
      </c>
      <c r="G36">
        <v>87.71</v>
      </c>
      <c r="H36">
        <v>88.75</v>
      </c>
      <c r="I36">
        <v>65.989999999999995</v>
      </c>
      <c r="J36">
        <v>35.71</v>
      </c>
      <c r="K36">
        <v>24.67</v>
      </c>
      <c r="L36">
        <v>131.69999999999999</v>
      </c>
      <c r="M36">
        <v>18.03</v>
      </c>
      <c r="N36">
        <v>56.475999999999999</v>
      </c>
      <c r="O36">
        <v>86.92</v>
      </c>
      <c r="P36">
        <v>107.18</v>
      </c>
      <c r="Q36">
        <v>74.989999999999995</v>
      </c>
    </row>
    <row r="37" spans="2:17" x14ac:dyDescent="0.35">
      <c r="B37" s="2">
        <v>45411</v>
      </c>
      <c r="C37">
        <v>751.54</v>
      </c>
      <c r="D37">
        <v>18.87</v>
      </c>
      <c r="E37">
        <v>127.17</v>
      </c>
      <c r="F37">
        <v>121.67</v>
      </c>
      <c r="G37">
        <v>87.76</v>
      </c>
      <c r="H37">
        <v>88.64</v>
      </c>
      <c r="I37">
        <v>64.88</v>
      </c>
      <c r="J37">
        <v>35.68</v>
      </c>
      <c r="K37">
        <v>24.63</v>
      </c>
      <c r="L37">
        <v>130.72</v>
      </c>
      <c r="M37">
        <v>18</v>
      </c>
      <c r="N37">
        <v>56.3</v>
      </c>
      <c r="O37">
        <v>86.5</v>
      </c>
      <c r="P37">
        <v>106.98</v>
      </c>
      <c r="Q37">
        <v>74.89</v>
      </c>
    </row>
    <row r="38" spans="2:17" x14ac:dyDescent="0.35">
      <c r="B38" s="2">
        <v>45408</v>
      </c>
      <c r="C38">
        <v>733.85</v>
      </c>
      <c r="D38">
        <v>19.033000000000001</v>
      </c>
      <c r="E38">
        <v>125.68</v>
      </c>
      <c r="F38">
        <v>121.9</v>
      </c>
      <c r="G38">
        <v>87.37</v>
      </c>
      <c r="H38">
        <v>87.87</v>
      </c>
      <c r="I38">
        <v>65.13</v>
      </c>
      <c r="J38">
        <v>35.42</v>
      </c>
      <c r="K38">
        <v>24.25</v>
      </c>
      <c r="L38">
        <v>130.58000000000001</v>
      </c>
      <c r="M38">
        <v>18.09</v>
      </c>
      <c r="N38">
        <v>56.460999999999999</v>
      </c>
      <c r="O38">
        <v>86.34</v>
      </c>
      <c r="P38">
        <v>106.34</v>
      </c>
      <c r="Q38">
        <v>74.72</v>
      </c>
    </row>
    <row r="39" spans="2:17" x14ac:dyDescent="0.35">
      <c r="B39" s="2">
        <v>45407</v>
      </c>
      <c r="C39">
        <v>734.08</v>
      </c>
      <c r="D39">
        <v>18.463000999999998</v>
      </c>
      <c r="E39">
        <v>125.77</v>
      </c>
      <c r="F39">
        <v>120.32</v>
      </c>
      <c r="G39">
        <v>87.15</v>
      </c>
      <c r="H39">
        <v>87.99</v>
      </c>
      <c r="I39">
        <v>64.48</v>
      </c>
      <c r="J39">
        <v>35.6</v>
      </c>
      <c r="K39">
        <v>24.21</v>
      </c>
      <c r="L39">
        <v>129.66</v>
      </c>
      <c r="M39">
        <v>17.89</v>
      </c>
      <c r="N39">
        <v>56.276000000000003</v>
      </c>
      <c r="O39">
        <v>85.84</v>
      </c>
      <c r="P39">
        <v>106.04</v>
      </c>
      <c r="Q39">
        <v>74.53</v>
      </c>
    </row>
    <row r="40" spans="2:17" x14ac:dyDescent="0.35">
      <c r="B40" s="2">
        <v>45406</v>
      </c>
      <c r="C40">
        <v>706.68</v>
      </c>
      <c r="D40">
        <v>18.759</v>
      </c>
      <c r="E40">
        <v>124.63</v>
      </c>
      <c r="F40">
        <v>119.91</v>
      </c>
      <c r="G40">
        <v>86.58</v>
      </c>
      <c r="H40">
        <v>87.37</v>
      </c>
      <c r="I40">
        <v>63.48</v>
      </c>
      <c r="J40">
        <v>35.26</v>
      </c>
      <c r="K40">
        <v>24.4</v>
      </c>
      <c r="L40">
        <v>128.19</v>
      </c>
      <c r="M40">
        <v>17.89</v>
      </c>
      <c r="N40">
        <v>56.100002000000003</v>
      </c>
      <c r="O40">
        <v>84.93</v>
      </c>
      <c r="P40">
        <v>104.33</v>
      </c>
      <c r="Q40">
        <v>73.83</v>
      </c>
    </row>
    <row r="41" spans="2:17" x14ac:dyDescent="0.35">
      <c r="B41" s="2">
        <v>45405</v>
      </c>
      <c r="C41">
        <v>710</v>
      </c>
      <c r="D41">
        <v>18.759</v>
      </c>
      <c r="E41">
        <v>124.06</v>
      </c>
      <c r="F41">
        <v>119.76</v>
      </c>
      <c r="G41">
        <v>86.28</v>
      </c>
      <c r="H41">
        <v>86.04</v>
      </c>
      <c r="I41">
        <v>63.21</v>
      </c>
      <c r="J41">
        <v>34.72</v>
      </c>
      <c r="K41">
        <v>24.07</v>
      </c>
      <c r="L41">
        <v>127.66</v>
      </c>
      <c r="M41">
        <v>17.899999999999999</v>
      </c>
      <c r="N41">
        <v>55.942999999999998</v>
      </c>
      <c r="O41">
        <v>83.99</v>
      </c>
      <c r="P41">
        <v>103.51</v>
      </c>
      <c r="Q41">
        <v>73.36</v>
      </c>
    </row>
    <row r="42" spans="2:17" x14ac:dyDescent="0.35">
      <c r="B42" s="2">
        <v>45404</v>
      </c>
      <c r="C42">
        <v>706.89</v>
      </c>
      <c r="D42">
        <v>18.203001</v>
      </c>
      <c r="E42">
        <v>123.55</v>
      </c>
      <c r="F42">
        <v>119.22</v>
      </c>
      <c r="G42">
        <v>86.13</v>
      </c>
      <c r="H42">
        <v>86.33</v>
      </c>
      <c r="I42">
        <v>63.02</v>
      </c>
      <c r="J42">
        <v>35.049999999999997</v>
      </c>
      <c r="K42">
        <v>24.15</v>
      </c>
      <c r="L42">
        <v>127.62</v>
      </c>
      <c r="M42">
        <v>18.03</v>
      </c>
      <c r="N42">
        <v>55.53</v>
      </c>
      <c r="O42">
        <v>83.41</v>
      </c>
      <c r="P42">
        <v>103.24</v>
      </c>
      <c r="Q42">
        <v>73.260000000000005</v>
      </c>
    </row>
    <row r="43" spans="2:17" x14ac:dyDescent="0.35">
      <c r="B43" s="2">
        <v>45401</v>
      </c>
      <c r="C43">
        <v>689.85</v>
      </c>
      <c r="D43">
        <v>18.315000000000001</v>
      </c>
      <c r="E43">
        <v>122.84</v>
      </c>
      <c r="F43">
        <v>117.77</v>
      </c>
      <c r="G43">
        <v>85.17</v>
      </c>
      <c r="H43">
        <v>85.98</v>
      </c>
      <c r="I43">
        <v>62.08</v>
      </c>
      <c r="J43">
        <v>34.76</v>
      </c>
      <c r="K43">
        <v>23.83</v>
      </c>
      <c r="L43">
        <v>126.32</v>
      </c>
      <c r="M43">
        <v>17.61</v>
      </c>
      <c r="N43">
        <v>55.231000000000002</v>
      </c>
      <c r="O43">
        <v>83.23</v>
      </c>
      <c r="P43">
        <v>102.28</v>
      </c>
      <c r="Q43">
        <v>72.53</v>
      </c>
    </row>
    <row r="44" spans="2:17" x14ac:dyDescent="0.35">
      <c r="B44" s="2">
        <v>45400</v>
      </c>
      <c r="C44">
        <v>693.96</v>
      </c>
      <c r="D44">
        <v>18.606999999999999</v>
      </c>
      <c r="E44">
        <v>122.36</v>
      </c>
      <c r="F44">
        <v>118.8</v>
      </c>
      <c r="G44">
        <v>85.1</v>
      </c>
      <c r="H44">
        <v>86</v>
      </c>
      <c r="I44">
        <v>62.33</v>
      </c>
      <c r="J44">
        <v>34.93</v>
      </c>
      <c r="K44">
        <v>24.05</v>
      </c>
      <c r="L44">
        <v>126.55</v>
      </c>
      <c r="M44">
        <v>17.71</v>
      </c>
      <c r="N44">
        <v>54.978003999999999</v>
      </c>
      <c r="O44">
        <v>83.38</v>
      </c>
      <c r="P44">
        <v>102.26</v>
      </c>
      <c r="Q44">
        <v>72.680000000000007</v>
      </c>
    </row>
    <row r="45" spans="2:17" x14ac:dyDescent="0.35">
      <c r="B45" s="2">
        <v>45398</v>
      </c>
      <c r="C45">
        <v>689.77</v>
      </c>
      <c r="D45">
        <v>18.768000000000001</v>
      </c>
      <c r="E45">
        <v>123.48</v>
      </c>
      <c r="F45">
        <v>120</v>
      </c>
      <c r="G45">
        <v>85.21</v>
      </c>
      <c r="H45">
        <v>85.99</v>
      </c>
      <c r="I45">
        <v>63.09</v>
      </c>
      <c r="J45">
        <v>35.29</v>
      </c>
      <c r="K45">
        <v>23.9</v>
      </c>
      <c r="L45">
        <v>126.63</v>
      </c>
      <c r="M45">
        <v>17.989999999999998</v>
      </c>
      <c r="N45">
        <v>55.404000000000003</v>
      </c>
      <c r="O45">
        <v>84.62</v>
      </c>
      <c r="P45">
        <v>103.28</v>
      </c>
      <c r="Q45">
        <v>73.13</v>
      </c>
    </row>
    <row r="46" spans="2:17" x14ac:dyDescent="0.35">
      <c r="B46" s="2">
        <v>45397</v>
      </c>
      <c r="C46">
        <v>702.27</v>
      </c>
      <c r="D46">
        <v>18.77</v>
      </c>
      <c r="E46">
        <v>128.27000000000001</v>
      </c>
      <c r="F46">
        <v>121.01</v>
      </c>
      <c r="G46">
        <v>85.23</v>
      </c>
      <c r="H46">
        <v>86.39</v>
      </c>
      <c r="I46">
        <v>63</v>
      </c>
      <c r="J46">
        <v>35.29</v>
      </c>
      <c r="K46">
        <v>24.3</v>
      </c>
      <c r="L46">
        <v>126.86</v>
      </c>
      <c r="M46">
        <v>18.010000000000002</v>
      </c>
      <c r="N46">
        <v>55.327002999999998</v>
      </c>
      <c r="O46">
        <v>84.14</v>
      </c>
      <c r="P46">
        <v>103.38</v>
      </c>
      <c r="Q46">
        <v>73.569999999999993</v>
      </c>
    </row>
    <row r="47" spans="2:17" x14ac:dyDescent="0.35">
      <c r="B47" s="2">
        <v>45394</v>
      </c>
      <c r="C47">
        <v>717.21</v>
      </c>
      <c r="D47">
        <v>18.77</v>
      </c>
      <c r="E47">
        <v>130.11000000000001</v>
      </c>
      <c r="F47">
        <v>121.34</v>
      </c>
      <c r="G47">
        <v>86.12</v>
      </c>
      <c r="H47">
        <v>87.19</v>
      </c>
      <c r="I47">
        <v>63.51</v>
      </c>
      <c r="J47">
        <v>35.56</v>
      </c>
      <c r="K47">
        <v>24.37</v>
      </c>
      <c r="L47">
        <v>127.27</v>
      </c>
      <c r="M47">
        <v>18.23</v>
      </c>
      <c r="N47">
        <v>56.010998000000001</v>
      </c>
      <c r="O47">
        <v>84.09</v>
      </c>
      <c r="P47">
        <v>104.14</v>
      </c>
      <c r="Q47">
        <v>74.39</v>
      </c>
    </row>
    <row r="48" spans="2:17" x14ac:dyDescent="0.35">
      <c r="B48" s="2">
        <v>45392</v>
      </c>
      <c r="C48">
        <v>723</v>
      </c>
      <c r="D48">
        <v>18.800001000000002</v>
      </c>
      <c r="E48">
        <v>126.95</v>
      </c>
      <c r="F48">
        <v>123.09</v>
      </c>
      <c r="G48">
        <v>86.92</v>
      </c>
      <c r="H48">
        <v>87.64</v>
      </c>
      <c r="I48">
        <v>64</v>
      </c>
      <c r="J48">
        <v>35.950000000000003</v>
      </c>
      <c r="K48">
        <v>24.65</v>
      </c>
      <c r="L48">
        <v>128.1</v>
      </c>
      <c r="M48">
        <v>18.47</v>
      </c>
      <c r="N48">
        <v>56.294002999999996</v>
      </c>
      <c r="O48">
        <v>84.74</v>
      </c>
      <c r="P48">
        <v>105.26</v>
      </c>
      <c r="Q48">
        <v>74.84</v>
      </c>
    </row>
    <row r="49" spans="2:17" x14ac:dyDescent="0.35">
      <c r="B49" s="2">
        <v>45391</v>
      </c>
      <c r="C49">
        <v>714.57</v>
      </c>
      <c r="D49">
        <v>18.850000000000001</v>
      </c>
      <c r="E49">
        <v>126.45</v>
      </c>
      <c r="F49">
        <v>123.45</v>
      </c>
      <c r="G49">
        <v>86.16</v>
      </c>
      <c r="H49">
        <v>86.84</v>
      </c>
      <c r="I49">
        <v>63.52</v>
      </c>
      <c r="J49">
        <v>35.92</v>
      </c>
      <c r="K49">
        <v>24.6</v>
      </c>
      <c r="L49">
        <v>127.81</v>
      </c>
      <c r="M49">
        <v>18.3</v>
      </c>
      <c r="N49">
        <v>55.963999999999999</v>
      </c>
      <c r="O49">
        <v>83.81</v>
      </c>
      <c r="P49">
        <v>104.3</v>
      </c>
      <c r="Q49">
        <v>74.2</v>
      </c>
    </row>
    <row r="50" spans="2:17" x14ac:dyDescent="0.35">
      <c r="B50" s="2">
        <v>45390</v>
      </c>
      <c r="C50">
        <v>720.28</v>
      </c>
      <c r="D50">
        <v>18.924002000000002</v>
      </c>
      <c r="E50">
        <v>126.27</v>
      </c>
      <c r="F50">
        <v>122.37</v>
      </c>
      <c r="G50">
        <v>86.45</v>
      </c>
      <c r="H50">
        <v>86.54</v>
      </c>
      <c r="I50">
        <v>63.8</v>
      </c>
      <c r="J50">
        <v>35.799999999999997</v>
      </c>
      <c r="K50">
        <v>24.35</v>
      </c>
      <c r="L50">
        <v>127.51</v>
      </c>
      <c r="M50">
        <v>18.22</v>
      </c>
      <c r="N50">
        <v>56.076000000000001</v>
      </c>
      <c r="O50">
        <v>83.98</v>
      </c>
      <c r="P50">
        <v>104.55</v>
      </c>
      <c r="Q50">
        <v>74.23</v>
      </c>
    </row>
    <row r="51" spans="2:17" x14ac:dyDescent="0.35">
      <c r="B51" s="2">
        <v>45387</v>
      </c>
      <c r="C51">
        <v>726.99</v>
      </c>
      <c r="D51">
        <v>19</v>
      </c>
      <c r="E51">
        <v>125.71</v>
      </c>
      <c r="F51">
        <v>122.45</v>
      </c>
      <c r="G51">
        <v>85.47</v>
      </c>
      <c r="H51">
        <v>86.18</v>
      </c>
      <c r="I51">
        <v>63.63</v>
      </c>
      <c r="J51">
        <v>35.799999999999997</v>
      </c>
      <c r="K51">
        <v>24.25</v>
      </c>
      <c r="L51">
        <v>126.23</v>
      </c>
      <c r="M51">
        <v>18.22</v>
      </c>
      <c r="N51">
        <v>56.167999999999999</v>
      </c>
      <c r="O51">
        <v>83.41</v>
      </c>
      <c r="P51">
        <v>103.81</v>
      </c>
      <c r="Q51">
        <v>74.23</v>
      </c>
    </row>
    <row r="52" spans="2:17" x14ac:dyDescent="0.35">
      <c r="B52" s="2">
        <v>45386</v>
      </c>
      <c r="C52">
        <v>719.84</v>
      </c>
      <c r="D52">
        <v>18.910001999999999</v>
      </c>
      <c r="E52">
        <v>124.94</v>
      </c>
      <c r="F52">
        <v>122.86</v>
      </c>
      <c r="G52">
        <v>85.92</v>
      </c>
      <c r="H52">
        <v>86.5</v>
      </c>
      <c r="I52">
        <v>63.77</v>
      </c>
      <c r="J52">
        <v>35.619999999999997</v>
      </c>
      <c r="K52">
        <v>24.09</v>
      </c>
      <c r="L52">
        <v>126.58</v>
      </c>
      <c r="M52">
        <v>18.48</v>
      </c>
      <c r="N52">
        <v>55.777003999999998</v>
      </c>
      <c r="O52">
        <v>82.97</v>
      </c>
      <c r="P52">
        <v>103.3</v>
      </c>
      <c r="Q52">
        <v>74.09</v>
      </c>
    </row>
    <row r="53" spans="2:17" x14ac:dyDescent="0.35">
      <c r="B53" s="2">
        <v>45385</v>
      </c>
      <c r="C53">
        <v>723.12</v>
      </c>
      <c r="D53">
        <v>18.93</v>
      </c>
      <c r="E53">
        <v>125.25</v>
      </c>
      <c r="F53">
        <v>123.47</v>
      </c>
      <c r="G53">
        <v>86.47</v>
      </c>
      <c r="H53">
        <v>86.35</v>
      </c>
      <c r="I53">
        <v>63.73</v>
      </c>
      <c r="J53">
        <v>35.61</v>
      </c>
      <c r="K53">
        <v>23.89</v>
      </c>
      <c r="L53">
        <v>126.75</v>
      </c>
      <c r="M53">
        <v>18.46</v>
      </c>
      <c r="N53">
        <v>56.036999999999999</v>
      </c>
      <c r="O53">
        <v>83.25</v>
      </c>
      <c r="P53">
        <v>103.98</v>
      </c>
      <c r="Q53">
        <v>74.02</v>
      </c>
    </row>
    <row r="54" spans="2:17" x14ac:dyDescent="0.35">
      <c r="B54" s="2">
        <v>45384</v>
      </c>
      <c r="C54">
        <v>709.25</v>
      </c>
      <c r="D54">
        <v>18.652999999999999</v>
      </c>
      <c r="E54">
        <v>126.4</v>
      </c>
      <c r="F54">
        <v>123.35</v>
      </c>
      <c r="G54">
        <v>86.25</v>
      </c>
      <c r="H54">
        <v>86.04</v>
      </c>
      <c r="I54">
        <v>63.44</v>
      </c>
      <c r="J54">
        <v>35.729999999999997</v>
      </c>
      <c r="K54">
        <v>23.96</v>
      </c>
      <c r="L54">
        <v>126.19</v>
      </c>
      <c r="M54">
        <v>18.13</v>
      </c>
      <c r="N54">
        <v>56.204998000000003</v>
      </c>
      <c r="O54">
        <v>82.48</v>
      </c>
      <c r="P54">
        <v>102.98</v>
      </c>
      <c r="Q54">
        <v>73.680000000000007</v>
      </c>
    </row>
    <row r="55" spans="2:17" x14ac:dyDescent="0.35">
      <c r="B55" s="2">
        <v>45383</v>
      </c>
      <c r="C55">
        <v>705.36</v>
      </c>
      <c r="D55">
        <v>18.792999999999999</v>
      </c>
      <c r="E55">
        <v>125.63</v>
      </c>
      <c r="F55">
        <v>123.35</v>
      </c>
      <c r="G55">
        <v>85.86</v>
      </c>
      <c r="H55">
        <v>85.1</v>
      </c>
      <c r="I55">
        <v>63.05</v>
      </c>
      <c r="J55">
        <v>35.53</v>
      </c>
      <c r="K55">
        <v>24</v>
      </c>
      <c r="L55">
        <v>124.66</v>
      </c>
      <c r="M55">
        <v>18.489999999999998</v>
      </c>
      <c r="N55">
        <v>56.091999999999999</v>
      </c>
      <c r="O55">
        <v>81.37</v>
      </c>
      <c r="P55">
        <v>102.41</v>
      </c>
      <c r="Q55">
        <v>73.44</v>
      </c>
    </row>
    <row r="56" spans="2:17" x14ac:dyDescent="0.35">
      <c r="B56" s="2">
        <v>45379</v>
      </c>
      <c r="C56">
        <v>695.76</v>
      </c>
      <c r="D56">
        <v>18.503</v>
      </c>
      <c r="E56">
        <v>125.24</v>
      </c>
      <c r="F56">
        <v>122.18</v>
      </c>
      <c r="G56">
        <v>85.49</v>
      </c>
      <c r="H56">
        <v>83.78</v>
      </c>
      <c r="I56">
        <v>62.45</v>
      </c>
      <c r="J56">
        <v>35.299999999999997</v>
      </c>
      <c r="K56">
        <v>23.74</v>
      </c>
      <c r="L56">
        <v>123.55</v>
      </c>
      <c r="M56">
        <v>18.309999999999999</v>
      </c>
      <c r="N56">
        <v>55.859997</v>
      </c>
      <c r="O56">
        <v>79.92</v>
      </c>
      <c r="P56">
        <v>100.83</v>
      </c>
      <c r="Q56">
        <v>70.7</v>
      </c>
    </row>
    <row r="57" spans="2:17" x14ac:dyDescent="0.35">
      <c r="B57" s="2">
        <v>45378</v>
      </c>
      <c r="C57">
        <v>682.56</v>
      </c>
      <c r="D57">
        <v>18.588999999999999</v>
      </c>
      <c r="E57">
        <v>125.05</v>
      </c>
      <c r="F57">
        <v>119.97</v>
      </c>
      <c r="G57">
        <v>84.51</v>
      </c>
      <c r="H57">
        <v>82.92</v>
      </c>
      <c r="I57">
        <v>61.36</v>
      </c>
      <c r="J57">
        <v>34.380000000000003</v>
      </c>
      <c r="K57">
        <v>23.5</v>
      </c>
      <c r="L57">
        <v>122.65</v>
      </c>
      <c r="M57">
        <v>18.28</v>
      </c>
      <c r="N57">
        <v>55.548999999999999</v>
      </c>
      <c r="O57">
        <v>78.790000000000006</v>
      </c>
      <c r="P57">
        <v>99.92</v>
      </c>
      <c r="Q57">
        <v>71.760000000000005</v>
      </c>
    </row>
    <row r="58" spans="2:17" x14ac:dyDescent="0.35">
      <c r="B58" s="2">
        <v>45377</v>
      </c>
      <c r="C58">
        <v>688.95</v>
      </c>
      <c r="D58">
        <v>18.72</v>
      </c>
      <c r="E58">
        <v>123.61</v>
      </c>
      <c r="F58">
        <v>119.97</v>
      </c>
      <c r="G58">
        <v>83.45</v>
      </c>
      <c r="H58">
        <v>82.91</v>
      </c>
      <c r="I58">
        <v>61.65</v>
      </c>
      <c r="J58">
        <v>34.950000000000003</v>
      </c>
      <c r="K58">
        <v>23.5</v>
      </c>
      <c r="L58">
        <v>121.69</v>
      </c>
      <c r="M58">
        <v>18.21</v>
      </c>
      <c r="N58">
        <v>55.692999999999998</v>
      </c>
      <c r="O58">
        <v>78.87</v>
      </c>
      <c r="P58">
        <v>99.85</v>
      </c>
      <c r="Q58">
        <v>72.14</v>
      </c>
    </row>
    <row r="59" spans="2:17" x14ac:dyDescent="0.35">
      <c r="B59" s="2">
        <v>45373</v>
      </c>
      <c r="C59">
        <v>685.51</v>
      </c>
      <c r="D59">
        <v>18.704999999999998</v>
      </c>
      <c r="E59">
        <v>124.5</v>
      </c>
      <c r="F59">
        <v>122</v>
      </c>
      <c r="G59">
        <v>83.14</v>
      </c>
      <c r="H59">
        <v>82.03</v>
      </c>
      <c r="I59">
        <v>61.31</v>
      </c>
      <c r="J59">
        <v>34.85</v>
      </c>
      <c r="K59">
        <v>23.69</v>
      </c>
      <c r="L59">
        <v>122.11</v>
      </c>
      <c r="M59">
        <v>18.34</v>
      </c>
      <c r="N59">
        <v>56.006999999999998</v>
      </c>
      <c r="O59">
        <v>78.83</v>
      </c>
      <c r="P59">
        <v>99.54</v>
      </c>
      <c r="Q59">
        <v>72.13</v>
      </c>
    </row>
    <row r="60" spans="2:17" x14ac:dyDescent="0.35">
      <c r="B60" s="2">
        <v>45372</v>
      </c>
      <c r="C60">
        <v>675.3</v>
      </c>
      <c r="D60">
        <v>18.573</v>
      </c>
      <c r="E60">
        <v>124.78</v>
      </c>
      <c r="F60">
        <v>117.85</v>
      </c>
      <c r="G60">
        <v>82.6</v>
      </c>
      <c r="H60">
        <v>82.1</v>
      </c>
      <c r="I60">
        <v>60.49</v>
      </c>
      <c r="J60">
        <v>34.590000000000003</v>
      </c>
      <c r="K60">
        <v>23.6</v>
      </c>
      <c r="L60">
        <v>120.01</v>
      </c>
      <c r="M60">
        <v>17.96</v>
      </c>
      <c r="N60">
        <v>55.463999999999999</v>
      </c>
      <c r="O60">
        <v>78.37</v>
      </c>
      <c r="P60">
        <v>98.32</v>
      </c>
      <c r="Q60">
        <v>72.11</v>
      </c>
    </row>
    <row r="61" spans="2:17" x14ac:dyDescent="0.35">
      <c r="B61" s="2">
        <v>45371</v>
      </c>
      <c r="C61">
        <v>666.64</v>
      </c>
      <c r="D61">
        <v>18.453001</v>
      </c>
      <c r="E61">
        <v>123.01</v>
      </c>
      <c r="F61">
        <v>117.01</v>
      </c>
      <c r="G61">
        <v>81.27</v>
      </c>
      <c r="H61">
        <v>79.97</v>
      </c>
      <c r="I61">
        <v>59.05</v>
      </c>
      <c r="J61">
        <v>34.22</v>
      </c>
      <c r="K61">
        <v>23.25</v>
      </c>
      <c r="L61">
        <v>118.18</v>
      </c>
      <c r="M61">
        <v>17.97</v>
      </c>
      <c r="N61">
        <v>55.390003</v>
      </c>
      <c r="O61">
        <v>76.17</v>
      </c>
      <c r="P61">
        <v>96.19</v>
      </c>
      <c r="Q61">
        <v>70.64</v>
      </c>
    </row>
    <row r="62" spans="2:17" x14ac:dyDescent="0.35">
      <c r="B62" s="2">
        <v>45370</v>
      </c>
      <c r="C62">
        <v>663.36</v>
      </c>
      <c r="D62">
        <v>18.399999999999999</v>
      </c>
      <c r="E62">
        <v>123.9</v>
      </c>
      <c r="F62">
        <v>117.57</v>
      </c>
      <c r="G62">
        <v>81.040000000000006</v>
      </c>
      <c r="H62">
        <v>80.260000000000005</v>
      </c>
      <c r="I62">
        <v>59.03</v>
      </c>
      <c r="J62">
        <v>34</v>
      </c>
      <c r="K62">
        <v>23.45</v>
      </c>
      <c r="L62">
        <v>117.74</v>
      </c>
      <c r="M62">
        <v>17.98</v>
      </c>
      <c r="N62">
        <v>54.896999999999998</v>
      </c>
      <c r="O62">
        <v>75.540000000000006</v>
      </c>
      <c r="P62">
        <v>95.5</v>
      </c>
      <c r="Q62">
        <v>70.52</v>
      </c>
    </row>
    <row r="63" spans="2:17" x14ac:dyDescent="0.35">
      <c r="B63" s="2">
        <v>45369</v>
      </c>
      <c r="C63">
        <v>680.18</v>
      </c>
      <c r="D63">
        <v>18.800001000000002</v>
      </c>
      <c r="E63">
        <v>125.53</v>
      </c>
      <c r="F63">
        <v>119.7</v>
      </c>
      <c r="G63">
        <v>82.14</v>
      </c>
      <c r="H63">
        <v>81.09</v>
      </c>
      <c r="I63">
        <v>60.02</v>
      </c>
      <c r="J63">
        <v>34.39</v>
      </c>
      <c r="K63">
        <v>23.4</v>
      </c>
      <c r="L63">
        <v>118.64</v>
      </c>
      <c r="M63">
        <v>18.03</v>
      </c>
      <c r="N63">
        <v>56.091000000000001</v>
      </c>
      <c r="O63">
        <v>76.52</v>
      </c>
      <c r="P63">
        <v>97.16</v>
      </c>
      <c r="Q63">
        <v>71.930000000000007</v>
      </c>
    </row>
    <row r="64" spans="2:17" x14ac:dyDescent="0.35">
      <c r="B64" s="2">
        <v>45366</v>
      </c>
      <c r="C64">
        <v>670.46</v>
      </c>
      <c r="D64">
        <v>18.938002000000001</v>
      </c>
      <c r="E64">
        <v>126.77</v>
      </c>
      <c r="F64">
        <v>118.6</v>
      </c>
      <c r="G64">
        <v>81.73</v>
      </c>
      <c r="H64">
        <v>80.84</v>
      </c>
      <c r="I64">
        <v>59.74</v>
      </c>
      <c r="J64">
        <v>34.36</v>
      </c>
      <c r="K64">
        <v>23.55</v>
      </c>
      <c r="L64">
        <v>118.21</v>
      </c>
      <c r="M64">
        <v>18.239999999999998</v>
      </c>
      <c r="N64">
        <v>56.465004</v>
      </c>
      <c r="O64">
        <v>76.290000000000006</v>
      </c>
      <c r="P64">
        <v>97.2</v>
      </c>
      <c r="Q64">
        <v>72.150000000000006</v>
      </c>
    </row>
    <row r="65" spans="2:17" x14ac:dyDescent="0.35">
      <c r="B65" s="2">
        <v>45365</v>
      </c>
      <c r="C65">
        <v>677.99</v>
      </c>
      <c r="D65">
        <v>18.689001000000001</v>
      </c>
      <c r="E65">
        <v>130.06</v>
      </c>
      <c r="F65">
        <v>119.7</v>
      </c>
      <c r="G65">
        <v>82.35</v>
      </c>
      <c r="H65">
        <v>81.17</v>
      </c>
      <c r="I65">
        <v>60.81</v>
      </c>
      <c r="J65">
        <v>34.68</v>
      </c>
      <c r="K65">
        <v>23.55</v>
      </c>
      <c r="L65">
        <v>118.08</v>
      </c>
      <c r="M65">
        <v>18.22</v>
      </c>
      <c r="N65">
        <v>55.973999999999997</v>
      </c>
      <c r="O65">
        <v>77.66</v>
      </c>
      <c r="P65">
        <v>98.98</v>
      </c>
      <c r="Q65">
        <v>72.86</v>
      </c>
    </row>
    <row r="66" spans="2:17" x14ac:dyDescent="0.35">
      <c r="B66" s="2">
        <v>45364</v>
      </c>
      <c r="C66">
        <v>672.91</v>
      </c>
      <c r="D66">
        <v>18.672000000000001</v>
      </c>
      <c r="E66">
        <v>134.19</v>
      </c>
      <c r="F66">
        <v>113.01</v>
      </c>
      <c r="G66">
        <v>81.13</v>
      </c>
      <c r="H66">
        <v>81</v>
      </c>
      <c r="I66">
        <v>60.42</v>
      </c>
      <c r="J66">
        <v>34.22</v>
      </c>
      <c r="K66">
        <v>23.49</v>
      </c>
      <c r="L66">
        <v>117.07</v>
      </c>
      <c r="M66">
        <v>18.05</v>
      </c>
      <c r="N66">
        <v>55.684998</v>
      </c>
      <c r="O66">
        <v>75.72</v>
      </c>
      <c r="P66">
        <v>97.32</v>
      </c>
      <c r="Q66">
        <v>71.64</v>
      </c>
    </row>
    <row r="67" spans="2:17" x14ac:dyDescent="0.35">
      <c r="B67" s="2">
        <v>45363</v>
      </c>
      <c r="C67">
        <v>703.44</v>
      </c>
      <c r="D67">
        <v>18.832000000000001</v>
      </c>
      <c r="E67">
        <v>126.33</v>
      </c>
      <c r="F67">
        <v>121.11</v>
      </c>
      <c r="G67">
        <v>84.22</v>
      </c>
      <c r="H67">
        <v>83.59</v>
      </c>
      <c r="I67">
        <v>62.76</v>
      </c>
      <c r="J67">
        <v>35.07</v>
      </c>
      <c r="K67">
        <v>23.85</v>
      </c>
      <c r="L67">
        <v>121.34</v>
      </c>
      <c r="M67">
        <v>18.420000000000002</v>
      </c>
      <c r="N67">
        <v>55.721995999999997</v>
      </c>
      <c r="O67">
        <v>81.31</v>
      </c>
      <c r="P67">
        <v>101.97</v>
      </c>
      <c r="Q67">
        <v>73.89</v>
      </c>
    </row>
    <row r="68" spans="2:17" x14ac:dyDescent="0.35">
      <c r="B68" s="2">
        <v>45362</v>
      </c>
      <c r="C68">
        <v>722.25</v>
      </c>
      <c r="D68">
        <v>19.137</v>
      </c>
      <c r="E68">
        <v>127.93</v>
      </c>
      <c r="F68">
        <v>121.5</v>
      </c>
      <c r="G68">
        <v>84.75</v>
      </c>
      <c r="H68">
        <v>84.75</v>
      </c>
      <c r="I68">
        <v>63.59</v>
      </c>
      <c r="J68">
        <v>35.07</v>
      </c>
      <c r="K68">
        <v>23.74</v>
      </c>
      <c r="L68">
        <v>122.25</v>
      </c>
      <c r="M68">
        <v>18.38</v>
      </c>
      <c r="N68">
        <v>56.3</v>
      </c>
      <c r="O68">
        <v>82.75</v>
      </c>
      <c r="P68">
        <v>103.68</v>
      </c>
      <c r="Q68">
        <v>74.45</v>
      </c>
    </row>
    <row r="69" spans="2:17" x14ac:dyDescent="0.35">
      <c r="B69" s="2">
        <v>45358</v>
      </c>
      <c r="C69">
        <v>727.96</v>
      </c>
      <c r="D69">
        <v>19.172999999999998</v>
      </c>
      <c r="E69">
        <v>128.34</v>
      </c>
      <c r="F69">
        <v>121.1</v>
      </c>
      <c r="G69">
        <v>85.36</v>
      </c>
      <c r="H69">
        <v>85.07</v>
      </c>
      <c r="I69">
        <v>63.44</v>
      </c>
      <c r="J69">
        <v>35.31</v>
      </c>
      <c r="K69">
        <v>23.93</v>
      </c>
      <c r="L69">
        <v>123.05</v>
      </c>
      <c r="M69">
        <v>18.53</v>
      </c>
      <c r="N69">
        <v>56.311999999999998</v>
      </c>
      <c r="O69">
        <v>83.96</v>
      </c>
      <c r="P69">
        <v>105.03</v>
      </c>
      <c r="Q69">
        <v>75.23</v>
      </c>
    </row>
    <row r="70" spans="2:17" x14ac:dyDescent="0.35">
      <c r="B70" s="2">
        <v>45357</v>
      </c>
      <c r="C70">
        <v>728.54</v>
      </c>
      <c r="D70">
        <v>18.894000999999999</v>
      </c>
      <c r="E70">
        <v>127.16</v>
      </c>
      <c r="F70">
        <v>121.11</v>
      </c>
      <c r="G70">
        <v>85.27</v>
      </c>
      <c r="H70">
        <v>84.74</v>
      </c>
      <c r="I70">
        <v>63.03</v>
      </c>
      <c r="J70">
        <v>35.159999999999997</v>
      </c>
      <c r="K70">
        <v>24.15</v>
      </c>
      <c r="L70">
        <v>121.91</v>
      </c>
      <c r="M70">
        <v>18.28</v>
      </c>
      <c r="N70">
        <v>55.975002000000003</v>
      </c>
      <c r="O70">
        <v>84</v>
      </c>
      <c r="P70">
        <v>104.7</v>
      </c>
      <c r="Q70">
        <v>74.64</v>
      </c>
    </row>
    <row r="71" spans="2:17" x14ac:dyDescent="0.35">
      <c r="B71" s="2">
        <v>45356</v>
      </c>
      <c r="C71">
        <v>726.65</v>
      </c>
      <c r="D71">
        <v>18.772000999999999</v>
      </c>
      <c r="E71">
        <v>126.4</v>
      </c>
      <c r="F71">
        <v>120.3</v>
      </c>
      <c r="G71">
        <v>85.4</v>
      </c>
      <c r="H71">
        <v>84.95</v>
      </c>
      <c r="I71">
        <v>62.96</v>
      </c>
      <c r="J71">
        <v>35</v>
      </c>
      <c r="K71">
        <v>23.85</v>
      </c>
      <c r="L71">
        <v>122.15</v>
      </c>
      <c r="M71">
        <v>18.260000000000002</v>
      </c>
      <c r="N71">
        <v>55.827002999999998</v>
      </c>
      <c r="O71">
        <v>84.61</v>
      </c>
      <c r="P71">
        <v>104.93</v>
      </c>
      <c r="Q71">
        <v>74.55</v>
      </c>
    </row>
    <row r="72" spans="2:17" x14ac:dyDescent="0.35">
      <c r="B72" s="2">
        <v>45355</v>
      </c>
      <c r="C72">
        <v>707</v>
      </c>
      <c r="D72">
        <v>18.850000000000001</v>
      </c>
      <c r="E72">
        <v>127.99</v>
      </c>
      <c r="F72">
        <v>120.55</v>
      </c>
      <c r="G72">
        <v>85.1</v>
      </c>
      <c r="H72">
        <v>84.78</v>
      </c>
      <c r="I72">
        <v>62.94</v>
      </c>
      <c r="J72">
        <v>35.11</v>
      </c>
      <c r="K72">
        <v>23.85</v>
      </c>
      <c r="L72">
        <v>121.23</v>
      </c>
      <c r="M72">
        <v>18.28</v>
      </c>
      <c r="N72">
        <v>56.385998000000001</v>
      </c>
      <c r="O72">
        <v>83.68</v>
      </c>
      <c r="P72">
        <v>104.23</v>
      </c>
      <c r="Q72">
        <v>74.739999999999995</v>
      </c>
    </row>
    <row r="73" spans="2:17" x14ac:dyDescent="0.35">
      <c r="B73" s="2">
        <v>45352</v>
      </c>
      <c r="C73">
        <v>704.19</v>
      </c>
      <c r="D73">
        <v>18.876000000000001</v>
      </c>
      <c r="E73">
        <v>127</v>
      </c>
      <c r="F73">
        <v>120.07</v>
      </c>
      <c r="G73">
        <v>84.15</v>
      </c>
      <c r="H73">
        <v>83.65</v>
      </c>
      <c r="I73">
        <v>61.45</v>
      </c>
      <c r="J73">
        <v>35.25</v>
      </c>
      <c r="K73">
        <v>23.79</v>
      </c>
      <c r="L73">
        <v>120.64</v>
      </c>
      <c r="M73">
        <v>18.329999999999998</v>
      </c>
      <c r="N73">
        <v>56.4</v>
      </c>
      <c r="O73">
        <v>81.569999999999993</v>
      </c>
      <c r="P73">
        <v>102.68</v>
      </c>
      <c r="Q73">
        <v>74.150000000000006</v>
      </c>
    </row>
    <row r="74" spans="2:17" x14ac:dyDescent="0.35">
      <c r="B74" s="2">
        <v>45351</v>
      </c>
      <c r="C74">
        <v>689.46</v>
      </c>
      <c r="D74">
        <v>18.7</v>
      </c>
      <c r="E74">
        <v>124.75</v>
      </c>
      <c r="F74">
        <v>121.65</v>
      </c>
      <c r="G74">
        <v>82.57</v>
      </c>
      <c r="H74">
        <v>81.709999999999994</v>
      </c>
      <c r="I74">
        <v>60.48</v>
      </c>
      <c r="J74">
        <v>35.369999999999997</v>
      </c>
      <c r="K74">
        <v>23.48</v>
      </c>
      <c r="L74">
        <v>119.11</v>
      </c>
      <c r="M74">
        <v>18.079999999999998</v>
      </c>
      <c r="N74">
        <v>56.079000000000001</v>
      </c>
      <c r="O74">
        <v>80.150000000000006</v>
      </c>
      <c r="P74">
        <v>100.47</v>
      </c>
      <c r="Q74">
        <v>73.25</v>
      </c>
    </row>
    <row r="75" spans="2:17" x14ac:dyDescent="0.35">
      <c r="B75" s="2">
        <v>45350</v>
      </c>
      <c r="C75">
        <v>681.75</v>
      </c>
      <c r="D75">
        <v>18.670000000000002</v>
      </c>
      <c r="E75">
        <v>126.16</v>
      </c>
      <c r="F75">
        <v>122.72</v>
      </c>
      <c r="G75">
        <v>82.44</v>
      </c>
      <c r="H75">
        <v>81.680000000000007</v>
      </c>
      <c r="I75">
        <v>60.44</v>
      </c>
      <c r="J75">
        <v>35.64</v>
      </c>
      <c r="K75">
        <v>23.21</v>
      </c>
      <c r="L75">
        <v>118.53</v>
      </c>
      <c r="M75">
        <v>18.190000000000001</v>
      </c>
      <c r="N75">
        <v>56.024999999999999</v>
      </c>
      <c r="O75">
        <v>80.069999999999993</v>
      </c>
      <c r="P75">
        <v>100.1</v>
      </c>
      <c r="Q75">
        <v>73.040000000000006</v>
      </c>
    </row>
    <row r="76" spans="2:17" x14ac:dyDescent="0.35">
      <c r="B76" s="2">
        <v>45349</v>
      </c>
      <c r="C76">
        <v>695.88</v>
      </c>
      <c r="D76">
        <v>18.880001</v>
      </c>
      <c r="E76">
        <v>126.48</v>
      </c>
      <c r="F76">
        <v>123.25</v>
      </c>
      <c r="G76">
        <v>83.75</v>
      </c>
      <c r="H76">
        <v>83.08</v>
      </c>
      <c r="I76">
        <v>61.08</v>
      </c>
      <c r="J76">
        <v>36.200000000000003</v>
      </c>
      <c r="K76">
        <v>23.59</v>
      </c>
      <c r="L76">
        <v>119.66</v>
      </c>
      <c r="M76">
        <v>18.18</v>
      </c>
      <c r="N76">
        <v>56.296996999999998</v>
      </c>
      <c r="O76">
        <v>81.27</v>
      </c>
      <c r="P76">
        <v>101.24</v>
      </c>
      <c r="Q76">
        <v>73.95</v>
      </c>
    </row>
    <row r="77" spans="2:17" x14ac:dyDescent="0.35">
      <c r="B77" s="2">
        <v>45348</v>
      </c>
      <c r="C77">
        <v>702.62</v>
      </c>
      <c r="D77">
        <v>18.895</v>
      </c>
      <c r="E77">
        <v>125.6</v>
      </c>
      <c r="F77">
        <v>139.86000000000001</v>
      </c>
      <c r="G77">
        <v>83.42</v>
      </c>
      <c r="H77">
        <v>83.33</v>
      </c>
      <c r="I77">
        <v>61.16</v>
      </c>
      <c r="J77">
        <v>35.99</v>
      </c>
      <c r="K77">
        <v>23.5</v>
      </c>
      <c r="L77">
        <v>119.76</v>
      </c>
      <c r="M77">
        <v>18.3</v>
      </c>
      <c r="N77">
        <v>56.497996999999998</v>
      </c>
      <c r="O77">
        <v>81.22</v>
      </c>
      <c r="P77">
        <v>101.53</v>
      </c>
      <c r="Q77">
        <v>73.86</v>
      </c>
    </row>
    <row r="78" spans="2:17" x14ac:dyDescent="0.35">
      <c r="B78" s="2">
        <v>45345</v>
      </c>
      <c r="C78">
        <v>707.7</v>
      </c>
      <c r="D78">
        <v>19.085000999999998</v>
      </c>
      <c r="E78">
        <v>127</v>
      </c>
      <c r="F78">
        <v>123.2</v>
      </c>
      <c r="G78">
        <v>83.69</v>
      </c>
      <c r="H78">
        <v>83.32</v>
      </c>
      <c r="I78">
        <v>61.28</v>
      </c>
      <c r="J78">
        <v>36.14</v>
      </c>
      <c r="K78">
        <v>23.63</v>
      </c>
      <c r="L78">
        <v>119.67</v>
      </c>
      <c r="M78">
        <v>18.309999999999999</v>
      </c>
      <c r="N78">
        <v>56.415005000000001</v>
      </c>
      <c r="O78">
        <v>81.33</v>
      </c>
      <c r="P78">
        <v>101.36</v>
      </c>
      <c r="Q78">
        <v>74.150000000000006</v>
      </c>
    </row>
    <row r="79" spans="2:17" x14ac:dyDescent="0.35">
      <c r="B79" s="2">
        <v>45344</v>
      </c>
      <c r="C79">
        <v>713.81</v>
      </c>
      <c r="D79">
        <v>18.925001000000002</v>
      </c>
      <c r="E79">
        <v>128.07</v>
      </c>
      <c r="F79">
        <v>122.73</v>
      </c>
      <c r="G79">
        <v>83.13</v>
      </c>
      <c r="H79">
        <v>83.39</v>
      </c>
      <c r="I79">
        <v>61.01</v>
      </c>
      <c r="J79">
        <v>36.450000000000003</v>
      </c>
      <c r="K79">
        <v>23.94</v>
      </c>
      <c r="L79">
        <v>119.31</v>
      </c>
      <c r="M79">
        <v>18.39</v>
      </c>
      <c r="N79">
        <v>56.472999999999999</v>
      </c>
      <c r="O79">
        <v>81.23</v>
      </c>
      <c r="P79">
        <v>101.48</v>
      </c>
      <c r="Q79">
        <v>74.11</v>
      </c>
    </row>
    <row r="80" spans="2:17" x14ac:dyDescent="0.35">
      <c r="B80" s="2">
        <v>45343</v>
      </c>
      <c r="C80">
        <v>711.72</v>
      </c>
      <c r="D80">
        <v>18.710000999999998</v>
      </c>
      <c r="E80">
        <v>127.5</v>
      </c>
      <c r="F80">
        <v>122.72</v>
      </c>
      <c r="G80">
        <v>82.9</v>
      </c>
      <c r="H80">
        <v>83.07</v>
      </c>
      <c r="I80">
        <v>60.22</v>
      </c>
      <c r="J80">
        <v>36.04</v>
      </c>
      <c r="K80">
        <v>23.55</v>
      </c>
      <c r="L80">
        <v>118.26</v>
      </c>
      <c r="M80">
        <v>18.05</v>
      </c>
      <c r="N80">
        <v>56.055</v>
      </c>
      <c r="O80">
        <v>80</v>
      </c>
      <c r="P80">
        <v>100.32</v>
      </c>
      <c r="Q80">
        <v>73.319999999999993</v>
      </c>
    </row>
    <row r="81" spans="2:17" x14ac:dyDescent="0.35">
      <c r="B81" s="2">
        <v>45342</v>
      </c>
      <c r="C81">
        <v>708.25</v>
      </c>
      <c r="D81">
        <v>18.963999999999999</v>
      </c>
      <c r="E81">
        <v>125.83</v>
      </c>
      <c r="F81">
        <v>138.12</v>
      </c>
      <c r="G81">
        <v>83.37</v>
      </c>
      <c r="H81">
        <v>83.67</v>
      </c>
      <c r="I81">
        <v>61.13</v>
      </c>
      <c r="J81">
        <v>36.03</v>
      </c>
      <c r="K81">
        <v>23.62</v>
      </c>
      <c r="L81">
        <v>118.55</v>
      </c>
      <c r="M81">
        <v>18.45</v>
      </c>
      <c r="N81">
        <v>56.482999999999997</v>
      </c>
      <c r="O81">
        <v>81.709999999999994</v>
      </c>
      <c r="P81">
        <v>101.85</v>
      </c>
      <c r="Q81">
        <v>74.31</v>
      </c>
    </row>
    <row r="82" spans="2:17" x14ac:dyDescent="0.35">
      <c r="B82" s="2">
        <v>45341</v>
      </c>
      <c r="C82">
        <v>707.61</v>
      </c>
      <c r="D82">
        <v>19.114999999999998</v>
      </c>
      <c r="E82">
        <v>126.99</v>
      </c>
      <c r="F82">
        <v>122.7</v>
      </c>
      <c r="G82">
        <v>82.91</v>
      </c>
      <c r="H82">
        <v>83.65</v>
      </c>
      <c r="I82">
        <v>61.38</v>
      </c>
      <c r="J82">
        <v>36.25</v>
      </c>
      <c r="K82">
        <v>23.41</v>
      </c>
      <c r="L82">
        <v>118.98</v>
      </c>
      <c r="M82">
        <v>18.28</v>
      </c>
      <c r="N82">
        <v>56.103003999999999</v>
      </c>
      <c r="O82">
        <v>81.06</v>
      </c>
      <c r="P82">
        <v>101.2</v>
      </c>
      <c r="Q82">
        <v>74.48</v>
      </c>
    </row>
    <row r="83" spans="2:17" x14ac:dyDescent="0.35">
      <c r="B83" s="2">
        <v>45338</v>
      </c>
      <c r="C83">
        <v>712.25</v>
      </c>
      <c r="D83">
        <v>19.038</v>
      </c>
      <c r="E83">
        <v>127.75</v>
      </c>
      <c r="F83">
        <v>121.88</v>
      </c>
      <c r="G83">
        <v>82.53</v>
      </c>
      <c r="H83">
        <v>83.43</v>
      </c>
      <c r="I83">
        <v>61.47</v>
      </c>
      <c r="J83">
        <v>35.69</v>
      </c>
      <c r="K83">
        <v>23.5</v>
      </c>
      <c r="L83">
        <v>118.12</v>
      </c>
      <c r="M83">
        <v>18.100000000000001</v>
      </c>
      <c r="N83">
        <v>55.706000000000003</v>
      </c>
      <c r="O83">
        <v>81.02</v>
      </c>
      <c r="P83">
        <v>101.25</v>
      </c>
      <c r="Q83">
        <v>74.489999999999995</v>
      </c>
    </row>
    <row r="84" spans="2:17" x14ac:dyDescent="0.35">
      <c r="B84" s="2">
        <v>45337</v>
      </c>
      <c r="C84">
        <v>712.44</v>
      </c>
      <c r="D84">
        <v>18.962</v>
      </c>
      <c r="E84">
        <v>126.06</v>
      </c>
      <c r="F84">
        <v>121.5</v>
      </c>
      <c r="G84">
        <v>82.7</v>
      </c>
      <c r="H84">
        <v>83.01</v>
      </c>
      <c r="I84">
        <v>60.87</v>
      </c>
      <c r="J84">
        <v>35.39</v>
      </c>
      <c r="K84">
        <v>23.3</v>
      </c>
      <c r="L84">
        <v>117.2</v>
      </c>
      <c r="M84">
        <v>18.2</v>
      </c>
      <c r="N84">
        <v>55.350999999999999</v>
      </c>
      <c r="O84">
        <v>81.3</v>
      </c>
      <c r="P84">
        <v>101.14</v>
      </c>
      <c r="Q84">
        <v>74.17</v>
      </c>
    </row>
    <row r="85" spans="2:17" x14ac:dyDescent="0.35">
      <c r="B85" s="2">
        <v>45336</v>
      </c>
      <c r="C85">
        <v>687.73</v>
      </c>
      <c r="D85">
        <v>18.928999000000001</v>
      </c>
      <c r="E85">
        <v>123.58</v>
      </c>
      <c r="F85">
        <v>120.21</v>
      </c>
      <c r="G85">
        <v>81.55</v>
      </c>
      <c r="H85">
        <v>81.99</v>
      </c>
      <c r="I85">
        <v>60.06</v>
      </c>
      <c r="J85">
        <v>35.43</v>
      </c>
      <c r="K85">
        <v>23.01</v>
      </c>
      <c r="L85">
        <v>115.42</v>
      </c>
      <c r="M85">
        <v>18.149999999999999</v>
      </c>
      <c r="N85">
        <v>56.044002999999996</v>
      </c>
      <c r="O85">
        <v>78.58</v>
      </c>
      <c r="P85">
        <v>99.25</v>
      </c>
      <c r="Q85">
        <v>73.430000000000007</v>
      </c>
    </row>
    <row r="86" spans="2:17" x14ac:dyDescent="0.35">
      <c r="B86" s="2">
        <v>45335</v>
      </c>
      <c r="C86">
        <v>668.53</v>
      </c>
      <c r="D86">
        <v>18.600000000000001</v>
      </c>
      <c r="E86">
        <v>124</v>
      </c>
      <c r="F86">
        <v>122.35</v>
      </c>
      <c r="G86">
        <v>80.78</v>
      </c>
      <c r="H86">
        <v>80.930000000000007</v>
      </c>
      <c r="I86">
        <v>59.09</v>
      </c>
      <c r="J86">
        <v>35.56</v>
      </c>
      <c r="K86">
        <v>23.09</v>
      </c>
      <c r="L86">
        <v>115.29</v>
      </c>
      <c r="M86">
        <v>17.88</v>
      </c>
      <c r="N86">
        <v>55.565002</v>
      </c>
      <c r="O86">
        <v>76.23</v>
      </c>
      <c r="P86">
        <v>96.81</v>
      </c>
      <c r="Q86">
        <v>72.78</v>
      </c>
    </row>
    <row r="87" spans="2:17" x14ac:dyDescent="0.35">
      <c r="B87" s="2">
        <v>45334</v>
      </c>
      <c r="C87">
        <v>665.96</v>
      </c>
      <c r="D87">
        <v>18.402999999999999</v>
      </c>
      <c r="E87">
        <v>123.51</v>
      </c>
      <c r="F87">
        <v>103.29</v>
      </c>
      <c r="G87">
        <v>80.33</v>
      </c>
      <c r="H87">
        <v>80.95</v>
      </c>
      <c r="I87">
        <v>59.02</v>
      </c>
      <c r="J87">
        <v>35.340000000000003</v>
      </c>
      <c r="K87">
        <v>22.95</v>
      </c>
      <c r="L87">
        <v>115.26</v>
      </c>
      <c r="M87">
        <v>17.829999999999998</v>
      </c>
      <c r="N87">
        <v>55.476999999999997</v>
      </c>
      <c r="O87">
        <v>75.05</v>
      </c>
      <c r="P87">
        <v>95.94</v>
      </c>
      <c r="Q87">
        <v>72.209999999999994</v>
      </c>
    </row>
    <row r="88" spans="2:17" x14ac:dyDescent="0.35">
      <c r="B88" s="2">
        <v>45331</v>
      </c>
      <c r="C88">
        <v>689.31</v>
      </c>
      <c r="D88">
        <v>18.555</v>
      </c>
      <c r="E88">
        <v>124.2</v>
      </c>
      <c r="F88">
        <v>119.96</v>
      </c>
      <c r="G88">
        <v>81.48</v>
      </c>
      <c r="H88">
        <v>82.87</v>
      </c>
      <c r="I88">
        <v>59.96</v>
      </c>
      <c r="J88">
        <v>35.21</v>
      </c>
      <c r="K88">
        <v>23.39</v>
      </c>
      <c r="L88">
        <v>116.37</v>
      </c>
      <c r="M88">
        <v>17.8</v>
      </c>
      <c r="N88">
        <v>56.018000000000001</v>
      </c>
      <c r="O88">
        <v>78.680000000000007</v>
      </c>
      <c r="P88">
        <v>99.23</v>
      </c>
      <c r="Q88">
        <v>73.72</v>
      </c>
    </row>
    <row r="89" spans="2:17" x14ac:dyDescent="0.35">
      <c r="B89" s="2">
        <v>45330</v>
      </c>
      <c r="C89">
        <v>683.37</v>
      </c>
      <c r="D89">
        <v>18.704999999999998</v>
      </c>
      <c r="E89">
        <v>124.81</v>
      </c>
      <c r="F89">
        <v>119.81</v>
      </c>
      <c r="G89">
        <v>81.760000000000005</v>
      </c>
      <c r="H89">
        <v>83.4</v>
      </c>
      <c r="I89">
        <v>60.69</v>
      </c>
      <c r="J89">
        <v>35.020000000000003</v>
      </c>
      <c r="K89">
        <v>22.97</v>
      </c>
      <c r="L89">
        <v>116.81</v>
      </c>
      <c r="M89">
        <v>17.86</v>
      </c>
      <c r="N89">
        <v>55.8</v>
      </c>
      <c r="O89">
        <v>80.180000000000007</v>
      </c>
      <c r="P89">
        <v>100.58</v>
      </c>
      <c r="Q89">
        <v>74.45</v>
      </c>
    </row>
    <row r="90" spans="2:17" x14ac:dyDescent="0.35">
      <c r="B90" s="2">
        <v>45329</v>
      </c>
      <c r="C90">
        <v>673.98</v>
      </c>
      <c r="D90">
        <v>18.910001999999999</v>
      </c>
      <c r="E90">
        <v>124.3</v>
      </c>
      <c r="F90">
        <v>118.47</v>
      </c>
      <c r="G90">
        <v>81.709999999999994</v>
      </c>
      <c r="H90">
        <v>83.28</v>
      </c>
      <c r="I90">
        <v>60.08</v>
      </c>
      <c r="J90">
        <v>35.130000000000003</v>
      </c>
      <c r="K90">
        <v>23.51</v>
      </c>
      <c r="L90">
        <v>117.31</v>
      </c>
      <c r="M90">
        <v>17.96</v>
      </c>
      <c r="N90">
        <v>56.667000000000002</v>
      </c>
      <c r="O90">
        <v>79.03</v>
      </c>
      <c r="P90">
        <v>100.18</v>
      </c>
      <c r="Q90">
        <v>74.2</v>
      </c>
    </row>
    <row r="91" spans="2:17" x14ac:dyDescent="0.35">
      <c r="B91" s="2">
        <v>45328</v>
      </c>
      <c r="C91">
        <v>653.28</v>
      </c>
      <c r="D91">
        <v>18.908000000000001</v>
      </c>
      <c r="E91">
        <v>124.9</v>
      </c>
      <c r="F91">
        <v>118.5</v>
      </c>
      <c r="G91">
        <v>81.72</v>
      </c>
      <c r="H91">
        <v>82.6</v>
      </c>
      <c r="I91">
        <v>59.61</v>
      </c>
      <c r="J91">
        <v>34.76</v>
      </c>
      <c r="K91">
        <v>23.53</v>
      </c>
      <c r="L91">
        <v>116.63</v>
      </c>
      <c r="M91">
        <v>17.8</v>
      </c>
      <c r="N91">
        <v>56.546996999999998</v>
      </c>
      <c r="O91">
        <v>79.56</v>
      </c>
      <c r="P91">
        <v>100.24</v>
      </c>
      <c r="Q91">
        <v>74.400000000000006</v>
      </c>
    </row>
    <row r="92" spans="2:17" x14ac:dyDescent="0.35">
      <c r="B92" s="2">
        <v>45327</v>
      </c>
      <c r="C92">
        <v>654.39</v>
      </c>
      <c r="D92">
        <v>18.789000000000001</v>
      </c>
      <c r="E92">
        <v>123.5</v>
      </c>
      <c r="F92">
        <v>116.99</v>
      </c>
      <c r="G92">
        <v>80.94</v>
      </c>
      <c r="H92">
        <v>81.27</v>
      </c>
      <c r="I92">
        <v>59.61</v>
      </c>
      <c r="J92">
        <v>34.56</v>
      </c>
      <c r="K92">
        <v>23.59</v>
      </c>
      <c r="L92">
        <v>115.48</v>
      </c>
      <c r="M92">
        <v>17.79</v>
      </c>
      <c r="N92">
        <v>56.984005000000003</v>
      </c>
      <c r="O92">
        <v>79.28</v>
      </c>
      <c r="P92">
        <v>99.24</v>
      </c>
      <c r="Q92">
        <v>73.36</v>
      </c>
    </row>
    <row r="93" spans="2:17" x14ac:dyDescent="0.35">
      <c r="B93" s="2">
        <v>45324</v>
      </c>
      <c r="C93">
        <v>658.3</v>
      </c>
      <c r="D93">
        <v>18.453001</v>
      </c>
      <c r="E93">
        <v>124.21</v>
      </c>
      <c r="F93">
        <v>114.71</v>
      </c>
      <c r="G93">
        <v>81.27</v>
      </c>
      <c r="H93">
        <v>81.27</v>
      </c>
      <c r="I93">
        <v>58.98</v>
      </c>
      <c r="J93">
        <v>33.99</v>
      </c>
      <c r="K93">
        <v>23.82</v>
      </c>
      <c r="L93">
        <v>114.9</v>
      </c>
      <c r="M93">
        <v>17.66</v>
      </c>
      <c r="N93">
        <v>57.015003</v>
      </c>
      <c r="O93">
        <v>77.650000000000006</v>
      </c>
      <c r="P93">
        <v>98.91</v>
      </c>
      <c r="Q93">
        <v>72.760000000000005</v>
      </c>
    </row>
    <row r="94" spans="2:17" x14ac:dyDescent="0.35">
      <c r="B94" s="2">
        <v>45323</v>
      </c>
      <c r="C94">
        <v>644.99</v>
      </c>
      <c r="D94">
        <v>18.555</v>
      </c>
      <c r="E94">
        <v>122.05</v>
      </c>
      <c r="F94">
        <v>115.45</v>
      </c>
      <c r="G94">
        <v>80.27</v>
      </c>
      <c r="H94">
        <v>79.760000000000005</v>
      </c>
      <c r="I94">
        <v>58.01</v>
      </c>
      <c r="J94">
        <v>34.1</v>
      </c>
      <c r="K94">
        <v>23.686</v>
      </c>
      <c r="L94">
        <v>113.85</v>
      </c>
      <c r="M94">
        <v>17.75</v>
      </c>
      <c r="N94">
        <v>57.146999999999998</v>
      </c>
      <c r="O94">
        <v>74.77</v>
      </c>
      <c r="P94">
        <v>96.17</v>
      </c>
      <c r="Q94">
        <v>71.72</v>
      </c>
    </row>
    <row r="95" spans="2:17" x14ac:dyDescent="0.35">
      <c r="B95" s="2">
        <v>45322</v>
      </c>
      <c r="C95">
        <v>622.84</v>
      </c>
      <c r="D95">
        <v>18.233000000000001</v>
      </c>
      <c r="E95">
        <v>121</v>
      </c>
      <c r="F95">
        <v>116.07</v>
      </c>
      <c r="G95">
        <v>80.14</v>
      </c>
      <c r="H95">
        <v>79.680000000000007</v>
      </c>
      <c r="I95">
        <v>58.46</v>
      </c>
      <c r="J95">
        <v>34.08</v>
      </c>
      <c r="K95">
        <v>23.800001000000002</v>
      </c>
      <c r="L95">
        <v>113.81</v>
      </c>
      <c r="M95">
        <v>17.47</v>
      </c>
      <c r="N95">
        <v>56.982999999999997</v>
      </c>
      <c r="O95">
        <v>74.39</v>
      </c>
      <c r="P95">
        <v>95.88</v>
      </c>
      <c r="Q95">
        <v>71.58</v>
      </c>
    </row>
    <row r="96" spans="2:17" x14ac:dyDescent="0.35">
      <c r="B96" s="2">
        <v>45321</v>
      </c>
      <c r="C96">
        <v>612.4</v>
      </c>
      <c r="D96">
        <v>18.233000000000001</v>
      </c>
      <c r="E96">
        <v>120.5</v>
      </c>
      <c r="F96">
        <v>112.29</v>
      </c>
      <c r="G96">
        <v>80.13</v>
      </c>
      <c r="H96">
        <v>79.25</v>
      </c>
      <c r="I96">
        <v>58.18</v>
      </c>
      <c r="J96">
        <v>33.020000000000003</v>
      </c>
      <c r="K96">
        <v>23.5</v>
      </c>
      <c r="L96">
        <v>112.8</v>
      </c>
      <c r="M96">
        <v>17.46</v>
      </c>
      <c r="N96">
        <v>56.864001999999999</v>
      </c>
      <c r="O96">
        <v>73.61</v>
      </c>
      <c r="P96">
        <v>95.75</v>
      </c>
      <c r="Q96">
        <v>70.930000000000007</v>
      </c>
    </row>
    <row r="97" spans="2:17" x14ac:dyDescent="0.35">
      <c r="B97" s="2">
        <v>45320</v>
      </c>
      <c r="C97">
        <v>604.01</v>
      </c>
      <c r="D97">
        <v>18.36</v>
      </c>
      <c r="E97">
        <v>121.05</v>
      </c>
      <c r="F97">
        <v>112.26</v>
      </c>
      <c r="G97">
        <v>80.94</v>
      </c>
      <c r="H97">
        <v>79.739999999999995</v>
      </c>
      <c r="I97">
        <v>58.15</v>
      </c>
      <c r="J97">
        <v>33.380000000000003</v>
      </c>
      <c r="K97">
        <v>23.504000000000001</v>
      </c>
      <c r="L97">
        <v>112.68</v>
      </c>
      <c r="M97">
        <v>17.36</v>
      </c>
      <c r="N97">
        <v>57.03</v>
      </c>
      <c r="O97">
        <v>74.31</v>
      </c>
      <c r="P97">
        <v>96.56</v>
      </c>
      <c r="Q97">
        <v>71.23</v>
      </c>
    </row>
    <row r="98" spans="2:17" x14ac:dyDescent="0.35">
      <c r="B98" s="2">
        <v>45316</v>
      </c>
      <c r="C98">
        <v>591.55999999999995</v>
      </c>
      <c r="D98">
        <v>18.152999999999999</v>
      </c>
      <c r="E98">
        <v>119.55</v>
      </c>
      <c r="F98">
        <v>111.7</v>
      </c>
      <c r="G98">
        <v>77.95</v>
      </c>
      <c r="H98">
        <v>77.25</v>
      </c>
      <c r="I98">
        <v>56.91</v>
      </c>
      <c r="J98">
        <v>33.700000000000003</v>
      </c>
      <c r="K98">
        <v>23.419</v>
      </c>
      <c r="L98">
        <v>111.73</v>
      </c>
      <c r="M98">
        <v>17.27</v>
      </c>
      <c r="N98">
        <v>57.079000000000001</v>
      </c>
      <c r="O98">
        <v>71.38</v>
      </c>
      <c r="P98">
        <v>94.19</v>
      </c>
      <c r="Q98">
        <v>70.19</v>
      </c>
    </row>
    <row r="99" spans="2:17" x14ac:dyDescent="0.35">
      <c r="B99" s="2">
        <v>45315</v>
      </c>
      <c r="C99">
        <v>591.05999999999995</v>
      </c>
      <c r="D99">
        <v>18.460000999999998</v>
      </c>
      <c r="E99">
        <v>120.6</v>
      </c>
      <c r="F99">
        <v>113.33</v>
      </c>
      <c r="G99">
        <v>78.150000000000006</v>
      </c>
      <c r="H99">
        <v>76.8</v>
      </c>
      <c r="I99">
        <v>56.65</v>
      </c>
      <c r="J99">
        <v>33.68</v>
      </c>
      <c r="K99">
        <v>23.302</v>
      </c>
      <c r="L99">
        <v>111.59</v>
      </c>
      <c r="M99">
        <v>17.37</v>
      </c>
      <c r="N99">
        <v>57.786000000000001</v>
      </c>
      <c r="O99">
        <v>70.569999999999993</v>
      </c>
      <c r="P99">
        <v>93.7</v>
      </c>
      <c r="Q99">
        <v>70.37</v>
      </c>
    </row>
    <row r="100" spans="2:17" x14ac:dyDescent="0.35">
      <c r="B100" s="2">
        <v>45314</v>
      </c>
      <c r="C100">
        <v>580.22</v>
      </c>
      <c r="D100">
        <v>18.291</v>
      </c>
      <c r="E100">
        <v>119.6</v>
      </c>
      <c r="F100">
        <v>112.15</v>
      </c>
      <c r="G100">
        <v>76.849999999999994</v>
      </c>
      <c r="H100">
        <v>75.62</v>
      </c>
      <c r="I100">
        <v>55.3</v>
      </c>
      <c r="J100">
        <v>33.14</v>
      </c>
      <c r="K100">
        <v>23.370999999999999</v>
      </c>
      <c r="L100">
        <v>109.57</v>
      </c>
      <c r="M100">
        <v>17</v>
      </c>
      <c r="N100">
        <v>56.809002</v>
      </c>
      <c r="O100">
        <v>68.849999999999994</v>
      </c>
      <c r="P100">
        <v>91.85</v>
      </c>
      <c r="Q100">
        <v>69.02</v>
      </c>
    </row>
    <row r="101" spans="2:17" x14ac:dyDescent="0.35">
      <c r="B101" s="2">
        <v>45310</v>
      </c>
      <c r="C101">
        <v>592.76</v>
      </c>
      <c r="D101">
        <v>18.728000000000002</v>
      </c>
      <c r="E101">
        <v>121.27</v>
      </c>
      <c r="F101">
        <v>113</v>
      </c>
      <c r="G101">
        <v>78.180000000000007</v>
      </c>
      <c r="H101">
        <v>77.59</v>
      </c>
      <c r="I101">
        <v>56.59</v>
      </c>
      <c r="J101">
        <v>33</v>
      </c>
      <c r="K101">
        <v>23.758001</v>
      </c>
      <c r="L101">
        <v>111.87</v>
      </c>
      <c r="M101">
        <v>17.45</v>
      </c>
      <c r="N101">
        <v>58.463000000000001</v>
      </c>
      <c r="O101">
        <v>70.08</v>
      </c>
      <c r="P101">
        <v>94.3</v>
      </c>
      <c r="Q101">
        <v>70.73</v>
      </c>
    </row>
    <row r="102" spans="2:17" x14ac:dyDescent="0.35">
      <c r="B102" s="2">
        <v>45309</v>
      </c>
      <c r="C102">
        <v>585.36</v>
      </c>
      <c r="D102">
        <v>18.263000000000002</v>
      </c>
      <c r="E102">
        <v>120.44</v>
      </c>
      <c r="F102">
        <v>110.02</v>
      </c>
      <c r="G102">
        <v>77.290000000000006</v>
      </c>
      <c r="H102">
        <v>76.489999999999995</v>
      </c>
      <c r="I102">
        <v>55.93</v>
      </c>
      <c r="J102">
        <v>32.97</v>
      </c>
      <c r="K102">
        <v>23.796001</v>
      </c>
      <c r="L102">
        <v>110.8</v>
      </c>
      <c r="M102">
        <v>17.32</v>
      </c>
      <c r="N102">
        <v>57.887</v>
      </c>
      <c r="O102">
        <v>68.59</v>
      </c>
      <c r="P102">
        <v>92.55</v>
      </c>
      <c r="Q102">
        <v>69.55</v>
      </c>
    </row>
    <row r="103" spans="2:17" x14ac:dyDescent="0.35">
      <c r="B103" s="2">
        <v>45308</v>
      </c>
      <c r="C103">
        <v>579.62</v>
      </c>
      <c r="D103">
        <v>18.402999999999999</v>
      </c>
      <c r="E103">
        <v>120</v>
      </c>
      <c r="F103">
        <v>110.3</v>
      </c>
      <c r="G103">
        <v>77.05</v>
      </c>
      <c r="H103">
        <v>76.989999999999995</v>
      </c>
      <c r="I103">
        <v>56.09</v>
      </c>
      <c r="J103">
        <v>32.770000000000003</v>
      </c>
      <c r="K103">
        <v>24.079000000000001</v>
      </c>
      <c r="L103">
        <v>111.34</v>
      </c>
      <c r="M103">
        <v>17.190000000000001</v>
      </c>
      <c r="N103">
        <v>55.289000000000001</v>
      </c>
      <c r="O103">
        <v>69.17</v>
      </c>
      <c r="P103">
        <v>92.87</v>
      </c>
      <c r="Q103">
        <v>69.89</v>
      </c>
    </row>
    <row r="104" spans="2:17" x14ac:dyDescent="0.35">
      <c r="B104" s="2">
        <v>45307</v>
      </c>
      <c r="C104">
        <v>591.25</v>
      </c>
      <c r="D104">
        <v>18.704999999999998</v>
      </c>
      <c r="E104">
        <v>120.66</v>
      </c>
      <c r="F104">
        <v>110.86</v>
      </c>
      <c r="G104">
        <v>77.739999999999995</v>
      </c>
      <c r="H104">
        <v>78.44</v>
      </c>
      <c r="I104">
        <v>56.34</v>
      </c>
      <c r="J104">
        <v>32.96</v>
      </c>
      <c r="K104">
        <v>24.916</v>
      </c>
      <c r="L104">
        <v>112.3</v>
      </c>
      <c r="M104">
        <v>17.48</v>
      </c>
      <c r="N104">
        <v>58.626002999999997</v>
      </c>
      <c r="O104">
        <v>69.5</v>
      </c>
      <c r="P104">
        <v>93.82</v>
      </c>
      <c r="Q104">
        <v>70.209999999999994</v>
      </c>
    </row>
    <row r="105" spans="2:17" x14ac:dyDescent="0.35">
      <c r="B105" s="2">
        <v>45306</v>
      </c>
      <c r="C105">
        <v>589.88</v>
      </c>
      <c r="D105">
        <v>18.919</v>
      </c>
      <c r="E105">
        <v>121.78</v>
      </c>
      <c r="F105">
        <v>112.86</v>
      </c>
      <c r="G105">
        <v>78.13</v>
      </c>
      <c r="H105">
        <v>78.03</v>
      </c>
      <c r="I105">
        <v>56.64</v>
      </c>
      <c r="J105">
        <v>33.19</v>
      </c>
      <c r="K105">
        <v>25.155000000000001</v>
      </c>
      <c r="L105">
        <v>112.77</v>
      </c>
      <c r="M105">
        <v>17.489999999999998</v>
      </c>
      <c r="N105">
        <v>58.506</v>
      </c>
      <c r="O105">
        <v>69.92</v>
      </c>
      <c r="P105">
        <v>93.47</v>
      </c>
      <c r="Q105">
        <v>70.3</v>
      </c>
    </row>
    <row r="106" spans="2:17" x14ac:dyDescent="0.35">
      <c r="B106" s="2">
        <v>45303</v>
      </c>
      <c r="C106">
        <v>581.65</v>
      </c>
      <c r="D106">
        <v>18.739999999999998</v>
      </c>
      <c r="E106">
        <v>119.96</v>
      </c>
      <c r="F106">
        <v>113.86</v>
      </c>
      <c r="G106">
        <v>77.34</v>
      </c>
      <c r="H106">
        <v>77.680000000000007</v>
      </c>
      <c r="I106">
        <v>56.26</v>
      </c>
      <c r="J106">
        <v>32.979999999999997</v>
      </c>
      <c r="K106">
        <v>24.728999999999999</v>
      </c>
      <c r="L106">
        <v>112.36</v>
      </c>
      <c r="M106">
        <v>17.52</v>
      </c>
      <c r="N106">
        <v>58.362000000000002</v>
      </c>
      <c r="O106">
        <v>68.37</v>
      </c>
      <c r="P106">
        <v>92.6</v>
      </c>
      <c r="Q106">
        <v>69.349999999999994</v>
      </c>
    </row>
    <row r="107" spans="2:17" x14ac:dyDescent="0.35">
      <c r="B107" s="2">
        <v>45302</v>
      </c>
      <c r="C107">
        <v>568.49</v>
      </c>
      <c r="D107">
        <v>18.513999999999999</v>
      </c>
      <c r="E107">
        <v>117.29</v>
      </c>
      <c r="F107">
        <v>111.5</v>
      </c>
      <c r="G107">
        <v>76.69</v>
      </c>
      <c r="H107">
        <v>77.55</v>
      </c>
      <c r="I107">
        <v>56.09</v>
      </c>
      <c r="J107">
        <v>33.03</v>
      </c>
      <c r="K107">
        <v>24.7</v>
      </c>
      <c r="L107">
        <v>111.95</v>
      </c>
      <c r="M107">
        <v>17.39</v>
      </c>
      <c r="N107">
        <v>58.241999999999997</v>
      </c>
      <c r="O107">
        <v>68.12</v>
      </c>
      <c r="P107">
        <v>91.85</v>
      </c>
      <c r="Q107">
        <v>68.23</v>
      </c>
    </row>
    <row r="108" spans="2:17" x14ac:dyDescent="0.35">
      <c r="B108" s="2">
        <v>45301</v>
      </c>
      <c r="C108">
        <v>564.79</v>
      </c>
      <c r="D108">
        <v>18.352001000000001</v>
      </c>
      <c r="E108">
        <v>116.4</v>
      </c>
      <c r="F108">
        <v>111</v>
      </c>
      <c r="G108">
        <v>75.959999999999994</v>
      </c>
      <c r="H108">
        <v>76.48</v>
      </c>
      <c r="I108">
        <v>56.11</v>
      </c>
      <c r="J108">
        <v>32.9</v>
      </c>
      <c r="K108">
        <v>24.582000000000001</v>
      </c>
      <c r="L108">
        <v>111.81</v>
      </c>
      <c r="M108">
        <v>17.23</v>
      </c>
      <c r="N108">
        <v>58.164000000000001</v>
      </c>
      <c r="O108">
        <v>68</v>
      </c>
      <c r="P108">
        <v>91.7</v>
      </c>
      <c r="Q108">
        <v>67.97</v>
      </c>
    </row>
    <row r="109" spans="2:17" x14ac:dyDescent="0.35">
      <c r="B109" s="2">
        <v>45300</v>
      </c>
      <c r="C109">
        <v>566.61</v>
      </c>
      <c r="D109">
        <v>18.103000000000002</v>
      </c>
      <c r="E109">
        <v>117.41</v>
      </c>
      <c r="F109">
        <v>110.68</v>
      </c>
      <c r="G109">
        <v>76.06</v>
      </c>
      <c r="H109">
        <v>76.59</v>
      </c>
      <c r="I109">
        <v>56.15</v>
      </c>
      <c r="J109">
        <v>32.700000000000003</v>
      </c>
      <c r="K109">
        <v>24.469000000000001</v>
      </c>
      <c r="L109">
        <v>110.96</v>
      </c>
      <c r="M109">
        <v>17.22</v>
      </c>
      <c r="N109">
        <v>58.604999999999997</v>
      </c>
      <c r="O109">
        <v>68.569999999999993</v>
      </c>
      <c r="P109">
        <v>92.36</v>
      </c>
      <c r="Q109">
        <v>68.2</v>
      </c>
    </row>
    <row r="110" spans="2:17" x14ac:dyDescent="0.35">
      <c r="B110" s="2">
        <v>45299</v>
      </c>
      <c r="C110">
        <v>567.13</v>
      </c>
      <c r="D110">
        <v>18.28</v>
      </c>
      <c r="E110">
        <v>116.81</v>
      </c>
      <c r="F110">
        <v>109.25</v>
      </c>
      <c r="G110">
        <v>75.25</v>
      </c>
      <c r="H110">
        <v>76.760000000000005</v>
      </c>
      <c r="I110">
        <v>56</v>
      </c>
      <c r="J110">
        <v>32.46</v>
      </c>
      <c r="K110">
        <v>24.707999999999998</v>
      </c>
      <c r="L110">
        <v>111</v>
      </c>
      <c r="M110">
        <v>17.239999999999998</v>
      </c>
      <c r="N110">
        <v>58.645000000000003</v>
      </c>
      <c r="O110">
        <v>68.36</v>
      </c>
      <c r="P110">
        <v>91.98</v>
      </c>
      <c r="Q110">
        <v>68.03</v>
      </c>
    </row>
    <row r="111" spans="2:17" x14ac:dyDescent="0.35">
      <c r="B111" s="2">
        <v>45296</v>
      </c>
      <c r="C111">
        <v>582.35</v>
      </c>
      <c r="D111">
        <v>18.600999999999999</v>
      </c>
      <c r="E111">
        <v>117.57</v>
      </c>
      <c r="F111">
        <v>110.65</v>
      </c>
      <c r="G111">
        <v>75.58</v>
      </c>
      <c r="H111">
        <v>77.23</v>
      </c>
      <c r="I111">
        <v>56.19</v>
      </c>
      <c r="J111">
        <v>32.79</v>
      </c>
      <c r="K111">
        <v>24.937000000000001</v>
      </c>
      <c r="L111">
        <v>111.4</v>
      </c>
      <c r="M111">
        <v>17.399999999999999</v>
      </c>
      <c r="N111">
        <v>59.625</v>
      </c>
      <c r="O111">
        <v>68.56</v>
      </c>
      <c r="P111">
        <v>92.62</v>
      </c>
      <c r="Q111">
        <v>68.569999999999993</v>
      </c>
    </row>
    <row r="112" spans="2:17" x14ac:dyDescent="0.35">
      <c r="B112" s="2">
        <v>45295</v>
      </c>
      <c r="C112">
        <v>583.72</v>
      </c>
      <c r="D112">
        <v>18.213000999999998</v>
      </c>
      <c r="E112">
        <v>117.5</v>
      </c>
      <c r="F112">
        <v>111.62</v>
      </c>
      <c r="G112">
        <v>75.25</v>
      </c>
      <c r="H112">
        <v>77.61</v>
      </c>
      <c r="I112">
        <v>55.93</v>
      </c>
      <c r="J112">
        <v>32.880000000000003</v>
      </c>
      <c r="K112">
        <v>25.047000000000001</v>
      </c>
      <c r="L112">
        <v>111.27</v>
      </c>
      <c r="M112">
        <v>17.32</v>
      </c>
      <c r="N112">
        <v>59.716999999999999</v>
      </c>
      <c r="O112">
        <v>68.44</v>
      </c>
      <c r="P112">
        <v>92.51</v>
      </c>
      <c r="Q112">
        <v>68.319999999999993</v>
      </c>
    </row>
    <row r="113" spans="2:17" x14ac:dyDescent="0.35">
      <c r="B113" s="2">
        <v>45294</v>
      </c>
      <c r="C113">
        <v>580.15</v>
      </c>
      <c r="D113">
        <v>18.398</v>
      </c>
      <c r="E113">
        <v>116.9</v>
      </c>
      <c r="F113">
        <v>109.42</v>
      </c>
      <c r="G113">
        <v>74.55</v>
      </c>
      <c r="H113">
        <v>77.05</v>
      </c>
      <c r="I113">
        <v>55.3</v>
      </c>
      <c r="J113">
        <v>32.43</v>
      </c>
      <c r="K113">
        <v>24.709</v>
      </c>
      <c r="L113">
        <v>111.43</v>
      </c>
      <c r="M113">
        <v>17.239999999999998</v>
      </c>
      <c r="N113">
        <v>59.216999999999999</v>
      </c>
      <c r="O113">
        <v>67.12</v>
      </c>
      <c r="P113">
        <v>91.5</v>
      </c>
      <c r="Q113">
        <v>67.89</v>
      </c>
    </row>
    <row r="114" spans="2:17" x14ac:dyDescent="0.35">
      <c r="B114" s="2">
        <v>45293</v>
      </c>
      <c r="C114">
        <v>572.19000000000005</v>
      </c>
      <c r="D114">
        <v>18.495000000000001</v>
      </c>
      <c r="E114">
        <v>118.16</v>
      </c>
      <c r="F114">
        <v>110.04</v>
      </c>
      <c r="G114">
        <v>74.34</v>
      </c>
      <c r="H114">
        <v>77.44</v>
      </c>
      <c r="I114">
        <v>55.08</v>
      </c>
      <c r="J114">
        <v>32.39</v>
      </c>
      <c r="K114">
        <v>24.84</v>
      </c>
      <c r="L114">
        <v>111.78</v>
      </c>
      <c r="M114">
        <v>17.43</v>
      </c>
      <c r="N114">
        <v>59.163001999999999</v>
      </c>
      <c r="O114">
        <v>67.290000000000006</v>
      </c>
      <c r="P114">
        <v>91.39</v>
      </c>
      <c r="Q114">
        <v>68.239999999999995</v>
      </c>
    </row>
    <row r="115" spans="2:17" x14ac:dyDescent="0.35">
      <c r="B115" s="2">
        <v>45292</v>
      </c>
      <c r="C115">
        <v>572.92999999999995</v>
      </c>
      <c r="D115">
        <v>18.599</v>
      </c>
      <c r="E115">
        <v>118.92</v>
      </c>
      <c r="F115">
        <v>107.52</v>
      </c>
      <c r="G115">
        <v>74.819999999999993</v>
      </c>
      <c r="H115">
        <v>77.48</v>
      </c>
      <c r="I115">
        <v>55.47</v>
      </c>
      <c r="J115">
        <v>31.93</v>
      </c>
      <c r="K115">
        <v>25.14</v>
      </c>
      <c r="L115">
        <v>111.76</v>
      </c>
      <c r="M115">
        <v>17.489999999999998</v>
      </c>
      <c r="N115">
        <v>59.218000000000004</v>
      </c>
      <c r="O115">
        <v>67.12</v>
      </c>
      <c r="P115">
        <v>91.7</v>
      </c>
      <c r="Q115">
        <v>68.58</v>
      </c>
    </row>
    <row r="116" spans="2:17" x14ac:dyDescent="0.35">
      <c r="B116" s="2">
        <v>45289</v>
      </c>
      <c r="C116">
        <v>568.91999999999996</v>
      </c>
      <c r="D116">
        <v>18.471</v>
      </c>
      <c r="E116">
        <v>118.47</v>
      </c>
      <c r="F116">
        <v>107.49</v>
      </c>
      <c r="G116">
        <v>74.38</v>
      </c>
      <c r="H116">
        <v>77.260000000000005</v>
      </c>
      <c r="I116">
        <v>55.37</v>
      </c>
      <c r="J116">
        <v>31.49</v>
      </c>
      <c r="K116">
        <v>25.2</v>
      </c>
      <c r="L116">
        <v>111.77</v>
      </c>
      <c r="M116">
        <v>17.32</v>
      </c>
      <c r="N116">
        <v>58.9</v>
      </c>
      <c r="O116">
        <v>66.91</v>
      </c>
      <c r="P116">
        <v>91.24</v>
      </c>
      <c r="Q116">
        <v>68.19</v>
      </c>
    </row>
    <row r="117" spans="2:17" x14ac:dyDescent="0.35">
      <c r="B117" s="2">
        <v>45288</v>
      </c>
      <c r="C117">
        <v>572.11</v>
      </c>
      <c r="D117">
        <v>18.498999999999999</v>
      </c>
      <c r="E117">
        <v>118.03</v>
      </c>
      <c r="F117">
        <v>107.52</v>
      </c>
      <c r="G117">
        <v>74.86</v>
      </c>
      <c r="H117">
        <v>77.73</v>
      </c>
      <c r="I117">
        <v>55.02</v>
      </c>
      <c r="J117">
        <v>31.71</v>
      </c>
      <c r="K117">
        <v>25.056000000000001</v>
      </c>
      <c r="L117">
        <v>111.24</v>
      </c>
      <c r="M117">
        <v>17.38</v>
      </c>
      <c r="N117">
        <v>58.221004000000001</v>
      </c>
      <c r="O117">
        <v>67.260000000000005</v>
      </c>
      <c r="P117">
        <v>91.46</v>
      </c>
      <c r="Q117">
        <v>68.150000000000006</v>
      </c>
    </row>
    <row r="118" spans="2:17" x14ac:dyDescent="0.35">
      <c r="B118" s="2">
        <v>45287</v>
      </c>
      <c r="C118">
        <v>565.09</v>
      </c>
      <c r="D118">
        <v>18.285001999999999</v>
      </c>
      <c r="E118">
        <v>118.3</v>
      </c>
      <c r="F118">
        <v>106.31</v>
      </c>
      <c r="G118">
        <v>74</v>
      </c>
      <c r="H118">
        <v>76.25</v>
      </c>
      <c r="I118">
        <v>54.99</v>
      </c>
      <c r="J118">
        <v>31.4</v>
      </c>
      <c r="K118">
        <v>24.936</v>
      </c>
      <c r="L118">
        <v>109.91</v>
      </c>
      <c r="M118">
        <v>17.2</v>
      </c>
      <c r="N118">
        <v>57.505000000000003</v>
      </c>
      <c r="O118">
        <v>66.05</v>
      </c>
      <c r="P118">
        <v>89.99</v>
      </c>
      <c r="Q118">
        <v>67.59</v>
      </c>
    </row>
    <row r="119" spans="2:17" x14ac:dyDescent="0.35">
      <c r="B119" s="2">
        <v>45286</v>
      </c>
      <c r="C119">
        <v>556.72</v>
      </c>
      <c r="D119">
        <v>17.902999999999999</v>
      </c>
      <c r="E119">
        <v>117.29</v>
      </c>
      <c r="F119">
        <v>105.98</v>
      </c>
      <c r="G119">
        <v>73.58</v>
      </c>
      <c r="H119">
        <v>75.67</v>
      </c>
      <c r="I119">
        <v>54.82</v>
      </c>
      <c r="J119">
        <v>31.25</v>
      </c>
      <c r="K119">
        <v>24.685001</v>
      </c>
      <c r="L119">
        <v>109.2</v>
      </c>
      <c r="M119">
        <v>16.98</v>
      </c>
      <c r="N119">
        <v>57.246997999999998</v>
      </c>
      <c r="O119">
        <v>66.28</v>
      </c>
      <c r="P119">
        <v>89.77</v>
      </c>
      <c r="Q119">
        <v>67.36</v>
      </c>
    </row>
    <row r="120" spans="2:17" x14ac:dyDescent="0.35">
      <c r="B120" s="2">
        <v>45282</v>
      </c>
      <c r="C120">
        <v>557.07000000000005</v>
      </c>
      <c r="D120">
        <v>18.100999999999999</v>
      </c>
      <c r="E120">
        <v>116.42</v>
      </c>
      <c r="F120">
        <v>105.02</v>
      </c>
      <c r="G120">
        <v>72.77</v>
      </c>
      <c r="H120">
        <v>74.89</v>
      </c>
      <c r="I120">
        <v>54.38</v>
      </c>
      <c r="J120">
        <v>30.74</v>
      </c>
      <c r="K120">
        <v>24.818999999999999</v>
      </c>
      <c r="L120">
        <v>108.45</v>
      </c>
      <c r="M120">
        <v>16.989999999999998</v>
      </c>
      <c r="N120">
        <v>56.747996999999998</v>
      </c>
      <c r="O120">
        <v>64.94</v>
      </c>
      <c r="P120">
        <v>88.5</v>
      </c>
      <c r="Q120">
        <v>66.81</v>
      </c>
    </row>
    <row r="121" spans="2:17" x14ac:dyDescent="0.35">
      <c r="B121" s="2">
        <v>45281</v>
      </c>
      <c r="C121">
        <v>558.12</v>
      </c>
      <c r="D121">
        <v>17.885000000000002</v>
      </c>
      <c r="E121">
        <v>114.77</v>
      </c>
      <c r="F121">
        <v>103.45</v>
      </c>
      <c r="G121">
        <v>72.319999999999993</v>
      </c>
      <c r="H121">
        <v>74.47</v>
      </c>
      <c r="I121">
        <v>53.92</v>
      </c>
      <c r="J121">
        <v>30.41</v>
      </c>
      <c r="K121">
        <v>24.841002</v>
      </c>
      <c r="L121">
        <v>107.03</v>
      </c>
      <c r="M121">
        <v>16.77</v>
      </c>
      <c r="N121">
        <v>56.542999999999999</v>
      </c>
      <c r="O121">
        <v>64.56</v>
      </c>
      <c r="P121">
        <v>87.82</v>
      </c>
      <c r="Q121">
        <v>66.11</v>
      </c>
    </row>
    <row r="122" spans="2:17" x14ac:dyDescent="0.35">
      <c r="B122" s="2">
        <v>45280</v>
      </c>
      <c r="C122">
        <v>550.51</v>
      </c>
      <c r="D122">
        <v>17.883001</v>
      </c>
      <c r="E122">
        <v>114.98</v>
      </c>
      <c r="F122">
        <v>103.15</v>
      </c>
      <c r="G122">
        <v>71.45</v>
      </c>
      <c r="H122">
        <v>73.430000000000007</v>
      </c>
      <c r="I122">
        <v>53.33</v>
      </c>
      <c r="J122">
        <v>30.65</v>
      </c>
      <c r="K122">
        <v>24.763000000000002</v>
      </c>
      <c r="L122">
        <v>106.33</v>
      </c>
      <c r="M122">
        <v>16.829999999999998</v>
      </c>
      <c r="N122">
        <v>56.475999999999999</v>
      </c>
      <c r="O122">
        <v>63.49</v>
      </c>
      <c r="P122">
        <v>86.9</v>
      </c>
      <c r="Q122">
        <v>65.72</v>
      </c>
    </row>
    <row r="123" spans="2:17" x14ac:dyDescent="0.35">
      <c r="B123" s="2">
        <v>45279</v>
      </c>
      <c r="C123">
        <v>574.96</v>
      </c>
      <c r="D123">
        <v>18.164999000000002</v>
      </c>
      <c r="E123">
        <v>116.2</v>
      </c>
      <c r="F123">
        <v>104.91</v>
      </c>
      <c r="G123">
        <v>73.209999999999994</v>
      </c>
      <c r="H123">
        <v>75.849999999999994</v>
      </c>
      <c r="I123">
        <v>55.23</v>
      </c>
      <c r="J123">
        <v>31</v>
      </c>
      <c r="K123">
        <v>24.603999999999999</v>
      </c>
      <c r="L123">
        <v>108.35</v>
      </c>
      <c r="M123">
        <v>16.87</v>
      </c>
      <c r="N123">
        <v>56.544002999999996</v>
      </c>
      <c r="O123">
        <v>65.06</v>
      </c>
      <c r="P123">
        <v>89.25</v>
      </c>
      <c r="Q123">
        <v>67.28</v>
      </c>
    </row>
    <row r="124" spans="2:17" x14ac:dyDescent="0.35">
      <c r="B124" s="2">
        <v>45278</v>
      </c>
      <c r="C124">
        <v>570.54999999999995</v>
      </c>
      <c r="D124">
        <v>17.925999999999998</v>
      </c>
      <c r="E124">
        <v>116.1</v>
      </c>
      <c r="F124">
        <v>104.94</v>
      </c>
      <c r="G124">
        <v>72.94</v>
      </c>
      <c r="H124">
        <v>75.55</v>
      </c>
      <c r="I124">
        <v>55.28</v>
      </c>
      <c r="J124">
        <v>31.2</v>
      </c>
      <c r="K124">
        <v>24.703001</v>
      </c>
      <c r="L124">
        <v>108.84</v>
      </c>
      <c r="M124">
        <v>16.829999999999998</v>
      </c>
      <c r="N124">
        <v>56.303004999999999</v>
      </c>
      <c r="O124">
        <v>64.06</v>
      </c>
      <c r="P124">
        <v>88.76</v>
      </c>
      <c r="Q124">
        <v>67.180000000000007</v>
      </c>
    </row>
    <row r="125" spans="2:17" x14ac:dyDescent="0.35">
      <c r="B125" s="2">
        <v>45275</v>
      </c>
      <c r="C125">
        <v>574.84</v>
      </c>
      <c r="D125">
        <v>17.603000000000002</v>
      </c>
      <c r="E125">
        <v>116.75</v>
      </c>
      <c r="F125">
        <v>103.57</v>
      </c>
      <c r="G125">
        <v>72.8</v>
      </c>
      <c r="H125">
        <v>75.11</v>
      </c>
      <c r="I125">
        <v>55.17</v>
      </c>
      <c r="J125">
        <v>31.22</v>
      </c>
      <c r="K125">
        <v>24.917999999999999</v>
      </c>
      <c r="L125">
        <v>108.21</v>
      </c>
      <c r="M125">
        <v>16.78</v>
      </c>
      <c r="N125">
        <v>55.869</v>
      </c>
      <c r="O125">
        <v>64.27</v>
      </c>
      <c r="P125">
        <v>88.99</v>
      </c>
      <c r="Q125">
        <v>67.08</v>
      </c>
    </row>
    <row r="126" spans="2:17" x14ac:dyDescent="0.35">
      <c r="B126" s="2">
        <v>45274</v>
      </c>
      <c r="C126">
        <v>557.51</v>
      </c>
      <c r="D126">
        <v>17.453001</v>
      </c>
      <c r="E126">
        <v>110.13</v>
      </c>
      <c r="F126">
        <v>104.17</v>
      </c>
      <c r="G126">
        <v>72.459999999999994</v>
      </c>
      <c r="H126">
        <v>74.11</v>
      </c>
      <c r="I126">
        <v>54.88</v>
      </c>
      <c r="J126">
        <v>30.58</v>
      </c>
      <c r="K126">
        <v>24.883001</v>
      </c>
      <c r="L126">
        <v>107.63</v>
      </c>
      <c r="M126">
        <v>16.72</v>
      </c>
      <c r="N126">
        <v>56.096995999999997</v>
      </c>
      <c r="O126">
        <v>63.07</v>
      </c>
      <c r="P126">
        <v>87.27</v>
      </c>
      <c r="Q126">
        <v>65.89</v>
      </c>
    </row>
    <row r="127" spans="2:17" x14ac:dyDescent="0.35">
      <c r="B127" s="2">
        <v>45273</v>
      </c>
      <c r="C127">
        <v>556.24</v>
      </c>
      <c r="D127">
        <v>17.508001</v>
      </c>
      <c r="E127">
        <v>111.82</v>
      </c>
      <c r="F127">
        <v>103.95</v>
      </c>
      <c r="G127">
        <v>71.77</v>
      </c>
      <c r="H127">
        <v>72.849999999999994</v>
      </c>
      <c r="I127">
        <v>54.51</v>
      </c>
      <c r="J127">
        <v>30.94</v>
      </c>
      <c r="K127">
        <v>24.594999999999999</v>
      </c>
      <c r="L127">
        <v>106.73</v>
      </c>
      <c r="M127">
        <v>16.48</v>
      </c>
      <c r="N127">
        <v>55.984997</v>
      </c>
      <c r="O127">
        <v>62.66</v>
      </c>
      <c r="P127">
        <v>86.66</v>
      </c>
      <c r="Q127">
        <v>65.040000000000006</v>
      </c>
    </row>
    <row r="128" spans="2:17" x14ac:dyDescent="0.35">
      <c r="B128" s="2">
        <v>45272</v>
      </c>
      <c r="C128">
        <v>551.04</v>
      </c>
      <c r="D128">
        <v>17.644000999999999</v>
      </c>
      <c r="E128">
        <v>112.78</v>
      </c>
      <c r="F128">
        <v>103.7</v>
      </c>
      <c r="G128">
        <v>71.069999999999993</v>
      </c>
      <c r="H128">
        <v>72.75</v>
      </c>
      <c r="I128">
        <v>53.38</v>
      </c>
      <c r="J128">
        <v>30.08</v>
      </c>
      <c r="K128">
        <v>24.516999999999999</v>
      </c>
      <c r="L128">
        <v>105.8</v>
      </c>
      <c r="M128">
        <v>16.38</v>
      </c>
      <c r="N128">
        <v>55.555</v>
      </c>
      <c r="O128">
        <v>62.04</v>
      </c>
      <c r="P128">
        <v>85.67</v>
      </c>
      <c r="Q128">
        <v>64.66</v>
      </c>
    </row>
    <row r="129" spans="2:17" x14ac:dyDescent="0.35">
      <c r="B129" s="2">
        <v>45271</v>
      </c>
      <c r="C129">
        <v>554.25</v>
      </c>
      <c r="D129">
        <v>17.481999999999999</v>
      </c>
      <c r="E129">
        <v>112.4</v>
      </c>
      <c r="F129">
        <v>103.19</v>
      </c>
      <c r="G129">
        <v>71.400000000000006</v>
      </c>
      <c r="H129">
        <v>73.42</v>
      </c>
      <c r="I129">
        <v>53.5</v>
      </c>
      <c r="J129">
        <v>30.42</v>
      </c>
      <c r="K129">
        <v>24.791</v>
      </c>
      <c r="L129">
        <v>106.82</v>
      </c>
      <c r="M129">
        <v>16.48</v>
      </c>
      <c r="N129">
        <v>55.850999999999999</v>
      </c>
      <c r="O129">
        <v>62.67</v>
      </c>
      <c r="P129">
        <v>85.98</v>
      </c>
      <c r="Q129">
        <v>64.86</v>
      </c>
    </row>
    <row r="130" spans="2:17" x14ac:dyDescent="0.35">
      <c r="B130" s="2">
        <v>45268</v>
      </c>
      <c r="C130">
        <v>544.1</v>
      </c>
      <c r="D130">
        <v>17.599</v>
      </c>
      <c r="E130">
        <v>111.65</v>
      </c>
      <c r="F130">
        <v>103.76</v>
      </c>
      <c r="G130">
        <v>70.88</v>
      </c>
      <c r="H130">
        <v>72.760000000000005</v>
      </c>
      <c r="I130">
        <v>53.17</v>
      </c>
      <c r="J130">
        <v>30.51</v>
      </c>
      <c r="K130">
        <v>24.614000000000001</v>
      </c>
      <c r="L130">
        <v>106.4</v>
      </c>
      <c r="M130">
        <v>16.37</v>
      </c>
      <c r="N130">
        <v>55.501002999999997</v>
      </c>
      <c r="O130">
        <v>62.03</v>
      </c>
      <c r="P130">
        <v>85.66</v>
      </c>
      <c r="Q130">
        <v>64.58</v>
      </c>
    </row>
    <row r="131" spans="2:17" x14ac:dyDescent="0.35">
      <c r="B131" s="2">
        <v>45267</v>
      </c>
      <c r="C131">
        <v>542.92999999999995</v>
      </c>
      <c r="D131">
        <v>17.516999999999999</v>
      </c>
      <c r="E131">
        <v>112</v>
      </c>
      <c r="F131">
        <v>104.65</v>
      </c>
      <c r="G131">
        <v>70.98</v>
      </c>
      <c r="H131">
        <v>73.39</v>
      </c>
      <c r="I131">
        <v>53.15</v>
      </c>
      <c r="J131">
        <v>30.6</v>
      </c>
      <c r="K131">
        <v>24.410001999999999</v>
      </c>
      <c r="L131">
        <v>106.89</v>
      </c>
      <c r="M131">
        <v>16.48</v>
      </c>
      <c r="N131">
        <v>55.920001999999997</v>
      </c>
      <c r="O131">
        <v>62.39</v>
      </c>
      <c r="P131">
        <v>85.89</v>
      </c>
      <c r="Q131">
        <v>64.569999999999993</v>
      </c>
    </row>
    <row r="132" spans="2:17" x14ac:dyDescent="0.35">
      <c r="B132" s="2">
        <v>45266</v>
      </c>
      <c r="C132">
        <v>540.97</v>
      </c>
      <c r="D132">
        <v>17.303000000000001</v>
      </c>
      <c r="E132">
        <v>112.33</v>
      </c>
      <c r="F132">
        <v>103.53</v>
      </c>
      <c r="G132">
        <v>71.11</v>
      </c>
      <c r="H132">
        <v>72.73</v>
      </c>
      <c r="I132">
        <v>53.5</v>
      </c>
      <c r="J132">
        <v>30.67</v>
      </c>
      <c r="K132">
        <v>24.390999999999998</v>
      </c>
      <c r="L132">
        <v>106.69</v>
      </c>
      <c r="M132">
        <v>16.36</v>
      </c>
      <c r="N132">
        <v>56.350999999999999</v>
      </c>
      <c r="O132">
        <v>61.65</v>
      </c>
      <c r="P132">
        <v>85.63</v>
      </c>
      <c r="Q132">
        <v>64.63</v>
      </c>
    </row>
    <row r="133" spans="2:17" x14ac:dyDescent="0.35">
      <c r="B133" s="2">
        <v>45265</v>
      </c>
      <c r="C133">
        <v>537</v>
      </c>
      <c r="D133">
        <v>17.370999999999999</v>
      </c>
      <c r="E133">
        <v>111.88</v>
      </c>
      <c r="F133">
        <v>104.11</v>
      </c>
      <c r="G133">
        <v>70.3</v>
      </c>
      <c r="H133">
        <v>72.8</v>
      </c>
      <c r="I133">
        <v>53.14</v>
      </c>
      <c r="J133">
        <v>30.58</v>
      </c>
      <c r="K133">
        <v>24.617999999999999</v>
      </c>
      <c r="L133">
        <v>106.14</v>
      </c>
      <c r="M133">
        <v>16.32</v>
      </c>
      <c r="N133">
        <v>55.9</v>
      </c>
      <c r="O133">
        <v>61.59</v>
      </c>
      <c r="P133">
        <v>84.96</v>
      </c>
      <c r="Q133">
        <v>64.19</v>
      </c>
    </row>
    <row r="134" spans="2:17" x14ac:dyDescent="0.35">
      <c r="B134" s="2">
        <v>45264</v>
      </c>
      <c r="C134">
        <v>528.88</v>
      </c>
      <c r="D134">
        <v>17.203001</v>
      </c>
      <c r="E134">
        <v>111.75</v>
      </c>
      <c r="F134">
        <v>95.69</v>
      </c>
      <c r="G134">
        <v>69.86</v>
      </c>
      <c r="H134">
        <v>70.86</v>
      </c>
      <c r="I134">
        <v>54.38</v>
      </c>
      <c r="J134">
        <v>30.76</v>
      </c>
      <c r="K134">
        <v>24.033999999999999</v>
      </c>
      <c r="L134">
        <v>105.98</v>
      </c>
      <c r="M134">
        <v>16.350000000000001</v>
      </c>
      <c r="N134">
        <v>56.05</v>
      </c>
      <c r="O134">
        <v>60.68</v>
      </c>
      <c r="P134">
        <v>83.95</v>
      </c>
      <c r="Q134">
        <v>63.71</v>
      </c>
    </row>
    <row r="135" spans="2:17" x14ac:dyDescent="0.35">
      <c r="B135" s="2">
        <v>45261</v>
      </c>
      <c r="C135">
        <v>511.67</v>
      </c>
      <c r="D135">
        <v>17.103000000000002</v>
      </c>
      <c r="E135">
        <v>110.3</v>
      </c>
      <c r="F135">
        <v>104.55</v>
      </c>
      <c r="G135">
        <v>67.959999999999994</v>
      </c>
      <c r="H135">
        <v>69.540000000000006</v>
      </c>
      <c r="I135">
        <v>51.7</v>
      </c>
      <c r="J135">
        <v>30.59</v>
      </c>
      <c r="K135">
        <v>23.474</v>
      </c>
      <c r="L135">
        <v>104.95</v>
      </c>
      <c r="M135">
        <v>16.18</v>
      </c>
      <c r="N135">
        <v>55.615000000000002</v>
      </c>
      <c r="O135">
        <v>59.06</v>
      </c>
      <c r="P135">
        <v>81.61</v>
      </c>
      <c r="Q135">
        <v>62.84</v>
      </c>
    </row>
    <row r="136" spans="2:17" x14ac:dyDescent="0.35">
      <c r="B136" s="2">
        <v>45260</v>
      </c>
      <c r="C136">
        <v>503.36</v>
      </c>
      <c r="D136">
        <v>17.28</v>
      </c>
      <c r="E136">
        <v>108.77</v>
      </c>
      <c r="F136">
        <v>104.26</v>
      </c>
      <c r="G136">
        <v>66.94</v>
      </c>
      <c r="H136">
        <v>68.599999999999994</v>
      </c>
      <c r="I136">
        <v>50.39</v>
      </c>
      <c r="J136">
        <v>30.3</v>
      </c>
      <c r="K136">
        <v>23.164999000000002</v>
      </c>
      <c r="L136">
        <v>104</v>
      </c>
      <c r="M136">
        <v>15.85</v>
      </c>
      <c r="N136">
        <v>54.74</v>
      </c>
      <c r="O136">
        <v>58.35</v>
      </c>
      <c r="P136">
        <v>79.989999999999995</v>
      </c>
      <c r="Q136">
        <v>61.98</v>
      </c>
    </row>
    <row r="137" spans="2:17" x14ac:dyDescent="0.35">
      <c r="B137" s="2">
        <v>45259</v>
      </c>
      <c r="C137">
        <v>506.57</v>
      </c>
      <c r="D137">
        <v>17.207999999999998</v>
      </c>
      <c r="E137">
        <v>109.5</v>
      </c>
      <c r="F137">
        <v>102.43</v>
      </c>
      <c r="G137">
        <v>66.84</v>
      </c>
      <c r="H137">
        <v>68.349999999999994</v>
      </c>
      <c r="I137">
        <v>49.81</v>
      </c>
      <c r="J137">
        <v>30.1</v>
      </c>
      <c r="K137">
        <v>23.329000000000001</v>
      </c>
      <c r="L137">
        <v>103.35</v>
      </c>
      <c r="M137">
        <v>15.82</v>
      </c>
      <c r="N137">
        <v>54.564003</v>
      </c>
      <c r="O137">
        <v>57.79</v>
      </c>
      <c r="P137">
        <v>79.48</v>
      </c>
      <c r="Q137">
        <v>61.76</v>
      </c>
    </row>
    <row r="138" spans="2:17" x14ac:dyDescent="0.35">
      <c r="B138" s="2">
        <v>45258</v>
      </c>
      <c r="C138">
        <v>504.75</v>
      </c>
      <c r="D138">
        <v>16.969000000000001</v>
      </c>
      <c r="E138">
        <v>107.78</v>
      </c>
      <c r="F138">
        <v>101.23</v>
      </c>
      <c r="G138">
        <v>66.3</v>
      </c>
      <c r="H138">
        <v>67.989999999999995</v>
      </c>
      <c r="I138">
        <v>49.48</v>
      </c>
      <c r="J138">
        <v>29.72</v>
      </c>
      <c r="K138">
        <v>22.995999999999999</v>
      </c>
      <c r="L138">
        <v>102.24</v>
      </c>
      <c r="M138">
        <v>15.82</v>
      </c>
      <c r="N138">
        <v>54.15</v>
      </c>
      <c r="O138">
        <v>57.71</v>
      </c>
      <c r="P138">
        <v>78.78</v>
      </c>
      <c r="Q138">
        <v>61.13</v>
      </c>
    </row>
    <row r="139" spans="2:17" x14ac:dyDescent="0.35">
      <c r="B139" s="2">
        <v>45254</v>
      </c>
      <c r="C139">
        <v>496.84</v>
      </c>
      <c r="D139">
        <v>16.921001</v>
      </c>
      <c r="E139">
        <v>108</v>
      </c>
      <c r="F139">
        <v>101.72</v>
      </c>
      <c r="G139">
        <v>65.67</v>
      </c>
      <c r="H139">
        <v>66.900000000000006</v>
      </c>
      <c r="I139">
        <v>49.31</v>
      </c>
      <c r="J139">
        <v>30</v>
      </c>
      <c r="K139">
        <v>22.998000000000001</v>
      </c>
      <c r="L139">
        <v>102.2</v>
      </c>
      <c r="M139">
        <v>15.62</v>
      </c>
      <c r="N139">
        <v>54.417000000000002</v>
      </c>
      <c r="O139">
        <v>57.06</v>
      </c>
      <c r="P139">
        <v>78.14</v>
      </c>
      <c r="Q139">
        <v>60.73</v>
      </c>
    </row>
    <row r="140" spans="2:17" x14ac:dyDescent="0.35">
      <c r="B140" s="2">
        <v>45253</v>
      </c>
      <c r="C140">
        <v>499.43</v>
      </c>
      <c r="D140">
        <v>16.813002000000001</v>
      </c>
      <c r="E140">
        <v>108.64</v>
      </c>
      <c r="F140">
        <v>101.75</v>
      </c>
      <c r="G140">
        <v>65.8</v>
      </c>
      <c r="H140">
        <v>66.790000000000006</v>
      </c>
      <c r="I140">
        <v>49.4</v>
      </c>
      <c r="J140">
        <v>29.73</v>
      </c>
      <c r="K140">
        <v>22.7</v>
      </c>
      <c r="L140">
        <v>101.99</v>
      </c>
      <c r="M140">
        <v>15.65</v>
      </c>
      <c r="N140">
        <v>54.508003000000002</v>
      </c>
      <c r="O140">
        <v>57.09</v>
      </c>
      <c r="P140">
        <v>78.02</v>
      </c>
      <c r="Q140">
        <v>60.96</v>
      </c>
    </row>
    <row r="141" spans="2:17" x14ac:dyDescent="0.35">
      <c r="B141" s="2">
        <v>45252</v>
      </c>
      <c r="C141">
        <v>499.38</v>
      </c>
      <c r="D141">
        <v>16.703001</v>
      </c>
      <c r="E141">
        <v>107.29</v>
      </c>
      <c r="F141">
        <v>103.55</v>
      </c>
      <c r="G141">
        <v>65.7</v>
      </c>
      <c r="H141">
        <v>66.739999999999995</v>
      </c>
      <c r="I141">
        <v>48.84</v>
      </c>
      <c r="J141">
        <v>29.96</v>
      </c>
      <c r="K141">
        <v>22.696999999999999</v>
      </c>
      <c r="L141">
        <v>101.72</v>
      </c>
      <c r="M141">
        <v>15.67</v>
      </c>
      <c r="N141">
        <v>54.384999999999998</v>
      </c>
      <c r="O141">
        <v>57.17</v>
      </c>
      <c r="P141">
        <v>78.13</v>
      </c>
      <c r="Q141">
        <v>60.84</v>
      </c>
    </row>
    <row r="142" spans="2:17" x14ac:dyDescent="0.35">
      <c r="B142" s="2">
        <v>45251</v>
      </c>
      <c r="C142">
        <v>504.42</v>
      </c>
      <c r="D142">
        <v>16.753</v>
      </c>
      <c r="E142">
        <v>108</v>
      </c>
      <c r="F142">
        <v>102.06</v>
      </c>
      <c r="G142">
        <v>65.48</v>
      </c>
      <c r="H142">
        <v>66.66</v>
      </c>
      <c r="I142">
        <v>48.89</v>
      </c>
      <c r="J142">
        <v>30.03</v>
      </c>
      <c r="K142">
        <v>22.975999999999999</v>
      </c>
      <c r="L142">
        <v>101.2</v>
      </c>
      <c r="M142">
        <v>15.74</v>
      </c>
      <c r="N142">
        <v>54.303004999999999</v>
      </c>
      <c r="O142">
        <v>57.02</v>
      </c>
      <c r="P142">
        <v>78.010000000000005</v>
      </c>
      <c r="Q142">
        <v>60.47</v>
      </c>
    </row>
    <row r="143" spans="2:17" x14ac:dyDescent="0.35">
      <c r="B143" s="2">
        <v>45250</v>
      </c>
      <c r="C143">
        <v>504.04</v>
      </c>
      <c r="D143">
        <v>16.652999999999999</v>
      </c>
      <c r="E143">
        <v>107.8</v>
      </c>
      <c r="F143">
        <v>101.9</v>
      </c>
      <c r="G143">
        <v>65.709999999999994</v>
      </c>
      <c r="H143">
        <v>66.47</v>
      </c>
      <c r="I143">
        <v>49.07</v>
      </c>
      <c r="J143">
        <v>29.85</v>
      </c>
      <c r="K143">
        <v>22.799002000000002</v>
      </c>
      <c r="L143">
        <v>101.13</v>
      </c>
      <c r="M143">
        <v>15.58</v>
      </c>
      <c r="N143">
        <v>54.393000000000001</v>
      </c>
      <c r="O143">
        <v>56.99</v>
      </c>
      <c r="P143">
        <v>78.150000000000006</v>
      </c>
      <c r="Q143">
        <v>60.51</v>
      </c>
    </row>
    <row r="144" spans="2:17" x14ac:dyDescent="0.35">
      <c r="B144" s="2">
        <v>45247</v>
      </c>
      <c r="C144">
        <v>506.23</v>
      </c>
      <c r="D144">
        <v>16.870999999999999</v>
      </c>
      <c r="E144">
        <v>108.05</v>
      </c>
      <c r="F144">
        <v>99.3</v>
      </c>
      <c r="G144">
        <v>65.790000000000006</v>
      </c>
      <c r="H144">
        <v>66.61</v>
      </c>
      <c r="I144">
        <v>48.84</v>
      </c>
      <c r="J144">
        <v>29.59</v>
      </c>
      <c r="K144">
        <v>22.823</v>
      </c>
      <c r="L144">
        <v>101.11</v>
      </c>
      <c r="M144">
        <v>15.75</v>
      </c>
      <c r="N144">
        <v>54.45</v>
      </c>
      <c r="O144">
        <v>57.08</v>
      </c>
      <c r="P144">
        <v>78.36</v>
      </c>
      <c r="Q144">
        <v>60.68</v>
      </c>
    </row>
    <row r="145" spans="2:17" x14ac:dyDescent="0.35">
      <c r="B145" s="2">
        <v>45246</v>
      </c>
      <c r="C145">
        <v>516</v>
      </c>
      <c r="D145">
        <v>16.856999999999999</v>
      </c>
      <c r="E145">
        <v>107.48</v>
      </c>
      <c r="F145">
        <v>100.09</v>
      </c>
      <c r="G145">
        <v>65.73</v>
      </c>
      <c r="H145">
        <v>66.59</v>
      </c>
      <c r="I145">
        <v>48.57</v>
      </c>
      <c r="J145">
        <v>29.48</v>
      </c>
      <c r="K145">
        <v>23.225000000000001</v>
      </c>
      <c r="L145">
        <v>101.05</v>
      </c>
      <c r="M145">
        <v>15.57</v>
      </c>
      <c r="N145">
        <v>54.114001999999999</v>
      </c>
      <c r="O145">
        <v>57.17</v>
      </c>
      <c r="P145">
        <v>78.5</v>
      </c>
      <c r="Q145">
        <v>60.52</v>
      </c>
    </row>
    <row r="146" spans="2:17" x14ac:dyDescent="0.35">
      <c r="B146" s="2">
        <v>45245</v>
      </c>
      <c r="C146">
        <v>516.19000000000005</v>
      </c>
      <c r="D146">
        <v>16.303000000000001</v>
      </c>
      <c r="E146">
        <v>105.97</v>
      </c>
      <c r="F146">
        <v>99.7</v>
      </c>
      <c r="G146">
        <v>65.09</v>
      </c>
      <c r="H146">
        <v>66.5</v>
      </c>
      <c r="I146">
        <v>48.4</v>
      </c>
      <c r="J146">
        <v>29.05</v>
      </c>
      <c r="K146">
        <v>23.088000999999998</v>
      </c>
      <c r="L146">
        <v>99.97</v>
      </c>
      <c r="M146">
        <v>15.18</v>
      </c>
      <c r="N146">
        <v>54.23</v>
      </c>
      <c r="O146">
        <v>56.95</v>
      </c>
      <c r="P146">
        <v>78.569999999999993</v>
      </c>
      <c r="Q146">
        <v>59.9</v>
      </c>
    </row>
    <row r="147" spans="2:17" x14ac:dyDescent="0.35">
      <c r="B147" s="2">
        <v>45243</v>
      </c>
      <c r="C147">
        <v>515.14</v>
      </c>
      <c r="D147">
        <v>16.123000000000001</v>
      </c>
      <c r="E147">
        <v>103.44</v>
      </c>
      <c r="F147">
        <v>98.67</v>
      </c>
      <c r="G147">
        <v>64.62</v>
      </c>
      <c r="H147">
        <v>65.459999999999994</v>
      </c>
      <c r="I147">
        <v>48.08</v>
      </c>
      <c r="J147">
        <v>28.82</v>
      </c>
      <c r="K147">
        <v>22.910001999999999</v>
      </c>
      <c r="L147">
        <v>98.5</v>
      </c>
      <c r="M147">
        <v>15.18</v>
      </c>
      <c r="N147">
        <v>53.682003000000002</v>
      </c>
      <c r="O147">
        <v>56.69</v>
      </c>
      <c r="P147">
        <v>77.72</v>
      </c>
      <c r="Q147">
        <v>59.05</v>
      </c>
    </row>
    <row r="148" spans="2:17" x14ac:dyDescent="0.35">
      <c r="B148" s="2">
        <v>45240</v>
      </c>
      <c r="C148">
        <v>500.39</v>
      </c>
      <c r="D148">
        <v>16.344000000000001</v>
      </c>
      <c r="E148">
        <v>103.57</v>
      </c>
      <c r="F148">
        <v>99.19</v>
      </c>
      <c r="G148">
        <v>64.33</v>
      </c>
      <c r="H148">
        <v>65.040000000000006</v>
      </c>
      <c r="I148">
        <v>47.43</v>
      </c>
      <c r="J148">
        <v>28.7</v>
      </c>
      <c r="K148">
        <v>22.887</v>
      </c>
      <c r="L148">
        <v>98.34</v>
      </c>
      <c r="M148">
        <v>15.23</v>
      </c>
      <c r="N148">
        <v>53.807003000000002</v>
      </c>
      <c r="O148">
        <v>55.24</v>
      </c>
      <c r="P148">
        <v>76.84</v>
      </c>
      <c r="Q148">
        <v>58.55</v>
      </c>
    </row>
    <row r="149" spans="2:17" x14ac:dyDescent="0.35">
      <c r="B149" s="2">
        <v>45239</v>
      </c>
      <c r="C149">
        <v>499.75</v>
      </c>
      <c r="D149">
        <v>16.507002</v>
      </c>
      <c r="E149">
        <v>104.52</v>
      </c>
      <c r="F149">
        <v>99.08</v>
      </c>
      <c r="G149">
        <v>63.96</v>
      </c>
      <c r="H149">
        <v>65</v>
      </c>
      <c r="I149">
        <v>47.3</v>
      </c>
      <c r="J149">
        <v>29.01</v>
      </c>
      <c r="K149">
        <v>22.983000000000001</v>
      </c>
      <c r="L149">
        <v>98.84</v>
      </c>
      <c r="M149">
        <v>15.3</v>
      </c>
      <c r="N149">
        <v>53.689003</v>
      </c>
      <c r="O149">
        <v>54.88</v>
      </c>
      <c r="P149">
        <v>76.41</v>
      </c>
      <c r="Q149">
        <v>58.36</v>
      </c>
    </row>
    <row r="150" spans="2:17" x14ac:dyDescent="0.35">
      <c r="B150" s="2">
        <v>45238</v>
      </c>
      <c r="C150">
        <v>498.87</v>
      </c>
      <c r="D150">
        <v>16.411000999999999</v>
      </c>
      <c r="E150">
        <v>104.67</v>
      </c>
      <c r="F150">
        <v>98.96</v>
      </c>
      <c r="G150">
        <v>64.06</v>
      </c>
      <c r="H150">
        <v>64.81</v>
      </c>
      <c r="I150">
        <v>47.12</v>
      </c>
      <c r="J150">
        <v>28.79</v>
      </c>
      <c r="K150">
        <v>22.523</v>
      </c>
      <c r="L150">
        <v>98.5</v>
      </c>
      <c r="M150">
        <v>15.4</v>
      </c>
      <c r="N150">
        <v>54.093000000000004</v>
      </c>
      <c r="O150">
        <v>54.78</v>
      </c>
      <c r="P150">
        <v>76.23</v>
      </c>
      <c r="Q150">
        <v>58.59</v>
      </c>
    </row>
    <row r="151" spans="2:17" x14ac:dyDescent="0.35">
      <c r="B151" s="2">
        <v>45237</v>
      </c>
      <c r="C151">
        <v>500.29</v>
      </c>
      <c r="D151">
        <v>16.053000000000001</v>
      </c>
      <c r="E151">
        <v>104.57</v>
      </c>
      <c r="F151">
        <v>97.97</v>
      </c>
      <c r="G151">
        <v>63.93</v>
      </c>
      <c r="H151">
        <v>64.77</v>
      </c>
      <c r="I151">
        <v>46.46</v>
      </c>
      <c r="J151">
        <v>28.52</v>
      </c>
      <c r="K151">
        <v>22.422999999999998</v>
      </c>
      <c r="L151">
        <v>97.87</v>
      </c>
      <c r="M151">
        <v>15.34</v>
      </c>
      <c r="N151">
        <v>53.850002000000003</v>
      </c>
      <c r="O151">
        <v>54.4</v>
      </c>
      <c r="P151">
        <v>75.94</v>
      </c>
      <c r="Q151">
        <v>58.4</v>
      </c>
    </row>
    <row r="152" spans="2:17" x14ac:dyDescent="0.35">
      <c r="B152" s="2">
        <v>45236</v>
      </c>
      <c r="C152">
        <v>496.8</v>
      </c>
      <c r="D152">
        <v>16.388000000000002</v>
      </c>
      <c r="E152">
        <v>104.26</v>
      </c>
      <c r="F152">
        <v>94.85</v>
      </c>
      <c r="G152">
        <v>63.78</v>
      </c>
      <c r="H152">
        <v>64.37</v>
      </c>
      <c r="I152">
        <v>46.27</v>
      </c>
      <c r="J152">
        <v>28.36</v>
      </c>
      <c r="K152">
        <v>22.815000000000001</v>
      </c>
      <c r="L152">
        <v>97.55</v>
      </c>
      <c r="M152">
        <v>15.14</v>
      </c>
      <c r="N152">
        <v>53.8</v>
      </c>
      <c r="O152">
        <v>54.33</v>
      </c>
      <c r="P152">
        <v>75.67</v>
      </c>
      <c r="Q152">
        <v>58.13</v>
      </c>
    </row>
    <row r="153" spans="2:17" x14ac:dyDescent="0.35">
      <c r="B153" s="2">
        <v>45233</v>
      </c>
      <c r="C153">
        <v>502.79</v>
      </c>
      <c r="D153">
        <v>15.803000000000001</v>
      </c>
      <c r="E153">
        <v>103</v>
      </c>
      <c r="F153">
        <v>95.37</v>
      </c>
      <c r="G153">
        <v>63.13</v>
      </c>
      <c r="H153">
        <v>63.34</v>
      </c>
      <c r="I153">
        <v>45.79</v>
      </c>
      <c r="J153">
        <v>28.1</v>
      </c>
      <c r="K153">
        <v>22.672999999999998</v>
      </c>
      <c r="L153">
        <v>96.48</v>
      </c>
      <c r="M153">
        <v>15.19</v>
      </c>
      <c r="N153">
        <v>53.426003000000001</v>
      </c>
      <c r="O153">
        <v>53.59</v>
      </c>
      <c r="P153">
        <v>74.760000000000005</v>
      </c>
      <c r="Q153">
        <v>57.74</v>
      </c>
    </row>
    <row r="154" spans="2:17" x14ac:dyDescent="0.35">
      <c r="B154" s="2">
        <v>45232</v>
      </c>
      <c r="C154">
        <v>498.87</v>
      </c>
      <c r="D154">
        <v>15.903</v>
      </c>
      <c r="E154">
        <v>103.15</v>
      </c>
      <c r="F154">
        <v>95.3</v>
      </c>
      <c r="G154">
        <v>62.6</v>
      </c>
      <c r="H154">
        <v>63.23</v>
      </c>
      <c r="I154">
        <v>45.67</v>
      </c>
      <c r="J154">
        <v>27.83</v>
      </c>
      <c r="K154">
        <v>22.504000000000001</v>
      </c>
      <c r="L154">
        <v>96.19</v>
      </c>
      <c r="M154">
        <v>14.93</v>
      </c>
      <c r="N154">
        <v>53.121001999999997</v>
      </c>
      <c r="O154">
        <v>53.03</v>
      </c>
      <c r="P154">
        <v>74.36</v>
      </c>
      <c r="Q154">
        <v>57.42</v>
      </c>
    </row>
    <row r="155" spans="2:17" x14ac:dyDescent="0.35">
      <c r="B155" s="2">
        <v>45231</v>
      </c>
      <c r="C155">
        <v>491.76</v>
      </c>
      <c r="D155">
        <v>15.813001</v>
      </c>
      <c r="E155">
        <v>101.75</v>
      </c>
      <c r="F155">
        <v>94.4</v>
      </c>
      <c r="G155">
        <v>62.07</v>
      </c>
      <c r="H155">
        <v>62.3</v>
      </c>
      <c r="I155">
        <v>44.89</v>
      </c>
      <c r="J155">
        <v>27.68</v>
      </c>
      <c r="K155">
        <v>22.24</v>
      </c>
      <c r="L155">
        <v>96.17</v>
      </c>
      <c r="M155">
        <v>14.85</v>
      </c>
      <c r="N155">
        <v>52.661999999999999</v>
      </c>
      <c r="O155">
        <v>52.71</v>
      </c>
      <c r="P155">
        <v>73.650000000000006</v>
      </c>
      <c r="Q155">
        <v>56.67</v>
      </c>
    </row>
    <row r="156" spans="2:17" x14ac:dyDescent="0.35">
      <c r="B156" s="2">
        <v>45230</v>
      </c>
      <c r="C156">
        <v>493.09</v>
      </c>
      <c r="D156">
        <v>16.201000000000001</v>
      </c>
      <c r="E156">
        <v>102.71</v>
      </c>
      <c r="F156">
        <v>93.89</v>
      </c>
      <c r="G156">
        <v>62.22</v>
      </c>
      <c r="H156">
        <v>62.55</v>
      </c>
      <c r="I156">
        <v>45.07</v>
      </c>
      <c r="J156">
        <v>27.99</v>
      </c>
      <c r="K156">
        <v>22.469000000000001</v>
      </c>
      <c r="L156">
        <v>95.53</v>
      </c>
      <c r="M156">
        <v>15.02</v>
      </c>
      <c r="N156">
        <v>52.865000000000002</v>
      </c>
      <c r="O156">
        <v>53.09</v>
      </c>
      <c r="P156">
        <v>73.87</v>
      </c>
      <c r="Q156">
        <v>56.99</v>
      </c>
    </row>
    <row r="157" spans="2:17" x14ac:dyDescent="0.35">
      <c r="B157" s="2">
        <v>45229</v>
      </c>
      <c r="C157">
        <v>489.07</v>
      </c>
      <c r="D157">
        <v>16.058</v>
      </c>
      <c r="E157">
        <v>102.43</v>
      </c>
      <c r="F157">
        <v>94.45</v>
      </c>
      <c r="G157">
        <v>62.51</v>
      </c>
      <c r="H157">
        <v>62.59</v>
      </c>
      <c r="I157">
        <v>45.42</v>
      </c>
      <c r="J157">
        <v>27.6</v>
      </c>
      <c r="K157">
        <v>22.571000999999999</v>
      </c>
      <c r="L157">
        <v>95.95</v>
      </c>
      <c r="M157">
        <v>15.12</v>
      </c>
      <c r="N157">
        <v>52.821002999999997</v>
      </c>
      <c r="O157">
        <v>53.08</v>
      </c>
      <c r="P157">
        <v>73.87</v>
      </c>
      <c r="Q157">
        <v>56.99</v>
      </c>
    </row>
    <row r="158" spans="2:17" x14ac:dyDescent="0.35">
      <c r="B158" s="2">
        <v>45226</v>
      </c>
      <c r="C158">
        <v>491.34</v>
      </c>
      <c r="D158">
        <v>13.708</v>
      </c>
      <c r="E158">
        <v>103.35</v>
      </c>
      <c r="F158">
        <v>93.91</v>
      </c>
      <c r="G158">
        <v>61.87</v>
      </c>
      <c r="H158">
        <v>62.42</v>
      </c>
      <c r="I158">
        <v>44.98</v>
      </c>
      <c r="J158">
        <v>27.73</v>
      </c>
      <c r="K158">
        <v>22.422000000000001</v>
      </c>
      <c r="L158">
        <v>95.84</v>
      </c>
      <c r="M158">
        <v>14.9</v>
      </c>
      <c r="N158">
        <v>53.051003000000001</v>
      </c>
      <c r="O158">
        <v>52.94</v>
      </c>
      <c r="P158">
        <v>73.709999999999994</v>
      </c>
      <c r="Q158">
        <v>56.96</v>
      </c>
    </row>
    <row r="159" spans="2:17" x14ac:dyDescent="0.35">
      <c r="B159" s="2">
        <v>45225</v>
      </c>
      <c r="C159">
        <v>471.36</v>
      </c>
      <c r="D159">
        <v>15.702999999999999</v>
      </c>
      <c r="E159">
        <v>103.67</v>
      </c>
      <c r="F159">
        <v>94.79</v>
      </c>
      <c r="G159">
        <v>60.91</v>
      </c>
      <c r="H159">
        <v>61.7</v>
      </c>
      <c r="I159">
        <v>44.6</v>
      </c>
      <c r="J159">
        <v>27.18</v>
      </c>
      <c r="K159">
        <v>22.160001999999999</v>
      </c>
      <c r="L159">
        <v>95.1</v>
      </c>
      <c r="M159">
        <v>14.7</v>
      </c>
      <c r="N159">
        <v>52.619</v>
      </c>
      <c r="O159">
        <v>51.94</v>
      </c>
      <c r="P159">
        <v>72.599999999999994</v>
      </c>
      <c r="Q159">
        <v>56.24</v>
      </c>
    </row>
    <row r="160" spans="2:17" x14ac:dyDescent="0.35">
      <c r="B160" s="2">
        <v>45224</v>
      </c>
      <c r="C160">
        <v>474.07</v>
      </c>
      <c r="D160">
        <v>16.129000000000001</v>
      </c>
      <c r="E160">
        <v>102.28</v>
      </c>
      <c r="F160">
        <v>94.47</v>
      </c>
      <c r="G160">
        <v>61.66</v>
      </c>
      <c r="H160">
        <v>62.55</v>
      </c>
      <c r="I160">
        <v>44.86</v>
      </c>
      <c r="J160">
        <v>27.5</v>
      </c>
      <c r="K160">
        <v>22.338000999999998</v>
      </c>
      <c r="L160">
        <v>96.26</v>
      </c>
      <c r="M160">
        <v>15</v>
      </c>
      <c r="N160">
        <v>52.669002999999996</v>
      </c>
      <c r="O160">
        <v>52.34</v>
      </c>
      <c r="P160">
        <v>73</v>
      </c>
      <c r="Q160">
        <v>56.71</v>
      </c>
    </row>
    <row r="161" spans="2:17" x14ac:dyDescent="0.35">
      <c r="B161" s="2">
        <v>45222</v>
      </c>
      <c r="C161">
        <v>476.11</v>
      </c>
      <c r="D161">
        <v>15.967999000000001</v>
      </c>
      <c r="E161">
        <v>103.3</v>
      </c>
      <c r="F161">
        <v>94.47</v>
      </c>
      <c r="G161">
        <v>62.43</v>
      </c>
      <c r="H161">
        <v>62.52</v>
      </c>
      <c r="I161">
        <v>45.53</v>
      </c>
      <c r="J161">
        <v>27.84</v>
      </c>
      <c r="K161">
        <v>22.483000000000001</v>
      </c>
      <c r="L161">
        <v>96.87</v>
      </c>
      <c r="M161">
        <v>14.9</v>
      </c>
      <c r="N161">
        <v>53.042000000000002</v>
      </c>
      <c r="O161">
        <v>52.69</v>
      </c>
      <c r="P161">
        <v>73.599999999999994</v>
      </c>
      <c r="Q161">
        <v>57.07</v>
      </c>
    </row>
    <row r="162" spans="2:17" x14ac:dyDescent="0.35">
      <c r="B162" s="2">
        <v>45219</v>
      </c>
      <c r="C162">
        <v>493.47</v>
      </c>
      <c r="D162">
        <v>16.203001</v>
      </c>
      <c r="E162">
        <v>105.24</v>
      </c>
      <c r="F162">
        <v>96.12</v>
      </c>
      <c r="G162">
        <v>63.22</v>
      </c>
      <c r="H162">
        <v>63.97</v>
      </c>
      <c r="I162">
        <v>46.14</v>
      </c>
      <c r="J162">
        <v>28.09</v>
      </c>
      <c r="K162">
        <v>22.911000999999999</v>
      </c>
      <c r="L162">
        <v>98.42</v>
      </c>
      <c r="M162">
        <v>15.33</v>
      </c>
      <c r="N162">
        <v>53.426003000000001</v>
      </c>
      <c r="O162">
        <v>53.62</v>
      </c>
      <c r="P162">
        <v>74.87</v>
      </c>
      <c r="Q162">
        <v>58</v>
      </c>
    </row>
    <row r="163" spans="2:17" x14ac:dyDescent="0.35">
      <c r="B163" s="2">
        <v>45218</v>
      </c>
      <c r="C163">
        <v>502.3</v>
      </c>
      <c r="D163">
        <v>16.692999</v>
      </c>
      <c r="E163">
        <v>105.42</v>
      </c>
      <c r="F163">
        <v>97.2</v>
      </c>
      <c r="G163">
        <v>63.64</v>
      </c>
      <c r="H163">
        <v>64.8</v>
      </c>
      <c r="I163">
        <v>46.26</v>
      </c>
      <c r="J163">
        <v>28.48</v>
      </c>
      <c r="K163">
        <v>22.963000999999998</v>
      </c>
      <c r="L163">
        <v>99.22</v>
      </c>
      <c r="M163">
        <v>14.705000999999999</v>
      </c>
      <c r="N163">
        <v>54.01</v>
      </c>
      <c r="O163">
        <v>54.03</v>
      </c>
      <c r="P163">
        <v>75.98</v>
      </c>
      <c r="Q163">
        <v>58.38</v>
      </c>
    </row>
    <row r="164" spans="2:17" x14ac:dyDescent="0.35">
      <c r="B164" s="2">
        <v>45217</v>
      </c>
      <c r="C164">
        <v>502.36</v>
      </c>
      <c r="D164">
        <v>16.323</v>
      </c>
      <c r="E164">
        <v>105.3</v>
      </c>
      <c r="F164">
        <v>97.2</v>
      </c>
      <c r="G164">
        <v>64.09</v>
      </c>
      <c r="H164">
        <v>64.77</v>
      </c>
      <c r="I164">
        <v>46.45</v>
      </c>
      <c r="J164">
        <v>28.49</v>
      </c>
      <c r="K164">
        <v>23.021001999999999</v>
      </c>
      <c r="L164">
        <v>99.84</v>
      </c>
      <c r="M164">
        <v>14.805</v>
      </c>
      <c r="N164">
        <v>53.997996999999998</v>
      </c>
      <c r="O164">
        <v>54.12</v>
      </c>
      <c r="P164">
        <v>76.2</v>
      </c>
      <c r="Q164">
        <v>58.52</v>
      </c>
    </row>
    <row r="165" spans="2:17" x14ac:dyDescent="0.35">
      <c r="B165" s="2">
        <v>45216</v>
      </c>
      <c r="C165">
        <v>507.36</v>
      </c>
      <c r="D165">
        <v>16.68</v>
      </c>
      <c r="E165">
        <v>106.72</v>
      </c>
      <c r="F165">
        <v>97.59</v>
      </c>
      <c r="G165">
        <v>64.7</v>
      </c>
      <c r="H165">
        <v>65.13</v>
      </c>
      <c r="I165">
        <v>47.03</v>
      </c>
      <c r="J165">
        <v>28.63</v>
      </c>
      <c r="K165">
        <v>22.953001</v>
      </c>
      <c r="L165">
        <v>99.7</v>
      </c>
      <c r="M165">
        <v>14.805</v>
      </c>
      <c r="N165">
        <v>54.357999999999997</v>
      </c>
      <c r="O165">
        <v>54.57</v>
      </c>
      <c r="P165">
        <v>76.739999999999995</v>
      </c>
      <c r="Q165">
        <v>58.86</v>
      </c>
    </row>
    <row r="166" spans="2:17" x14ac:dyDescent="0.35">
      <c r="B166" s="2">
        <v>45215</v>
      </c>
      <c r="C166">
        <v>503.9</v>
      </c>
      <c r="D166">
        <v>16.332999999999998</v>
      </c>
      <c r="E166">
        <v>105.77</v>
      </c>
      <c r="F166">
        <v>97.19</v>
      </c>
      <c r="G166">
        <v>64.44</v>
      </c>
      <c r="H166">
        <v>65.2</v>
      </c>
      <c r="I166">
        <v>47.02</v>
      </c>
      <c r="J166">
        <v>28.59</v>
      </c>
      <c r="K166">
        <v>22.813002000000001</v>
      </c>
      <c r="L166">
        <v>99.73</v>
      </c>
      <c r="M166">
        <v>15.238001000000001</v>
      </c>
      <c r="N166">
        <v>54.040005000000001</v>
      </c>
      <c r="O166">
        <v>53.86</v>
      </c>
      <c r="P166">
        <v>76.38</v>
      </c>
      <c r="Q166">
        <v>58.62</v>
      </c>
    </row>
    <row r="167" spans="2:17" x14ac:dyDescent="0.35">
      <c r="B167" s="2">
        <v>45212</v>
      </c>
      <c r="C167">
        <v>503.66</v>
      </c>
      <c r="D167">
        <v>16.303000000000001</v>
      </c>
      <c r="E167">
        <v>105.77</v>
      </c>
      <c r="F167">
        <v>96.82</v>
      </c>
      <c r="G167">
        <v>64.489999999999995</v>
      </c>
      <c r="H167">
        <v>64.540000000000006</v>
      </c>
      <c r="I167">
        <v>47.3</v>
      </c>
      <c r="J167">
        <v>28.62</v>
      </c>
      <c r="K167">
        <v>23.289000000000001</v>
      </c>
      <c r="L167">
        <v>99.15</v>
      </c>
      <c r="M167">
        <v>14.705000999999999</v>
      </c>
      <c r="N167">
        <v>54.279000000000003</v>
      </c>
      <c r="O167">
        <v>53.46</v>
      </c>
      <c r="P167">
        <v>75.95</v>
      </c>
      <c r="Q167">
        <v>58.37</v>
      </c>
    </row>
    <row r="168" spans="2:17" x14ac:dyDescent="0.35">
      <c r="B168" s="2">
        <v>45211</v>
      </c>
      <c r="C168">
        <v>511.13</v>
      </c>
      <c r="D168">
        <v>16.273</v>
      </c>
      <c r="E168">
        <v>106.38</v>
      </c>
      <c r="F168">
        <v>97.45</v>
      </c>
      <c r="G168">
        <v>64.19</v>
      </c>
      <c r="H168">
        <v>64.59</v>
      </c>
      <c r="I168">
        <v>46.76</v>
      </c>
      <c r="J168">
        <v>28.46</v>
      </c>
      <c r="K168">
        <v>23.399000000000001</v>
      </c>
      <c r="L168">
        <v>99.2</v>
      </c>
      <c r="M168">
        <v>14.705000999999999</v>
      </c>
      <c r="N168">
        <v>53.915005000000001</v>
      </c>
      <c r="O168">
        <v>53.42</v>
      </c>
      <c r="P168">
        <v>76.14</v>
      </c>
      <c r="Q168">
        <v>58.38</v>
      </c>
    </row>
    <row r="169" spans="2:17" x14ac:dyDescent="0.35">
      <c r="B169" s="2">
        <v>45210</v>
      </c>
      <c r="C169">
        <v>510.63</v>
      </c>
      <c r="D169">
        <v>16.303000000000001</v>
      </c>
      <c r="E169">
        <v>106.8</v>
      </c>
      <c r="F169">
        <v>97.2</v>
      </c>
      <c r="G169">
        <v>64.05</v>
      </c>
      <c r="H169">
        <v>64.55</v>
      </c>
      <c r="I169">
        <v>46.71</v>
      </c>
      <c r="J169">
        <v>28.47</v>
      </c>
      <c r="K169">
        <v>23.308</v>
      </c>
      <c r="L169">
        <v>98.53</v>
      </c>
      <c r="M169">
        <v>15.150001</v>
      </c>
      <c r="N169">
        <v>53.745002999999997</v>
      </c>
      <c r="O169">
        <v>52.85</v>
      </c>
      <c r="P169">
        <v>75.69</v>
      </c>
      <c r="Q169">
        <v>58.55</v>
      </c>
    </row>
    <row r="170" spans="2:17" x14ac:dyDescent="0.35">
      <c r="B170" s="2">
        <v>45209</v>
      </c>
      <c r="C170">
        <v>512.78</v>
      </c>
      <c r="D170">
        <v>16.563002000000001</v>
      </c>
      <c r="E170">
        <v>106.1</v>
      </c>
      <c r="F170">
        <v>96.72</v>
      </c>
      <c r="G170">
        <v>63.66</v>
      </c>
      <c r="H170">
        <v>64.08</v>
      </c>
      <c r="I170">
        <v>46.64</v>
      </c>
      <c r="J170">
        <v>28.32</v>
      </c>
      <c r="K170">
        <v>22.753</v>
      </c>
      <c r="L170">
        <v>98.12</v>
      </c>
      <c r="M170">
        <v>14.967000000000001</v>
      </c>
      <c r="N170">
        <v>53.390003</v>
      </c>
      <c r="O170">
        <v>52.85</v>
      </c>
      <c r="P170">
        <v>75.31</v>
      </c>
      <c r="Q170">
        <v>58.36</v>
      </c>
    </row>
    <row r="171" spans="2:17" x14ac:dyDescent="0.35">
      <c r="B171" s="2">
        <v>45208</v>
      </c>
      <c r="C171">
        <v>504.11</v>
      </c>
      <c r="D171">
        <v>16.123000000000001</v>
      </c>
      <c r="E171">
        <v>105.57</v>
      </c>
      <c r="F171">
        <v>96.72</v>
      </c>
      <c r="G171">
        <v>63.04</v>
      </c>
      <c r="H171">
        <v>63.39</v>
      </c>
      <c r="I171">
        <v>46.15</v>
      </c>
      <c r="J171">
        <v>28.37</v>
      </c>
      <c r="K171">
        <v>22.713000999999998</v>
      </c>
      <c r="L171">
        <v>97.1</v>
      </c>
      <c r="M171">
        <v>15.037000000000001</v>
      </c>
      <c r="N171">
        <v>53.100002000000003</v>
      </c>
      <c r="O171">
        <v>51.79</v>
      </c>
      <c r="P171">
        <v>74.52</v>
      </c>
      <c r="Q171">
        <v>57.7</v>
      </c>
    </row>
    <row r="172" spans="2:17" x14ac:dyDescent="0.35">
      <c r="B172" s="2">
        <v>45205</v>
      </c>
      <c r="C172">
        <v>520.22</v>
      </c>
      <c r="D172">
        <v>16.063002000000001</v>
      </c>
      <c r="E172">
        <v>105.57</v>
      </c>
      <c r="F172">
        <v>96.12</v>
      </c>
      <c r="G172">
        <v>63.75</v>
      </c>
      <c r="H172">
        <v>63.99</v>
      </c>
      <c r="I172">
        <v>46.41</v>
      </c>
      <c r="J172">
        <v>28.3</v>
      </c>
      <c r="K172">
        <v>22.703001</v>
      </c>
      <c r="L172">
        <v>97.89</v>
      </c>
      <c r="M172">
        <v>14.505000000000001</v>
      </c>
      <c r="N172">
        <v>53.192999999999998</v>
      </c>
      <c r="O172">
        <v>52.34</v>
      </c>
      <c r="P172">
        <v>75.11</v>
      </c>
      <c r="Q172">
        <v>58.19</v>
      </c>
    </row>
    <row r="173" spans="2:17" x14ac:dyDescent="0.35">
      <c r="B173" s="2">
        <v>45204</v>
      </c>
      <c r="C173">
        <v>518.28</v>
      </c>
      <c r="D173">
        <v>16.395</v>
      </c>
      <c r="E173">
        <v>105.05</v>
      </c>
      <c r="F173">
        <v>96.17</v>
      </c>
      <c r="G173">
        <v>63.35</v>
      </c>
      <c r="H173">
        <v>63.73</v>
      </c>
      <c r="I173">
        <v>45.97</v>
      </c>
      <c r="J173">
        <v>28.07</v>
      </c>
      <c r="K173">
        <v>22.663</v>
      </c>
      <c r="L173">
        <v>97.5</v>
      </c>
      <c r="M173">
        <v>15.024001</v>
      </c>
      <c r="N173">
        <v>53.021999999999998</v>
      </c>
      <c r="O173">
        <v>52.08</v>
      </c>
      <c r="P173">
        <v>74.739999999999995</v>
      </c>
      <c r="Q173">
        <v>57.66</v>
      </c>
    </row>
    <row r="174" spans="2:17" x14ac:dyDescent="0.35">
      <c r="B174" s="2">
        <v>45203</v>
      </c>
      <c r="C174">
        <v>517.54</v>
      </c>
      <c r="D174">
        <v>15.933001000000001</v>
      </c>
      <c r="E174">
        <v>104.2</v>
      </c>
      <c r="F174">
        <v>95.82</v>
      </c>
      <c r="G174">
        <v>63.06</v>
      </c>
      <c r="H174">
        <v>63.88</v>
      </c>
      <c r="I174">
        <v>45.95</v>
      </c>
      <c r="J174">
        <v>28.15</v>
      </c>
      <c r="K174">
        <v>22.553000000000001</v>
      </c>
      <c r="L174">
        <v>97</v>
      </c>
      <c r="M174">
        <v>14.505000000000001</v>
      </c>
      <c r="N174">
        <v>53</v>
      </c>
      <c r="O174">
        <v>52.3</v>
      </c>
      <c r="P174">
        <v>74.52</v>
      </c>
      <c r="Q174">
        <v>57.44</v>
      </c>
    </row>
    <row r="175" spans="2:17" x14ac:dyDescent="0.35">
      <c r="B175" s="2">
        <v>45202</v>
      </c>
      <c r="C175">
        <v>537.37</v>
      </c>
      <c r="D175">
        <v>16.103000000000002</v>
      </c>
      <c r="E175">
        <v>104.99</v>
      </c>
      <c r="F175">
        <v>97.7</v>
      </c>
      <c r="G175">
        <v>63.73</v>
      </c>
      <c r="H175">
        <v>64.81</v>
      </c>
      <c r="I175">
        <v>46.91</v>
      </c>
      <c r="J175">
        <v>28.62</v>
      </c>
      <c r="K175">
        <v>23.133001</v>
      </c>
      <c r="L175">
        <v>98.36</v>
      </c>
      <c r="M175">
        <v>14.505000000000001</v>
      </c>
      <c r="N175">
        <v>52.88</v>
      </c>
      <c r="O175">
        <v>52.84</v>
      </c>
      <c r="P175">
        <v>75.8</v>
      </c>
      <c r="Q175">
        <v>57.9</v>
      </c>
    </row>
    <row r="176" spans="2:17" x14ac:dyDescent="0.35">
      <c r="B176" s="2">
        <v>45198</v>
      </c>
      <c r="C176">
        <v>524.48</v>
      </c>
      <c r="D176">
        <v>16.003</v>
      </c>
      <c r="E176">
        <v>105.65</v>
      </c>
      <c r="F176">
        <v>98.22</v>
      </c>
      <c r="G176">
        <v>63.85</v>
      </c>
      <c r="H176">
        <v>65.150000000000006</v>
      </c>
      <c r="I176">
        <v>46.6</v>
      </c>
      <c r="J176">
        <v>28.7</v>
      </c>
      <c r="K176">
        <v>23.303000000000001</v>
      </c>
      <c r="L176">
        <v>99.38</v>
      </c>
      <c r="M176">
        <v>15.161</v>
      </c>
      <c r="N176">
        <v>53.333004000000003</v>
      </c>
      <c r="O176">
        <v>53.61</v>
      </c>
      <c r="P176">
        <v>75.91</v>
      </c>
      <c r="Q176">
        <v>58.87</v>
      </c>
    </row>
    <row r="177" spans="2:17" x14ac:dyDescent="0.35">
      <c r="B177" s="2">
        <v>45197</v>
      </c>
      <c r="C177">
        <v>515.08000000000004</v>
      </c>
      <c r="D177">
        <v>16.279</v>
      </c>
      <c r="E177">
        <v>104.38</v>
      </c>
      <c r="F177">
        <v>80</v>
      </c>
      <c r="G177">
        <v>63.07</v>
      </c>
      <c r="H177">
        <v>64.260000000000005</v>
      </c>
      <c r="I177">
        <v>46.03</v>
      </c>
      <c r="J177">
        <v>28.28</v>
      </c>
      <c r="K177">
        <v>22.733000000000001</v>
      </c>
      <c r="L177">
        <v>98.2</v>
      </c>
      <c r="M177">
        <v>14.845000000000001</v>
      </c>
      <c r="N177">
        <v>52.99</v>
      </c>
      <c r="O177">
        <v>52.51</v>
      </c>
      <c r="P177">
        <v>74.92</v>
      </c>
      <c r="Q177">
        <v>57.48</v>
      </c>
    </row>
    <row r="178" spans="2:17" x14ac:dyDescent="0.35">
      <c r="B178" s="2">
        <v>45196</v>
      </c>
      <c r="C178">
        <v>520.54999999999995</v>
      </c>
      <c r="D178">
        <v>16.303000000000001</v>
      </c>
      <c r="E178">
        <v>106.3</v>
      </c>
      <c r="F178">
        <v>96.37</v>
      </c>
      <c r="G178">
        <v>63.54</v>
      </c>
      <c r="H178">
        <v>65.010000000000005</v>
      </c>
      <c r="I178">
        <v>46.44</v>
      </c>
      <c r="J178">
        <v>28.34</v>
      </c>
      <c r="K178">
        <v>23.160001999999999</v>
      </c>
      <c r="L178">
        <v>99.28</v>
      </c>
      <c r="M178">
        <v>14.705000999999999</v>
      </c>
      <c r="N178">
        <v>53.890003</v>
      </c>
      <c r="O178">
        <v>52.57</v>
      </c>
      <c r="P178">
        <v>74.989999999999995</v>
      </c>
      <c r="Q178">
        <v>58.4</v>
      </c>
    </row>
    <row r="179" spans="2:17" x14ac:dyDescent="0.35">
      <c r="B179" s="2">
        <v>45195</v>
      </c>
      <c r="C179">
        <v>516.89</v>
      </c>
      <c r="D179">
        <v>16.253</v>
      </c>
      <c r="E179">
        <v>106.17</v>
      </c>
      <c r="F179">
        <v>96.01</v>
      </c>
      <c r="G179">
        <v>63.22</v>
      </c>
      <c r="H179">
        <v>65.099999999999994</v>
      </c>
      <c r="I179">
        <v>45.95</v>
      </c>
      <c r="J179">
        <v>28.47</v>
      </c>
      <c r="K179">
        <v>22.902999999999999</v>
      </c>
      <c r="L179">
        <v>99</v>
      </c>
      <c r="M179">
        <v>14.705000999999999</v>
      </c>
      <c r="N179">
        <v>53.395000000000003</v>
      </c>
      <c r="O179">
        <v>52.56</v>
      </c>
      <c r="P179">
        <v>74.64</v>
      </c>
      <c r="Q179">
        <v>57.98</v>
      </c>
    </row>
    <row r="180" spans="2:17" x14ac:dyDescent="0.35">
      <c r="B180" s="2">
        <v>45194</v>
      </c>
      <c r="C180">
        <v>519.29</v>
      </c>
      <c r="D180">
        <v>16.501000000000001</v>
      </c>
      <c r="E180">
        <v>105.23</v>
      </c>
      <c r="F180">
        <v>95.75</v>
      </c>
      <c r="G180">
        <v>63.1</v>
      </c>
      <c r="H180">
        <v>64.7</v>
      </c>
      <c r="I180">
        <v>46.17</v>
      </c>
      <c r="J180">
        <v>28.27</v>
      </c>
      <c r="K180">
        <v>23.417999999999999</v>
      </c>
      <c r="L180">
        <v>98.72</v>
      </c>
      <c r="M180">
        <v>15.214</v>
      </c>
      <c r="N180">
        <v>53.195003999999997</v>
      </c>
      <c r="O180">
        <v>52.33</v>
      </c>
      <c r="P180">
        <v>74.66</v>
      </c>
      <c r="Q180">
        <v>58.17</v>
      </c>
    </row>
    <row r="181" spans="2:17" x14ac:dyDescent="0.35">
      <c r="B181" s="2">
        <v>45191</v>
      </c>
      <c r="C181">
        <v>518.16999999999996</v>
      </c>
      <c r="D181">
        <v>16.163</v>
      </c>
      <c r="E181">
        <v>106.2</v>
      </c>
      <c r="F181">
        <v>96</v>
      </c>
      <c r="G181">
        <v>63.03</v>
      </c>
      <c r="H181">
        <v>64.849999999999994</v>
      </c>
      <c r="I181">
        <v>45.96</v>
      </c>
      <c r="J181">
        <v>27.96</v>
      </c>
      <c r="K181">
        <v>23.405999999999999</v>
      </c>
      <c r="L181">
        <v>98.97</v>
      </c>
      <c r="M181">
        <v>15.2</v>
      </c>
      <c r="N181">
        <v>53.228999999999999</v>
      </c>
      <c r="O181">
        <v>52.22</v>
      </c>
      <c r="P181">
        <v>74.56</v>
      </c>
      <c r="Q181">
        <v>58.26</v>
      </c>
    </row>
    <row r="182" spans="2:17" x14ac:dyDescent="0.35">
      <c r="B182" s="2">
        <v>45190</v>
      </c>
      <c r="C182">
        <v>501.21</v>
      </c>
      <c r="D182">
        <v>16.497</v>
      </c>
      <c r="E182">
        <v>106.35</v>
      </c>
      <c r="F182">
        <v>97.81</v>
      </c>
      <c r="G182">
        <v>63.24</v>
      </c>
      <c r="H182">
        <v>64.98</v>
      </c>
      <c r="I182">
        <v>45.93</v>
      </c>
      <c r="J182">
        <v>29.03</v>
      </c>
      <c r="K182">
        <v>23.213999999999999</v>
      </c>
      <c r="L182">
        <v>99.58</v>
      </c>
      <c r="M182">
        <v>14.805</v>
      </c>
      <c r="N182">
        <v>53.344999999999999</v>
      </c>
      <c r="O182">
        <v>52.27</v>
      </c>
      <c r="P182">
        <v>74.38</v>
      </c>
      <c r="Q182">
        <v>58.08</v>
      </c>
    </row>
    <row r="183" spans="2:17" x14ac:dyDescent="0.35">
      <c r="B183" s="2">
        <v>45189</v>
      </c>
      <c r="C183">
        <v>513.22</v>
      </c>
      <c r="D183">
        <v>16.402999999999999</v>
      </c>
      <c r="E183">
        <v>107</v>
      </c>
      <c r="F183">
        <v>98</v>
      </c>
      <c r="G183">
        <v>63.37</v>
      </c>
      <c r="H183">
        <v>65.55</v>
      </c>
      <c r="I183">
        <v>46.26</v>
      </c>
      <c r="J183">
        <v>28.71</v>
      </c>
      <c r="K183">
        <v>23.609000000000002</v>
      </c>
      <c r="L183">
        <v>100.76</v>
      </c>
      <c r="M183">
        <v>14.805</v>
      </c>
      <c r="N183">
        <v>53.640999999999998</v>
      </c>
      <c r="O183">
        <v>53</v>
      </c>
      <c r="P183">
        <v>75.33</v>
      </c>
      <c r="Q183">
        <v>58.57</v>
      </c>
    </row>
    <row r="184" spans="2:17" x14ac:dyDescent="0.35">
      <c r="B184" s="2">
        <v>45187</v>
      </c>
      <c r="C184">
        <v>519.33000000000004</v>
      </c>
      <c r="D184">
        <v>16.402999999999999</v>
      </c>
      <c r="E184">
        <v>107.51</v>
      </c>
      <c r="F184">
        <v>99.66</v>
      </c>
      <c r="G184">
        <v>64.16</v>
      </c>
      <c r="H184">
        <v>65.98</v>
      </c>
      <c r="I184">
        <v>46.46</v>
      </c>
      <c r="J184">
        <v>28.77</v>
      </c>
      <c r="K184">
        <v>23.9</v>
      </c>
      <c r="L184">
        <v>99.33</v>
      </c>
      <c r="M184">
        <v>14.805</v>
      </c>
      <c r="N184">
        <v>53.555999999999997</v>
      </c>
      <c r="O184">
        <v>52.68</v>
      </c>
      <c r="P184">
        <v>75.260000000000005</v>
      </c>
      <c r="Q184">
        <v>58.82</v>
      </c>
    </row>
    <row r="185" spans="2:17" x14ac:dyDescent="0.35">
      <c r="B185" s="2">
        <v>45184</v>
      </c>
      <c r="C185">
        <v>516.52</v>
      </c>
      <c r="D185">
        <v>16.760999999999999</v>
      </c>
      <c r="E185">
        <v>106.7</v>
      </c>
      <c r="F185">
        <v>98.91</v>
      </c>
      <c r="G185">
        <v>64.17</v>
      </c>
      <c r="H185">
        <v>65.45</v>
      </c>
      <c r="I185">
        <v>46.34</v>
      </c>
      <c r="J185">
        <v>29</v>
      </c>
      <c r="K185">
        <v>24.003</v>
      </c>
      <c r="L185">
        <v>100.82</v>
      </c>
      <c r="M185">
        <v>15.3</v>
      </c>
      <c r="N185">
        <v>53.572997999999998</v>
      </c>
      <c r="O185">
        <v>51.9</v>
      </c>
      <c r="P185">
        <v>74.81</v>
      </c>
      <c r="Q185">
        <v>58.47</v>
      </c>
    </row>
    <row r="186" spans="2:17" x14ac:dyDescent="0.35">
      <c r="B186" s="2">
        <v>45183</v>
      </c>
      <c r="C186">
        <v>500</v>
      </c>
      <c r="D186">
        <v>16.585000999999998</v>
      </c>
      <c r="E186">
        <v>107.06</v>
      </c>
      <c r="F186">
        <v>98.9</v>
      </c>
      <c r="G186">
        <v>64.11</v>
      </c>
      <c r="H186">
        <v>66.2</v>
      </c>
      <c r="I186">
        <v>46.04</v>
      </c>
      <c r="J186">
        <v>28.9</v>
      </c>
      <c r="K186">
        <v>23.773</v>
      </c>
      <c r="L186">
        <v>100.92</v>
      </c>
      <c r="M186">
        <v>15.394999500000001</v>
      </c>
      <c r="N186">
        <v>53.76</v>
      </c>
      <c r="O186">
        <v>52.14</v>
      </c>
      <c r="P186">
        <v>74.91</v>
      </c>
      <c r="Q186">
        <v>58.43</v>
      </c>
    </row>
    <row r="187" spans="2:17" x14ac:dyDescent="0.35">
      <c r="B187" s="2">
        <v>45182</v>
      </c>
      <c r="C187">
        <v>492.53</v>
      </c>
      <c r="D187">
        <v>13.577000999999999</v>
      </c>
      <c r="E187">
        <v>106.7</v>
      </c>
      <c r="F187">
        <v>98.4</v>
      </c>
      <c r="G187">
        <v>63.86</v>
      </c>
      <c r="H187">
        <v>65.75</v>
      </c>
      <c r="I187">
        <v>45.63</v>
      </c>
      <c r="J187">
        <v>28.56</v>
      </c>
      <c r="K187">
        <v>23.917999999999999</v>
      </c>
      <c r="L187">
        <v>100.18</v>
      </c>
      <c r="M187">
        <v>14.705000999999999</v>
      </c>
      <c r="N187">
        <v>53.76</v>
      </c>
      <c r="O187">
        <v>51.56</v>
      </c>
      <c r="P187">
        <v>74.31</v>
      </c>
      <c r="Q187">
        <v>58.16</v>
      </c>
    </row>
    <row r="188" spans="2:17" x14ac:dyDescent="0.35">
      <c r="B188" s="2">
        <v>45181</v>
      </c>
      <c r="C188">
        <v>464.38</v>
      </c>
      <c r="D188">
        <v>16.203001</v>
      </c>
      <c r="E188">
        <v>106.61</v>
      </c>
      <c r="F188">
        <v>98.23</v>
      </c>
      <c r="G188">
        <v>63.6</v>
      </c>
      <c r="H188">
        <v>65.48</v>
      </c>
      <c r="I188">
        <v>45.57</v>
      </c>
      <c r="J188">
        <v>28.44</v>
      </c>
      <c r="K188">
        <v>23.565000000000001</v>
      </c>
      <c r="L188">
        <v>99.93</v>
      </c>
      <c r="M188">
        <v>14.605000499999999</v>
      </c>
      <c r="N188">
        <v>53.686999999999998</v>
      </c>
      <c r="O188">
        <v>50.84</v>
      </c>
      <c r="P188">
        <v>73.89</v>
      </c>
      <c r="Q188">
        <v>57.96</v>
      </c>
    </row>
    <row r="189" spans="2:17" x14ac:dyDescent="0.35">
      <c r="B189" s="2">
        <v>45180</v>
      </c>
      <c r="C189">
        <v>483.87</v>
      </c>
      <c r="D189">
        <v>16.553000000000001</v>
      </c>
      <c r="E189">
        <v>104.72</v>
      </c>
      <c r="F189">
        <v>98.23</v>
      </c>
      <c r="G189">
        <v>64.12</v>
      </c>
      <c r="H189">
        <v>66.489999999999995</v>
      </c>
      <c r="I189">
        <v>46.81</v>
      </c>
      <c r="J189">
        <v>28.78</v>
      </c>
      <c r="K189">
        <v>23.695</v>
      </c>
      <c r="L189">
        <v>101.96</v>
      </c>
      <c r="M189">
        <v>15.18</v>
      </c>
      <c r="N189">
        <v>53.765999999999998</v>
      </c>
      <c r="O189">
        <v>52.86</v>
      </c>
      <c r="P189">
        <v>75.22</v>
      </c>
      <c r="Q189">
        <v>58.61</v>
      </c>
    </row>
    <row r="190" spans="2:17" x14ac:dyDescent="0.35">
      <c r="B190" s="2">
        <v>45177</v>
      </c>
      <c r="C190">
        <v>470.22</v>
      </c>
      <c r="D190">
        <v>16.553000000000001</v>
      </c>
      <c r="E190">
        <v>104.78</v>
      </c>
      <c r="F190">
        <v>97.17</v>
      </c>
      <c r="G190">
        <v>63.59</v>
      </c>
      <c r="H190">
        <v>66.03</v>
      </c>
      <c r="I190">
        <v>46.33</v>
      </c>
      <c r="J190">
        <v>28.4</v>
      </c>
      <c r="K190">
        <v>23.693999999999999</v>
      </c>
      <c r="L190">
        <v>101.33</v>
      </c>
      <c r="M190">
        <v>15.294001</v>
      </c>
      <c r="N190">
        <v>53.434998</v>
      </c>
      <c r="O190">
        <v>52.45</v>
      </c>
      <c r="P190">
        <v>74.709999999999994</v>
      </c>
      <c r="Q190">
        <v>58.03</v>
      </c>
    </row>
    <row r="191" spans="2:17" x14ac:dyDescent="0.35">
      <c r="B191" s="2">
        <v>45176</v>
      </c>
      <c r="C191">
        <v>467.95</v>
      </c>
      <c r="D191">
        <v>16.449000999999999</v>
      </c>
      <c r="E191">
        <v>105.05</v>
      </c>
      <c r="F191">
        <v>98</v>
      </c>
      <c r="G191">
        <v>62.92</v>
      </c>
      <c r="H191">
        <v>65.31</v>
      </c>
      <c r="I191">
        <v>45.61</v>
      </c>
      <c r="J191">
        <v>28.54</v>
      </c>
      <c r="K191">
        <v>23.34</v>
      </c>
      <c r="L191">
        <v>100.54</v>
      </c>
      <c r="M191">
        <v>15.117000000000001</v>
      </c>
      <c r="N191">
        <v>53.503998000000003</v>
      </c>
      <c r="O191">
        <v>51.47</v>
      </c>
      <c r="P191">
        <v>73.599999999999994</v>
      </c>
      <c r="Q191">
        <v>57.51</v>
      </c>
    </row>
    <row r="192" spans="2:17" x14ac:dyDescent="0.35">
      <c r="B192" s="2">
        <v>45175</v>
      </c>
      <c r="C192">
        <v>463.24</v>
      </c>
      <c r="D192">
        <v>16.297999999999998</v>
      </c>
      <c r="E192">
        <v>104.3</v>
      </c>
      <c r="F192">
        <v>98</v>
      </c>
      <c r="G192">
        <v>62.24</v>
      </c>
      <c r="H192">
        <v>65</v>
      </c>
      <c r="I192">
        <v>45.4</v>
      </c>
      <c r="J192">
        <v>28.71</v>
      </c>
      <c r="K192">
        <v>23.204999999999998</v>
      </c>
      <c r="L192">
        <v>100.47</v>
      </c>
      <c r="M192">
        <v>15.186999</v>
      </c>
      <c r="N192">
        <v>53.590004</v>
      </c>
      <c r="O192">
        <v>50.67</v>
      </c>
      <c r="P192">
        <v>72.53</v>
      </c>
      <c r="Q192">
        <v>57.33</v>
      </c>
    </row>
    <row r="193" spans="2:17" x14ac:dyDescent="0.35">
      <c r="B193" s="2">
        <v>45174</v>
      </c>
      <c r="C193">
        <v>465.95</v>
      </c>
      <c r="D193">
        <v>16.273</v>
      </c>
      <c r="E193">
        <v>104.21</v>
      </c>
      <c r="F193">
        <v>96.75</v>
      </c>
      <c r="G193">
        <v>62.18</v>
      </c>
      <c r="H193">
        <v>65.099999999999994</v>
      </c>
      <c r="I193">
        <v>45.3</v>
      </c>
      <c r="J193">
        <v>28.37</v>
      </c>
      <c r="K193">
        <v>23.297999999999998</v>
      </c>
      <c r="L193">
        <v>100.25</v>
      </c>
      <c r="M193">
        <v>14.996001</v>
      </c>
      <c r="N193">
        <v>53.209003000000003</v>
      </c>
      <c r="O193">
        <v>50.67</v>
      </c>
      <c r="P193">
        <v>72.569999999999993</v>
      </c>
      <c r="Q193">
        <v>57.29</v>
      </c>
    </row>
    <row r="194" spans="2:17" x14ac:dyDescent="0.35">
      <c r="B194" s="2">
        <v>45173</v>
      </c>
      <c r="C194">
        <v>462</v>
      </c>
      <c r="D194">
        <v>16</v>
      </c>
      <c r="E194">
        <v>104</v>
      </c>
      <c r="F194">
        <v>98.13</v>
      </c>
      <c r="G194">
        <v>61.94</v>
      </c>
      <c r="H194">
        <v>64.69</v>
      </c>
      <c r="I194">
        <v>45.1</v>
      </c>
      <c r="J194">
        <v>28</v>
      </c>
      <c r="K194">
        <v>23.457999999999998</v>
      </c>
      <c r="L194">
        <v>99.58</v>
      </c>
      <c r="M194">
        <v>14.946001000000001</v>
      </c>
      <c r="N194">
        <v>52.878998000000003</v>
      </c>
      <c r="O194">
        <v>50.56</v>
      </c>
      <c r="P194">
        <v>72.34</v>
      </c>
      <c r="Q194">
        <v>56.95</v>
      </c>
    </row>
    <row r="195" spans="2:17" x14ac:dyDescent="0.35">
      <c r="B195" s="2">
        <v>45170</v>
      </c>
      <c r="C195">
        <v>450.02</v>
      </c>
      <c r="D195">
        <v>15.504</v>
      </c>
      <c r="E195">
        <v>102.5</v>
      </c>
      <c r="F195">
        <v>95.3</v>
      </c>
      <c r="G195">
        <v>61.53</v>
      </c>
      <c r="H195">
        <v>63.63</v>
      </c>
      <c r="I195">
        <v>44.98</v>
      </c>
      <c r="J195">
        <v>28.4</v>
      </c>
      <c r="K195">
        <v>23.435001</v>
      </c>
      <c r="L195">
        <v>99.2</v>
      </c>
      <c r="M195">
        <v>14.305</v>
      </c>
      <c r="N195">
        <v>52.870002999999997</v>
      </c>
      <c r="O195">
        <v>49.41</v>
      </c>
      <c r="P195">
        <v>71.56</v>
      </c>
      <c r="Q195">
        <v>56.1</v>
      </c>
    </row>
    <row r="196" spans="2:17" x14ac:dyDescent="0.35">
      <c r="B196" s="2">
        <v>45169</v>
      </c>
      <c r="C196">
        <v>445.33</v>
      </c>
      <c r="D196">
        <v>15.532999999999999</v>
      </c>
      <c r="E196">
        <v>101.75</v>
      </c>
      <c r="F196">
        <v>95.6</v>
      </c>
      <c r="G196">
        <v>60.7</v>
      </c>
      <c r="H196">
        <v>62.55</v>
      </c>
      <c r="I196">
        <v>44.6</v>
      </c>
      <c r="J196">
        <v>28.61</v>
      </c>
      <c r="K196">
        <v>22.998999999999999</v>
      </c>
      <c r="L196">
        <v>98.38</v>
      </c>
      <c r="M196">
        <v>14.821001000000001</v>
      </c>
      <c r="N196">
        <v>52.664000000000001</v>
      </c>
      <c r="O196">
        <v>47.89</v>
      </c>
      <c r="P196">
        <v>70.22</v>
      </c>
      <c r="Q196">
        <v>55.4</v>
      </c>
    </row>
    <row r="197" spans="2:17" x14ac:dyDescent="0.35">
      <c r="B197" s="2">
        <v>45168</v>
      </c>
      <c r="C197">
        <v>450.72</v>
      </c>
      <c r="D197">
        <v>16.049002000000002</v>
      </c>
      <c r="E197">
        <v>102.35</v>
      </c>
      <c r="F197">
        <v>97.73</v>
      </c>
      <c r="G197">
        <v>61.21</v>
      </c>
      <c r="H197">
        <v>62.94</v>
      </c>
      <c r="I197">
        <v>44.92</v>
      </c>
      <c r="J197">
        <v>28.22</v>
      </c>
      <c r="K197">
        <v>23.135999999999999</v>
      </c>
      <c r="L197">
        <v>97.97</v>
      </c>
      <c r="M197">
        <v>14.505000000000001</v>
      </c>
      <c r="N197">
        <v>53.192999999999998</v>
      </c>
      <c r="O197">
        <v>48.11</v>
      </c>
      <c r="P197">
        <v>70.83</v>
      </c>
      <c r="Q197">
        <v>55.76</v>
      </c>
    </row>
    <row r="198" spans="2:17" x14ac:dyDescent="0.35">
      <c r="B198" s="2">
        <v>45167</v>
      </c>
      <c r="C198">
        <v>451.52</v>
      </c>
      <c r="D198">
        <v>15.503</v>
      </c>
      <c r="E198">
        <v>101.89</v>
      </c>
      <c r="F198">
        <v>95.87</v>
      </c>
      <c r="G198">
        <v>61.12</v>
      </c>
      <c r="H198">
        <v>62.87</v>
      </c>
      <c r="I198">
        <v>44.6</v>
      </c>
      <c r="J198">
        <v>28.03</v>
      </c>
      <c r="K198">
        <v>23.327002</v>
      </c>
      <c r="L198">
        <v>97.88</v>
      </c>
      <c r="M198">
        <v>14.901</v>
      </c>
      <c r="N198">
        <v>52.878998000000003</v>
      </c>
      <c r="O198">
        <v>48.15</v>
      </c>
      <c r="P198">
        <v>70.98</v>
      </c>
      <c r="Q198">
        <v>55.51</v>
      </c>
    </row>
    <row r="199" spans="2:17" x14ac:dyDescent="0.35">
      <c r="B199" s="2">
        <v>45166</v>
      </c>
      <c r="C199">
        <v>455.93</v>
      </c>
      <c r="D199">
        <v>15.817</v>
      </c>
      <c r="E199">
        <v>101</v>
      </c>
      <c r="F199">
        <v>96.3</v>
      </c>
      <c r="G199">
        <v>61.02</v>
      </c>
      <c r="H199">
        <v>62.11</v>
      </c>
      <c r="I199">
        <v>44.41</v>
      </c>
      <c r="J199">
        <v>28.39</v>
      </c>
      <c r="K199">
        <v>23.177</v>
      </c>
      <c r="L199">
        <v>97.47</v>
      </c>
      <c r="M199">
        <v>14.949</v>
      </c>
      <c r="N199">
        <v>53.059002</v>
      </c>
      <c r="O199">
        <v>48.01</v>
      </c>
      <c r="P199">
        <v>70.52</v>
      </c>
      <c r="Q199">
        <v>55.37</v>
      </c>
    </row>
    <row r="200" spans="2:17" x14ac:dyDescent="0.35">
      <c r="B200" s="2">
        <v>45163</v>
      </c>
      <c r="C200">
        <v>451.18</v>
      </c>
      <c r="D200">
        <v>15.900001</v>
      </c>
      <c r="E200">
        <v>101</v>
      </c>
      <c r="F200">
        <v>98.9</v>
      </c>
      <c r="G200">
        <v>60.65</v>
      </c>
      <c r="H200">
        <v>62.02</v>
      </c>
      <c r="I200">
        <v>44.4</v>
      </c>
      <c r="J200">
        <v>27.78</v>
      </c>
      <c r="K200">
        <v>23.210000999999998</v>
      </c>
      <c r="L200">
        <v>97.17</v>
      </c>
      <c r="M200">
        <v>14.846000999999999</v>
      </c>
      <c r="N200">
        <v>53.186</v>
      </c>
      <c r="O200">
        <v>47.56</v>
      </c>
      <c r="P200">
        <v>70.010000000000005</v>
      </c>
      <c r="Q200">
        <v>55.32</v>
      </c>
    </row>
    <row r="201" spans="2:17" x14ac:dyDescent="0.35">
      <c r="B201" s="2">
        <v>45162</v>
      </c>
      <c r="C201">
        <v>457.64</v>
      </c>
      <c r="D201">
        <v>15.85</v>
      </c>
      <c r="E201">
        <v>99.53</v>
      </c>
      <c r="F201">
        <v>97.03</v>
      </c>
      <c r="G201">
        <v>61.01</v>
      </c>
      <c r="H201">
        <v>62.75</v>
      </c>
      <c r="I201">
        <v>44.73</v>
      </c>
      <c r="J201">
        <v>28.11</v>
      </c>
      <c r="K201">
        <v>23.294</v>
      </c>
      <c r="L201">
        <v>97.75</v>
      </c>
      <c r="M201">
        <v>14.705000999999999</v>
      </c>
      <c r="N201">
        <v>53.7</v>
      </c>
      <c r="O201">
        <v>47.95</v>
      </c>
      <c r="P201">
        <v>70.84</v>
      </c>
      <c r="Q201">
        <v>55.79</v>
      </c>
    </row>
    <row r="202" spans="2:17" x14ac:dyDescent="0.35">
      <c r="B202" s="2">
        <v>45161</v>
      </c>
      <c r="C202">
        <v>460.56</v>
      </c>
      <c r="D202">
        <v>16.100000000000001</v>
      </c>
      <c r="E202">
        <v>102.23</v>
      </c>
      <c r="F202">
        <v>97.21</v>
      </c>
      <c r="G202">
        <v>61.59</v>
      </c>
      <c r="H202">
        <v>62.69</v>
      </c>
      <c r="I202">
        <v>44.67</v>
      </c>
      <c r="J202">
        <v>28.1</v>
      </c>
      <c r="K202">
        <v>23.343</v>
      </c>
      <c r="L202">
        <v>98.27</v>
      </c>
      <c r="M202">
        <v>14.929</v>
      </c>
      <c r="N202">
        <v>53.559998</v>
      </c>
      <c r="O202">
        <v>48.26</v>
      </c>
      <c r="P202">
        <v>70.83</v>
      </c>
      <c r="Q202">
        <v>55.86</v>
      </c>
    </row>
    <row r="203" spans="2:17" x14ac:dyDescent="0.35">
      <c r="B203" s="2">
        <v>45160</v>
      </c>
      <c r="C203">
        <v>455.1</v>
      </c>
      <c r="D203">
        <v>15.503</v>
      </c>
      <c r="E203">
        <v>101.06</v>
      </c>
      <c r="F203">
        <v>97.5</v>
      </c>
      <c r="G203">
        <v>61.76</v>
      </c>
      <c r="H203">
        <v>62.9</v>
      </c>
      <c r="I203">
        <v>44.14</v>
      </c>
      <c r="J203">
        <v>28.52</v>
      </c>
      <c r="K203">
        <v>23.088999999999999</v>
      </c>
      <c r="L203">
        <v>97.45</v>
      </c>
      <c r="M203">
        <v>14.936</v>
      </c>
      <c r="N203">
        <v>53.859997</v>
      </c>
      <c r="O203">
        <v>48.08</v>
      </c>
      <c r="P203">
        <v>70.59</v>
      </c>
      <c r="Q203">
        <v>55.68</v>
      </c>
    </row>
    <row r="204" spans="2:17" x14ac:dyDescent="0.35">
      <c r="B204" s="2">
        <v>45159</v>
      </c>
      <c r="C204">
        <v>455.14</v>
      </c>
      <c r="D204">
        <v>15.403</v>
      </c>
      <c r="E204">
        <v>101.48</v>
      </c>
      <c r="F204">
        <v>98.5</v>
      </c>
      <c r="G204">
        <v>61.49</v>
      </c>
      <c r="H204">
        <v>62.5</v>
      </c>
      <c r="I204">
        <v>43.81</v>
      </c>
      <c r="J204">
        <v>28.17</v>
      </c>
      <c r="K204">
        <v>23.021001999999999</v>
      </c>
      <c r="L204">
        <v>97.16</v>
      </c>
      <c r="M204">
        <v>14.405001</v>
      </c>
      <c r="N204">
        <v>53.424999999999997</v>
      </c>
      <c r="O204">
        <v>47.54</v>
      </c>
      <c r="P204">
        <v>69.87</v>
      </c>
      <c r="Q204">
        <v>55.5</v>
      </c>
    </row>
    <row r="205" spans="2:17" x14ac:dyDescent="0.35">
      <c r="B205" s="2">
        <v>45156</v>
      </c>
      <c r="C205">
        <v>458.76</v>
      </c>
      <c r="D205">
        <v>15.900001</v>
      </c>
      <c r="E205">
        <v>101.4</v>
      </c>
      <c r="F205">
        <v>96.51</v>
      </c>
      <c r="G205">
        <v>61</v>
      </c>
      <c r="H205">
        <v>62.24</v>
      </c>
      <c r="I205">
        <v>43.43</v>
      </c>
      <c r="J205">
        <v>28.1</v>
      </c>
      <c r="K205">
        <v>22.899000000000001</v>
      </c>
      <c r="L205">
        <v>96.79</v>
      </c>
      <c r="M205">
        <v>14.860001</v>
      </c>
      <c r="N205">
        <v>53.158000000000001</v>
      </c>
      <c r="O205">
        <v>47.01</v>
      </c>
      <c r="P205">
        <v>69.12</v>
      </c>
      <c r="Q205">
        <v>55.07</v>
      </c>
    </row>
    <row r="206" spans="2:17" x14ac:dyDescent="0.35">
      <c r="B206" s="2">
        <v>45155</v>
      </c>
      <c r="C206">
        <v>457.37</v>
      </c>
      <c r="D206">
        <v>15.603</v>
      </c>
      <c r="E206">
        <v>102.58</v>
      </c>
      <c r="F206">
        <v>97.69</v>
      </c>
      <c r="G206">
        <v>61</v>
      </c>
      <c r="H206">
        <v>62.03</v>
      </c>
      <c r="I206">
        <v>43.71</v>
      </c>
      <c r="J206">
        <v>29.7</v>
      </c>
      <c r="K206">
        <v>22.870999999999999</v>
      </c>
      <c r="L206">
        <v>97.2</v>
      </c>
      <c r="M206">
        <v>14.505000000000001</v>
      </c>
      <c r="N206">
        <v>52.993000000000002</v>
      </c>
      <c r="O206">
        <v>47.41</v>
      </c>
      <c r="P206">
        <v>69.569999999999993</v>
      </c>
      <c r="Q206">
        <v>55.28</v>
      </c>
    </row>
    <row r="208" spans="2:17" x14ac:dyDescent="0.35">
      <c r="C208" t="str">
        <f>C5</f>
        <v>590107-IN</v>
      </c>
      <c r="D208" t="str">
        <f t="shared" ref="D208:P209" si="0">D5</f>
        <v>543956-IN</v>
      </c>
      <c r="E208" t="str">
        <f t="shared" si="0"/>
        <v>543608-IN</v>
      </c>
      <c r="F208" t="str">
        <f t="shared" si="0"/>
        <v>543348-IN</v>
      </c>
      <c r="G208" t="str">
        <f t="shared" si="0"/>
        <v>543571-IN</v>
      </c>
      <c r="H208" t="str">
        <f t="shared" si="0"/>
        <v>543710-IN</v>
      </c>
      <c r="I208" t="str">
        <f t="shared" si="0"/>
        <v>543465-IN</v>
      </c>
      <c r="J208" t="str">
        <f t="shared" si="0"/>
        <v>543563-IN</v>
      </c>
      <c r="K208" t="str">
        <f t="shared" si="0"/>
        <v>543666-IN</v>
      </c>
      <c r="L208" t="str">
        <f t="shared" si="0"/>
        <v>543454-IN</v>
      </c>
      <c r="M208" t="str">
        <f t="shared" si="0"/>
        <v>543627-IN</v>
      </c>
      <c r="N208" t="str">
        <f t="shared" si="0"/>
        <v>543326-IN</v>
      </c>
      <c r="O208" t="str">
        <f t="shared" si="0"/>
        <v>538057-IN</v>
      </c>
      <c r="P208" t="str">
        <f t="shared" si="0"/>
        <v>540787-IN</v>
      </c>
      <c r="Q208" t="str">
        <f t="shared" ref="Q208" si="1">Q5</f>
        <v>DIVOPPBEES-IN</v>
      </c>
    </row>
    <row r="209" spans="2:17" x14ac:dyDescent="0.35">
      <c r="B209" t="s">
        <v>32</v>
      </c>
      <c r="C209" s="15">
        <f>C6</f>
        <v>739.87</v>
      </c>
      <c r="D209" s="15">
        <f t="shared" si="0"/>
        <v>20.78</v>
      </c>
      <c r="E209" s="15">
        <f t="shared" si="0"/>
        <v>130.9</v>
      </c>
      <c r="F209" s="15">
        <f t="shared" si="0"/>
        <v>125</v>
      </c>
      <c r="G209" s="15">
        <f t="shared" si="0"/>
        <v>91.63</v>
      </c>
      <c r="H209" s="15">
        <f t="shared" si="0"/>
        <v>92.09</v>
      </c>
      <c r="I209" s="15">
        <f t="shared" si="0"/>
        <v>72.349999999999994</v>
      </c>
      <c r="J209" s="15">
        <f t="shared" si="0"/>
        <v>37.08</v>
      </c>
      <c r="K209" s="15">
        <f t="shared" si="0"/>
        <v>24.98</v>
      </c>
      <c r="L209" s="15">
        <f t="shared" si="0"/>
        <v>146.51</v>
      </c>
      <c r="M209" s="15">
        <f t="shared" si="0"/>
        <v>19.05</v>
      </c>
      <c r="N209" s="15">
        <f t="shared" si="0"/>
        <v>59.64</v>
      </c>
      <c r="O209" s="15">
        <f t="shared" si="0"/>
        <v>93.48</v>
      </c>
      <c r="P209" s="15">
        <f t="shared" si="0"/>
        <v>111.13</v>
      </c>
      <c r="Q209" s="15">
        <f t="shared" ref="Q209" si="2">Q6</f>
        <v>79.37</v>
      </c>
    </row>
    <row r="210" spans="2:17" x14ac:dyDescent="0.35">
      <c r="B210" t="s">
        <v>33</v>
      </c>
      <c r="C210" s="15">
        <f>AVERAGE(C6:C35)</f>
        <v>726.89133333333336</v>
      </c>
      <c r="D210" s="15">
        <f t="shared" ref="D210:P210" si="3">AVERAGE(D6:D35)</f>
        <v>19.700899999999997</v>
      </c>
      <c r="E210" s="15">
        <f t="shared" si="3"/>
        <v>127.76200000000001</v>
      </c>
      <c r="F210" s="15">
        <f t="shared" si="3"/>
        <v>122.24166666666666</v>
      </c>
      <c r="G210" s="15">
        <f t="shared" si="3"/>
        <v>88.281999999999996</v>
      </c>
      <c r="H210" s="15">
        <f t="shared" si="3"/>
        <v>89.362333333333311</v>
      </c>
      <c r="I210" s="15">
        <f t="shared" si="3"/>
        <v>68.591333333333338</v>
      </c>
      <c r="J210" s="15">
        <f t="shared" si="3"/>
        <v>35.813000000000002</v>
      </c>
      <c r="K210" s="15">
        <f t="shared" si="3"/>
        <v>24.40433333333333</v>
      </c>
      <c r="L210" s="15">
        <f t="shared" si="3"/>
        <v>137.63233333333335</v>
      </c>
      <c r="M210" s="15">
        <f t="shared" si="3"/>
        <v>18.301333333333336</v>
      </c>
      <c r="N210" s="15">
        <f t="shared" si="3"/>
        <v>57.949566766666663</v>
      </c>
      <c r="O210" s="15">
        <f t="shared" si="3"/>
        <v>89.632000000000033</v>
      </c>
      <c r="P210" s="15">
        <f t="shared" si="3"/>
        <v>107.82999999999997</v>
      </c>
      <c r="Q210" s="15">
        <f t="shared" ref="Q210" si="4">AVERAGE(Q6:Q35)</f>
        <v>76.466333333333324</v>
      </c>
    </row>
    <row r="211" spans="2:17" x14ac:dyDescent="0.35">
      <c r="B211" t="s">
        <v>34</v>
      </c>
      <c r="C211" s="15">
        <f>AVERAGE(C6:C65)</f>
        <v>715.39516666666668</v>
      </c>
      <c r="D211" s="15">
        <f t="shared" ref="D211:P211" si="5">AVERAGE(D6:D65)</f>
        <v>19.207600233333334</v>
      </c>
      <c r="E211" s="15">
        <f t="shared" si="5"/>
        <v>126.63050000000001</v>
      </c>
      <c r="F211" s="15">
        <f t="shared" si="5"/>
        <v>121.48650000000005</v>
      </c>
      <c r="G211" s="15">
        <f t="shared" si="5"/>
        <v>86.691500000000005</v>
      </c>
      <c r="H211" s="15">
        <f t="shared" si="5"/>
        <v>87.227833333333336</v>
      </c>
      <c r="I211" s="15">
        <f t="shared" si="5"/>
        <v>65.613166666666686</v>
      </c>
      <c r="J211" s="15">
        <f t="shared" si="5"/>
        <v>35.488999999999997</v>
      </c>
      <c r="K211" s="15">
        <f t="shared" si="5"/>
        <v>24.199666666666662</v>
      </c>
      <c r="L211" s="15">
        <f t="shared" si="5"/>
        <v>131.39033333333333</v>
      </c>
      <c r="M211" s="15">
        <f t="shared" si="5"/>
        <v>18.212166666666672</v>
      </c>
      <c r="N211" s="15">
        <f t="shared" si="5"/>
        <v>56.908783650000018</v>
      </c>
      <c r="O211" s="15">
        <f t="shared" si="5"/>
        <v>85.821999999999989</v>
      </c>
      <c r="P211" s="15">
        <f t="shared" si="5"/>
        <v>105.03233333333331</v>
      </c>
      <c r="Q211" s="15">
        <f t="shared" ref="Q211" si="6">AVERAGE(Q6:Q65)</f>
        <v>74.825666666666663</v>
      </c>
    </row>
    <row r="212" spans="2:17" x14ac:dyDescent="0.35">
      <c r="B212" t="s">
        <v>35</v>
      </c>
      <c r="C212" s="15">
        <f>AVERAGE(C6:C206)</f>
        <v>603.88358208955208</v>
      </c>
      <c r="D212" s="15">
        <f t="shared" ref="D212:P212" si="7">AVERAGE(D6:D206)</f>
        <v>17.859781348258696</v>
      </c>
      <c r="E212" s="15">
        <f t="shared" si="7"/>
        <v>116.84905472636808</v>
      </c>
      <c r="F212" s="15">
        <f t="shared" si="7"/>
        <v>110.14174129353235</v>
      </c>
      <c r="G212" s="15">
        <f t="shared" si="7"/>
        <v>75.425422885572132</v>
      </c>
      <c r="H212" s="15">
        <f t="shared" si="7"/>
        <v>76.27671641791045</v>
      </c>
      <c r="I212" s="15">
        <f t="shared" si="7"/>
        <v>56.010696517412924</v>
      </c>
      <c r="J212" s="15">
        <f t="shared" si="7"/>
        <v>32.300895522388046</v>
      </c>
      <c r="K212" s="15">
        <f t="shared" si="7"/>
        <v>23.751179283582086</v>
      </c>
      <c r="L212" s="15">
        <f t="shared" si="7"/>
        <v>113.64910447761194</v>
      </c>
      <c r="M212" s="15">
        <f t="shared" si="7"/>
        <v>16.839567243781083</v>
      </c>
      <c r="N212" s="15">
        <f t="shared" si="7"/>
        <v>55.698682124378116</v>
      </c>
      <c r="O212" s="15">
        <f t="shared" si="7"/>
        <v>69.412039800995075</v>
      </c>
      <c r="P212" s="15">
        <f t="shared" si="7"/>
        <v>90.690895522388061</v>
      </c>
      <c r="Q212" s="15">
        <f t="shared" ref="Q212" si="8">AVERAGE(Q6:Q206)</f>
        <v>67.269154228855712</v>
      </c>
    </row>
    <row r="213" spans="2:17" x14ac:dyDescent="0.35">
      <c r="B213" t="s">
        <v>36</v>
      </c>
      <c r="C213" s="56">
        <f>C209/C210</f>
        <v>1.017855030142057</v>
      </c>
      <c r="D213" s="56">
        <f t="shared" ref="D213:P213" si="9">D209/D210</f>
        <v>1.054774147373978</v>
      </c>
      <c r="E213" s="56">
        <f t="shared" si="9"/>
        <v>1.0245612936553905</v>
      </c>
      <c r="F213" s="56">
        <f t="shared" si="9"/>
        <v>1.0225645919967279</v>
      </c>
      <c r="G213" s="56">
        <f t="shared" si="9"/>
        <v>1.037923925602048</v>
      </c>
      <c r="H213" s="56">
        <f t="shared" si="9"/>
        <v>1.0305236732851653</v>
      </c>
      <c r="I213" s="56">
        <f t="shared" si="9"/>
        <v>1.0547979822523739</v>
      </c>
      <c r="J213" s="56">
        <f t="shared" si="9"/>
        <v>1.0353782146148045</v>
      </c>
      <c r="K213" s="56">
        <f t="shared" si="9"/>
        <v>1.023588706923634</v>
      </c>
      <c r="L213" s="56">
        <f t="shared" si="9"/>
        <v>1.0645027694558205</v>
      </c>
      <c r="M213" s="56">
        <f t="shared" si="9"/>
        <v>1.0409077662829664</v>
      </c>
      <c r="N213" s="56">
        <f t="shared" si="9"/>
        <v>1.0291707656787126</v>
      </c>
      <c r="O213" s="56">
        <f t="shared" si="9"/>
        <v>1.0429310960371292</v>
      </c>
      <c r="P213" s="56">
        <f t="shared" si="9"/>
        <v>1.0306037280905131</v>
      </c>
      <c r="Q213" s="56">
        <f t="shared" ref="Q213" si="10">Q209/Q210</f>
        <v>1.0379731385053992</v>
      </c>
    </row>
    <row r="214" spans="2:17" x14ac:dyDescent="0.35">
      <c r="B214" t="s">
        <v>37</v>
      </c>
      <c r="C214" s="56">
        <f>C209/C211</f>
        <v>1.0342116280256297</v>
      </c>
      <c r="D214" s="56">
        <f t="shared" ref="D214:P214" si="11">D209/D211</f>
        <v>1.0818634159168872</v>
      </c>
      <c r="E214" s="56">
        <f t="shared" si="11"/>
        <v>1.033716205811396</v>
      </c>
      <c r="F214" s="56">
        <f t="shared" si="11"/>
        <v>1.0289209089075737</v>
      </c>
      <c r="G214" s="56">
        <f t="shared" si="11"/>
        <v>1.0569663692518874</v>
      </c>
      <c r="H214" s="56">
        <f t="shared" si="11"/>
        <v>1.0557410001012675</v>
      </c>
      <c r="I214" s="56">
        <f t="shared" si="11"/>
        <v>1.1026750220357191</v>
      </c>
      <c r="J214" s="56">
        <f t="shared" si="11"/>
        <v>1.0448307926399729</v>
      </c>
      <c r="K214" s="56">
        <f t="shared" si="11"/>
        <v>1.0322456232179509</v>
      </c>
      <c r="L214" s="56">
        <f t="shared" si="11"/>
        <v>1.1150744220148108</v>
      </c>
      <c r="M214" s="56">
        <f t="shared" si="11"/>
        <v>1.046004044915029</v>
      </c>
      <c r="N214" s="56">
        <f t="shared" si="11"/>
        <v>1.0479928786880683</v>
      </c>
      <c r="O214" s="56">
        <f t="shared" si="11"/>
        <v>1.0892311994593462</v>
      </c>
      <c r="P214" s="56">
        <f t="shared" si="11"/>
        <v>1.058055138576375</v>
      </c>
      <c r="Q214" s="56">
        <f t="shared" ref="Q214" si="12">Q209/Q211</f>
        <v>1.0607322799217738</v>
      </c>
    </row>
    <row r="215" spans="2:17" x14ac:dyDescent="0.35">
      <c r="B215" t="s">
        <v>38</v>
      </c>
      <c r="C215" s="56">
        <f>C209/C212</f>
        <v>1.2251864795527461</v>
      </c>
      <c r="D215" s="56">
        <f t="shared" ref="D215:P215" si="13">D209/D212</f>
        <v>1.163508085278212</v>
      </c>
      <c r="E215" s="56">
        <f t="shared" si="13"/>
        <v>1.1202486858497556</v>
      </c>
      <c r="F215" s="56">
        <f t="shared" si="13"/>
        <v>1.1349012511693435</v>
      </c>
      <c r="G215" s="56">
        <f t="shared" si="13"/>
        <v>1.2148423766746634</v>
      </c>
      <c r="H215" s="56">
        <f t="shared" si="13"/>
        <v>1.2073146869019713</v>
      </c>
      <c r="I215" s="56">
        <f t="shared" si="13"/>
        <v>1.2917175557262963</v>
      </c>
      <c r="J215" s="56">
        <f t="shared" si="13"/>
        <v>1.1479557888511021</v>
      </c>
      <c r="K215" s="56">
        <f t="shared" si="13"/>
        <v>1.0517372506748468</v>
      </c>
      <c r="L215" s="56">
        <f t="shared" si="13"/>
        <v>1.2891434620046778</v>
      </c>
      <c r="M215" s="56">
        <f t="shared" si="13"/>
        <v>1.1312642257499366</v>
      </c>
      <c r="N215" s="56">
        <f t="shared" si="13"/>
        <v>1.0707614206530185</v>
      </c>
      <c r="O215" s="56">
        <f t="shared" si="13"/>
        <v>1.3467404252635131</v>
      </c>
      <c r="P215" s="56">
        <f t="shared" si="13"/>
        <v>1.2253710734675269</v>
      </c>
      <c r="Q215" s="56">
        <f t="shared" ref="Q215" si="14">Q209/Q212</f>
        <v>1.1798869914430041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8361099"><![CDATA[{"DIVOPPBEES-IN^P_PRICE(0,-200D)":[79.37,78.98,78.53,78.19,78.28,76.9,75.34,77.99,78.59,75.9,75.89,76.82,77.24,77.65,77.58,77.44,77.0,76.56,75.57,75.54,75.07,74.53,74.21,74.3,73.92,75.01,74.68,75.43,75.71,75.77,74.99,74.89,74.72,74.53,73.83,73.36,73.26,72.53,72.68,73.13,73.57,74.39,74.84,74.2,74.23,74.23,74.09,74.02,73.68,73.44,70.7,71.76,72.14,72.13,72.11,70.64,70.52,71.93,72.15,72.86,71.64,73.89,74.45,75.23,74.64,74.55,74.74,74.15,73.25,73.04,73.95,73.86,74.15,74.11,73.32,74.31,74.48,74.49,74.17,73.43,72.78,72.21,73.72,74.45,74.2,74.4,73.36,72.76,71.72,71.58,70.93,71.23,70.19,70.37,69.02,70.73,69.55,69.89,70.21,70.3,69.35,68.23,67.97,68.2,68.03,68.57,68.32,67.89,68.24,68.58,68.19,68.15,67.59,67.36,66.81,66.11,65.72,67.28,67.18,67.08,65.89,65.04,64.66,64.86,64.58,64.57,64.63,64.19,63.71,62.84,61.98,61.76,61.13,60.73,60.96,60.84,60.47,60.51,60.68,60.52,59.9,59.05,58.55,58.36,58.59,58.4,58.13,57.74,57.42,56.67,56.99,56.99,56.96,56.24,56.71,57.07,58.0,58.38,58.52,58.86,58.62,58.37,58.38,58.55,58.36,57.7,58.19,57.66,57.44,57.9,58.87,57.48,58.4,57.98,58.17,58.26,58.08,58.57,58.82,58.47,58.43,58.16,57.96,58.61,58.03,57.51,57.33,57.29,56.95,56.1,55.4,55.76,55.51,55.37,55.32,55.79,55.86,55.68,55.5,55.07,55.28],"DIVOPPBEES-IN^P_PRICE(0)/P_PRICE_LOW_PR(0,,,,,,\"PRICE\",\"CLOSE\",\"52W\")":1.5135394,"543627-IN^P_PRICE(0)/P_PRICE_LOW_PR(0,,,,,,\"PRICE\",\"CLOSE\",\"52W\")":1.6259815,"543465-IN^P_PRICE(0)/P_PRICE_LOW_PR(0,,,,,,\"PRICE\",\"CLOSE\",\"52W\")":1.7271425,"543608-IN^P_PRICE(0)/P_PRICE_LOW_PR(0,,,,,,\"PRICE\",\"CLOSE\",\"52W\")":1.3522726,"540787-IN^PERCENT_CHANGE(FMA_EPS(+1,0,,,,\"PORTAGG\",\"MEAN\"),FMA_EPS(+1,-1AM,,,,\"PORTAGG\",\"MEAN\"))":2.32005509017183,"543666-IN^FMA_PCT_ABOVE_MAVG(200,0,,,,\"PORTAGG\")":45.4545454545455,"543608-IN^PERCENT_CHANGE(FMA_EPS(+1,0,,,,\"PORTAGG\",\"MEAN\"),FMA_EPS(+1,-3AM,,,,\"PORTAGG\",\"MEAN\"))":2.56994118924064,"538057-IN^FMA_COS_DOWN(\"EPS\",\"1M\",+1,0,,,\"PORTAGG\",\"MEANR\")":null,"543563-IN^FMA_COS_UP(\"EPS\",\"1M\",+1,0,,,\"PORTAGG\",\"MEANR\")":25.0,"543956-IN^COUNT(OS_TOP_HLDG_NAME(ALL,0D,,MTD,,ALL,EQ))":0,"543571-IN^FG_COMPANY_NAME":"ICICI Prudential Nifty Infrastructure ETF","538057-IN^FG_TOTAL_RETURNC(-1AM,-2AM)":0.51136017,"543666-IN^FG_TOTAL_RETURNC(-1AM,-2AM)":-1.5182614,"543571-IN^FG_TOTAL_RETURNC(-1AM,-2AM)":-1.3121307,"590107-IN^FG_TOTAL_RETURNC(-1AM,-2AM)":-2.3159266,"DIVOPPBEES-IN^P_PRICE(0)/P_PRICE_HIGH_PR(0,,,,,,\"PRICE\",\"CLOSE\",\"52W\")":1.0,"543627-IN^P_PRICE(0)/P_PRICE_HIGH_PR(0,,,,,,\"PRICE\",\"CLOSE\",\"52W\")":0.9979046,"543465-IN^P_PRICE(0)/P_PRICE_HIGH_PR(0,,,,,,\"PRICE\",\"CLOSE\",\"52W\")":0.9954595,"543608-IN^P_PRICE(0)/P_PRICE_HIGH_PR(0,,,,,,\"PRICE\",\"CLOSE\",\"52W\")":0.97548246,"543627-IN^FG_COMPANY_NAME":"HDFC Nifty 100 Low Volatility 30 ETF","538057-IN^PERCENT_CHANGE(FMA_EPS(+1,0,,,,\"PORTAGG\",\"MEAN\"),FMA_EPS(+1,-3AM,,,,\"PORTAGG\",\"MEAN\"))":null,"543465-IN^FMA_COS_DOWN(\"EPS\",\"1M\",+1,0,,,\"PORTAGG\",\"MEANR\")":6.0,"543608-IN^FG_COMPANY_NAME":"HDFC NIFTY50 Value 20 ETF","543563-IN^FG_TOTAL_RETURNC(-1AM,-7AM)":22.588491,"540787-IN^FG_COMPANY_NAME":"BHARAT 22 ETF","543627-IN^FG_TOTAL_RETURNC(0,-3AM)":5.5401683,"543608-IN^FG_TOTAL_RETURNC(0,-3AM)":-2.4517536,"543326-IN^P_PRICE(0,-200D)":[59.64,60.16,60.41,60.56,60.7,59.96,60.53,57.89,56.59,56.34,56.46,57.25,57.48,57.5,57.79,57.96,57.98,57.04,57.21,56.98,56.87,57.21,57.58,57.43,56.799,58.095,57.987,56.706,56.74,56.640003,56.476,56.3,56.461,56.276,56.100002,55.943,55.53,55.231,54.978004,55.404,55.327003,56.010998,56.294002999999996,55.964,56.076,56.168,55.777004,56.037,56.204998,56.092,55.859997,55.549,55.693,56.007,55.464,55.390003,54.897,56.091,56.465004,55.974,55.684998,55.721996,56.3,56.312,55.975002,55.827003,56.385998,56.4,56.079,56.025,56.296997,56.497997,56.415005,56.473,56.055,56.483,56.103004,55.706,55.351,56.044003,55.565002,55.477,56.018,55.8,56.667,56.546997,56.984005,57.015003,57.147,56.983,56.864002,57.03,57.079,57.786,56.809002,58.463,57.887,55.289,58.626003,58.506,58.362,58.242,58.164,58.605,58.645,59.625,59.717,59.217,59.163002,59.218,58.9,58.221004,57.505,57.246998,56.747997,56.543,56.476,56.544003,56.303005,55.869,56.096996,55.984997,55.555,55.851,55.501003,55.920002,56.351,55.9,56.05,55.615,54.74,54.564003,54.15,54.417,54.508003,54.385,54.303005,54.393,54.45,54.114002,54.23,53.682003,53.807003,53.689003,54.093,53.850002,53.8,53.426003,53.121002,52.662,52.865,52.821003,53.051003,52.619,52.669003,53.042,53.426003,54.01,53.997997,54.358,54.040005,54.279,53.915005,53.745003,53.390003,53.100002,53.193,53.022,53.0,52.88,53.333004,52.99,53.890003,53.395,53.195004,53.229,53.345,53.641,53.556,53.572998,53.76,53.76,53.687,53.766,53.434998,53.503998,53.590004,53.209003,52.878998,52.870003,52.664,53.193,52.878998,53.059002,53.186,53.7,53.559998,53.859997,53.425,53.158,52.993],"543465-IN^FG_TOTAL_RETURNC(0,-3AM)":19.745123,"543563-IN^FMA_PCT_ABOVE_MAVG(200,0,,,,\"PORTAGG\")":69.0721649484536,"543326-IN^FMA_COS_DOWN(\"EPS\",\"1M\",+1,0,,,\"PORTAGG\",\"MEANR\")":8.0,"590107-IN^COUNT(OS_TOP_HLDG_NAME(ALL,0D,,MTD,,ALL,EQ))":13,"543326-IN^FG_TOTAL_RETURNC(-1AM,-4AM)":3.6263824,"543348-IN^FG_TOTAL_RETURNC(-1AM,-4AM)":-1.1033893,"543627-IN^FG_TOTAL_RETURNC(0,-1AM)":5.7745695,"543608-IN^FG_TOTAL_RETURNC(0,-1AM)":4.087138,"540787-IN^P_PRICE(0,-200D)":[111.13,110.86,109.77,109.1,108.44,106.78,104.51,103.11,115.92,109.37,108.77,109.94,110.01,110.94,111.07,110.38,109.6,109.1,107.43,106.29,105.87,104.95,103.46,103.64,102.38,105.79,104.32,105.98,107.74,108.25,107.18,106.98,106.34,106.04,104.33,103.51,103.24,102.28,102.26,103.28,103.38,104.14,105.26,104.3,104.55,103.81,103.3,103.98,102.98,102.41,100.83,99.92,99.85,99.54,98.32,96.19,95.5,97.16,97.2,98.98,97.32,101.97,103.68,105.03,104.7,104.93,104.23,102.68,100.47,100.1,101.24,101.53,101.36,101.48,100.32,101.85,101.2,101.25,101.14,99.25,96.81,95.94,99.23,100.58,100.18,100.24,99.24,98.91,96.17,95.88,95.75,96.56,94.19,93.7,91.85,94.3,92.55,92.87,93.82,93.47,92.6,91.85,91.7,92.36,91.98,92.62,92.51,91.5,91.39,91.7,91.24,91.46,89.99,89.77,88.5,87.82,86.9,89.25,88.76,88.99,87.27,86.66,85.67,85.98,85.66,85.89,85.63,84.96,83.95,81.61,79.99,79.48,78.78,78.14,78.02,78.13,78.01,78.15,78.36,78.5,78.57,77.72,76.84,76.41,76.23,75.94,75.67,74.76,74.36,73.65,73.87,73.87,73.71,72.6,73.0,73.6,74.87,75.98,76.2,76.74,76.38,75.95,76.14,75.69,75.31,74.52,75.11,74.74,74.52,75.8,75.91,74.92,74.99,74.64,74.66,74.56,74.38,75.33,75.26,74.81,74.91,74.31,73.89,75.22,74.71,73.6,72.53,72.57,72.34,71.56,70.22,70.83,70.98,70.52,70.01,70.84,70.83,70.59,69.87,69.12,69.57],"540787-IN^FMA_PCT_ABOVE_MAVG(200,0,,,,\"PORTAGG\")":91.304347826087,"543563-IN^PERCENT_CHANGE(FMA_EPS(+1,0,,,,\"PORTAGG\",\"MEAN\"),FMA_EPS(+1,-3AM,,,,\"PORTAGG\",\"MEAN\"))":-1.25923961591685,"543608-IN^PERCENT_CHANGE(FMA_EPS(+1,0,,,,\"PORTAGG\",\"MEAN\"),FMA_EPS(+1,-1AM,,,,\"PORTAGG\",\"MEAN\"))":0.973321392196605,"538057-IN^FMA_COS_UP(\"EPS\",\"1M\",+1,0,,,\"PORTAGG\",\"MEANR\")":null,"543465-IN^COUNT(OS_TOP_HLDG_NAME(ALL,0D,,MTD,,ALL,EQ))":31,"543956-IN^FMA_COS_DOWN(\"EPS\",\"1M\",+1,0,,,\"PORTAGG\",\"MEANR\")":null,"543348-IN^FG_COMPANY_NAME":"Axis NIFTY Healthcare ETF","543326-IN^P_PRICE(-1AM)/P_PRICE_HIGH_PR(-1AM,,,,,,\"PRICE\",\"CLOSE\",\"52W\")":0.96421456,"543563-IN^P_PRICE(-1AM)/P_PRICE_HIGH_PR(-1AM,,,,,,\"PRICE\",\"CLOSE\",\"52W\")":0.96927303,"543348-IN^P_PRICE(-1AM)/P_PRICE_HIGH_PR(-1AM,,,,,,\"PRICE\",\"CLOSE\",\"52W\")":0.86515087,"DIVOPPBEES-IN^FG_COMPANY_NAME":"Nippon India ETF Nifty Dividend Opportunities 50","DIVOPPBEES-IN^FG_TOTAL_RETURNC(0,-6AM)":22.032595,"543627-IN^FG_TOTAL_RETURNC(0,-6AM)":15.594662,"543465-IN^FG_TOTAL_RETURNC(0,-6AM)":32.727943,"543608-IN^FG_TOTAL_RETURNC(0,-6AM)":17.06313,"543454-IN^FG_COMPANY_NAME":"Mirae Asset Nifty India Manufacturing ETF Units Exchange Traded Fund","538057-IN^P_PRICE(0,-200D)":[93.48,93.28,91.63,90.38,89.73,87.67,85.01,87.0,98.75,91.73,90.62,91.97,91.76,93.34,94.24,93.54,93.6,92.72,88.74,87.7,87.43,86.02,84.52,85.07,83.76,86.32,84.94,87.25,88.65,88.11,86.92,86.5,86.34,85.84,84.93,83.99,83.41,83.23,83.38,84.62,84.14,84.09,84.74,83.81,83.98,83.41,82.97,83.25,82.48,81.37,79.92,78.79,78.87,78.83,78.37,76.17,75.54,76.52,76.29,77.66,75.72,81.31,82.75,83.96,84.0,84.61,83.68,81.57,80.15,80.07,81.27,81.22,81.33,81.23,80.0,81.71,81.06,81.02,81.3,78.58,76.23,75.05,78.68,80.18,79.03,79.56,79.28,77.65,74.77,74.39,73.61,74.31,71.38,70.57,68.85,70.08,68.59,69.17,69.5,69.92,68.37,68.12,68.0,68.57,68.36,68.56,68.44,67.12,67.29,67.12,66.91,67.26,66.05,66.28,64.94,64.56,63.49,65.06,64.06,64.27,63.07,62.66,62.04,62.67,62.03,62.39,61.65,61.59,60.68,59.06,58.35,57.79,57.71,57.06,57.09,57.17,57.02,56.99,57.08,57.17,56.95,56.69,55.24,54.88,54.78,54.4,54.33,53.59,53.03,52.71,53.09,53.08,52.94,51.94,52.34,52.69,53.62,54.03,54.12,54.57,53.86,53.46,53.42,52.85,52.85,51.79,52.34,52.08,52.3,52.84,53.61,52.51,52.57,52.56,52.33,52.22,52.27,53.0,52.68,51.9,52.14,51.56,50.84,52.86,52.45,51.47,50.67,50.67,50.56,49.41,47.89,48.11,48.15,48.01,47.56,47.95,48.26,48.08,47.54,47.01,47.41],"543563-IN^PERCENT_CHANGE(FMA_EPS(+1,0,,,,\"PORTAGG\",\"MEAN\"),FMA_EPS(+1,-1AM,,,,\"PORTAGG\",\"MEAN\"))":-0.292783044756088,"543608-IN^FMA_PCT_ABOVE_MAVG(200,0,,,,\"PORTAGG\")":57.1428571428571,"543326-IN^COUNT(OS_TOP_HLDG_NAME(ALL,0D,,MTD,,ALL,EQ))":0,"543956-IN^FMA_COS_UP(\"EPS\",\"1M\",+1,0,,,\"PORTAGG\",\"MEANR\")":null,"543326-IN^FG_TOTAL_RETURNC(-1AM,-7AM)":7.2612762,"543348-IN^FG_TOTAL_RETURNC(-1AM,-7AM)":22.63099,"DIVOPPBEES-IN^FG_TOTAL_RETURNC(0,-3AM)":10.790062,"543666-IN^FG_COMPANY_NAME":"HDFC Nifty Private Bank ETF Exchange Traded Fund Units","538057-IN^PERCENT_CHANGE(FMA_EPS(+1,0,,,,\"PORTAGG\",\"MEAN\"),FMA_EPS(+1,-1AM,,,,\"PORTAGG\",\"MEAN\"))":null,"543956-IN^PERCENT_CHANGE(FMA_EPS(+1,0,,,,\"PORTAGG\",\"MEAN\"),FMA_EPS(+1,-3AM,,,,\"PORTAGG\",\"MEAN\"))":null,"543465-IN^FMA_COS_UP(\"EPS\",\"1M\",+1,0,,,\"PORTAGG\",\"MEANR\")":24.0,"543956-IN^FG_COMPANY_NAME":"ICICI Prudential Nifty 200 Quality 30 ETF Exchange Traded Fund Units","543563-IN^FG_TOTAL_RETURNC(-1AM,-4AM)":-0.64679384,"538057-IN^FG_COMPANY_NAME":"CPSE ETF","DIVOPPBEES-IN^FG_TOTAL_RETURNC(0,-1AM)":6.9532514,"543465-IN^FG_TOTAL_RETURNC(0,-1AM)":10.576189,"543563-IN^FG_COMPANY_NAME":"Motilal Oswal S&P BSE Healthcare ETF","543627-IN^P_PRICE(0,-200D)":[19.05,18.89,19.02,19.09,18.73,18.63,18.42,17.78,18.27,18.18,18.03,18.24,18.41,18.29,18.32,18.35,18.26,18.23,18.2,18.18,18.05,18.17,18.01,17.98,17.78,18.09,18.07,18.08,18.04,18.2,18.03,18.0,18.09,17.89,17.89,17.9,18.03,17.61,17.71,17.99,18.01,18.23,18.47,18.3,18.22,18.22,18.48,18.46,18.13,18.49,18.31,18.28,18.21,18.34,17.96,17.97,17.98,18.03,18.24,18.22,18.05,18.42,18.38,18.53,18.28,18.26,18.28,18.33,18.08,18.19,18.18,18.3,18.31,18.39,18.05,18.45,18.28,18.1,18.2,18.15,17.88,17.83,17.8,17.86,17.96,17.8,17.79,17.66,17.75,17.47,17.46,17.36,17.27,17.37,17.0,17.45,17.32,17.19,17.48,17.49,17.52,17.39,17.23,17.22,17.24,17.4,17.32,17.24,17.43,17.49,17.32,17.38,17.2,16.98,16.99,16.77,16.83,16.87,16.83,16.78,16.72,16.48,16.38,16.48,16.37,16.48,16.36,16.32,16.35,16.18,15.85,15.82,15.82,15.62,15.65,15.67,15.74,15.58,15.75,15.57,15.18,15.18,15.23,15.3,15.4,15.34,15.14,15.19,14.93,14.85,15.02,15.12,14.9,14.7,15.0,14.9,15.33,14.705001,14.805,14.805,15.238001,14.705001,14.705001,15.150001,14.967,15.037,14.505,15.024001,14.505,14.505,15.161,14.845,14.705001,14.705001,15.214,15.2,14.805,14.805,14.805,15.3,15.3949995,14.705001,14.6050005,15.18,15.294001,15.117,15.186999,14.996001,14.946001,14.305,14.821001,14.505,14.901,14.949,14.846001,14.705001,14.929,14.936,14.405001,14.860001,14.505],"538057-IN^P_PRICE(0)/P_PRICE_LOW_PR(0,,,,,,\"PRICE\",\"CLOSE\",\"52W\")":2.1618872,"543563-IN^P_PRICE(0)/P_PRICE_LOW_PR(0,,,,,,\"PRICE\",\"CLOSE\",\"52W\")":1.5159445,"543956-IN^P_PRICE(0)/P_PRICE_LOW_PR(0,,,,,,\"PRICE\",\"CLOSE\",\"52W\")":1.5305295,"543627-IN^PERCENT_CHANGE(FMA_EPS(+1,0,,,,\"PORTAGG\",\"MEAN\"),FMA_EPS(+1,-3AM,,,,\"PORTAGG\",\"MEAN\"))":null,"543571-IN^FMA_PCT_ABOVE_MAVG(200,0,,,,\"PORTAGG\")":93.5483870967742,"543326-IN^FMA_COS_UP(\"EPS\",\"1M\",+1,0,,,\"PORTAGG\",\"MEANR\")":5.0,"543571-IN^FMA_COS_DOWN(\"EPS\",\"1M\",+1,0,,,\"PORTAGG\",\"MEANR\")":15.0,"543326-IN^FG_TOTAL_RETURNC(-1AM,-2AM)":2.8012395,"543465-IN^FG_TOTAL_RETURNC(-1AM,-2AM)":3.0231476,"543956-IN^FG_TOTAL_RETURNC(-1AM,-2AM)":0.7991433,"540787-IN^P_PRICE(0)/P_PRICE_HIGH_PR(0,,,,,,\"PRICE\",\"CLOSE\",\"52W\")":0.95867836,"543666-IN^P_PRICE(0)/P_PRICE_HIGH_PR(0,,,,,,\"PRICE\",\"CLOSE\",\"52W\")":0.99126977,"543348-IN^P_PRICE(0)/P_PRICE_HIGH_PR(0,,,,,,\"PRICE\",\"CLOSE\",\"52W\")":0.8937509,"543465-IN^FG_COMPANY_NAME":"Motilal Oswal Nifty 200 Momentum 30 ETF Units Exchange Traded Fund","543454-IN^P_PRICE(0,-200D)":[146.51,145.25,144.78,143.76,142.93,140.35,138.85,134.2,142.66,138.61,138.79,141.33,140.66,141.06,141.05,140.97,139.63,138.65,138.86,135.0,133.88,132.77,131.72,130.8,129.23,131.59,129.31,131.83,131.85,132.09,131.7,130.72,130.58,129.66,128.19,127.66,127.62,126.32,126.55,126.63,126.86,127.27,128.1,127.81,127.51,126.23,126.58,126.75,126.19,124.66,123.55,122.65,121.69,122.11,120.01,118.18,117.74,118.64,118.21,118.08,117.07,121.34,122.25,123.05,121.91,122.15,121.23,120.64,119.11,118.53,119.66,119.76,119.67,119.31,118.26,118.55,118.98,118.12,117.2,115.42,115.29,115.26,116.37,116.81,117.31,116.63,115.48,114.9,113.85,113.81,112.8,112.68,111.73,111.59,109.57,111.87,110.8,111.34,112.3,112.77,112.36,111.95,111.81,110.96,111.0,111.4,111.27,111.43,111.78,111.76,111.77,111.24,109.91,109.2,108.45,107.03,106.33,108.35,108.84,108.21,107.63,106.73,105.8,106.82,106.4,106.89,106.69,106.14,105.98,104.95,104.0,103.35,102.24,102.2,101.99,101.72,101.2,101.13,101.11,101.05,99.97,98.5,98.34,98.84,98.5,97.87,97.55,96.48,96.19,96.17,95.53,95.95,95.84,95.1,96.26,96.87,98.42,99.22,99.84,99.7,99.73,99.15,99.2,98.53,98.12,97.1,97.89,97.5,97.0,98.36,99.38,98.2,99.28,99.0,98.72,98.97,99.58,100.76,99.33,100.82,100.92,100.18,99.93,101.96,101.33,100.54,100.47,100.25,99.58,99.2,98.38,97.97,97.88,97.47,97.17,97.75,98.27,97.45,97.16,96.79,97.2],"538057-IN^P_PRICE(0)/P_PRICE_HIGH_PR(0,,,,,,\"PRICE\",\"CLOSE\",\"52W\")":0.9466329,"543563-IN^P_PRICE(0)/P_PRICE_HIGH_PR(0,,,,,,\"PRICE\",\"CLOSE\",\"52W\")":1.0,"543956-IN^P_PRICE(0)/P_PRICE_HIGH_PR(0,,,,,,\"PRICE\",\"CLOSE\",\"52W\")":1.0,"543627-IN^PERCENT_CHANGE(FMA_EPS(+1,0,,,,\"PORTAGG\",\"MEAN\"),FMA_EPS(+1,-1AM,,,,\"PORTAGG\",\"MEAN\"))":null,"543348-IN^PERCENT_CHANGE(FMA_EPS(+1,0,,,,\"PORTAGG\",\"MEAN\"),FMA_EPS(+1,-3AM,,,,\"PORTAGG\",\"MEAN\"))":-1.55410465885154,"543627-IN^COUNT(OS_TOP_HLDG_NAME(ALL,0D,,MTD,,ALL,EQ))":31,"543571-IN^FMA_COS_UP(\"EPS\",\"1M\",+1,0,,,\"PORTAGG\",\"MEANR\")":14.0,"543627-IN^P_PRICE(-1AM)/P_PRICE_HIGH_PR(-1AM,,,,,,\"PRICE\",\"CLOSE\",\"52W\")":0.97193736,"543710-IN^P_PRICE(-1AM)/P_PRICE_HIGH_PR(-1AM,,,,,,\"PRICE\",\"CLOSE\",\"52W\")":0.9619614,"590107-IN^P_PRICE(-1AM)/P_PRICE_HIGH_PR(-1AM,,,,,,\"PRICE\",\"CLOSE\",\"52W\")":0.87205464,"540787-IN^FG_TOTAL_RETURNC(0,-6AM)":28.236782,"543666-IN^FG_TOTAL_RETURNC(0,-6AM)":1.565361,"543348-IN^FG_TOTAL_RETURNC(0,-6AM)":20.25013,"543710-IN^FG_COMPANY_NAME":"ICICI Prudential Nifty Commodities ETF","543666-IN^P_PRICE(0,-200D)":[24.98,25.06,24.88,25.0,24.86,23.69,24.73,24.82,25.2,24.4,24.26,24.27,24.51,24.71,24.36,24.43,24.01,24.13,24.24,23.99,23.97,24.02,24.0,23.89,23.74,24.09,24.25,24.55,24.43,24.66,24.67,24.63,24.25,24.21,24.4,24.07,24.15,23.83,24.05,23.9,24.3,24.37,24.65,24.6,24.35,24.25,24.09,23.89,23.96,24.0,23.74,23.5,23.5,23.69,23.6,23.25,23.45,23.4,23.55,23.55,23.49,23.85,23.74,23.93,24.15,23.85,23.85,23.79,23.48,23.21,23.59,23.5,23.63,23.94,23.55,23.62,23.41,23.5,23.3,23.01,23.09,22.95,23.39,22.97,23.51,23.53,23.59,23.82,23.686,23.800001,23.5,23.504,23.419,23.302,23.371,23.758001,23.796001,24.079,24.916,25.155,24.729,24.7,24.582,24.469,24.708,24.937,25.047,24.709,24.84,25.14,25.2,25.056,24.936,24.685001,24.819,24.841002,24.763,24.604,24.703001,24.918,24.883001,24.595,24.517,24.791,24.614,24.410002,24.391,24.618,24.034,23.474,23.164999,23.329,22.996,22.998,22.7,22.697,22.976,22.799002,22.823,23.225,23.088001,22.910002,22.887,22.983,22.523,22.423,22.815,22.673,22.504,22.24,22.469,22.571001,22.422,22.160002,22.338001,22.483,22.911001,22.963001,23.021002,22.953001,22.813002,23.289,23.399,23.308,22.753,22.713001,22.703001,22.663,22.553,23.133001,23.303,22.733,23.160002,22.903,23.418,23.406,23.214,23.609,23.9,24.003,23.773,23.918,23.565,23.695,23.694,23.34,23.205,23.298,23.458,23.435001,22.999,23.136,23.327002,23.177,23.210001,23.294,23.343,23.089,23.021002,22.899,22.871],"538057-IN^FG_TOTAL_RETURNC(0,-6AM)":49.18609,"543563-IN^FG_TOTAL_RETURNC(0,-6AM)":19.844866,"543956-IN^FG_TOTAL_RETURNC(0,-6AM)":18.688595,"543627-IN^FMA_PCT_ABOVE_MAVG(200,0,,,,\"PORTAGG\")":null,"543348-IN^PERCENT_CHANGE(FMA_EPS(+1,0,,,,\"PORTAGG\",\"MEAN\"),FMA_EPS(+1,-1AM,,,,\"PORTAGG\",\"MEAN\"))":-0.602247535894079,"543627-IN^FMA_COS_DOWN(\"EPS\",\"1M\",+1,0,,,\"PORTAGG\",\"MEANR\")":null,"543348-IN^COUNT(OS_TOP_HLDG_NAME(ALL,0D,,MTD,,ALL,EQ))":21,"543627-IN^FG_TOTAL_RETURNC(-1AM,-7AM)":18.64295,"543710-IN^FG_TOTAL_RETURNC(-1AM,-7AM)":30.965483,"590107-IN^FG_TOTAL_RETURNC(-1AM,-7AM)":36.00185,"540787-IN^FG_TOTAL_RETURNC(0,-3AM)":14.190292,"543666-IN^FG_TOTAL_RETURNC(0,-3AM)":6.3431263,"543348-IN^FG_TOTAL_RETURNC(0,-3AM)":10.609674,"543326-IN^P_PRICE(0)/P_PRICE_LOW_PR(0,,,,,,\"PRICE\",\"CLOSE\",\"52W\")":1.1334308,"543956-IN^PERCENT_CHANGE(FMA_EPS(+1,0,,,,\"PORTAGG\",\"MEAN\"),FMA_EPS(+1,-1AM,,,,\"PORTAGG\",\"MEAN\"))":null,"590107-IN^FG_COMPANY_NAME":"Kotak Nifty PSU Bank ETF","543710-IN^FG_TOTAL_RETURNC(-1AM,-2AM)":-1.6745031,"543326-IN^P_PRICE(0)/P_PRICE_HIGH_PR(0,,,,,,\"PRICE\",\"CLOSE\",\"52W\")":0.98253703,"543710-IN^P_PRICE(0)/P_PRICE_HIGH_PR(0,,,,,,\"PRICE\",\"CLOSE\",\"52W\")":0.9829223,"590107-IN^P_PRICE(0)/P_PRICE_HIGH_PR(0,,,,,,\"PRICE\",\"CLOSE\",\"52W\")":0.92093503,"543454-IN^FMA_PCT_ABOVE_MAVG(200,0,,,,\"PORTAGG\")":81.5789473684211,"543956-IN^FMA_PCT_ABOVE_MAVG(200,0,,,,\"PORTAGG\")":null,"543608-IN^COUNT(OS_TOP_HLDG_NAME(ALL,0D,,MTD,,ALL,EQ))":21,"DIVOPPBEES-IN^P_PRICE(-1AM)/P_PRICE_HIGH_PR(-1AM,,,,,,\"PRICE\",\"CLOSE\",\"52W\")":0.9794114,"543571-IN^P_PRICE(-1AM)/P_PRICE_HIGH_PR(-1AM,,,,,,\"PRICE\",\"CLOSE\",\"52W\")":0.965247,"543571-IN^P_PRICE(0,-200D)":[91.63,91.11,90.62,89.9,89.32,87.27,85.43,88.04,94.59,89.36,89.28,89.36,89.66,90.36,90.49,90.15,89.0,88.61,87.84,87.27,86.56,85.89,84.99,84.78,83.94,86.05,85.04,86.42,87.45,88.05,87.71,87.76,87.37,87.15,86.58,86.28,86.13,85.17,85.1,85.21,85.23,86.12,86.92,86.16,86.45,85.47,85.92,86.47,86.25,85.86,85.49,84.51,83.45,83.14,82.6,81.27,81.04,82.14,81.73,82.35,81.13,84.22,84.75,85.36,85.27,85.4,85.1,84.15,82.57,82.44,83.75,83.42,83.69,83.13,82.9,83.37,82.91,82.53,82.7,81.55,80.78,80.33,81.48,81.76,81.71,81.72,80.94,81.27,80.27,80.14,80.13,80.94,77.95,78.15,76.85,78.18,77.29,77.05,77.74,78.13,77.34,76.69,75.96,76.06,75.25,75.58,75.25,74.55,74.34,74.82,74.38,74.86,74.0,73.58,72.77,72.32,71.45,73.21,72.94,72.8,72.46,71.77,71.07,71.4,70.88,70.98,71.11,70.3,69.86,67.96,66.94,66.84,66.3,65.67,65.8,65.7,65.48,65.71,65.79,65.73,65.09,64.62,64.33,63.96,64.06,63.93,63.78,63.13,62.6,62.07,62.22,62.51,61.87,60.91,61.66,62.43,63.22,63.64,64.09,64.7,64.44,64.49,64.19,64.05,63.66,63.04,63.75,63.35,63.06,63.73,63.85,63.07,63.54,63.22,63.1,63.03,63.24,63.37,64.16,64.17,64.11,63.86,63.6,64.12,63.59,62.92,62.24,62.18,61.94,61.53,60.7,61.21,61.12,61.02,60.65,61.01,61.59,61.76,61.49,61.0,61.0],"590107-IN^FG_TOTAL_RETURNC(0,-6AM)":33.012726,"590107-IN^PERCENT_CHANGE(FMA_EPS(+1,0,,,,\"PORTAGG\",\"MEAN\"),FMA_EPS(+1,-3AM,,,,\"PORTAGG\",\"MEAN\"))":1.71984482921392,"543608-IN^FMA_COS_DOWN(\"EPS\",\"1M\",+1,0,,,\"PORTAGG\",\"MEANR\")":11.0,"DIVOPPBEES-IN^FG_TOTAL_RETURNC(-1AM,-7AM)":25.673162,"543571-IN^FG_TOTAL_RETURNC(-1AM,-7AM)":31.52274,"538057-IN^FG_TOTAL_RETURNC(0,-3AM)":23.454834,"543956-IN^FG_TOTAL_RETURNC(0,-3AM)":11.289633,"543326-IN^FG_TOTAL_RETURNC(0,-3AM)":7.1024537,"543608-IN^FMA_COS_UP(\"EPS\",\"1M\",+1,0,,,\"PORTAGG\",\"MEANR\")":8.0,"DIVOPPBEES-IN^FG_TOTAL_RETURNC(-1AM,-4AM)":1.9648314,"543563-IN^FG_TOTAL_RETURNC(0,-1AM)":4.953301,"543608-IN^P_PRICE(0,-200D)":[130.9,131.69,130.3,131.27,130.03,128.19,125.84,129.45,130.11,125.69,126.2,127.93,128.78,128.44,128.62,129.03,127.94,127.99,127.41,126.7,126.41,126.09,125.76,125.95,124.73,125.9,125.85,126.4,126.61,126.65,127.0,127.17,125.68,125.77,124.63,124.06,123.55,122.84,122.36,123.48,128.27,130.11,126.95,126.45,126.27,125.71,124.94,125.25,126.4,125.63,125.24,125.05,123.61,124.5,124.78,123.01,123.9,125.53,126.77,130.06,134.19,126.33,127.93,128.34,127.16,126.4,127.99,127.0,124.75,126.16,126.48,125.6,127.0,128.07,127.5,125.83,126.99,127.75,126.06,123.58,124.0,123.51,124.2,124.81,124.3,124.9,123.5,124.21,122.05,121.0,120.5,121.05,119.55,120.6,119.6,121.27,120.44,120.0,120.66,121.78,119.96,117.29,116.4,117.41,116.81,117.57,117.5,116.9,118.16,118.92,118.47,118.03,118.3,117.29,116.42,114.77,114.98,116.2,116.1,116.75,110.13,111.82,112.78,112.4,111.65,112.0,112.33,111.88,111.75,110.3,108.77,109.5,107.78,108.0,108.64,107.29,108.0,107.8,108.05,107.48,105.97,103.44,103.57,104.52,104.67,104.57,104.26,103.0,103.15,101.75,102.71,102.43,103.35,103.67,102.28,103.3,105.24,105.42,105.3,106.72,105.77,105.77,106.38,106.8,106.1,105.57,105.57,105.05,104.2,104.99,105.65,104.38,106.3,106.17,105.23,106.2,106.35,107.0,107.51,106.7,107.06,106.7,106.61,104.72,104.78,105.05,104.3,104.21,104.0,102.5,101.75,102.35,101.89,101.0,101.0,99.53,102.23,101.06,101.48,101.4,102.58],"543454-IN^FG_TOTAL_RETURNC(-1AM,-2AM)":3.4965038,"538057-IN^FG_TOTAL_RETURNC(0,-1AM)":10.601044,"543465-IN^PERCENT_CHANGE(FMA_EPS(+1,0,,,,\"PORTAGG\",\"MEAN\"),FMA_EPS(+1,-3AM,,,,\"PORTAGG\",\"MEAN\"))":5.08018649629823,"590107-IN^FMA_PCT_ABOVE_MAVG(200,0,,,,\"PORTAGG\")":92.3076923076923,"590107-IN^PERCENT_CHANGE(FMA_EPS(+1,0,,,,\"PORTAGG\",\"MEAN\"),FMA_EPS(+1,-1AM,,,,\"PORTAGG\",\"MEAN\"))":3.35671824553816,"543956-IN^FG_TOTAL_RETURNC(0,-1AM)":9.830868,"543454-IN^P_PRICE(0)/P_PRICE_LOW_PR(0,,,,,,\"PRICE\",\"CLOSE\",\"52W\")":1.6188949,"DIVOPPBEES-IN^PERCENT_CHANGE(FMA_EPS(+1,0,,,,\"PORTAGG\",\"MEAN\"),FMA_EPS(+1,-3AM,,,,\"PORTAGG\",\"MEAN\"))":null,"543348-IN^FG_TOTAL_RETURNC(-1AM,-2AM)":-0.28020144,"543571-IN^FG_TOTAL_RETURNC(-1AM,-4AM)":5.211687,"543571-IN^P_PRICE(0)/P_PRICE_LOW_PR(0,,,,,,\"PRICE\",\"CLOSE\",\"52W\")":1.6027637,"543666-IN^FMA_COS_DOWN(\"EPS\",\"1M\",+1,0,,,\"PORTAGG\",\"MEANR\")":4.0,"590107-IN^FMA_COS_DOWN(\"EPS\",\"1M\",+1,0,,,\"PORTAGG\",\"MEANR\")":3.0,"DIVOPPBEES-IN^FG_TOTAL_RETURNC(-1AM,-2AM)":-0.24197102,"543563-IN^P_PRICE(0,-200D)":[37.08,37.03,36.65,36.8,36.2,35.69,35.84,35.57,35.64,35.1,35.6,35.89,35.85,35.88,35.93,35.85,35.87,36.12,35.62,35.72,35.53,35.47,35.33,35.13,34.72,35.47,35.16,36.0,35.72,35.93,35.71,35.68,35.42,35.6,35.26,34.72,35.05,34.76,34.93,35.29,35.29,35.56,35.95,35.92,35.8,35.8,35.62,35.61,35.73,35.53,35.3,34.38,34.95,34.85,34.59,34.22,34.0,34.39,34.36,34.68,34.22,35.07,35.07,35.31,35.16,35.0,35.11,35.25,35.37,35.64,36.2,35.99,36.14,36.45,36.04,36.03,36.25,35.69,35.39,35.43,35.56,35.34,35.21,35.02,35.13,34.76,34.56,33.99,34.1,34.08,33.02,33.38,33.7,33.68,33.14,33.0,32.97,32.77,32.96,33.19,32.98,33.03,32.9,32.7,32.46,32.79,32.88,32.43,32.39,31.93,31.49,31.71,31.4,31.25,30.74,30.41,30.65,31.0,31.2,31.22,30.58,30.94,30.08,30.42,30.51,30.6,30.67,30.58,30.76,30.59,30.3,30.1,29.72,30.0,29.73,29.96,30.03,29.85,29.59,29.48,29.05,28.82,28.7,29.01,28.79,28.52,28.36,28.1,27.83,27.68,27.99,27.6,27.73,27.18,27.5,27.84,28.09,28.48,28.49,28.63,28.59,28.62,28.46,28.47,28.32,28.37,28.3,28.07,28.15,28.62,28.7,28.28,28.34,28.47,28.27,27.96,29.03,28.71,28.77,29.0,28.9,28.56,28.44,28.78,28.4,28.54,28.71,28.37,28.0,28.4,28.61,28.22,28.03,28.39,27.78,28.11,28.1,28.52,28.17,28.1,29.7],"543563-IN^FG_TOTAL_RETURNC(0,-3AM)":8.357692,"543454-IN^PERCENT_CHANGE(FMA_EPS(+1,0,,,,\"PORTAGG\",\"MEAN\"),FMA_EPS(+1,-3AM,,,,\"PORTAGG\",\"MEAN\"))":0.959869034868922,"543348-IN^FMA_PCT_ABOVE_MAVG(200,0,,,,\"PORTAGG\")":85.7142857142857,"543627-IN^FMA_COS_UP(\"EPS\",\"1M\",+1,0,,,\"PORTAGG\",\"MEANR\")":null,"543348-IN^FMA_COS_DOWN(\"EPS\",\"1M\",+1,0,,,\"PORTAGG\",\"MEANR\")":10.0,"543627-IN^FG_TOTAL_RETURNC(-1AM,-4AM)":0.7270813,"543710-IN^FG_TOTAL_RETURNC(-1AM,-4AM)":5.9310555,"590107-IN^FG_TOTAL_RETURNC(-1AM,-4AM)":4.797089,"540787-IN^FG_TOTAL_RETURNC(0,-1AM)":7.4134946,"543666-IN^FG_TOTAL_RETURNC(0,-1AM)":4.0833354,"543348-IN^FG_TOTAL_RETURNC(0,-1AM)":3.305781,"543465-IN^P_PRICE(0,-200D)":[72.35,71.81,71.25,70.75,70.2,69.07,67.71,70.13,72.68,69.31,69.1,70.25,70.07,70.67,70.49,69.6,69.22,69.05,67.85,67.16,66.48,66.15,65.43,65.51,64.79,65.9,64.63,66.01,67.16,66.96,65.99,64.88,65.13,64.48,63.48,63.21,63.02,62.08,62.33,63.09,63.0,63.51,64.0,63.52,63.8,63.63,63.77,63.73,63.44,63.05,62.45,61.36,61.65,61.31,60.49,59.05,59.03,60.02,59.74,60.81,60.42,62.76,63.59,63.44,63.03,62.96,62.94,61.45,60.48,60.44,61.08,61.16,61.28,61.01,60.22,61.13,61.38,61.47,60.87,60.06,59.09,59.02,59.96,60.69,60.08,59.61,59.61,58.98,58.01,58.46,58.18,58.15,56.91,56.65,55.3,56.59,55.93,56.09,56.34,56.64,56.26,56.09,56.11,56.15,56.0,56.19,55.93,55.3,55.08,55.47,55.37,55.02,54.99,54.82,54.38,53.92,53.33,55.23,55.28,55.17,54.88,54.51,53.38,53.5,53.17,53.15,53.5,53.14,54.38,51.7,50.39,49.81,49.48,49.31,49.4,48.84,48.89,49.07,48.84,48.57,48.4,48.08,47.43,47.3,47.12,46.46,46.27,45.79,45.67,44.89,45.07,45.42,44.98,44.6,44.86,45.53,46.14,46.26,46.45,47.03,47.02,47.3,46.76,46.71,46.64,46.15,46.41,45.97,45.95,46.91,46.6,46.03,46.44,45.95,46.17,45.96,45.93,46.26,46.46,46.34,46.04,45.63,45.57,46.81,46.33,45.61,45.4,45.3,45.1,44.98,44.6,44.92,44.6,44.41,44.4,44.73,44.67,44.14,43.81,43.43,43.71],"543710-IN^P_PRICE(0)/P_PRICE_LOW_PR(0,,,,,,\"PRICE\",\"CLOSE\",\"52W\")":1.5571525,"590107-IN^P_PRICE(0)/P_PRICE_LOW_PR(0,,,,,,\"PRICE\",\"CLOSE\",\"52W\")":1.8648267,"543454-IN^PERCENT_CHANGE(FMA_EPS(+1,0,,,,\"PORTAGG\",\"MEAN\"),FMA_EPS(+1,-1AM,,,,\"PORTAGG\",\"MEAN\"))":1.33185858449636,"543454-IN^COUNT(OS_TOP_HLDG_NAME(ALL,0D,,MTD,,ALL,EQ))":76,"543348-IN^FMA_COS_UP(\"EPS\",\"1M\",+1,0,,,\"PORTAGG\",\"MEANR\")":9.0,"543627-IN^FG_TOTAL_RETURNC(-1AM,-2AM)":-1.2067974,"543326-IN^FG_COMPANY_NAME":"ICICI Prudential Nifty FMCG ETF","543710-IN^P_PRICE(0,-200D)":[92.09,91.84,91.5,91.0,90.3,88.75,87.51,89.14,93.69,89.57,88.69,90.26,91.1,92.02,91.91,91.62,91.45,90.97,88.83,87.96,88.13,87.19,85.73,85.95,84.92,86.8,85.97,87.97,88.89,89.12,88.75,88.64,87.87,87.99,87.37,86.04,86.33,85.98,86.0,85.99,86.39,87.19,87.64,86.84,86.54,86.18,86.5,86.35,86.04,85.1,83.78,82.92,82.91,82.03,82.1,79.97,80.26,81.09,80.84,81.17,81.0,83.59,84.75,85.07,84.74,84.95,84.78,83.65,81.71,81.68,83.08,83.33,83.32,83.39,83.07,83.67,83.65,83.43,83.01,81.99,80.93,80.95,82.87,83.4,83.28,82.6,81.27,81.27,79.76,79.68,79.25,79.74,77.25,76.8,75.62,77.59,76.49,76.99,78.44,78.03,77.68,77.55,76.48,76.59,76.76,77.23,77.61,77.05,77.44,77.48,77.26,77.73,76.25,75.67,74.89,74.47,73.43,75.85,75.55,75.11,74.11,72.85,72.75,73.42,72.76,73.39,72.73,72.8,70.86,69.54,68.6,68.35,67.99,66.9,66.79,66.74,66.66,66.47,66.61,66.59,66.5,65.46,65.04,65.0,64.81,64.77,64.37,63.34,63.23,62.3,62.55,62.59,62.42,61.7,62.55,62.52,63.97,64.8,64.77,65.13,65.2,64.54,64.59,64.55,64.08,63.39,63.99,63.73,63.88,64.81,65.15,64.26,65.01,65.1,64.7,64.85,64.98,65.55,65.98,65.45,66.2,65.75,65.48,66.49,66.03,65.31,65.0,65.1,64.69,63.63,62.55,62.94,62.87,62.11,62.02,62.75,62.69,62.9,62.5,62.24,62.03],"543454-IN^FMA_COS_DOWN(\"EPS\",\"1M\",+1,0,,,\"PORTAGG\",\"MEANR\")":27.0,"543454-IN^P_PRICE(-1AM)/P_PRICE_HIGH_PR(-1AM,,,,,,\"PRICE\",\"CLOSE\",\"52W\")":0.99719894,"543326-IN^FG_TOTAL_RETURNC(0,-6AM)":6.5285444,"543710-IN^FG_TOTAL_RETURNC(0,-6AM)":26.410425,"543666-IN^PERCENT_CHANGE(FMA_EPS(+1,0,,,,\"PORTAGG\",\"MEAN\"),FMA_EPS(+1,-3AM,,,,\"PORTAGG\",\"MEAN\"))":-1.45505759517969,"543454-IN^FMA_COS_UP(\"EPS\",\"1M\",+1,0,,,\"PORTAGG\",\"MEANR\")":40.0,"543454-IN^FG_TOTAL_RETURNC(-1AM,-7AM)":33.725895,"543348-IN^P_PRICE(0,-200D)":[125.0,125.04,125.1,124.86,124.16,123.16,121.0,121.0,121.5,119.41,121.38,123.45,122.31,122.0,121.73,122.9,123.36,127.0,121.92,121.0,120.43,122.0,121.0,118.15,118.22,120.7,122.89,122.78,122.02,121.78,121.3,121.67,121.9,120.32,119.91,119.76,119.22,117.77,118.8,120.0,121.01,121.34,123.09,123.45,122.37,122.45,122.86,123.47,123.35,123.35,122.18,119.97,119.97,122.0,117.85,117.01,117.57,119.7,118.6,119.7,113.01,121.11,121.5,121.1,121.11,120.3,120.55,120.07,121.65,122.72,123.25,139.86,123.2,122.73,122.72,138.12,122.7,121.88,121.5,120.21,122.35,103.29,119.96,119.81,118.47,118.5,116.99,114.71,115.45,116.07,112.29,112.26,111.7,113.33,112.15,113.0,110.02,110.3,110.86,112.86,113.86,111.5,111.0,110.68,109.25,110.65,111.62,109.42,110.04,107.52,107.49,107.52,106.31,105.98,105.02,103.45,103.15,104.91,104.94,103.57,104.17,103.95,103.7,103.19,103.76,104.65,103.53,104.11,95.69,104.55,104.26,102.43,101.23,101.72,101.75,103.55,102.06,101.9,99.3,100.09,99.7,98.67,99.19,99.08,98.96,97.97,94.85,95.37,95.3,94.4,93.89,94.45,93.91,94.79,94.47,94.47,96.12,97.2,97.2,97.59,97.19,96.82,97.45,97.2,96.72,96.72,96.12,96.17,95.82,97.7,98.22,80.0,96.37,96.01,95.75,96.0,97.81,98.0,99.66,98.91,98.9,98.4,98.23,98.23,97.17,98.0,98.0,96.75,98.13,95.3,95.6,97.73,95.87,96.3,98.9,97.03,97.21,97.5,98.5,96.51,97.69],"543710-IN^FG_TOTAL_RETURNC(0,-3AM)":13.691354,"543666-IN^PERCENT_CHANGE(FMA_EPS(+1,0,,,,\"PORTAGG\",\"MEAN\"),FMA_EPS(+1,-1AM,,,,\"PORTAGG\",\"MEAN\"))":-0.150733315401784,"543666-IN^COUNT(OS_TOP_HLDG_NAME(ALL,0D,,MTD,,ALL,EQ))":11,"543454-IN^FG_TOTAL_RETURNC(-1AM,-4AM)":14.251018,"590107-IN^FG_TOTAL_RETURNC(0,-3AM)":9.950817,"590107-IN^P_PRICE(0,-200D)":[739.87,742.34,733.91,730.57,724.9,715.02,696.16,686.42,798.89,738.06,728.3,732.05,735.69,741.69,734.42,732.76,723.22,719.42,707.84,705.19,710.44,704.06,700.6,705.94,701.34,710.71,705.43,803.39,748.7,749.41,751.75,751.54,733.85,734.08,706.68,710.0,706.89,689.85,693.96,689.77,702.27,717.21,723.0,714.57,720.28,726.99,719.84,723.12,709.25,705.36,695.76,682.56,688.95,685.51,675.3,666.64,663.36,680.18,670.46,677.99,672.91,703.44,722.25,727.96,728.54,726.65,707.0,704.19,689.46,681.75,695.88,702.62,707.7,713.81,711.72,708.25,707.61,712.25,712.44,687.73,668.53,665.96,689.31,683.37,673.98,653.28,654.39,658.3,644.99,622.84,612.4,604.01,591.56,591.06,580.22,592.76,585.36,579.62,591.25,589.88,581.65,568.49,564.79,566.61,567.13,582.35,583.72,580.15,572.19,572.93,568.92,572.11,565.09,556.72,557.07,558.12,550.51,574.96,570.55,574.84,557.51,556.24,551.04,554.25,544.1,542.93,540.97,537.0,528.88,511.67,503.36,506.57,504.75,496.84,499.43,499.38,504.42,504.04,506.23,516.0,516.19,515.14,500.39,499.75,498.87,500.29,496.8,502.79,498.87,491.76,493.09,489.07,491.34,471.36,474.07,476.11,493.47,502.3,502.36,507.36,503.9,503.66,511.13,510.63,512.78,504.11,520.22,518.28,517.54,537.37,524.48,515.08,520.55,516.89,519.29,518.17,501.21,513.22,519.33,516.52,500.0,492.53,464.38,483.87,470.22,467.95,463.24,465.95,462.0,450.02,445.33,450.72,451.52,455.93,451.18,457.64,460.56,455.1,455.14,458.76,457.37],"543454-IN^FG_TOTAL_RETURNC(0,-6AM)":37.271606,"543571-IN^FG_TOTAL_RETURNC(0,-6AM)":27.67173,"DIVOPPBEES-IN^FMA_PCT_ABOVE_MAVG(200,0,,,,\"PORTAGG\")":null,"543465-IN^FMA_PCT_ABOVE_MAVG(200,0,,,,\"PORTAGG\")":90.3225806451613,"DIVOPPBEES-IN^FMA_COS_DOWN(\"EPS\",\"1M\",+1,0,,,\"PORTAGG\",\"MEANR\")":null,"543563-IN^COUNT(OS_TOP_HLDG_NAME(ALL,0D,,MTD,,ALL,EQ))":0,"540787-IN^FG_TOTAL_RETURNC(-1AM,-7AM)":33.11888,"543666-IN^FG_TOTAL_RETURNC(-1AM,-7AM)":4.757738,"543608-IN^FG_TOTAL_RETURNC(-1AM,-7AM)":21.577728,"590107-IN^JULIAN(P_PRICE(0,-200D).DATES)":[45456,45455,45454,45453,45450,45449,45448,45447,45446,45443,45442,45441,45440,45439,45436,45435,45434,45433,45429,45428,45427,45426,45425,45422,45421,45420,45419,45418,45415,45414,45412,45411,45408,45407,45406,45405,45404,45401,45400,45398,45397,45394,45392,45391,45390,45387,45386,45385,45384,45383,45379,45378,45377,45373,45372,45371,45370,45369,45366,45365,45364,45363,45362,45358,45357,45356,45355,45352,45351,45350,45349,45348,45345,45344,45343,45342,45341,45338,45337,45336,45335,45334,45331,45330,45329,45328,45327,45324,45323,45322,45321,45320,45316,45315,45314,45310,45309,45308,45307,45306,45303,45302,45301,45300,45299,45296,45295,45294,45293,45292,45289,45288,45287,45286,45282,45281,45280,45279,45278,45275,45274,45273,45272,45271,45268,45267,45266,45265,45264,45261,45260,45259,45258,45254,45253,45252,45251,45250,45247,45246,45245,45243,45240,45239,45238,45237,45236,45233,45232,45231,45230,45229,45226,45225,45224,45222,45219,45218,45217,45216,45215,45212,45211,45210,45209,45208,45205,45204,45203,45202,45198,45197,45196,45195,45194,45191,45190,45189,45187,45184,45183,45182,45181,45180,45177,45176,45175,45174,45173,45170,45169,45168,45167,45166,45163,45162,45161,45160,45159,45156,45155],"543454-IN^FG_TOTAL_RETURNC(0,-3AM)":25.147343,"543571-IN^FG_TOTAL_RETURNC(0,-3AM)":12.942195,"540787-IN^PERCENT_CHANGE(FMA_EPS(+1,0,,,,\"PORTAGG\",\"MEAN\"),FMA_EPS(+1,-3AM,,,,\"PORTAGG\",\"MEAN\"))":-1.04743294626216,"543710-IN^PERCENT_CHANGE(FMA_EPS(+1,0,,,,\"PORTAGG\",\"MEAN\"),FMA_EPS(+1,-3AM,,,,\"PORTAGG\",\"MEAN\"))":null,"DIVOPPBEES-IN^FMA_COS_UP(\"EPS\",\"1M\",+1,0,,,\"PORTAGG\",\"MEANR\")":null,"543563-IN^FMA_COS_DOWN(\"EPS\",\"1M\",+1,0,,,\"PORTAGG\",\"MEANR\")":32.0,"540787-IN^FG_TOTAL_RETURNC(-1AM,-4AM)":6.8691254,"543666-IN^FG_TOTAL_RETURNC(-1AM,-4AM)":3.9410949,"543608-IN^FG_TOTAL_RETURNC(-1AM,-4AM)":1.4193535,"543326-IN^FG_TOTAL_RETURNC(0,-1AM)":3.5776258,"543710-IN^FG_TOTAL_RETURNC(0,-1AM)":7.4186325,"590107-IN^FG_TOTAL_RETURNC(0,-1AM)":5.605197,"540787-IN^P_PRICE(0)/P_PRICE_LOW_PR(0,,,,,,\"PRICE\",\"CLOSE\",\"52W\")":1.7078531,"543666-IN^P_PRICE(0)/P_PRICE_LOW_PR(0,,,,,,\"PRICE\",\"CLOSE\",\"52W\")":1.1352997,"543348-IN^P_PRICE(0)/P_PRICE_LOW_PR(0,,,,,,\"PRICE\",\"CLOSE\",\"52W\")":1.8288223,"538057-IN^FMA_PCT_ABOVE_MAVG(200,0,,,,\"PORTAGG\")":null,"543710-IN^PERCENT_CHANGE(FMA_EPS(+1,0,,,,\"PORTAGG\",\"MEAN\"),FMA_EPS(+1,-1AM,,,,\"PORTAGG\",\"MEAN\"))":null,"540787-IN^COUNT(OS_TOP_HLDG_NAME(ALL,0D,,MTD,,ALL,EQ))":23,"543710-IN^COUNT(OS_TOP_HLDG_NAME(ALL,0D,,MTD,,ALL,EQ))":31,"540787-IN^FG_TOTAL_RETURNC(-1AM,-2AM)":-0.6529689,"543956-IN^P_PRICE(0,-200D)":[20.78,20.69,20.72,20.47,20.55,20.16,20.14,19.21,20.0,19.73,19.7,19.99,20.03,20.02,19.98,19.85,19.76,19.6,19.4,19.25,19.1,19.15,18.92,19.04,18.788,18.832,18.997,19.972,19.25,18.948,18.882002,18.87,19.033,18.463001,18.759,18.759,18.203001,18.315,18.607,18.768,18.77,18.77,18.800001,18.85,18.924002,19.0,18.910002,18.93,18.653,18.793,18.503,18.589,18.72,18.705,18.573,18.453001,18.4,18.800001,18.938002,18.689001,18.672,18.832,19.137,19.173,18.894001,18.772001,18.85,18.876,18.7,18.67,18.880001,18.895,19.085001,18.925001,18.710001,18.964,19.115,19.038,18.962,18.928999,18.6,18.403,18.555,18.705,18.910002,18.908,18.789,18.453001,18.555,18.233,18.233,18.36,18.153,18.460001,18.291,18.728,18.263,18.403,18.705,18.919,18.74,18.514,18.352001,18.103,18.28,18.601,18.213001,18.398,18.495,18.599,18.471,18.499,18.285002,17.903,18.101,17.885,17.883001,18.164999,17.926,17.603,17.453001,17.508001,17.644001,17.482,17.599,17.517,17.303,17.371,17.203001,17.103,17.28,17.208,16.969,16.921001,16.813002,16.703001,16.753,16.653,16.871,16.857,16.303,16.123,16.344,16.507002,16.411001,16.053,16.388,15.803,15.903,15.813001,16.201,16.058,13.708,15.703,16.129,15.967999,16.203001,16.692999,16.323,16.68,16.333,16.303,16.273,16.303,16.563002,16.123,16.063002,16.395,15.933001,16.103,16.003,16.279,16.303,16.253,16.501,16.163,16.497,16.403,16.403,16.761,16.585001,13.577001,16.203001,16.553,16.553,16.449001,16.298,16.273,16.0,15.504,15.533,16.049002,15.503,15.817,15.900001,15.85,16.1,15.503,15.403,15.900001,15.603],"543326-IN^PERCENT_CHANGE(FMA_EPS(+1,0,,,,\"PORTAGG\",\"MEAN\"),FMA_EPS(+1,-1AM,,,,\"PORTAGG\",\"MEAN\"))":-0.831928147636654,"543956-IN^P_PRICE(-1AM)/P_PRICE_HIGH_PR(-1AM,,,,,,\"PRICE\",\"CLOSE\",\"52W\")":0.94732624,"543326-IN^FMA_PCT_ABOVE_MAVG(200,0,,,,\"PORTAGG\")":62.5,"543956-IN^FG_TOTAL_RETURNC(-1AM,-7AM)":17.347897,"543571-IN^FG_TOTAL_RETURNC(0,-1AM)":7.812679,"543465-IN^PERCENT_CHANGE(FMA_EPS(+1,0,,,,\"PORTAGG\",\"MEAN\"),FMA_EPS(+1,-1AM,,,,\"PORTAGG\",\"MEAN\"))":4.21997804972155,"543956-IN^FG_TOTAL_RETURNC(-1AM,-4AM)":1.7204285,"540787-IN^P_PRICE(-1AM)/P_PRICE_HIGH_PR(-1AM,,,,,,\"PRICE\",\"CLOSE\",\"52W\")":0.9557506,"543571-IN^PERCENT_CHANGE(FMA_EPS(+1,0,,,,\"PORTAGG\",\"MEAN\"),FMA_EPS(+1,-3AM,,,,\"PORTAGG\",\"MEAN\"))":-1.88028745733665,"538057-IN^P_PRICE(-1AM)/P_PRICE_HIGH_PR(-1AM,,,,,,\"PRICE\",\"CLOSE\",\"52W\")":0.95341223,"DIVOPPBEES-IN^COUNT(OS_TOP_HLDG_NAME(ALL,0D,,MTD,,ALL,EQ))":51,"543666-IN^P_PRICE(-1AM)/P_PRICE_HIGH_PR(-1AM,,,,,,\"PRICE\",\"CLOSE\",\"52W\")":0.9523809,"540787-IN^FMA_COS_UP(\"EPS\",\"1M\",+1,0,,,\"PORTAGG\",\"MEANR\")":12.0,"543563-IN^FG_TOTAL_RETURNC(-1AM,-2AM)":-0.64679384,"543465-IN^FG_TOTAL_RETURNC(-1AM,-7AM)":36.08569,"543465-IN^FG_TOTAL_RETURNC(-1AM,-4AM)":10.729397,"DIVOPPBEES-IN^PERCENT_CHANGE(FMA_EPS(+1,0,,,,\"PORTAGG\",\"MEAN\"),FMA_EPS(+1,-1AM,,,,\"PORTAGG\",\"MEAN\"))":null,"543710-IN^FMA_COS_UP(\"EPS\",\"1M\",+1,0,,,\"PORTAGG\",\"MEANR\")":null,"543571-IN^P_PRICE(0)/P_PRICE_HIGH_PR(0,,,,,,\"PRICE\",\"CLOSE\",\"52W\")":0.9687071,"543608-IN^FG_TOTAL_RETURNC(-1AM,-2AM)":-3.3433259,"543710-IN^FMA_PCT_ABOVE_MAVG(200,0,,,,\"PORTAGG\")":null,"543454-IN^P_PRICE(0)/P_PRICE_HIGH_PR(0,,,,,,\"PRICE\",\"CLOSE\",\"52W\")":1.0,"543571-IN^PERCENT_CHANGE(FMA_EPS(+1,0,,,,\"PORTAGG\",\"MEAN\"),FMA_EPS(+1,-1AM,,,,\"PORTAGG\",\"MEAN\"))":-0.679827482693608,"538057-IN^FG_TOTAL_RETURNC(-1AM,-7AM)":49.091553,"538057-IN^FG_TOTAL_RETURNC(-1AM,-4AM)":10.874975,"540787-IN^FMA_COS_DOWN(\"EPS\",\"1M\",+1,0,,,\"PORTAGG\",\"MEANR\")":10.0,"538057-IN^COUNT(OS_TOP_HLDG_NAME(ALL,0D,,MTD,,ALL,EQ))":12,"543465-IN^P_PRICE(-1AM)/P_PRICE_HIGH_PR(-1AM,,,,,,\"PRICE\",\"CLOSE\",\"52W\")":0.97424054,"543666-IN^FMA_COS_UP(\"EPS\",\"1M\",+1,0,,,\"PORTAGG\",\"MEANR\")":3.0,"543454-IN^FG_TOTAL_RETURNC(0,-1AM)":11.228359,"543710-IN^FMA_COS_DOWN(\"EPS\",\"1M\",+1,0,,,\"PORTAGG\",\"MEANR\")":null,"543608-IN^P_PRICE(-1AM)/P_PRICE_HIGH_PR(-1AM,,,,,,\"PRICE\",\"CLOSE\",\"52W\")":0.9371786,"543326-IN^PERCENT_CHANGE(FMA_EPS(+1,0,,,,\"PORTAGG\",\"MEAN\"),FMA_EPS(+1,-3AM,,,,\"PORTAGG\",\"MEAN\"))":-0.25595368262795,"543571-IN^COUNT(OS_TOP_HLDG_NAME(ALL,0D,,MTD,,ALL,EQ))":31,"590107-IN^FMA_COS_UP(\"EPS\",\"1M\",+1,0,,,\"PORTAGG\",\"MEANR\")":4.0}]]></FdsFormulaCache>
</file>

<file path=customXml/itemProps1.xml><?xml version="1.0" encoding="utf-8"?>
<ds:datastoreItem xmlns:ds="http://schemas.openxmlformats.org/officeDocument/2006/customXml" ds:itemID="{53584078-F374-4264-9FC2-C867FD600350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Aset class Rankings</vt:lpstr>
      <vt:lpstr>Asset class</vt:lpstr>
      <vt:lpstr>Asset class prev month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2024-06-14T10:31:40Z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