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F_Model_Excel\"/>
    </mc:Choice>
  </mc:AlternateContent>
  <xr:revisionPtr revIDLastSave="0" documentId="13_ncr:1_{F7354891-BE8B-454A-B9AB-934AF20ADDC1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1" l="1" a="1"/>
  <c r="O13" i="1" l="1"/>
  <c r="O11" i="1" a="1"/>
  <c r="O11" i="1" l="1"/>
  <c r="O10" i="1" a="1"/>
  <c r="O10" i="1" l="1"/>
  <c r="O7" i="1" a="1"/>
  <c r="O7" i="1" l="1"/>
  <c r="O4" i="1" a="1"/>
  <c r="O4" i="1" l="1"/>
  <c r="O3" i="1" a="1"/>
  <c r="O3" i="1" l="1"/>
  <c r="D23" i="1" a="1"/>
  <c r="G8" i="57" a="1"/>
  <c r="D7" i="57" a="1"/>
  <c r="G7" i="57" a="1"/>
  <c r="D6" i="57" a="1"/>
  <c r="G6" i="57" a="1"/>
  <c r="D5" i="57" a="1"/>
  <c r="D4" i="57" a="1"/>
  <c r="G4" i="57" a="1"/>
  <c r="D3" i="57" a="1"/>
  <c r="D2" i="57" a="1"/>
  <c r="G2" i="57" a="1"/>
  <c r="B17" i="57" a="1"/>
  <c r="E17" i="57" a="1"/>
  <c r="G17" i="57" a="1"/>
  <c r="G14" i="57" a="1"/>
  <c r="D12" i="57" a="1"/>
  <c r="D10" i="57" a="1"/>
  <c r="D9" i="57" a="1"/>
  <c r="G5" i="57" a="1"/>
  <c r="G3" i="57" a="1"/>
  <c r="D17" i="57" a="1"/>
  <c r="D14" i="57" a="1"/>
  <c r="D13" i="57" a="1"/>
  <c r="G13" i="57" a="1"/>
  <c r="G12" i="57" a="1"/>
  <c r="D11" i="57" a="1"/>
  <c r="G11" i="57" a="1"/>
  <c r="G10" i="57" a="1"/>
  <c r="G9" i="57" a="1"/>
  <c r="D8" i="57" a="1"/>
  <c r="D23" i="1" l="1"/>
  <c r="D8" i="57"/>
  <c r="G9" i="57"/>
  <c r="G10" i="57"/>
  <c r="G11" i="57"/>
  <c r="D11" i="57"/>
  <c r="G12" i="57"/>
  <c r="G13" i="57"/>
  <c r="D13" i="57"/>
  <c r="D14" i="57"/>
  <c r="D17" i="57"/>
  <c r="G3" i="57"/>
  <c r="G5" i="57"/>
  <c r="D9" i="57"/>
  <c r="D10" i="57"/>
  <c r="D12" i="57"/>
  <c r="G14" i="57"/>
  <c r="G17" i="57"/>
  <c r="E17" i="57"/>
  <c r="B17" i="57"/>
  <c r="G2" i="57"/>
  <c r="D2" i="57"/>
  <c r="D3" i="57"/>
  <c r="G4" i="57"/>
  <c r="D4" i="57"/>
  <c r="D5" i="57"/>
  <c r="G6" i="57"/>
  <c r="D6" i="57"/>
  <c r="G7" i="57"/>
  <c r="D7" i="57"/>
  <c r="G8" i="57"/>
  <c r="M11" i="48" a="1"/>
  <c r="M9" i="48" a="1"/>
  <c r="M16" i="48" a="1"/>
  <c r="M5" i="48" a="1"/>
  <c r="M14" i="48" a="1"/>
  <c r="M12" i="48" a="1"/>
  <c r="M13" i="48" a="1"/>
  <c r="M8" i="48" a="1"/>
  <c r="M10" i="48" a="1"/>
  <c r="M7" i="48" a="1"/>
  <c r="M6" i="48" a="1"/>
  <c r="M6" i="48" l="1"/>
  <c r="M7" i="48"/>
  <c r="M10" i="48"/>
  <c r="M8" i="48"/>
  <c r="M13" i="48"/>
  <c r="M12" i="48"/>
  <c r="M14" i="48"/>
  <c r="M5" i="48"/>
  <c r="M16" i="48"/>
  <c r="M9" i="48"/>
  <c r="M11" i="4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L11" i="12" a="1"/>
  <c r="P7" i="12" a="1"/>
  <c r="R5" i="12" a="1"/>
  <c r="F14" i="12" a="1"/>
  <c r="E9" i="12" a="1"/>
  <c r="H11" i="39" a="1"/>
  <c r="F8" i="39" a="1"/>
  <c r="C5" i="39" a="1"/>
  <c r="M11" i="28" a="1"/>
  <c r="L6" i="28" a="1"/>
  <c r="G13" i="28" a="1"/>
  <c r="D3" i="28" a="1"/>
  <c r="C8" i="39" a="1"/>
  <c r="H17" i="56" a="1"/>
  <c r="H9" i="56" a="1"/>
  <c r="S23" i="12" a="1"/>
  <c r="O9" i="12" a="1"/>
  <c r="L4" i="12" a="1"/>
  <c r="G14" i="12" a="1"/>
  <c r="B3" i="12" a="1"/>
  <c r="E3" i="28" a="1"/>
  <c r="J20" i="48" a="1"/>
  <c r="M2" i="38" a="1"/>
  <c r="AK4" i="9" a="1"/>
  <c r="U4" i="9" a="1"/>
  <c r="E4" i="9" a="1"/>
  <c r="H2" i="46" a="1"/>
  <c r="J11" i="52" a="1"/>
  <c r="J7" i="52" a="1"/>
  <c r="J5" i="52" a="1"/>
  <c r="G8" i="12" a="1"/>
  <c r="F3" i="12" a="1"/>
  <c r="J13" i="39" a="1"/>
  <c r="H10" i="39" a="1"/>
  <c r="F7" i="39" a="1"/>
  <c r="C4" i="39" a="1"/>
  <c r="L11" i="28" a="1"/>
  <c r="H12" i="28" a="1"/>
  <c r="H10" i="42" a="1"/>
  <c r="H11" i="56" a="1"/>
  <c r="Q15" i="12" a="1"/>
  <c r="H4" i="39" a="1"/>
  <c r="E7" i="28" a="1"/>
  <c r="C7" i="52" a="1"/>
  <c r="K9" i="28" a="1"/>
  <c r="G7" i="28" a="1"/>
  <c r="F15" i="12" a="1"/>
  <c r="H5" i="2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J9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K6" i="28" a="1"/>
  <c r="H4" i="28" a="1"/>
  <c r="E10" i="28" a="1"/>
  <c r="H2" i="5" a="1"/>
  <c r="K12" i="12" a="1"/>
  <c r="O8" i="12" a="1"/>
  <c r="S4" i="12" a="1"/>
  <c r="E19" i="12" a="1"/>
  <c r="G11" i="12" a="1"/>
  <c r="C13" i="39" a="1"/>
  <c r="M3" i="28" a="1"/>
  <c r="D15" i="28" a="1"/>
  <c r="B11" i="56" a="1"/>
  <c r="G22" i="12" a="1"/>
  <c r="L12" i="28" a="1"/>
  <c r="J19" i="48" a="1"/>
  <c r="L2" i="38" a="1"/>
  <c r="AJ4" i="9" a="1"/>
  <c r="T4" i="9" a="1"/>
  <c r="D4" i="9" a="1"/>
  <c r="Q12" i="12" a="1"/>
  <c r="L9" i="12" a="1"/>
  <c r="G13" i="12" a="1"/>
  <c r="J12" i="39" a="1"/>
  <c r="H9" i="39" a="1"/>
  <c r="F6" i="39" a="1"/>
  <c r="C3" i="39" a="1"/>
  <c r="K11" i="28" a="1"/>
  <c r="M5" i="28" a="1"/>
  <c r="G12" i="28" a="1"/>
  <c r="G4" i="28" a="1"/>
  <c r="H16" i="56" a="1"/>
  <c r="H8" i="56" a="1"/>
  <c r="C24" i="56" a="1"/>
  <c r="O23" i="12" a="1"/>
  <c r="L18" i="12" a="1"/>
  <c r="R10" i="12" a="1"/>
  <c r="K9" i="12" a="1"/>
  <c r="H12" i="42" a="1"/>
  <c r="J2" i="15" a="1"/>
  <c r="D9" i="52" a="1"/>
  <c r="D3" i="52" a="1"/>
  <c r="T14" i="56" a="1"/>
  <c r="H15" i="56" a="1"/>
  <c r="B15" i="56" a="1"/>
  <c r="B5" i="12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M18" i="12" a="1"/>
  <c r="O14" i="12" a="1"/>
  <c r="S10" i="12" a="1"/>
  <c r="N7" i="12" a="1"/>
  <c r="P5" i="12" a="1"/>
  <c r="R3" i="12" a="1"/>
  <c r="E21" i="12" a="1"/>
  <c r="F8" i="12" a="1"/>
  <c r="E3" i="12" a="1"/>
  <c r="D10" i="28" a="1"/>
  <c r="H12" i="56" a="1"/>
  <c r="K5" i="12" a="1"/>
  <c r="G6" i="12" a="1"/>
  <c r="J16" i="48" a="1"/>
  <c r="K2" i="38" a="1"/>
  <c r="AI4" i="9" a="1"/>
  <c r="S4" i="9" a="1"/>
  <c r="C4" i="9" a="1"/>
  <c r="H11" i="52" a="1"/>
  <c r="H9" i="52" a="1"/>
  <c r="H7" i="52" a="1"/>
  <c r="H5" i="52" a="1"/>
  <c r="H3" i="52" a="1"/>
  <c r="T15" i="56" a="1"/>
  <c r="T11" i="56" a="1"/>
  <c r="T7" i="56" a="1"/>
  <c r="C15" i="13" a="1"/>
  <c r="P12" i="12" a="1"/>
  <c r="O5" i="12" a="1"/>
  <c r="E8" i="12" a="1"/>
  <c r="B15" i="12" a="1"/>
  <c r="J11" i="39" a="1"/>
  <c r="F5" i="39" a="1"/>
  <c r="L5" i="28" a="1"/>
  <c r="F4" i="39" a="1"/>
  <c r="M15" i="28" a="1"/>
  <c r="K5" i="28" a="1"/>
  <c r="G11" i="28" a="1"/>
  <c r="G3" i="28" a="1"/>
  <c r="H8" i="42" a="1"/>
  <c r="G11" i="56" a="1"/>
  <c r="M10" i="12" a="1"/>
  <c r="C10" i="39" a="1"/>
  <c r="L22" i="12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Q21" i="12" a="1"/>
  <c r="S19" i="12" a="1"/>
  <c r="N14" i="12" a="1"/>
  <c r="M7" i="12" a="1"/>
  <c r="Q3" i="12" a="1"/>
  <c r="G20" i="12" a="1"/>
  <c r="F13" i="12" a="1"/>
  <c r="H8" i="39" a="1"/>
  <c r="C2" i="39" a="1"/>
  <c r="M10" i="28" a="1"/>
  <c r="H11" i="28" a="1"/>
  <c r="H3" i="28" a="1"/>
  <c r="E9" i="28" a="1"/>
  <c r="H7" i="39" a="1"/>
  <c r="L10" i="28" a="1"/>
  <c r="L2" i="18" a="1"/>
  <c r="C11" i="13" a="1"/>
  <c r="B11" i="12" a="1"/>
  <c r="H9" i="28" a="1"/>
  <c r="C11" i="52" a="1"/>
  <c r="H14" i="39" a="1"/>
  <c r="J15" i="48" a="1"/>
  <c r="J2" i="38" a="1"/>
  <c r="AH4" i="9" a="1"/>
  <c r="R4" i="9" a="1"/>
  <c r="B4" i="9" a="1"/>
  <c r="E2" i="46" a="1"/>
  <c r="G5" i="52" a="1"/>
  <c r="G3" i="52" a="1"/>
  <c r="S11" i="56" a="1"/>
  <c r="S7" i="56" a="1"/>
  <c r="G16" i="56" a="1"/>
  <c r="G12" i="56" a="1"/>
  <c r="P21" i="12" a="1"/>
  <c r="K18" i="12" a="1"/>
  <c r="S8" i="12" a="1"/>
  <c r="D9" i="28" a="1"/>
  <c r="H14" i="42" a="1"/>
  <c r="O19" i="12" a="1"/>
  <c r="L12" i="12" a="1"/>
  <c r="Q6" i="12" a="1"/>
  <c r="N6" i="12" a="1"/>
  <c r="F13" i="39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G11" i="52" a="1"/>
  <c r="G9" i="52" a="1"/>
  <c r="G7" i="52" a="1"/>
  <c r="S15" i="56" a="1"/>
  <c r="G8" i="56" a="1"/>
  <c r="C23" i="56" a="1"/>
  <c r="C14" i="13" a="1"/>
  <c r="N23" i="12" a="1"/>
  <c r="R19" i="12" a="1"/>
  <c r="M14" i="12" a="1"/>
  <c r="O12" i="12" a="1"/>
  <c r="Q10" i="12" a="1"/>
  <c r="L7" i="12" a="1"/>
  <c r="N5" i="12" a="1"/>
  <c r="P3" i="12" a="1"/>
  <c r="F20" i="12" a="1"/>
  <c r="E13" i="12" a="1"/>
  <c r="G7" i="12" a="1"/>
  <c r="B14" i="12" a="1"/>
  <c r="J10" i="39" a="1"/>
  <c r="H4" i="42" a="1"/>
  <c r="B2" i="46" a="1"/>
  <c r="D5" i="52" a="1"/>
  <c r="T10" i="56" a="1"/>
  <c r="T6" i="56" a="1"/>
  <c r="H7" i="56" a="1"/>
  <c r="K23" i="12" a="1"/>
  <c r="S13" i="12" a="1"/>
  <c r="J7" i="39" a="1"/>
  <c r="C2" i="47" a="1"/>
  <c r="P15" i="12" a="1"/>
  <c r="L3" i="12" a="1"/>
  <c r="F6" i="12" a="1"/>
  <c r="H3" i="39" a="1"/>
  <c r="R20" i="12" a="1"/>
  <c r="F23" i="12" a="1"/>
  <c r="H15" i="28" a="1"/>
  <c r="F11" i="39" a="1"/>
  <c r="H14" i="28" a="1"/>
  <c r="J14" i="48" a="1"/>
  <c r="I2" i="38" a="1"/>
  <c r="AG4" i="9" a="1"/>
  <c r="Q4" i="9" a="1"/>
  <c r="B17" i="56" a="1"/>
  <c r="O21" i="12" a="1"/>
  <c r="Q19" i="12" a="1"/>
  <c r="N12" i="12" a="1"/>
  <c r="R8" i="12" a="1"/>
  <c r="K7" i="12" a="1"/>
  <c r="M5" i="12" a="1"/>
  <c r="E20" i="12" a="1"/>
  <c r="K10" i="28" a="1"/>
  <c r="H10" i="28" a="1"/>
  <c r="E8" i="28" a="1"/>
  <c r="D11" i="52" a="1"/>
  <c r="R6" i="12" a="1"/>
  <c r="F19" i="12" a="1"/>
  <c r="L9" i="28" a="1"/>
  <c r="E15" i="28" a="1"/>
  <c r="B14" i="56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9" i="52" a="1"/>
  <c r="F7" i="52" a="1"/>
  <c r="F5" i="52" a="1"/>
  <c r="F3" i="52" a="1"/>
  <c r="V14" i="56" a="1"/>
  <c r="V10" i="56" a="1"/>
  <c r="V6" i="56" a="1"/>
  <c r="J15" i="56" a="1"/>
  <c r="J11" i="56" a="1"/>
  <c r="J7" i="56" a="1"/>
  <c r="C13" i="13" a="1"/>
  <c r="M23" i="12" a="1"/>
  <c r="S15" i="12" a="1"/>
  <c r="L14" i="12" a="1"/>
  <c r="P10" i="12" a="1"/>
  <c r="O3" i="12" a="1"/>
  <c r="G12" i="12" a="1"/>
  <c r="F7" i="12" a="1"/>
  <c r="B13" i="12" a="1"/>
  <c r="J9" i="39" a="1"/>
  <c r="H6" i="39" a="1"/>
  <c r="F3" i="39" a="1"/>
  <c r="L15" i="28" a="1"/>
  <c r="M4" i="28" a="1"/>
  <c r="E18" i="28" a="1"/>
  <c r="D18" i="28" a="1"/>
  <c r="D8" i="28" a="1"/>
  <c r="F2" i="7" a="1"/>
  <c r="N10" i="12" a="1"/>
  <c r="E12" i="12" a="1"/>
  <c r="K4" i="28" a="1"/>
  <c r="A2" i="46" a="1"/>
  <c r="S10" i="56" a="1"/>
  <c r="C10" i="13" a="1"/>
  <c r="S22" i="12" a="1"/>
  <c r="B10" i="12" a="1"/>
  <c r="D7" i="28" a="1"/>
  <c r="S9" i="12" a="1"/>
  <c r="J13" i="48" a="1"/>
  <c r="H2" i="38" a="1"/>
  <c r="AF4" i="9" a="1"/>
  <c r="P4" i="9" a="1"/>
  <c r="E7" i="12" a="1"/>
  <c r="H5" i="39" a="1"/>
  <c r="G10" i="28" a="1"/>
  <c r="C8" i="43" a="1"/>
  <c r="H6" i="42" a="1"/>
  <c r="D2" i="47" a="1"/>
  <c r="D7" i="52" a="1"/>
  <c r="G7" i="56" a="1"/>
  <c r="L21" i="12" a="1"/>
  <c r="G9" i="28" a="1"/>
  <c r="Q11" i="12" a="1"/>
  <c r="L8" i="12" a="1"/>
  <c r="F5" i="12" a="1"/>
  <c r="E5" i="28" a="1"/>
  <c r="D13" i="28" a="1"/>
  <c r="E10" i="12" a="1"/>
  <c r="M12" i="28" a="1"/>
  <c r="C7" i="39" a="1"/>
  <c r="H13" i="56" a="1"/>
  <c r="B7" i="56" a="1"/>
  <c r="N20" i="12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U6" i="56" a="1"/>
  <c r="I15" i="56" a="1"/>
  <c r="I11" i="56" a="1"/>
  <c r="I7" i="56" a="1"/>
  <c r="B16" i="56" a="1"/>
  <c r="C12" i="13" a="1"/>
  <c r="L23" i="12" a="1"/>
  <c r="N21" i="12" a="1"/>
  <c r="P19" i="12" a="1"/>
  <c r="R15" i="12" a="1"/>
  <c r="K14" i="12" a="1"/>
  <c r="M12" i="12" a="1"/>
  <c r="O10" i="12" a="1"/>
  <c r="Q8" i="12" a="1"/>
  <c r="S6" i="12" a="1"/>
  <c r="L5" i="12" a="1"/>
  <c r="N3" i="12" a="1"/>
  <c r="G19" i="12" a="1"/>
  <c r="F12" i="12" a="1"/>
  <c r="B12" i="12" a="1"/>
  <c r="J8" i="39" a="1"/>
  <c r="F2" i="39" a="1"/>
  <c r="K15" i="28" a="1"/>
  <c r="M9" i="28" a="1"/>
  <c r="L4" i="28" a="1"/>
  <c r="M21" i="12" a="1"/>
  <c r="C14" i="39" a="1"/>
  <c r="C9" i="52" a="1"/>
  <c r="S14" i="56" a="1"/>
  <c r="N19" i="12" a="1"/>
  <c r="H13" i="39" a="1"/>
  <c r="F10" i="39" a="1"/>
  <c r="J12" i="48" a="1"/>
  <c r="G2" i="38" a="1"/>
  <c r="AE4" i="9" a="1"/>
  <c r="O4" i="9" a="1"/>
  <c r="P8" i="12" a="1"/>
  <c r="M3" i="12" a="1"/>
  <c r="M14" i="28" a="1"/>
  <c r="C5" i="52" a="1"/>
  <c r="G15" i="56" a="1"/>
  <c r="R13" i="12" a="1"/>
  <c r="J6" i="39" a="1"/>
  <c r="C7" i="13" a="1"/>
  <c r="G10" i="12" a="1"/>
  <c r="S7" i="12" a="1"/>
  <c r="D4" i="28" a="1"/>
  <c r="G9" i="43" a="1"/>
  <c r="P4" i="12" a="1"/>
  <c r="J3" i="39" a="1"/>
  <c r="E13" i="28" a="1"/>
  <c r="T8" i="56" a="1"/>
  <c r="K13" i="12" a="1"/>
  <c r="S5" i="12" a="1"/>
  <c r="F9" i="12" a="1"/>
  <c r="H12" i="39" a="1"/>
  <c r="J11" i="48" a="1"/>
  <c r="F2" i="38" a="1"/>
  <c r="AD4" i="9" a="1"/>
  <c r="N4" i="9" a="1"/>
  <c r="E2" i="7" a="1"/>
  <c r="C3" i="52" a="1"/>
  <c r="S6" i="56" a="1"/>
  <c r="L14" i="28" a="1"/>
  <c r="M15" i="12" a="1"/>
  <c r="B7" i="12" a="1"/>
  <c r="K8" i="28" a="1"/>
  <c r="Q9" i="12" a="1"/>
  <c r="G6" i="28" a="1"/>
  <c r="E11" i="28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12" i="28" a="1"/>
  <c r="G14" i="28" a="1"/>
  <c r="J10" i="48" a="1"/>
  <c r="E2" i="38" a="1"/>
  <c r="AC4" i="9" a="1"/>
  <c r="M4" i="9" a="1"/>
  <c r="F8" i="42" a="1"/>
  <c r="J12" i="52" a="1"/>
  <c r="J4" i="52" a="1"/>
  <c r="V17" i="56" a="1"/>
  <c r="C9" i="13" a="1"/>
  <c r="K21" i="12" a="1"/>
  <c r="M19" i="12" a="1"/>
  <c r="O15" i="12" a="1"/>
  <c r="Q13" i="12" a="1"/>
  <c r="S11" i="12" a="1"/>
  <c r="L10" i="12" a="1"/>
  <c r="N8" i="12" a="1"/>
  <c r="P6" i="12" a="1"/>
  <c r="R4" i="12" a="1"/>
  <c r="K3" i="12" a="1"/>
  <c r="G18" i="12" a="1"/>
  <c r="B9" i="12" a="1"/>
  <c r="J5" i="39" a="1"/>
  <c r="M8" i="28" a="1"/>
  <c r="H4" i="52" a="1"/>
  <c r="H10" i="56" a="1"/>
  <c r="H7" i="28" a="1"/>
  <c r="G4" i="12" a="1"/>
  <c r="R14" i="12" a="1"/>
  <c r="E22" i="12" a="1"/>
  <c r="F9" i="39" a="1"/>
  <c r="A4" i="9" a="1"/>
  <c r="G8" i="43" a="1"/>
  <c r="C6" i="43" a="1"/>
  <c r="F14" i="42" a="1"/>
  <c r="F12" i="42" a="1"/>
  <c r="F10" i="42" a="1"/>
  <c r="F6" i="42" a="1"/>
  <c r="F4" i="42" a="1"/>
  <c r="J2" i="18" a="1"/>
  <c r="H2" i="15" a="1"/>
  <c r="F2" i="5" a="1"/>
  <c r="D2" i="7" a="1"/>
  <c r="B2" i="47" a="1"/>
  <c r="J10" i="52" a="1"/>
  <c r="J8" i="52" a="1"/>
  <c r="J6" i="52" a="1"/>
  <c r="V13" i="56" a="1"/>
  <c r="V9" i="56" a="1"/>
  <c r="V5" i="56" a="1"/>
  <c r="J14" i="56" a="1"/>
  <c r="J10" i="56" a="1"/>
  <c r="J6" i="56" a="1"/>
  <c r="B13" i="56" a="1"/>
  <c r="R22" i="12" a="1"/>
  <c r="F11" i="12" a="1"/>
  <c r="E6" i="12" a="1"/>
  <c r="H2" i="39" a="1"/>
  <c r="C12" i="39" a="1"/>
  <c r="K14" i="28" a="1"/>
  <c r="L3" i="28" a="1"/>
  <c r="H8" i="28" a="1"/>
  <c r="E14" i="28" a="1"/>
  <c r="E6" i="28" a="1"/>
  <c r="K3" i="28" a="1"/>
  <c r="G8" i="28" a="1"/>
  <c r="D14" i="28" a="1"/>
  <c r="H6" i="52" a="1"/>
  <c r="T13" i="56" a="1"/>
  <c r="P22" i="12" a="1"/>
  <c r="J9" i="48" a="1"/>
  <c r="D2" i="38" a="1"/>
  <c r="AB4" i="9" a="1"/>
  <c r="L4" i="9" a="1"/>
  <c r="B8" i="12" a="1"/>
  <c r="L8" i="28" a="1"/>
  <c r="T5" i="56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J4" i="39" a="1"/>
  <c r="F14" i="39" a="1"/>
  <c r="C11" i="39" a="1"/>
  <c r="M13" i="28" a="1"/>
  <c r="D6" i="28" a="1"/>
  <c r="H6" i="56" a="1"/>
  <c r="N4" i="12" a="1"/>
  <c r="H6" i="28" a="1"/>
  <c r="B4" i="12" a="1"/>
  <c r="J8" i="48" a="1"/>
  <c r="C2" i="38" a="1"/>
  <c r="AA4" i="9" a="1"/>
  <c r="K4" i="9" a="1"/>
  <c r="G7" i="43" a="1"/>
  <c r="D10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T17" i="56" a="1"/>
  <c r="T9" i="56" a="1"/>
  <c r="K19" i="12" a="1"/>
  <c r="K7" i="28" a="1"/>
  <c r="T12" i="56" a="1"/>
  <c r="H13" i="28" a="1"/>
  <c r="G15" i="43" a="1"/>
  <c r="C4" i="43" a="1"/>
  <c r="D14" i="42" a="1"/>
  <c r="D12" i="42" a="1"/>
  <c r="D8" i="42" a="1"/>
  <c r="H14" i="56" a="1"/>
  <c r="O13" i="12" a="1"/>
  <c r="E18" i="12" a="1"/>
  <c r="L13" i="28" a="1"/>
  <c r="L7" i="28" a="1"/>
  <c r="D12" i="28" a="1"/>
  <c r="H5" i="56" a="1"/>
  <c r="J7" i="48" a="1"/>
  <c r="B2" i="38" a="1"/>
  <c r="Z4" i="9" a="1"/>
  <c r="J4" i="9" a="1"/>
  <c r="N13" i="12" a="1"/>
  <c r="P11" i="12" a="1"/>
  <c r="R9" i="12" a="1"/>
  <c r="K8" i="12" a="1"/>
  <c r="M6" i="12" a="1"/>
  <c r="O4" i="12" a="1"/>
  <c r="E23" i="12" a="1"/>
  <c r="G15" i="12" a="1"/>
  <c r="F10" i="12" a="1"/>
  <c r="E5" i="12" a="1"/>
  <c r="J2" i="39" a="1"/>
  <c r="F12" i="39" a="1"/>
  <c r="C9" i="39" a="1"/>
  <c r="K13" i="28" a="1"/>
  <c r="G15" i="28" a="1"/>
  <c r="D5" i="28" a="1"/>
  <c r="L6" i="12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G8" i="52" a="1"/>
  <c r="G6" i="52" a="1"/>
  <c r="G4" i="52" a="1"/>
  <c r="S17" i="56" a="1"/>
  <c r="S13" i="56" a="1"/>
  <c r="S9" i="56" a="1"/>
  <c r="S5" i="56" a="1"/>
  <c r="G14" i="56" a="1"/>
  <c r="G10" i="56" a="1"/>
  <c r="G6" i="56" a="1"/>
  <c r="B10" i="56" a="1"/>
  <c r="C6" i="13" a="1"/>
  <c r="O22" i="12" a="1"/>
  <c r="Q20" i="12" a="1"/>
  <c r="S18" i="12" a="1"/>
  <c r="L15" i="12" a="1"/>
  <c r="B6" i="12" a="1"/>
  <c r="M7" i="28" a="1"/>
  <c r="M6" i="28" a="1"/>
  <c r="J6" i="48" a="1"/>
  <c r="A2" i="38" a="1"/>
  <c r="Y4" i="9" a="1"/>
  <c r="I4" i="9" a="1"/>
  <c r="F12" i="52" a="1"/>
  <c r="F4" i="52" a="1"/>
  <c r="V16" i="56" a="1"/>
  <c r="V8" i="56" a="1"/>
  <c r="K15" i="12" a="1"/>
  <c r="P18" i="12" a="1"/>
  <c r="M11" i="12" a="1"/>
  <c r="Q7" i="12" a="1"/>
  <c r="E4" i="12" a="1"/>
  <c r="C6" i="39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0" i="52" a="1"/>
  <c r="F8" i="52" a="1"/>
  <c r="F6" i="52" a="1"/>
  <c r="V12" i="56" a="1"/>
  <c r="J17" i="56" a="1"/>
  <c r="J13" i="56" a="1"/>
  <c r="J9" i="56" a="1"/>
  <c r="J5" i="56" a="1"/>
  <c r="B9" i="56" a="1"/>
  <c r="C5" i="13" a="1"/>
  <c r="N22" i="12" a="1"/>
  <c r="P20" i="12" a="1"/>
  <c r="R18" i="12" a="1"/>
  <c r="M13" i="12" a="1"/>
  <c r="O11" i="12" a="1"/>
  <c r="E4" i="28" a="1"/>
  <c r="J5" i="48" a="1"/>
  <c r="AN4" i="9" a="1"/>
  <c r="X4" i="9" a="1"/>
  <c r="H4" i="9" a="1"/>
  <c r="E12" i="52" a="1"/>
  <c r="E10" i="52" a="1"/>
  <c r="E8" i="52" a="1"/>
  <c r="E6" i="52" a="1"/>
  <c r="E4" i="52" a="1"/>
  <c r="U16" i="56" a="1"/>
  <c r="U12" i="56" a="1"/>
  <c r="U8" i="56" a="1"/>
  <c r="I17" i="56" a="1"/>
  <c r="I13" i="56" a="1"/>
  <c r="I9" i="56" a="1"/>
  <c r="I5" i="56" a="1"/>
  <c r="C4" i="13" a="1"/>
  <c r="O20" i="12" a="1"/>
  <c r="Q18" i="12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B8" i="56" a="1"/>
  <c r="M22" i="12" a="1"/>
  <c r="S14" i="12" a="1"/>
  <c r="L13" i="12" a="1"/>
  <c r="N11" i="12" a="1"/>
  <c r="P9" i="12" a="1"/>
  <c r="R7" i="12" a="1"/>
  <c r="K6" i="12" a="1"/>
  <c r="M4" i="12" a="1"/>
  <c r="F22" i="12" a="1"/>
  <c r="E15" i="12" a="1"/>
  <c r="G9" i="12" a="1"/>
  <c r="F4" i="12" a="1"/>
  <c r="J4" i="48" a="1"/>
  <c r="AM4" i="9" a="1"/>
  <c r="W4" i="9" a="1"/>
  <c r="G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D8" i="52" a="1"/>
  <c r="D6" i="52" a="1"/>
  <c r="D4" i="52" a="1"/>
  <c r="K12" i="28" a="1"/>
  <c r="N2" i="38" a="1"/>
  <c r="AL4" i="9" a="1"/>
  <c r="V4" i="9" a="1"/>
  <c r="F4" i="9" a="1"/>
  <c r="S12" i="12" a="1"/>
  <c r="N9" i="12" a="1"/>
  <c r="K4" i="12" a="1"/>
  <c r="G21" i="12" a="1"/>
  <c r="G3" i="12" a="1"/>
  <c r="J14" i="39" a="1"/>
  <c r="G5" i="28" a="1"/>
  <c r="D11" i="28" a="1"/>
  <c r="T16" i="56" a="1"/>
  <c r="O15" i="1" a="1"/>
  <c r="O15" i="1" l="1"/>
  <c r="T16" i="56"/>
  <c r="D11" i="28"/>
  <c r="G5" i="28"/>
  <c r="J14" i="39"/>
  <c r="G3" i="12"/>
  <c r="G21" i="12"/>
  <c r="K4" i="12"/>
  <c r="N9" i="12"/>
  <c r="S12" i="12"/>
  <c r="F4" i="9"/>
  <c r="V4" i="9"/>
  <c r="AL4" i="9"/>
  <c r="N2" i="38"/>
  <c r="K12" i="28"/>
  <c r="D4" i="52"/>
  <c r="D6" i="52"/>
  <c r="D8" i="52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G4" i="9"/>
  <c r="W4" i="9"/>
  <c r="AM4" i="9"/>
  <c r="J4" i="48"/>
  <c r="F4" i="12"/>
  <c r="G9" i="12"/>
  <c r="E15" i="12"/>
  <c r="F22" i="12"/>
  <c r="M4" i="12"/>
  <c r="K6" i="12"/>
  <c r="R7" i="12"/>
  <c r="P9" i="12"/>
  <c r="N11" i="12"/>
  <c r="L13" i="12"/>
  <c r="S14" i="12"/>
  <c r="M22" i="12"/>
  <c r="B8" i="56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Q18" i="12"/>
  <c r="O20" i="12"/>
  <c r="C4" i="13"/>
  <c r="I5" i="56"/>
  <c r="I9" i="56"/>
  <c r="I13" i="56"/>
  <c r="I17" i="56"/>
  <c r="U8" i="56"/>
  <c r="U12" i="56"/>
  <c r="U16" i="56"/>
  <c r="E4" i="52"/>
  <c r="E6" i="52"/>
  <c r="E8" i="52"/>
  <c r="E10" i="52"/>
  <c r="E12" i="52"/>
  <c r="H4" i="9"/>
  <c r="X4" i="9"/>
  <c r="AN4" i="9"/>
  <c r="J5" i="48"/>
  <c r="E4" i="28"/>
  <c r="O11" i="12"/>
  <c r="M13" i="12"/>
  <c r="R18" i="12"/>
  <c r="P20" i="12"/>
  <c r="N22" i="12"/>
  <c r="C5" i="13"/>
  <c r="B9" i="56"/>
  <c r="J5" i="56"/>
  <c r="J9" i="56"/>
  <c r="J13" i="56"/>
  <c r="J17" i="56"/>
  <c r="V12" i="56"/>
  <c r="F6" i="52"/>
  <c r="F8" i="52"/>
  <c r="F10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C6" i="39"/>
  <c r="E4" i="12"/>
  <c r="Q7" i="12"/>
  <c r="M11" i="12"/>
  <c r="P18" i="12"/>
  <c r="K15" i="12"/>
  <c r="V8" i="56"/>
  <c r="V16" i="56"/>
  <c r="F4" i="52"/>
  <c r="F12" i="52"/>
  <c r="I4" i="9"/>
  <c r="Y4" i="9"/>
  <c r="A2" i="38"/>
  <c r="J6" i="48"/>
  <c r="M6" i="28"/>
  <c r="M7" i="28"/>
  <c r="B6" i="12"/>
  <c r="L15" i="12"/>
  <c r="S18" i="12"/>
  <c r="Q20" i="12"/>
  <c r="O22" i="12"/>
  <c r="C6" i="13"/>
  <c r="B10" i="56"/>
  <c r="G6" i="56"/>
  <c r="G10" i="56"/>
  <c r="G14" i="56"/>
  <c r="S5" i="56"/>
  <c r="S9" i="56"/>
  <c r="S13" i="56"/>
  <c r="S17" i="56"/>
  <c r="G4" i="52"/>
  <c r="G6" i="52"/>
  <c r="G8" i="52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L6" i="12"/>
  <c r="D5" i="28"/>
  <c r="G15" i="28"/>
  <c r="K13" i="28"/>
  <c r="C9" i="39"/>
  <c r="F12" i="39"/>
  <c r="J2" i="39"/>
  <c r="E5" i="12"/>
  <c r="F10" i="12"/>
  <c r="G15" i="12"/>
  <c r="E23" i="12"/>
  <c r="O4" i="12"/>
  <c r="M6" i="12"/>
  <c r="K8" i="12"/>
  <c r="R9" i="12"/>
  <c r="P11" i="12"/>
  <c r="N13" i="12"/>
  <c r="J4" i="9"/>
  <c r="Z4" i="9"/>
  <c r="B2" i="38"/>
  <c r="J7" i="48"/>
  <c r="H5" i="56"/>
  <c r="D12" i="28"/>
  <c r="L7" i="28"/>
  <c r="L13" i="28"/>
  <c r="E18" i="12"/>
  <c r="O13" i="12"/>
  <c r="H14" i="56"/>
  <c r="D8" i="42"/>
  <c r="D12" i="42"/>
  <c r="D14" i="42"/>
  <c r="C4" i="43"/>
  <c r="G15" i="43"/>
  <c r="H13" i="28"/>
  <c r="T12" i="56"/>
  <c r="K7" i="28"/>
  <c r="K19" i="12"/>
  <c r="T9" i="56"/>
  <c r="T17" i="56"/>
  <c r="H8" i="52"/>
  <c r="H10" i="52"/>
  <c r="H12" i="52"/>
  <c r="N2" i="46"/>
  <c r="B2" i="7"/>
  <c r="D2" i="5"/>
  <c r="F2" i="15"/>
  <c r="H2" i="18"/>
  <c r="D4" i="42"/>
  <c r="D6" i="42"/>
  <c r="D10" i="42"/>
  <c r="G7" i="43"/>
  <c r="K4" i="9"/>
  <c r="AA4" i="9"/>
  <c r="C2" i="38"/>
  <c r="J8" i="48"/>
  <c r="B4" i="12"/>
  <c r="H6" i="28"/>
  <c r="N4" i="12"/>
  <c r="H6" i="56"/>
  <c r="D6" i="28"/>
  <c r="M13" i="28"/>
  <c r="C11" i="39"/>
  <c r="F14" i="39"/>
  <c r="J4" i="39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T5" i="56"/>
  <c r="L8" i="28"/>
  <c r="B8" i="12"/>
  <c r="L4" i="9"/>
  <c r="AB4" i="9"/>
  <c r="D2" i="38"/>
  <c r="J9" i="48"/>
  <c r="P22" i="12"/>
  <c r="T13" i="56"/>
  <c r="H6" i="52"/>
  <c r="D14" i="28"/>
  <c r="G8" i="28"/>
  <c r="K3" i="28"/>
  <c r="E6" i="28"/>
  <c r="E14" i="28"/>
  <c r="H8" i="28"/>
  <c r="L3" i="28"/>
  <c r="K14" i="28"/>
  <c r="C12" i="39"/>
  <c r="H2" i="39"/>
  <c r="E6" i="12"/>
  <c r="F11" i="12"/>
  <c r="R22" i="12"/>
  <c r="B13" i="56"/>
  <c r="J6" i="56"/>
  <c r="J10" i="56"/>
  <c r="J14" i="56"/>
  <c r="V5" i="56"/>
  <c r="V9" i="56"/>
  <c r="V13" i="56"/>
  <c r="J6" i="52"/>
  <c r="J8" i="52"/>
  <c r="J10" i="52"/>
  <c r="B2" i="47"/>
  <c r="D2" i="7"/>
  <c r="F2" i="5"/>
  <c r="H2" i="15"/>
  <c r="J2" i="18"/>
  <c r="F4" i="42"/>
  <c r="F6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F9" i="39"/>
  <c r="E22" i="12"/>
  <c r="R14" i="12"/>
  <c r="G4" i="12"/>
  <c r="H7" i="28"/>
  <c r="H10" i="56"/>
  <c r="H4" i="52"/>
  <c r="M8" i="28"/>
  <c r="J5" i="39"/>
  <c r="B9" i="12"/>
  <c r="G18" i="12"/>
  <c r="K3" i="12"/>
  <c r="R4" i="12"/>
  <c r="P6" i="12"/>
  <c r="N8" i="12"/>
  <c r="L10" i="12"/>
  <c r="S11" i="12"/>
  <c r="Q13" i="12"/>
  <c r="O15" i="12"/>
  <c r="M19" i="12"/>
  <c r="K21" i="12"/>
  <c r="C9" i="13"/>
  <c r="V17" i="56"/>
  <c r="J4" i="52"/>
  <c r="J12" i="52"/>
  <c r="F8" i="42"/>
  <c r="M4" i="9"/>
  <c r="AC4" i="9"/>
  <c r="E2" i="38"/>
  <c r="J10" i="48"/>
  <c r="G14" i="28"/>
  <c r="E12" i="28"/>
  <c r="G2" i="5"/>
  <c r="I2" i="15"/>
  <c r="K2" i="18"/>
  <c r="G4" i="42"/>
  <c r="G6" i="42"/>
  <c r="G8" i="42"/>
  <c r="G10" i="42"/>
  <c r="G12" i="42"/>
  <c r="G14" i="42"/>
  <c r="C7" i="43"/>
  <c r="H8" i="43"/>
  <c r="E11" i="28"/>
  <c r="G6" i="28"/>
  <c r="Q9" i="12"/>
  <c r="K8" i="28"/>
  <c r="B7" i="12"/>
  <c r="M15" i="12"/>
  <c r="L14" i="28"/>
  <c r="S6" i="56"/>
  <c r="C3" i="52"/>
  <c r="E2" i="7"/>
  <c r="N4" i="9"/>
  <c r="AD4" i="9"/>
  <c r="F2" i="38"/>
  <c r="J11" i="48"/>
  <c r="H12" i="39"/>
  <c r="F9" i="12"/>
  <c r="S5" i="12"/>
  <c r="K13" i="12"/>
  <c r="T8" i="56"/>
  <c r="E13" i="28"/>
  <c r="J3" i="39"/>
  <c r="P4" i="12"/>
  <c r="G9" i="43"/>
  <c r="D4" i="28"/>
  <c r="S7" i="12"/>
  <c r="G10" i="12"/>
  <c r="C7" i="13"/>
  <c r="J6" i="39"/>
  <c r="R13" i="12"/>
  <c r="G15" i="56"/>
  <c r="C5" i="52"/>
  <c r="M14" i="28"/>
  <c r="M3" i="12"/>
  <c r="P8" i="12"/>
  <c r="O4" i="9"/>
  <c r="AE4" i="9"/>
  <c r="G2" i="38"/>
  <c r="J12" i="48"/>
  <c r="F10" i="39"/>
  <c r="H13" i="39"/>
  <c r="N19" i="12"/>
  <c r="S14" i="56"/>
  <c r="C9" i="52"/>
  <c r="C14" i="39"/>
  <c r="M21" i="12"/>
  <c r="L4" i="28"/>
  <c r="M9" i="28"/>
  <c r="K15" i="28"/>
  <c r="F2" i="39"/>
  <c r="J8" i="39"/>
  <c r="B12" i="12"/>
  <c r="F12" i="12"/>
  <c r="G19" i="12"/>
  <c r="N3" i="12"/>
  <c r="L5" i="12"/>
  <c r="S6" i="12"/>
  <c r="Q8" i="12"/>
  <c r="O10" i="12"/>
  <c r="M12" i="12"/>
  <c r="K14" i="12"/>
  <c r="R15" i="12"/>
  <c r="P19" i="12"/>
  <c r="N21" i="12"/>
  <c r="L23" i="12"/>
  <c r="C12" i="13"/>
  <c r="B16" i="56"/>
  <c r="I7" i="56"/>
  <c r="I11" i="56"/>
  <c r="I15" i="56"/>
  <c r="U6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N20" i="12"/>
  <c r="B7" i="56"/>
  <c r="H13" i="56"/>
  <c r="C7" i="39"/>
  <c r="M12" i="28"/>
  <c r="E10" i="12"/>
  <c r="D13" i="28"/>
  <c r="E5" i="28"/>
  <c r="F5" i="12"/>
  <c r="L8" i="12"/>
  <c r="Q11" i="12"/>
  <c r="G9" i="28"/>
  <c r="L21" i="12"/>
  <c r="G7" i="56"/>
  <c r="D7" i="52"/>
  <c r="D2" i="47"/>
  <c r="H6" i="42"/>
  <c r="C8" i="43"/>
  <c r="G10" i="28"/>
  <c r="H5" i="39"/>
  <c r="E7" i="12"/>
  <c r="P4" i="9"/>
  <c r="AF4" i="9"/>
  <c r="H2" i="38"/>
  <c r="J13" i="48"/>
  <c r="S9" i="12"/>
  <c r="D7" i="28"/>
  <c r="B10" i="12"/>
  <c r="S22" i="12"/>
  <c r="C10" i="13"/>
  <c r="S10" i="56"/>
  <c r="A2" i="46"/>
  <c r="K4" i="28"/>
  <c r="E12" i="12"/>
  <c r="N10" i="12"/>
  <c r="F2" i="7"/>
  <c r="D8" i="28"/>
  <c r="D18" i="28"/>
  <c r="E18" i="28"/>
  <c r="M4" i="28"/>
  <c r="L15" i="28"/>
  <c r="F3" i="39"/>
  <c r="H6" i="39"/>
  <c r="J9" i="39"/>
  <c r="B13" i="12"/>
  <c r="F7" i="12"/>
  <c r="G12" i="12"/>
  <c r="O3" i="12"/>
  <c r="P10" i="12"/>
  <c r="L14" i="12"/>
  <c r="S15" i="12"/>
  <c r="M23" i="12"/>
  <c r="C13" i="13"/>
  <c r="J7" i="56"/>
  <c r="J11" i="56"/>
  <c r="J15" i="56"/>
  <c r="V6" i="56"/>
  <c r="V10" i="56"/>
  <c r="V14" i="56"/>
  <c r="F3" i="52"/>
  <c r="F5" i="52"/>
  <c r="F7" i="52"/>
  <c r="F9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B14" i="56"/>
  <c r="E15" i="28"/>
  <c r="L9" i="28"/>
  <c r="F19" i="12"/>
  <c r="R6" i="12"/>
  <c r="D11" i="52"/>
  <c r="E8" i="28"/>
  <c r="H10" i="28"/>
  <c r="K10" i="28"/>
  <c r="E20" i="12"/>
  <c r="M5" i="12"/>
  <c r="K7" i="12"/>
  <c r="R8" i="12"/>
  <c r="N12" i="12"/>
  <c r="Q19" i="12"/>
  <c r="O21" i="12"/>
  <c r="B17" i="56"/>
  <c r="Q4" i="9"/>
  <c r="AG4" i="9"/>
  <c r="I2" i="38"/>
  <c r="J14" i="48"/>
  <c r="H14" i="28"/>
  <c r="F11" i="39"/>
  <c r="H15" i="28"/>
  <c r="F23" i="12"/>
  <c r="R20" i="12"/>
  <c r="H3" i="39"/>
  <c r="F6" i="12"/>
  <c r="L3" i="12"/>
  <c r="P15" i="12"/>
  <c r="C2" i="47"/>
  <c r="J7" i="39"/>
  <c r="S13" i="12"/>
  <c r="K23" i="12"/>
  <c r="H7" i="56"/>
  <c r="T6" i="56"/>
  <c r="T10" i="56"/>
  <c r="D5" i="52"/>
  <c r="B2" i="46"/>
  <c r="H4" i="42"/>
  <c r="J10" i="39"/>
  <c r="B14" i="12"/>
  <c r="G7" i="12"/>
  <c r="E13" i="12"/>
  <c r="F20" i="12"/>
  <c r="P3" i="12"/>
  <c r="N5" i="12"/>
  <c r="L7" i="12"/>
  <c r="Q10" i="12"/>
  <c r="O12" i="12"/>
  <c r="M14" i="12"/>
  <c r="R19" i="12"/>
  <c r="N23" i="12"/>
  <c r="C14" i="13"/>
  <c r="C23" i="56"/>
  <c r="G8" i="56"/>
  <c r="S15" i="56"/>
  <c r="G7" i="52"/>
  <c r="G9" i="52"/>
  <c r="G11" i="52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F13" i="39"/>
  <c r="N6" i="12"/>
  <c r="Q6" i="12"/>
  <c r="L12" i="12"/>
  <c r="O19" i="12"/>
  <c r="H14" i="42"/>
  <c r="D9" i="28"/>
  <c r="S8" i="12"/>
  <c r="K18" i="12"/>
  <c r="P21" i="12"/>
  <c r="G12" i="56"/>
  <c r="G16" i="56"/>
  <c r="S7" i="56"/>
  <c r="S11" i="56"/>
  <c r="G3" i="52"/>
  <c r="G5" i="52"/>
  <c r="E2" i="46"/>
  <c r="B4" i="9"/>
  <c r="R4" i="9"/>
  <c r="AH4" i="9"/>
  <c r="J2" i="38"/>
  <c r="J15" i="48"/>
  <c r="H14" i="39"/>
  <c r="C11" i="52"/>
  <c r="H9" i="28"/>
  <c r="B11" i="12"/>
  <c r="C11" i="13"/>
  <c r="L2" i="18"/>
  <c r="L10" i="28"/>
  <c r="H7" i="39"/>
  <c r="E9" i="28"/>
  <c r="H3" i="28"/>
  <c r="H11" i="28"/>
  <c r="M10" i="28"/>
  <c r="C2" i="39"/>
  <c r="H8" i="39"/>
  <c r="F13" i="12"/>
  <c r="G20" i="12"/>
  <c r="Q3" i="12"/>
  <c r="M7" i="12"/>
  <c r="N14" i="12"/>
  <c r="S19" i="12"/>
  <c r="Q21" i="1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L22" i="12"/>
  <c r="C10" i="39"/>
  <c r="M10" i="12"/>
  <c r="G11" i="56"/>
  <c r="H8" i="42"/>
  <c r="G3" i="28"/>
  <c r="G11" i="28"/>
  <c r="K5" i="28"/>
  <c r="M15" i="28"/>
  <c r="F4" i="39"/>
  <c r="L5" i="28"/>
  <c r="F5" i="39"/>
  <c r="J11" i="39"/>
  <c r="B15" i="12"/>
  <c r="E8" i="12"/>
  <c r="O5" i="12"/>
  <c r="P12" i="12"/>
  <c r="C15" i="13"/>
  <c r="T7" i="56"/>
  <c r="T11" i="56"/>
  <c r="T15" i="56"/>
  <c r="H3" i="52"/>
  <c r="H5" i="52"/>
  <c r="H7" i="52"/>
  <c r="H9" i="52"/>
  <c r="H11" i="52"/>
  <c r="C4" i="9"/>
  <c r="S4" i="9"/>
  <c r="AI4" i="9"/>
  <c r="K2" i="38"/>
  <c r="J16" i="48"/>
  <c r="G6" i="12"/>
  <c r="K5" i="12"/>
  <c r="H12" i="56"/>
  <c r="D10" i="28"/>
  <c r="E3" i="12"/>
  <c r="F8" i="12"/>
  <c r="E21" i="12"/>
  <c r="R3" i="12"/>
  <c r="P5" i="12"/>
  <c r="N7" i="12"/>
  <c r="S10" i="12"/>
  <c r="O14" i="12"/>
  <c r="M18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B5" i="12"/>
  <c r="B15" i="56"/>
  <c r="H15" i="56"/>
  <c r="T14" i="56"/>
  <c r="D3" i="52"/>
  <c r="D9" i="52"/>
  <c r="J2" i="15"/>
  <c r="H12" i="42"/>
  <c r="K9" i="12"/>
  <c r="R10" i="12"/>
  <c r="L18" i="12"/>
  <c r="O23" i="12"/>
  <c r="C24" i="56"/>
  <c r="H8" i="56"/>
  <c r="H16" i="56"/>
  <c r="G4" i="28"/>
  <c r="G12" i="28"/>
  <c r="M5" i="28"/>
  <c r="K11" i="28"/>
  <c r="C3" i="39"/>
  <c r="F6" i="39"/>
  <c r="H9" i="39"/>
  <c r="J12" i="39"/>
  <c r="G13" i="12"/>
  <c r="L9" i="12"/>
  <c r="Q12" i="12"/>
  <c r="D4" i="9"/>
  <c r="T4" i="9"/>
  <c r="AJ4" i="9"/>
  <c r="L2" i="38"/>
  <c r="J19" i="48"/>
  <c r="L12" i="28"/>
  <c r="G22" i="12"/>
  <c r="B11" i="56"/>
  <c r="D15" i="28"/>
  <c r="M3" i="28"/>
  <c r="C13" i="39"/>
  <c r="G11" i="12"/>
  <c r="E19" i="12"/>
  <c r="S4" i="12"/>
  <c r="O8" i="12"/>
  <c r="K12" i="12"/>
  <c r="H2" i="5"/>
  <c r="E10" i="28"/>
  <c r="H4" i="28"/>
  <c r="K6" i="28"/>
  <c r="E14" i="12"/>
  <c r="F21" i="12"/>
  <c r="S3" i="12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9" i="52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H5" i="28"/>
  <c r="F15" i="12"/>
  <c r="G7" i="28"/>
  <c r="K9" i="28"/>
  <c r="C7" i="52"/>
  <c r="E7" i="28"/>
  <c r="H4" i="39"/>
  <c r="Q15" i="12"/>
  <c r="H11" i="56"/>
  <c r="H10" i="42"/>
  <c r="H12" i="28"/>
  <c r="L11" i="28"/>
  <c r="C4" i="39"/>
  <c r="F7" i="39"/>
  <c r="H10" i="39"/>
  <c r="J13" i="39"/>
  <c r="F3" i="12"/>
  <c r="G8" i="12"/>
  <c r="J5" i="52"/>
  <c r="J7" i="52"/>
  <c r="J11" i="52"/>
  <c r="H2" i="46"/>
  <c r="E4" i="9"/>
  <c r="U4" i="9"/>
  <c r="AK4" i="9"/>
  <c r="M2" i="38"/>
  <c r="J20" i="48"/>
  <c r="E3" i="28"/>
  <c r="B3" i="12"/>
  <c r="G14" i="12"/>
  <c r="L4" i="12"/>
  <c r="O9" i="12"/>
  <c r="S23" i="12"/>
  <c r="H9" i="56"/>
  <c r="H17" i="56"/>
  <c r="C8" i="39"/>
  <c r="D3" i="28"/>
  <c r="G13" i="28"/>
  <c r="L6" i="28"/>
  <c r="M11" i="28"/>
  <c r="C5" i="39"/>
  <c r="F8" i="39"/>
  <c r="H11" i="39"/>
  <c r="E9" i="12"/>
  <c r="F14" i="12"/>
  <c r="R5" i="12"/>
  <c r="P7" i="12"/>
  <c r="L11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M4" i="48" a="1"/>
  <c r="M15" i="48" a="1"/>
  <c r="O14" i="1" a="1"/>
  <c r="O14" i="1" l="1"/>
  <c r="M15" i="48"/>
  <c r="M4" i="48"/>
  <c r="O12" i="1" a="1"/>
  <c r="O12" i="1" l="1"/>
  <c r="O9" i="1" a="1"/>
  <c r="O9" i="1" l="1"/>
  <c r="O8" i="1" a="1"/>
  <c r="O8" i="1" l="1"/>
  <c r="O6" i="1" a="1"/>
  <c r="O6" i="1" l="1"/>
  <c r="O5" i="1" a="1"/>
  <c r="O5" i="1" l="1"/>
  <c r="K15" i="1" a="1"/>
  <c r="I13" i="1" a="1"/>
  <c r="G11" i="1" a="1"/>
  <c r="L8" i="1" a="1"/>
  <c r="J6" i="1" a="1"/>
  <c r="H4" i="1" a="1"/>
  <c r="L3" i="1" a="1"/>
  <c r="F15" i="1" a="1"/>
  <c r="G8" i="1" a="1"/>
  <c r="J3" i="1" a="1"/>
  <c r="J14" i="1" a="1"/>
  <c r="I14" i="1" a="1"/>
  <c r="L11" i="1" a="1"/>
  <c r="K11" i="1" a="1"/>
  <c r="G7" i="1" a="1"/>
  <c r="G19" i="1" a="1"/>
  <c r="F7" i="1" a="1"/>
  <c r="G9" i="1" a="1"/>
  <c r="H8" i="1" a="1"/>
  <c r="L20" i="1" a="1"/>
  <c r="J15" i="1" a="1"/>
  <c r="H13" i="1" a="1"/>
  <c r="F11" i="1" a="1"/>
  <c r="K8" i="1" a="1"/>
  <c r="I6" i="1" a="1"/>
  <c r="G4" i="1" a="1"/>
  <c r="J8" i="1" a="1"/>
  <c r="H6" i="1" a="1"/>
  <c r="H15" i="1" a="1"/>
  <c r="F13" i="1" a="1"/>
  <c r="K10" i="1" a="1"/>
  <c r="I8" i="1" a="1"/>
  <c r="G15" i="1" a="1"/>
  <c r="J10" i="1" a="1"/>
  <c r="H20" i="1" a="1"/>
  <c r="L5" i="1" a="1"/>
  <c r="F20" i="1" a="1"/>
  <c r="I12" i="1" a="1"/>
  <c r="J5" i="1" a="1"/>
  <c r="L19" i="1" a="1"/>
  <c r="G3" i="1" a="1"/>
  <c r="H7" i="1" a="1"/>
  <c r="J4" i="1" a="1"/>
  <c r="H11" i="1" a="1"/>
  <c r="F6" i="1" a="1"/>
  <c r="F3" i="1" a="1"/>
  <c r="I9" i="1" a="1"/>
  <c r="K20" i="1" a="1"/>
  <c r="I15" i="1" a="1"/>
  <c r="G13" i="1" a="1"/>
  <c r="L10" i="1" a="1"/>
  <c r="F4" i="1" a="1"/>
  <c r="G6" i="1" a="1"/>
  <c r="I20" i="1" a="1"/>
  <c r="L12" i="1" a="1"/>
  <c r="K3" i="1" a="1"/>
  <c r="K12" i="1" a="1"/>
  <c r="K14" i="1" a="1"/>
  <c r="L7" i="1" a="1"/>
  <c r="H3" i="1" a="1"/>
  <c r="K7" i="1" a="1"/>
  <c r="K19" i="1" a="1"/>
  <c r="J7" i="1" a="1"/>
  <c r="H5" i="1" a="1"/>
  <c r="K4" i="1" a="1"/>
  <c r="I11" i="1" a="1"/>
  <c r="F10" i="1" a="1"/>
  <c r="J20" i="1" a="1"/>
  <c r="I10" i="1" a="1"/>
  <c r="F14" i="1" a="1"/>
  <c r="H9" i="1" a="1"/>
  <c r="K13" i="1" a="1"/>
  <c r="J13" i="1" a="1"/>
  <c r="L9" i="1" a="1"/>
  <c r="H19" i="1" a="1"/>
  <c r="H12" i="1" a="1"/>
  <c r="J9" i="1" a="1"/>
  <c r="F9" i="1" a="1"/>
  <c r="G20" i="1" a="1"/>
  <c r="L14" i="1" a="1"/>
  <c r="J12" i="1" a="1"/>
  <c r="H10" i="1" a="1"/>
  <c r="F8" i="1" a="1"/>
  <c r="K5" i="1" a="1"/>
  <c r="I3" i="1" a="1"/>
  <c r="G10" i="1" a="1"/>
  <c r="I5" i="1" a="1"/>
  <c r="G12" i="1" a="1"/>
  <c r="F5" i="1" a="1"/>
  <c r="L13" i="1" a="1"/>
  <c r="J11" i="1" a="1"/>
  <c r="F19" i="1" a="1"/>
  <c r="L15" i="1" a="1"/>
  <c r="L4" i="1" a="1"/>
  <c r="L6" i="1" a="1"/>
  <c r="K6" i="1" a="1"/>
  <c r="J19" i="1" a="1"/>
  <c r="H14" i="1" a="1"/>
  <c r="F12" i="1" a="1"/>
  <c r="K9" i="1" a="1"/>
  <c r="I7" i="1" a="1"/>
  <c r="G5" i="1" a="1"/>
  <c r="I19" i="1" a="1"/>
  <c r="G14" i="1" a="1"/>
  <c r="I4" i="1" a="1"/>
  <c r="I4" i="1" l="1"/>
  <c r="G14" i="1"/>
  <c r="I19" i="1"/>
  <c r="G5" i="1"/>
  <c r="I7" i="1"/>
  <c r="K9" i="1"/>
  <c r="F12" i="1"/>
  <c r="H14" i="1"/>
  <c r="J19" i="1"/>
  <c r="K6" i="1"/>
  <c r="L6" i="1"/>
  <c r="L4" i="1"/>
  <c r="L15" i="1"/>
  <c r="F19" i="1"/>
  <c r="J11" i="1"/>
  <c r="L13" i="1"/>
  <c r="F5" i="1"/>
  <c r="G12" i="1"/>
  <c r="I5" i="1"/>
  <c r="G10" i="1"/>
  <c r="I3" i="1"/>
  <c r="K5" i="1"/>
  <c r="F8" i="1"/>
  <c r="H10" i="1"/>
  <c r="J12" i="1"/>
  <c r="L14" i="1"/>
  <c r="G20" i="1"/>
  <c r="F9" i="1"/>
  <c r="J9" i="1"/>
  <c r="H12" i="1"/>
  <c r="H19" i="1"/>
  <c r="L9" i="1"/>
  <c r="J13" i="1"/>
  <c r="K13" i="1"/>
  <c r="H9" i="1"/>
  <c r="F14" i="1"/>
  <c r="I10" i="1"/>
  <c r="J20" i="1"/>
  <c r="F10" i="1"/>
  <c r="I11" i="1"/>
  <c r="K4" i="1"/>
  <c r="H5" i="1"/>
  <c r="J7" i="1"/>
  <c r="K19" i="1"/>
  <c r="K7" i="1"/>
  <c r="H3" i="1"/>
  <c r="L7" i="1"/>
  <c r="K14" i="1"/>
  <c r="K12" i="1"/>
  <c r="K3" i="1"/>
  <c r="L12" i="1"/>
  <c r="I20" i="1"/>
  <c r="G6" i="1"/>
  <c r="F4" i="1"/>
  <c r="L10" i="1"/>
  <c r="G13" i="1"/>
  <c r="I15" i="1"/>
  <c r="K20" i="1"/>
  <c r="I9" i="1"/>
  <c r="F3" i="1"/>
  <c r="F6" i="1"/>
  <c r="H11" i="1"/>
  <c r="J4" i="1"/>
  <c r="H7" i="1"/>
  <c r="G3" i="1"/>
  <c r="L19" i="1"/>
  <c r="J5" i="1"/>
  <c r="I12" i="1"/>
  <c r="F20" i="1"/>
  <c r="L5" i="1"/>
  <c r="H20" i="1"/>
  <c r="J10" i="1"/>
  <c r="G15" i="1"/>
  <c r="I8" i="1"/>
  <c r="K10" i="1"/>
  <c r="F13" i="1"/>
  <c r="H15" i="1"/>
  <c r="H6" i="1"/>
  <c r="J8" i="1"/>
  <c r="G4" i="1"/>
  <c r="I6" i="1"/>
  <c r="K8" i="1"/>
  <c r="F11" i="1"/>
  <c r="H13" i="1"/>
  <c r="J15" i="1"/>
  <c r="L20" i="1"/>
  <c r="H8" i="1"/>
  <c r="G9" i="1"/>
  <c r="F7" i="1"/>
  <c r="G19" i="1"/>
  <c r="G7" i="1"/>
  <c r="K11" i="1"/>
  <c r="L11" i="1"/>
  <c r="I14" i="1"/>
  <c r="J14" i="1"/>
  <c r="J3" i="1"/>
  <c r="G8" i="1"/>
  <c r="F15" i="1"/>
  <c r="L3" i="1"/>
  <c r="H4" i="1"/>
  <c r="J6" i="1"/>
  <c r="L8" i="1"/>
  <c r="G11" i="1"/>
  <c r="I13" i="1"/>
  <c r="K15" i="1"/>
  <c r="C20" i="55" a="1"/>
  <c r="C19" i="55" a="1"/>
  <c r="H10" i="60" a="1"/>
  <c r="C18" i="55" a="1"/>
  <c r="G10" i="60" a="1"/>
  <c r="H4" i="60" a="1"/>
  <c r="C17" i="40" a="1"/>
  <c r="C21" i="55" a="1"/>
  <c r="C4" i="1" a="1"/>
  <c r="C14" i="40" a="1"/>
  <c r="E11" i="60" a="1"/>
  <c r="E7" i="60" a="1"/>
  <c r="E3" i="60" a="1"/>
  <c r="C3" i="1" a="1"/>
  <c r="H6" i="60" a="1"/>
  <c r="G6" i="60" a="1"/>
  <c r="C6" i="40" a="1"/>
  <c r="E5" i="60" a="1"/>
  <c r="H8" i="60" a="1"/>
  <c r="H11" i="60" a="1"/>
  <c r="C12" i="40" a="1"/>
  <c r="F3" i="60" a="1"/>
  <c r="C13" i="40" a="1"/>
  <c r="D16" i="49" a="1"/>
  <c r="G7" i="60" a="1"/>
  <c r="D15" i="49" a="1"/>
  <c r="C17" i="55" a="1"/>
  <c r="C11" i="40" a="1"/>
  <c r="F10" i="60" a="1"/>
  <c r="F6" i="60" a="1"/>
  <c r="D14" i="49" a="1"/>
  <c r="C16" i="55" a="1"/>
  <c r="C10" i="40" a="1"/>
  <c r="E10" i="60" a="1"/>
  <c r="E6" i="60" a="1"/>
  <c r="C12" i="55" a="1"/>
  <c r="E9" i="60" a="1"/>
  <c r="C11" i="1" a="1"/>
  <c r="G3" i="60" a="1"/>
  <c r="C5" i="1" a="1"/>
  <c r="C11" i="55" a="1"/>
  <c r="C6" i="1" a="1"/>
  <c r="C15" i="40" a="1"/>
  <c r="D9" i="49" a="1"/>
  <c r="H3" i="60" a="1"/>
  <c r="C16" i="40" a="1"/>
  <c r="F11" i="60" a="1"/>
  <c r="C15" i="1" a="1"/>
  <c r="D13" i="49" a="1"/>
  <c r="C15" i="55" a="1"/>
  <c r="C9" i="40" a="1"/>
  <c r="H9" i="60" a="1"/>
  <c r="H5" i="60" a="1"/>
  <c r="C14" i="1" a="1"/>
  <c r="D12" i="49" a="1"/>
  <c r="C14" i="55" a="1"/>
  <c r="C8" i="40" a="1"/>
  <c r="G9" i="60" a="1"/>
  <c r="G5" i="60" a="1"/>
  <c r="C13" i="1" a="1"/>
  <c r="D11" i="49" a="1"/>
  <c r="C13" i="55" a="1"/>
  <c r="C7" i="40" a="1"/>
  <c r="F9" i="60" a="1"/>
  <c r="F5" i="60" a="1"/>
  <c r="C12" i="1" a="1"/>
  <c r="D10" i="49" a="1"/>
  <c r="H12" i="60" a="1"/>
  <c r="D5" i="49" a="1"/>
  <c r="H7" i="60" a="1"/>
  <c r="D4" i="49" a="1"/>
  <c r="F7" i="60" a="1"/>
  <c r="C10" i="1" a="1"/>
  <c r="D8" i="49" a="1"/>
  <c r="C10" i="55" a="1"/>
  <c r="G12" i="60" a="1"/>
  <c r="G8" i="60" a="1"/>
  <c r="G4" i="60" a="1"/>
  <c r="C9" i="1" a="1"/>
  <c r="D7" i="49" a="1"/>
  <c r="C9" i="55" a="1"/>
  <c r="F12" i="60" a="1"/>
  <c r="F8" i="60" a="1"/>
  <c r="F4" i="60" a="1"/>
  <c r="C8" i="1" a="1"/>
  <c r="D6" i="49" a="1"/>
  <c r="C18" i="40" a="1"/>
  <c r="E12" i="60" a="1"/>
  <c r="E8" i="60" a="1"/>
  <c r="E4" i="60" a="1"/>
  <c r="C7" i="1" a="1"/>
  <c r="G11" i="60" a="1"/>
  <c r="G11" i="60" l="1"/>
  <c r="C7" i="1"/>
  <c r="E4" i="60"/>
  <c r="E8" i="60"/>
  <c r="E12" i="60"/>
  <c r="C18" i="40"/>
  <c r="D6" i="49"/>
  <c r="C8" i="1"/>
  <c r="F4" i="60"/>
  <c r="F8" i="60"/>
  <c r="F12" i="60"/>
  <c r="C9" i="55"/>
  <c r="D7" i="49"/>
  <c r="C9" i="1"/>
  <c r="G4" i="60"/>
  <c r="G8" i="60"/>
  <c r="G12" i="60"/>
  <c r="C10" i="55"/>
  <c r="D8" i="49"/>
  <c r="C10" i="1"/>
  <c r="F7" i="60"/>
  <c r="D4" i="49"/>
  <c r="H7" i="60"/>
  <c r="D5" i="49"/>
  <c r="H12" i="60"/>
  <c r="D10" i="49"/>
  <c r="C12" i="1"/>
  <c r="F5" i="60"/>
  <c r="F9" i="60"/>
  <c r="C7" i="40"/>
  <c r="C13" i="55"/>
  <c r="D11" i="49"/>
  <c r="C13" i="1"/>
  <c r="G5" i="60"/>
  <c r="G9" i="60"/>
  <c r="C8" i="40"/>
  <c r="C14" i="55"/>
  <c r="D12" i="49"/>
  <c r="C14" i="1"/>
  <c r="H5" i="60"/>
  <c r="H9" i="60"/>
  <c r="C9" i="40"/>
  <c r="C15" i="55"/>
  <c r="D13" i="49"/>
  <c r="C15" i="1"/>
  <c r="F11" i="60"/>
  <c r="C16" i="40"/>
  <c r="H3" i="60"/>
  <c r="D9" i="49"/>
  <c r="C15" i="40"/>
  <c r="C6" i="1"/>
  <c r="C11" i="55"/>
  <c r="C5" i="1"/>
  <c r="G3" i="60"/>
  <c r="C11" i="1"/>
  <c r="E9" i="60"/>
  <c r="C12" i="55"/>
  <c r="E6" i="60"/>
  <c r="E10" i="60"/>
  <c r="C10" i="40"/>
  <c r="C16" i="55"/>
  <c r="D14" i="49"/>
  <c r="F6" i="60"/>
  <c r="F10" i="60"/>
  <c r="C11" i="40"/>
  <c r="C17" i="55"/>
  <c r="D15" i="49"/>
  <c r="G7" i="60"/>
  <c r="D16" i="49"/>
  <c r="C13" i="40"/>
  <c r="F3" i="60"/>
  <c r="C12" i="40"/>
  <c r="H11" i="60"/>
  <c r="H8" i="60"/>
  <c r="E5" i="60"/>
  <c r="C6" i="40"/>
  <c r="G6" i="60"/>
  <c r="H6" i="60"/>
  <c r="C3" i="1"/>
  <c r="E3" i="60"/>
  <c r="E7" i="60"/>
  <c r="E11" i="60"/>
  <c r="C14" i="40"/>
  <c r="C4" i="1"/>
  <c r="C21" i="55"/>
  <c r="C17" i="40"/>
  <c r="H4" i="60"/>
  <c r="G10" i="60"/>
  <c r="C18" i="55"/>
  <c r="H10" i="60"/>
  <c r="C19" i="55"/>
  <c r="C20" i="55"/>
  <c r="Y2" i="12" l="1"/>
  <c r="F24" i="8"/>
  <c r="E24" i="8"/>
  <c r="Y4" i="12" l="1" a="1"/>
  <c r="Y4" i="12" s="1"/>
  <c r="Y5" i="12" a="1"/>
  <c r="Y5" i="12" s="1"/>
  <c r="Y6" i="12" a="1"/>
  <c r="Y6" i="12" s="1"/>
  <c r="Y7" i="12" a="1"/>
  <c r="Y7" i="12" s="1"/>
  <c r="Y8" i="12" a="1"/>
  <c r="Y8" i="12" s="1"/>
  <c r="Y9" i="12" a="1"/>
  <c r="Y9" i="12" s="1"/>
  <c r="Y10" i="12" a="1"/>
  <c r="Y10" i="12" s="1"/>
  <c r="Y11" i="12" a="1"/>
  <c r="Y11" i="12" s="1"/>
  <c r="Y12" i="12" a="1"/>
  <c r="Y12" i="12" s="1"/>
  <c r="Y13" i="12" a="1"/>
  <c r="Y13" i="12" s="1"/>
  <c r="Y14" i="12" a="1"/>
  <c r="Y14" i="12" s="1"/>
  <c r="Y15" i="12" a="1"/>
  <c r="Y15" i="12" s="1"/>
  <c r="Y3" i="12" a="1"/>
  <c r="Y3" i="12" s="1"/>
  <c r="AG2" i="12"/>
  <c r="AF2" i="12"/>
  <c r="AE2" i="12"/>
  <c r="E31" i="8" l="1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20" i="48" l="1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16" i="40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0" i="49" l="1"/>
  <c r="F11" i="55"/>
  <c r="J11" i="55" s="1"/>
  <c r="F17" i="55"/>
  <c r="J17" i="55" s="1"/>
  <c r="J7" i="49"/>
  <c r="M15" i="40"/>
  <c r="F21" i="55"/>
  <c r="J21" i="55" s="1"/>
  <c r="J16" i="49"/>
  <c r="J13" i="49"/>
  <c r="M11" i="40"/>
  <c r="N6" i="40" s="1" a="1"/>
  <c r="N6" i="40" s="1"/>
  <c r="L4" i="49" s="1"/>
  <c r="J9" i="49"/>
  <c r="F14" i="55"/>
  <c r="J14" i="55" s="1"/>
  <c r="J4" i="49"/>
  <c r="N12" i="40" l="1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2CACAFF-BBEA-4BB9-ACAE-9EE38FEEA30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Timestamp="1714715518"&gt;&lt;FQL&gt;&lt;Q&gt;FC0000GB^FMA_MCAP(0,,,USD,"PORTAGG")&lt;/Q&gt;&lt;R&gt;1&lt;/R&gt;&lt;C&gt;1&lt;/C&gt;&lt;D xsi:type="xsd:double"&gt;3173776.3&lt;/D&gt;&lt;/FQL&gt;&lt;FQL&gt;&lt;Q&gt;EWL^FREF_MARKET_VALUE_COMPANY(0,,,USD,,0,,"LEGACY")&lt;/Q&gt;&lt;R&gt;1&lt;/R&gt;&lt;C&gt;1&lt;/C&gt;&lt;D xsi:type="xsd:double"&gt;1079.42625&lt;/D&gt;&lt;/FQL&gt;&lt;FQL&gt;&lt;Q&gt;FC0000CH^FMA_MCAP(0,,,USD,"PORTAGG")&lt;/Q&gt;&lt;R&gt;1&lt;/R&gt;&lt;C&gt;1&lt;/C&gt;&lt;D xsi:type="xsd:double"&gt;2015849.9&lt;/D&gt;&lt;/FQL&gt;&lt;FQL&gt;&lt;Q&gt;EWJ^FREF_MARKET_VALUE_COMPANY(0,,,USD,,0,,"LEGACY")&lt;/Q&gt;&lt;R&gt;1&lt;/R&gt;&lt;C&gt;1&lt;/C&gt;&lt;D xsi:type="xsd:double"&gt;16751.1855&lt;/D&gt;&lt;/FQL&gt;&lt;FQL&gt;&lt;Q&gt;FC0000JP^FMA_MCAP(0,,,USD,"PORTAGG")&lt;/Q&gt;&lt;R&gt;1&lt;/R&gt;&lt;C&gt;1&lt;/C&gt;&lt;D xsi:type="xsd:double"&gt;6496513.5&lt;/D&gt;&lt;/FQL&gt;&lt;FQL&gt;&lt;Q&gt;EWG^FREF_MARKET_VALUE_COMPANY(0,,,USD,,0,,"LEGACY")&lt;/Q&gt;&lt;R&gt;1&lt;/R&gt;&lt;C&gt;1&lt;/C&gt;&lt;D xsi:type="xsd:double"&gt;930.513&lt;/D&gt;&lt;/FQL&gt;&lt;FQL&gt;&lt;Q&gt;EWC^FREF_MARKET_VALUE_COMPANY(0,,,USD,,0,,"LEGACY")&lt;/Q&gt;&lt;R&gt;1&lt;/R&gt;&lt;C&gt;1&lt;/C&gt;&lt;D xsi:type="xsd:double"&gt;2695.948&lt;/D&gt;&lt;/FQL&gt;&lt;FQL&gt;&lt;Q&gt;FC0000CA^FMA_MCAP(0,,,USD,"PORTAGG")&lt;/Q&gt;&lt;R&gt;1&lt;/R&gt;&lt;C&gt;1&lt;/C&gt;&lt;D xsi:type="xsd:double"&gt;2685264&lt;/D&gt;&lt;/FQL&gt;&lt;FQL&gt;&lt;Q&gt;EWA^FREF_MARKET_VALUE_COMPANY(0,,,USD,,0,,"LEGACY")&lt;/Q&gt;&lt;R&gt;1&lt;/R&gt;&lt;C&gt;1&lt;/C&gt;&lt;D xsi:type="xsd:double"&gt;1705.512&lt;/D&gt;&lt;/FQL&gt;&lt;FQL&gt;&lt;Q&gt;ENZL^FREF_MARKET_VALUE_COMPANY(0,,,USD,,0,,"LEGACY")&lt;/Q&gt;&lt;R&gt;1&lt;/R&gt;&lt;C&gt;1&lt;/C&gt;&lt;D xsi:type="xsd:double"&gt;87.204&lt;/D&gt;&lt;/FQL&gt;&lt;FQL&gt;&lt;Q&gt;FC0000NZ^FMA_MCAP(0,,,USD,"PORTAGG")&lt;/Q&gt;&lt;R&gt;1&lt;/R&gt;&lt;C&gt;1&lt;/C&gt;&lt;D xsi:type="xsd:double"&gt;89344.91&lt;/D&gt;&lt;/FQL&gt;&lt;FQL&gt;&lt;Q&gt;NQG00809^FG_COMPANY_NAME&lt;/Q&gt;&lt;R&gt;1&lt;/R&gt;&lt;C&gt;1&lt;/C&gt;&lt;D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Africa&lt;/D&gt;&lt;/FQL&gt;&lt;FQL&gt;&lt;Q&gt;FC0000ZA^FG_MCAP_IDX(0,,,USD)&lt;/Q&gt;&lt;R&gt;1&lt;/R&gt;&lt;C&gt;1&lt;/C&gt;&lt;D xsi:type="xsd:double"&gt;302679.16&lt;/D&gt;&lt;/FQL&gt;&lt;FQL&gt;&lt;Q&gt;FC0000IT^FMA_MCAP(0,,,USD,"PORTAGG")&lt;/Q&gt;&lt;R&gt;1&lt;/R&gt;&lt;C&gt;1&lt;/C&gt;&lt;D xsi:type="xsd:double"&gt;863437.6&lt;/D&gt;&lt;/FQL&gt;&lt;FQL&gt;&lt;Q&gt;EWN^FREF_MARKET_VALUE_COMPANY(0,,,USD,,0,,"LEGACY")&lt;/Q&gt;&lt;R&gt;1&lt;/R&gt;&lt;C&gt;1&lt;/C&gt;&lt;D xsi:type="xsd:double"&gt;275.709&lt;/D&gt;&lt;/FQL&gt;&lt;FQL&gt;&lt;Q&gt;SPY^FREF_MARKET_VALUE_COMPANY(0,,,USD,,0,,"LEGACY")&lt;/Q&gt;&lt;R&gt;1&lt;/R&gt;&lt;C&gt;1&lt;/C&gt;&lt;D xsi:type="xsd:double"&gt;503228.103463&lt;/D&gt;&lt;/FQL&gt;&lt;FQL&gt;&lt;Q&gt;QQQ^FREF_MARKET_VALUE_COMPANY(0,,,USD,,0,,"LEGACY")&lt;/Q&gt;&lt;R&gt;1&lt;/R&gt;&lt;C&gt;1&lt;/C&gt;&lt;D xsi:type="xsd:double"&gt;250163.4&lt;/D&gt;&lt;/FQL&gt;&lt;FQL&gt;&lt;Q&gt;FC0000DE^FMA_MCAP(0,,,USD,"PORTAGG")&lt;/Q&gt;&lt;R&gt;1&lt;/R&gt;&lt;C&gt;1&lt;/C&gt;&lt;D xsi:type="xsd:double"&gt;2229547&lt;/D&gt;&lt;/FQL&gt;&lt;FQL&gt;&lt;Q&gt;FC0000AU^FMA_MCAP(0,,,USD,"PORTAGG")&lt;/Q&gt;&lt;R&gt;1&lt;/R&gt;&lt;C&gt;1&lt;/C&gt;&lt;D xsi:type="xsd:double"&gt;1628427.5&lt;/D&gt;&lt;/FQL&gt;&lt;FQL&gt;&lt;Q&gt;NQG00809^FMA_MCAP(0,,,USD,"PORTAGG")&lt;/Q&gt;&lt;R&gt;0&lt;/R&gt;&lt;C&gt;0&lt;/C&gt;&lt;/FQL&gt;&lt;FQL&gt;&lt;Q&gt;EWI^FREF_MARKET_VALUE_COMPANY(0,,,USD,,0,,"LEGACY")&lt;/Q&gt;&lt;R&gt;1&lt;/R&gt;&lt;C&gt;1&lt;/C&gt;&lt;D xsi:type="xsd:double"&gt;417.55275&lt;/D&gt;&lt;/FQL&gt;&lt;FQL&gt;&lt;Q&gt;EWD^FREF_MARKET_VALUE_COMPANY(0,,,USD,,0,,"LEGACY")&lt;/Q&gt;&lt;R&gt;1&lt;/R&gt;&lt;C&gt;1&lt;/C&gt;&lt;D xsi:type="xsd:double"&gt;274.5975&lt;/D&gt;&lt;/FQL&gt;&lt;FQL&gt;&lt;Q&gt;FC0000SE^FMA_MCAP(0,,,USD,"PORTAGG")&lt;/Q&gt;&lt;R&gt;1&lt;/R&gt;&lt;C&gt;1&lt;/C&gt;&lt;D xsi:type="xsd:double"&gt;994950.4&lt;/D&gt;&lt;/FQL&gt;&lt;FQL&gt;&lt;Q&gt;FC0000NL^FMA_MCAP(0,,,USD,"PORTAGG")&lt;/Q&gt;&lt;R&gt;1&lt;/R&gt;&lt;C&gt;1&lt;/C&gt;&lt;D xsi:type="xsd:double"&gt;1081992.1&lt;/D&gt;&lt;/FQL&gt;&lt;FQL&gt;&lt;Q&gt;EWQ^FREF_MARKET_VALUE_COMPANY(0,,,USD,,0,,"LEGACY")&lt;/Q&gt;&lt;R&gt;1&lt;/R&gt;&lt;C&gt;1&lt;/C&gt;&lt;D xsi:type="xsd:double"&gt;628.524&lt;/D&gt;&lt;/FQL&gt;&lt;FQL&gt;&lt;Q&gt;FC0000FR^FMA_MCAP(0,,,USD,"PORTAGG")&lt;/Q&gt;&lt;R&gt;1&lt;/R&gt;&lt;C&gt;1&lt;/C&gt;&lt;D xsi:type="xsd:double"&gt;3280292.3&lt;/D&gt;&lt;/FQL&gt;&lt;FQL&gt;&lt;Q&gt;FC0000US^FMA_MCAP(0,,,USD,"PORTAGG")&lt;/Q&gt;&lt;R&gt;1&lt;/R&gt;&lt;C&gt;1&lt;/C&gt;&lt;D xsi:type="xsd:double"&gt;52937652&lt;/D&gt;&lt;/FQL&gt;&lt;FQL&gt;&lt;Q&gt;EWU^FREF_MARKET_VALUE_COMPANY(0,,,USD,,0,,"LEGACY")&lt;/Q&gt;&lt;R&gt;1&lt;/R&gt;&lt;C&gt;1&lt;/C&gt;&lt;D xsi:type="xsd:double"&gt;2733.9&lt;/D&gt;&lt;/FQL&gt;&lt;FQL&gt;&lt;Q&gt;DUMMY^ECON_EXPR_DATA('FDS_ECON[]',,,M)&lt;/Q&gt;&lt;R&gt;0&lt;/R&gt;&lt;C&gt;0&lt;/C&gt;&lt;/FQL&gt;&lt;FQL&gt;&lt;Q&gt;DUMMY^ECON_EXPR_DATA('FDS_ECON[NTCPMIMFGMESA@US]',,,M)&lt;/Q&gt;&lt;R&gt;1&lt;/R&gt;&lt;C&gt;1&lt;/C&gt;&lt;D xsi:type="xsd:double"&gt;49.9503&lt;/D&gt;&lt;/FQL&gt;&lt;FQL&gt;&lt;Q&gt;DUMMY^ECON_EXPR_DATA('FDS_ECON[NTCPMIMFGSA@CH]',,,M)&lt;/Q&gt;&lt;R&gt;1&lt;/R&gt;&lt;C&gt;1&lt;/C&gt;&lt;D xsi:type="xsd:double"&gt;41.378143&lt;/D&gt;&lt;/FQL&gt;&lt;FQL&gt;&lt;Q&gt;DUMMY^ECON_EXPR_DATA('FDS_ECON[NTCPMIMFGSA@IT]',,,M)&lt;/Q&gt;&lt;R&gt;1&lt;/R&gt;&lt;C&gt;1&lt;/C&gt;&lt;D xsi:type="xsd:double"&gt;47.30108&lt;/D&gt;&lt;/FQL&gt;&lt;FQL&gt;&lt;Q&gt;DUMMY^ECON_EXPR_DATA('FDS_ECON[NTCPMIMFGSA@AU]',,,M)&lt;/Q&gt;&lt;R&gt;1&lt;/R&gt;&lt;C&gt;1&lt;/C&gt;&lt;D xsi:type="xsd:double"&gt;49.583427&lt;/D&gt;&lt;/FQL&gt;&lt;FQL&gt;&lt;Q&gt;DUMMY^ECON_EXPR_DATA('FDS_ECON[NTCPMIMFGSA@NL]',,,M)&lt;/Q&gt;&lt;R&gt;1&lt;/R&gt;&lt;C&gt;1&lt;/C&gt;&lt;D xsi:type="xsd:double"&gt;51.31471&lt;/D&gt;&lt;/FQL&gt;&lt;FQL&gt;&lt;Q&gt;DUMMY^ECON_EXPR_DATA('FDS_ECON[NTCPMIMFGSA@FR]',,,M)&lt;/Q&gt;&lt;R&gt;1&lt;/R&gt;&lt;C&gt;1&lt;/C&gt;&lt;D xsi:type="xsd:double"&gt;45.28704&lt;/D&gt;&lt;/FQL&gt;&lt;FQL&gt;&lt;Q&gt;DUMMY^ECON_EXPR_DATA('FDS_ECON[NTCPMIMFGSA@JP]',,,M)&lt;/Q&gt;&lt;R&gt;1&lt;/R&gt;&lt;C&gt;1&lt;/C&gt;&lt;D xsi:type="xsd:double"&gt;49.568592&lt;/D&gt;&lt;/FQL&gt;&lt;FQL&gt;&lt;Q&gt;DUMMY^ECON_EXPR_DATA('FDS_ECON[NTCPMIMFGSA@GB]',,,M)&lt;/Q&gt;&lt;R&gt;1&lt;/R&gt;&lt;C&gt;1&lt;/C&gt;&lt;D xsi:type="xsd:double"&gt;49.074535&lt;/D&gt;&lt;/FQL&gt;&lt;FQL&gt;&lt;Q&gt;DUMMY^ECON_EXPR_DATA('FDS_ECON[NTCPMIMFGSA@DE]',,,M)&lt;/Q&gt;&lt;R&gt;1&lt;/R&gt;&lt;C&gt;1&lt;/C&gt;&lt;D xsi:type="xsd:double"&gt;42.45923&lt;/D&gt;&lt;/FQL&gt;&lt;FQL&gt;&lt;Q&gt;DUMMY^ECON_EXPR_DATA('FDS_ECON[NTCPMIMFGSA@CA]',,,M)&lt;/Q&gt;&lt;R&gt;1&lt;/R&gt;&lt;C&gt;1&lt;/C&gt;&lt;D xsi:type="xsd:double"&gt;49.43967&lt;/D&gt;&lt;/FQL&gt;&lt;FQL&gt;&lt;Q&gt;DUMMY^ECON_EXPR_DATA('FDS_ECON[NTCPMIMFGSA@NZ]',,,M)&lt;/Q&gt;&lt;R&gt;0&lt;/R&gt;&lt;C&gt;0&lt;/C&gt;&lt;/FQL&gt;&lt;FQL&gt;&lt;Q&gt;CAGDPY@FR^EE_ACTUAL_ANNUAL(MED,+1)&lt;/Q&gt;&lt;R&gt;1&lt;/R&gt;&lt;C&gt;1&lt;/C&gt;&lt;D xsi:type="xsd:double"&gt;-1.15&lt;/D&gt;&lt;/FQL&gt;&lt;FQL&gt;&lt;Q&gt;CAGDPY@AU^EE_ACTUAL_ANNUAL(MED,+1)&lt;/Q&gt;&lt;R&gt;1&lt;/R&gt;&lt;C&gt;1&lt;/C&gt;&lt;D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xsi:type="xsd:double"&gt;1.0618806&lt;/D&gt;&lt;/FQL&gt;&lt;FQL&gt;&lt;Q&gt;USDANG^FG_PRICE_CHANGE(0,-3AM)&lt;/Q&gt;&lt;R&gt;1&lt;/R&gt;&lt;C&gt;1&lt;/C&gt;&lt;D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xsi:type="xsd:double"&gt;1.3775945&lt;/D&gt;&lt;/FQL&gt;&lt;FQL&gt;&lt;Q&gt;USDJPY^FG_PRICE_CHANGE(0,-3AM)&lt;/Q&gt;&lt;R&gt;1&lt;/R&gt;&lt;C&gt;1&lt;/C&gt;&lt;D xsi:type="xsd:double"&gt;3.905034&lt;/D&gt;&lt;/FQL&gt;&lt;FQL&gt;&lt;Q&gt;USDCAD^FG_PRICE_CHANGE(0,-3AM)&lt;/Q&gt;&lt;R&gt;1&lt;/R&gt;&lt;C&gt;1&lt;/C&gt;&lt;D xsi:type="xsd:double"&gt;1.9029856&lt;/D&gt;&lt;/FQL&gt;&lt;FQL&gt;&lt;Q&gt;USDNZD^FG_PRICE_CHANGE(0,-3AM)&lt;/Q&gt;&lt;R&gt;1&lt;/R&gt;&lt;C&gt;1&lt;/C&gt;&lt;D xsi:type="xsd:double"&gt;2.462685&lt;/D&gt;&lt;/FQL&gt;&lt;FQL&gt;&lt;Q&gt;EWA^FMA_EPS(NTMA,-20AY,0,CY,,"PORTAGG","MEANR")&lt;/Q&gt;&lt;R&gt;20&lt;/R&gt;&lt;C&gt;1&lt;/C&gt;&lt;D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xsi:type="xsd:long"&gt;43707&lt;/D&gt;&lt;D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xsi:type="xsd:long"&gt;45414&lt;/D&gt;&lt;/FQL&gt;&lt;FQL&gt;&lt;Q&gt;EWD^FMA_DIV_YLD(NTMA,-10AY,0,AM,"PORTAGG","MEANR")&lt;/Q&gt;&lt;R&gt;121&lt;/R&gt;&lt;C&gt;1&lt;/C&gt;&lt;D xsi:type="xsd:double"&gt;4.11187226650118&lt;/D&gt;&lt;D xsi:type="xsd:double"&gt;4.06783307489709&lt;/D&gt;&lt;D xsi:type="xsd:double"&gt;4.11044903891675&lt;/D&gt;&lt;D xsi:type="xsd:double"&gt;4.2837949674725&lt;/D&gt;&lt;D xsi:type="xsd:double"&gt;4.22185266324951&lt;/D&gt;&lt;D xsi:type="xsd:double"&gt;4.35506874329584&lt;/D&gt;&lt;D xsi:type="xsd:double"&gt;4.17581124548666&lt;/D&gt;&lt;D xsi:type="xsd:double"&gt;4.11052320864189&lt;/D&gt;&lt;D xsi:type="xsd:double"&gt;4.09745096649795&lt;/D&gt;&lt;D xsi:type="xsd:double"&gt;3.84960292514872&lt;/D&gt;&lt;D xsi:type="xsd:double"&gt;3.61236616550145&lt;/D&gt;&lt;D xsi:type="xsd:double"&gt;3.65937690689615&lt;/D&gt;&lt;D xsi:type="xsd:double"&gt;3.79829888810221&lt;/D&gt;&lt;D xsi:type="xsd:double"&gt;3.80736310155112&lt;/D&gt;&lt;D xsi:type="xsd:double"&gt;4.02620848817658&lt;/D&gt;&lt;D xsi:type="xsd:double"&gt;3.95540930877743&lt;/D&gt;&lt;D xsi:type="xsd:double"&gt;4.38435053523756&lt;/D&gt;&lt;D xsi:type="xsd:double"&gt;4.57136566651824&lt;/D&gt;&lt;D xsi:type="xsd:double"&gt;4.19771289116922&lt;/D&gt;&lt;D xsi:type="xsd:double"&gt;4.08437223940937&lt;/D&gt;&lt;D xsi:type="xsd:double"&gt;4.31327587806828&lt;/D&gt;&lt;D xsi:type="xsd:double"&gt;4.57650135937614&lt;/D&gt;&lt;D xsi:type="xsd:double"&gt;4.33551953996758&lt;/D&gt;&lt;D xsi:type="xsd:double"&gt;4.40734178071996&lt;/D&gt;&lt;D xsi:type="xsd:double"&gt;4.39297458636083&lt;/D&gt;&lt;D xsi:type="xsd:double"&gt;4.40517962320184&lt;/D&gt;&lt;D xsi:type="xsd:double"&gt;4.45984828805178&lt;/D&gt;&lt;D xsi:type="xsd:double"&gt;4.39260389734111&lt;/D&gt;&lt;D xsi:type="xsd:double"&gt;4.18540209469836&lt;/D&gt;&lt;D xsi:type="xsd:double"&gt;4.18832765952657&lt;/D&gt;&lt;D xsi:type="xsd:double"&gt;4.21539936222522&lt;/D&gt;&lt;D xsi:type="xsd:double"&gt;4.03949567137985&lt;/D&gt;&lt;D xsi:type="xsd:double"&gt;3.90395724923268&lt;/D&gt;&lt;D xsi:type="xsd:double"&gt;3.68607684132298&lt;/D&gt;&lt;D xsi:type="xsd:double"&gt;3.63903313756046&lt;/D&gt;&lt;D xsi:type="xsd:double"&gt;3.63049849076176&lt;/D&gt;&lt;D xsi:type="xsd:double"&gt;3.51582319633272&lt;/D&gt;&lt;D xsi:type="xsd:double"&gt;3.36604315801769&lt;/D&gt;&lt;D xsi:type="xsd:double"&gt;3.60866009285285&lt;/D&gt;&lt;D xsi:type="xsd:double"&gt;3.70574696291225&lt;/D&gt;&lt;D xsi:type="xsd:double"&gt;3.74100517530846&lt;/D&gt;&lt;D xsi:type="xsd:double"&gt;3.54921922776136&lt;/D&gt;&lt;D xsi:type="xsd:double"&gt;3.52237159928107&lt;/D&gt;&lt;D xsi:type="xsd:double"&gt;3.71480855788289&lt;/D&gt;&lt;D xsi:type="xsd:double"&gt;3.76275273825417&lt;/D&gt;&lt;D xsi:type="xsd:double"&gt;3.81273090284385&lt;/D&gt;&lt;D xsi:type="xsd:double"&gt;3.98582247509225&lt;/D&gt;&lt;D xsi:type="xsd:double"&gt;4.03953553198433&lt;/D&gt;&lt;D xsi:type="xsd:double"&gt;4.00090849177786&lt;/D&gt;&lt;D xsi:type="xsd:double"&gt;4.08219953725919&lt;/D&gt;&lt;D xsi:type="xsd:double"&gt;4.18423853993375&lt;/D&gt;&lt;D xsi:type="xsd:double"&gt;4.1269842073326&lt;/D&gt;&lt;D xsi:type="xsd:double"&gt;4.01946392634289&lt;/D&gt;&lt;D xsi:type="xsd:double"&gt;4.03744415946764&lt;/D&gt;&lt;D xsi:type="xsd:double"&gt;4.30719388408219&lt;/D&gt;&lt;D xsi:type="xsd:double"&gt;4.46122081358196&lt;/D&gt;&lt;D xsi:type="xsd:double"&gt;4.75202820217651&lt;/D&gt;&lt;D xsi:type="xsd:double"&gt;4.31460243160613&lt;/D&gt;&lt;D xsi:type="xsd:double"&gt;4.14542734539885&lt;/D&gt;&lt;D xsi:type="xsd:double"&gt;4.1335309826643&lt;/D&gt;&lt;D xsi:type="xsd:double"&gt;4.04246499956741&lt;/D&gt;&lt;D xsi:type="xsd:double"&gt;4.44006870750872&lt;/D&gt;&lt;D xsi:type="xsd:double"&gt;4.10480913024221&lt;/D&gt;&lt;D xsi:type="xsd:double"&gt;4.15208590476921&lt;/D&gt;&lt;D xsi:type="xsd:double"&gt;4.2181008754663&lt;/D&gt;&lt;D xsi:type="xsd:double"&gt;4.0418464411552&lt;/D&gt;&lt;D xsi:type="xsd:double"&gt;3.72972121239586&lt;/D&gt;&lt;D xsi:type="xsd:double"&gt;3.76673014198766&lt;/D&gt;&lt;D xsi:type="xsd:double"&gt;3.54946290170808&lt;/D&gt;&lt;D xsi:type="xsd:double"&gt;3.62946149610626&lt;/D&gt;&lt;D xsi:type="xsd:double"&gt;3.80895419457738&lt;/D&gt;&lt;D xsi:type="xsd:double"&gt;4.11927360102062&lt;/D&gt;&lt;D xsi:type="xsd:double"&gt;3.29647434688344&lt;/D&gt;&lt;D xsi:type="xsd:double"&gt;3.00322554241955&lt;/D&gt;&lt;D xsi:type="xsd:double"&gt;3.00450381832383&lt;/D&gt;&lt;D xsi:type="xsd:double"&gt;3.07720203974979&lt;/D&gt;&lt;D xsi:type="xsd:double"&gt;2.99947002204589&lt;/D&gt;&lt;D xsi:type="xsd:double"&gt;3.03266951949525&lt;/D&gt;&lt;D xsi:type="xsd:double"&gt;3.26621635109229&lt;/D&gt;&lt;D xsi:type="xsd:double"&gt;3.01581601123529&lt;/D&gt;&lt;D xsi:type="xsd:double"&gt;3.10845190329987&lt;/D&gt;&lt;D xsi:type="xsd:double"&gt;2.97590696074982&lt;/D&gt;&lt;D xsi:type="xsd:double"&gt;2.88911738917099&lt;/D&gt;&lt;D xsi:type="xsd:double"&gt;2.75477930334971&lt;/D&gt;&lt;D xsi:type="xsd:double"&gt;2.84061829536464&lt;/D&gt;&lt;D xsi:type="xsd:double"&gt;2.67596362868686&lt;/D&gt;&lt;D xsi:type="xsd:double"&gt;2.69562977519897&lt;/D&gt;&lt;D xsi:type="xsd:double"&gt;2.72140409851094&lt;/D&gt;&lt;D xsi:type="xsd:double"&gt;2.70648847309482&lt;/D&gt;&lt;D xsi:type="xsd:double"&gt;2.90201179156019&lt;/D&gt;&lt;D xsi:type="xsd:double"&gt;3.022808482938&lt;/D&gt;&lt;D xsi:type="xsd:double"&gt;2.98525821784178&lt;/D&gt;&lt;D xsi:type="xsd:double"&gt;2.83243607318585&lt;/D&gt;&lt;D xsi:type="xsd:double"&gt;2.82233854215206&lt;/D&gt;&lt;D xsi:type="xsd:double"&gt;3.20712166271275&lt;/D&gt;&lt;D xsi:type="xsd:double"&gt;3.09763474613636&lt;/D&gt;&lt;D xsi:type="xsd:double"&gt;3.36173579289405&lt;/D&gt;&lt;D xsi:type="xsd:double"&gt;3.22128740403515&lt;/D&gt;&lt;D xsi:type="xsd:double"&gt;3.63852903608446&lt;/D&gt;&lt;D xsi:type="xsd:double"&gt;3.51143053820608&lt;/D&gt;&lt;D xsi:type="xsd:double"&gt;3.71263331049508&lt;/D&gt;&lt;D xsi:type="xsd:double"&gt;3.79156443937652&lt;/D&gt;&lt;D xsi:type="xsd:double"&gt;3.74782566222839&lt;/D&gt;&lt;D xsi:type="xsd:double"&gt;3.55931357257278&lt;/D&gt;&lt;D xsi:type="xsd:double"&gt;3.76722680376033&lt;/D&gt;&lt;D xsi:type="xsd:double"&gt;3.42405655391804&lt;/D&gt;&lt;D xsi:type="xsd:double"&gt;3.56215801257169&lt;/D&gt;&lt;D xsi:type="xsd:double"&gt;3.63055473023723&lt;/D&gt;&lt;D xsi:type="xsd:double"&gt;3.69171125231409&lt;/D&gt;&lt;D xsi:type="xsd:double"&gt;3.7123831911207&lt;/D&gt;&lt;D xsi:type="xsd:double"&gt;3.71306750072914&lt;/D&gt;&lt;D xsi:type="xsd:double"&gt;3.84846881305999&lt;/D&gt;&lt;D xsi:type="xsd:double"&gt;3.95449652567087&lt;/D&gt;&lt;D xsi:type="xsd:double"&gt;4.03907900755427&lt;/D&gt;&lt;D xsi:type="xsd:double"&gt;3.90534383452269&lt;/D&gt;&lt;D xsi:type="xsd:double"&gt;3.14355201516501&lt;/D&gt;&lt;D xsi:type="xsd:double"&gt;2.92812831516171&lt;/D&gt;&lt;D xsi:type="xsd:double"&gt;3.31375572652334&lt;/D&gt;&lt;D xsi:type="xsd:double"&gt;3.28045791199652&lt;/D&gt;&lt;D xsi:type="xsd:double"&gt;3.23831383312897&lt;/D&gt;&lt;D xsi:type="xsd:double"&gt;3.25377938945661&lt;/D&gt;&lt;/FQL&gt;&lt;FQL&gt;&lt;Q&gt;EWQ^FMA_PE(NTMA,-10AY,0,AM,"PORTAGG","MEANR")&lt;/Q&gt;&lt;R&gt;121&lt;/R&gt;&lt;C&gt;1&lt;/C&gt;&lt;D xsi:type="xsd:double"&gt;14.0176256018427&lt;/D&gt;&lt;D xsi:type="xsd:double"&gt;14.2506145747189&lt;/D&gt;&lt;D xsi:type="xsd:double"&gt;14.0049382976346&lt;/D&gt;&lt;D xsi:type="xsd:double"&gt;13.2550003021884&lt;/D&gt;&lt;D xsi:type="xsd:double"&gt;13.64607290379&lt;/D&gt;&lt;D xsi:type="xsd:double"&gt;13.1426031359153&lt;/D&gt;&lt;D xsi:type="xsd:double"&gt;13.2064043588754&lt;/D&gt;&lt;D xsi:type="xsd:double"&gt;13.9428440771877&lt;/D&gt;&lt;D xsi:type="xsd:double"&gt;13.7289565546907&lt;/D&gt;&lt;D xsi:type="xsd:double"&gt;15.3626031173056&lt;/D&gt;&lt;D xsi:type="xsd:double"&gt;16.2687840453218&lt;/D&gt;&lt;D xsi:type="xsd:double"&gt;16.6037523299544&lt;/D&gt;&lt;D xsi:type="xsd:double"&gt;16.3096469232353&lt;/D&gt;&lt;D xsi:type="xsd:double"&gt;16.0890044387812&lt;/D&gt;&lt;D xsi:type="xsd:double"&gt;15.3237084896228&lt;/D&gt;&lt;D xsi:type="xsd:double"&gt;15.7846630693225&lt;/D&gt;&lt;D xsi:type="xsd:double"&gt;14.0590972927565&lt;/D&gt;&lt;D xsi:type="xsd:double"&gt;13.8827690699177&lt;/D&gt;&lt;D xsi:type="xsd:double"&gt;15.233282300745&lt;/D&gt;&lt;D xsi:type="xsd:double"&gt;15.2721773433601&lt;/D&gt;&lt;D xsi:type="xsd:double"&gt;14.5525026687196&lt;/D&gt;&lt;D xsi:type="xsd:double"&gt;13.8696200548675&lt;/D&gt;&lt;D xsi:type="xsd:double"&gt;14.4252392714425&lt;/D&gt;&lt;D xsi:type="xsd:double"&gt;14.184321111574&lt;/D&gt;&lt;D xsi:type="xsd:double"&gt;14.5256936547757&lt;/D&gt;&lt;D xsi:type="xsd:double"&gt;14.4378592739486&lt;/D&gt;&lt;D xsi:type="xsd:double"&gt;13.6982287872212&lt;/D&gt;&lt;D xsi:type="xsd:double"&gt;13.8025869527525&lt;/D&gt;&lt;D xsi:type="xsd:double"&gt;14.265122056874&lt;/D&gt;&lt;D xsi:type="xsd:double"&gt;13.8718181444197&lt;/D&gt;&lt;D xsi:type="xsd:double"&gt;13.6503625274544&lt;/D&gt;&lt;D xsi:type="xsd:double"&gt;13.7541373927975&lt;/D&gt;&lt;D xsi:type="xsd:double"&gt;14.5703388121852&lt;/D&gt;&lt;D xsi:type="xsd:double"&gt;14.2573670506018&lt;/D&gt;&lt;D xsi:type="xsd:double"&gt;14.4526011090754&lt;/D&gt;&lt;D xsi:type="xsd:double"&gt;14.9122561126064&lt;/D&gt;&lt;D xsi:type="xsd:double"&gt;15.2958478602057&lt;/D&gt;&lt;D xsi:type="xsd:double"&gt;15.2634708736995&lt;/D&gt;&lt;D xsi:type="xsd:double"&gt;14.5439537287869&lt;/D&gt;&lt;D xsi:type="xsd:double"&gt;14.5383531007093&lt;/D&gt;&lt;D xsi:type="xsd:double"&gt;14.5510852693452&lt;/D&gt;&lt;D xsi:type="xsd:double"&gt;15.175629652283&lt;/D&gt;&lt;D xsi:type="xsd:double"&gt;15.427793685745&lt;/D&gt;&lt;D xsi:type="xsd:double"&gt;14.8890691457655&lt;/D&gt;&lt;D xsi:type="xsd:double"&gt;14.7331841139768&lt;/D&gt;&lt;D xsi:type="xsd:double"&gt;14.883011983911&lt;/D&gt;&lt;D xsi:type="xsd:double"&gt;14.1847968466843&lt;/D&gt;&lt;D xsi:type="xsd:double"&gt;14.1979104992582&lt;/D&gt;&lt;D xsi:type="xsd:double"&gt;14.8208463333581&lt;/D&gt;&lt;D xsi:type="xsd:double"&gt;14.4415011211086&lt;/D&gt;&lt;D xsi:type="xsd:double"&gt;13.8257766445246&lt;/D&gt;&lt;D xsi:type="xsd:double"&gt;14.0496036708931&lt;/D&gt;&lt;D xsi:type="xsd:double"&gt;13.7846595155505&lt;/D&gt;&lt;D xsi:type="xsd:double"&gt;13.7653224958543&lt;/D&gt;&lt;D xsi:type="xsd:double"&gt;12.8366828005511&lt;/D&gt;&lt;D xsi:type="xsd:double"&gt;12.5043562104057&lt;/D&gt;&lt;D xsi:type="xsd:double"&gt;11.7676627110851&lt;/D&gt;&lt;D xsi:type="xsd:double"&gt;12.9237369222963&lt;/D&gt;&lt;D xsi:type="xsd:double"&gt;13.5461494041884&lt;/D&gt;&lt;D xsi:type="xsd:double"&gt;13.7832708478986&lt;/D&gt;&lt;D xsi:type="xsd:double"&gt;14.0158077932246&lt;/D&gt;&lt;D xsi:type="xsd:double"&gt;13.1707166827115&lt;/D&gt;&lt;D xsi:type="xsd:double"&gt;13.970119699318&lt;/D&gt;&lt;D xsi:type="xsd:double"&gt;13.6054903864722&lt;/D&gt;&lt;D xsi:type="xsd:double"&gt;13.7897919750858&lt;/D&gt;&lt;D xsi:type="xsd:double"&gt;13.5875574764354&lt;/D&gt;&lt;D xsi:type="xsd:double"&gt;14.5228116935166&lt;/D&gt;&lt;D xsi:type="xsd:double"&gt;14.460455349434&lt;/D&gt;&lt;D xsi:type="xsd:double"&gt;15.028782545625&lt;/D&gt;&lt;D xsi:type="xsd:double"&gt;14.5204036396201&lt;/D&gt;&lt;D xsi:type="xsd:double"&gt;13.5323086539361&lt;/D&gt;&lt;D xsi:type="xsd:double"&gt;12.4758077620672&lt;/D&gt;&lt;D xsi:type="xsd:double"&gt;16.5440312413213&lt;/D&gt;&lt;D xsi:type="xsd:double"&gt;18.3812273106742&lt;/D&gt;&lt;D xsi:type="xsd:double"&gt;19.2809752557241&lt;/D&gt;&lt;D xsi:type="xsd:double"&gt;19.2534714877659&lt;/D&gt;&lt;D xsi:type="xsd:double"&gt;19.5109676452772&lt;/D&gt;&lt;D xsi:type="xsd:double"&gt;18.0821504863859&lt;/D&gt;&lt;D xsi:type="xsd:double"&gt;16.7988523343669&lt;/D&gt;&lt;D xsi:type="xsd:double"&gt;19.0355384466961&lt;/D&gt;&lt;D xsi:type="xsd:double"&gt;17.9677190648947&lt;/D&gt;&lt;D xsi:type="xsd:double"&gt;17.720572579556&lt;/D&gt;&lt;D xsi:type="xsd:double"&gt;17.9797873686553&lt;/D&gt;&lt;D xsi:type="xsd:double"&gt;18.3013203461271&lt;/D&gt;&lt;D xsi:type="xsd:double"&gt;17.9453344323506&lt;/D&gt;&lt;D xsi:type="xsd:double"&gt;17.9579598939433&lt;/D&gt;&lt;D xsi:type="xsd:double"&gt;17.4624739891094&lt;/D&gt;&lt;D xsi:type="xsd:double"&gt;16.7805159372422&lt;/D&gt;&lt;D xsi:type="xsd:double"&gt;16.4917327576111&lt;/D&gt;&lt;D xsi:type="xsd:double"&gt;15.5264043247728&lt;/D&gt;&lt;D xsi:type="xsd:double"&gt;15.8624488723249&lt;/D&gt;&lt;D xsi:type="xsd:double"&gt;15.2112435231271&lt;/D&gt;&lt;D xsi:type="xsd:double"&gt;15.7996277609271&lt;/D&gt;&lt;D xsi:type="xsd:double"&gt;15.1406799365569&lt;/D&gt;&lt;D xsi:type="xsd:double"&gt;13.5321705864259&lt;/D&gt;&lt;D xsi:type="xsd:double"&gt;13.5781266601607&lt;/D&gt;&lt;D xsi:type="xsd:double"&gt;12.6011871916947&lt;/D&gt;&lt;D xsi:type="xsd:double"&gt;12.4640664849921&lt;/D&gt;&lt;D xsi:type="xsd:double"&gt;11.185492073579&lt;/D&gt;&lt;D xsi:type="xsd:double"&gt;11.6411994474442&lt;/D&gt;&lt;D xsi:type="xsd:double"&gt;11.1240945240677&lt;/D&gt;&lt;D xsi:type="xsd:double"&gt;10.2198600360135&lt;/D&gt;&lt;D xsi:type="xsd:double"&gt;11.1790466661371&lt;/D&gt;&lt;D xsi:type="xsd:double"&gt;12.184638475765&lt;/D&gt;&lt;D xsi:type="xsd:double"&gt;11.8173445902711&lt;/D&gt;&lt;D xsi:type="xsd:double"&gt;13.3049673081987&lt;/D&gt;&lt;D xsi:type="xsd:double"&gt;13.24658611051&lt;/D&gt;&lt;D xsi:type="xsd:double"&gt;13.2882328943944&lt;/D&gt;&lt;D xsi:type="xsd:double"&gt;13.505637987398&lt;/D&gt;&lt;D xsi:type="xsd:double"&gt;13.1338546065246&lt;/D&gt;&lt;D xsi:type="xsd:double"&gt;13.287966655341&lt;/D&gt;&lt;D xsi:type="xsd:double"&gt;13.037249736312&lt;/D&gt;&lt;D xsi:type="xsd:double"&gt;12.9499649647399&lt;/D&gt;&lt;D xsi:type="xsd:double"&gt;12.3285668882408&lt;/D&gt;&lt;D xsi:type="xsd:double"&gt;12.4163151512903&lt;/D&gt;&lt;D xsi:type="xsd:double"&gt;13.0055804197398&lt;/D&gt;&lt;D xsi:type="xsd:double"&gt;13.3670536712254&lt;/D&gt;&lt;D xsi:type="xsd:double"&gt;13.6540399475669&lt;/D&gt;&lt;D xsi:type="xsd:double"&gt;14.3279269378256&lt;/D&gt;&lt;D xsi:type="xsd:double"&gt;14.5670781737032&lt;/D&gt;&lt;D xsi:type="xsd:double"&gt;14.4832263069592&lt;/D&gt;&lt;/FQL&gt;&lt;FQL&gt;&lt;Q&gt;QQQ^FMA_PE(LTMA,-10AY,0,AM,"PORTAGG","MEANR")&lt;/Q&gt;&lt;R&gt;121&lt;/R&gt;&lt;C&gt;1&lt;/C&gt;&lt;D xsi:type="xsd:double"&gt;18.7783283384728&lt;/D&gt;&lt;D xsi:type="xsd:double"&gt;18.8905780739877&lt;/D&gt;&lt;D xsi:type="xsd:double"&gt;19.1639114833091&lt;/D&gt;&lt;D xsi:type="xsd:double"&gt;18.9045897607361&lt;/D&gt;&lt;D xsi:type="xsd:double"&gt;19.505878239428&lt;/D&gt;&lt;D xsi:type="xsd:double"&gt;19.1026514479689&lt;/D&gt;&lt;D xsi:type="xsd:double"&gt;19.7109218244523&lt;/D&gt;&lt;D xsi:type="xsd:double"&gt;20.4083983876598&lt;/D&gt;&lt;D xsi:type="xsd:double"&gt;20.0691968928018&lt;/D&gt;&lt;D xsi:type="xsd:double"&gt;19.6198911932744&lt;/D&gt;&lt;D xsi:type="xsd:double"&gt;20.798737876331&lt;/D&gt;&lt;D xsi:type="xsd:double"&gt;20.457636356412&lt;/D&gt;&lt;D xsi:type="xsd:double"&gt;20.3971550159239&lt;/D&gt;&lt;D xsi:type="xsd:double"&gt;20.2457118617328&lt;/D&gt;&lt;D xsi:type="xsd:double"&gt;19.9452813801037&lt;/D&gt;&lt;D xsi:type="xsd:double"&gt;20.4269856102997&lt;/D&gt;&lt;D xsi:type="xsd:double"&gt;19.3870895563117&lt;/D&gt;&lt;D xsi:type="xsd:double"&gt;19.2635539720155&lt;/D&gt;&lt;D xsi:type="xsd:double"&gt;20.5063482645501&lt;/D&gt;&lt;D xsi:type="xsd:double"&gt;20.4920848875253&lt;/D&gt;&lt;D xsi:type="xsd:double"&gt;20.3489696602954&lt;/D&gt;&lt;D xsi:type="xsd:double"&gt;18.4052910325931&lt;/D&gt;&lt;D xsi:type="xsd:double"&gt;18.261339795831&lt;/D&gt;&lt;D xsi:type="xsd:double"&gt;18.444790260331&lt;/D&gt;&lt;D xsi:type="xsd:double"&gt;18.3701669253235&lt;/D&gt;&lt;D xsi:type="xsd:double"&gt;18.655485699417&lt;/D&gt;&lt;D xsi:type="xsd:double"&gt;18.6440457276687&lt;/D&gt;&lt;D xsi:type="xsd:double"&gt;19.3323132290073&lt;/D&gt;&lt;D xsi:type="xsd:double"&gt;19.6058006620666&lt;/D&gt;&lt;D xsi:type="xsd:double"&gt;19.971558870215&lt;/D&gt;&lt;D xsi:type="xsd:double"&gt;19.5264868388176&lt;/D&gt;&lt;D xsi:type="xsd:double"&gt;19.6266462216378&lt;/D&gt;&lt;D xsi:type="xsd:double"&gt;20.2941205773802&lt;/D&gt;&lt;D xsi:type="xsd:double"&gt;21.2135605098375&lt;/D&gt;&lt;D xsi:type="xsd:double"&gt;21.7189090157928&lt;/D&gt;&lt;D xsi:type="xsd:double"&gt;21.6628465067159&lt;/D&gt;&lt;D xsi:type="xsd:double"&gt;21.773082919122&lt;/D&gt;&lt;D xsi:type="xsd:double"&gt;22.1022740381737&lt;/D&gt;&lt;D xsi:type="xsd:double"&gt;21.6377295866646&lt;/D&gt;&lt;D xsi:type="xsd:double"&gt;22.1338561555336&lt;/D&gt;&lt;D xsi:type="xsd:double"&gt;22.3062549192523&lt;/D&gt;&lt;D xsi:type="xsd:double"&gt;22.3165953143751&lt;/D&gt;&lt;D xsi:type="xsd:double"&gt;22.8055754795089&lt;/D&gt;&lt;D xsi:type="xsd:double"&gt;23.0806527278178&lt;/D&gt;&lt;D xsi:type="xsd:double"&gt;23.9026396351078&lt;/D&gt;&lt;D xsi:type="xsd:double"&gt;24.1449957666679&lt;/D&gt;&lt;D xsi:type="xsd:double"&gt;24.0788483340659&lt;/D&gt;&lt;D xsi:type="xsd:double"&gt;23.4441689383&lt;/D&gt;&lt;D xsi:type="xsd:double"&gt;23.1613921121887&lt;/D&gt;&lt;D xsi:type="xsd:double"&gt;23.2953884689179&lt;/D&gt;&lt;D xsi:type="xsd:double"&gt;23.0388544748631&lt;/D&gt;&lt;D xsi:type="xsd:double"&gt;23.0894271532714&lt;/D&gt;&lt;D xsi:type="xsd:double"&gt;23.4622072819795&lt;/D&gt;&lt;D xsi:type="xsd:double"&gt;23.2557032608781&lt;/D&gt;&lt;D xsi:type="xsd:double"&gt;21.1234186000788&lt;/D&gt;&lt;D xsi:type="xsd:double"&gt;20.7527256929268&lt;/D&gt;&lt;D xsi:type="xsd:double"&gt;18.8028603174485&lt;/D&gt;&lt;D xsi:type="xsd:double"&gt;20.3044071419649&lt;/D&gt;&lt;D xsi:type="xsd:double"&gt;20.9219133925075&lt;/D&gt;&lt;D xsi:type="xsd:double"&gt;21.1209177895617&lt;/D&gt;&lt;D xsi:type="xsd:double"&gt;21.3947736110985&lt;/D&gt;&lt;D xsi:type="xsd:double"&gt;20.7919206066475&lt;/D&gt;&lt;D xsi:type="xsd:double"&gt;21.8062191560642&lt;/D&gt;&lt;D xsi:type="xsd:double"&gt;21.7403634515916&lt;/D&gt;&lt;D xsi:type="xsd:double"&gt;21.8368739225458&lt;/D&gt;&lt;D xsi:type="xsd:double"&gt;21.6806409084064&lt;/D&gt;&lt;D xsi:type="xsd:double"&gt;23.1364508929865&lt;/D&gt;&lt;D xsi:type="xsd:double"&gt;23.9388960286313&lt;/D&gt;&lt;D xsi:type="xsd:double"&gt;25.8603433051364&lt;/D&gt;&lt;D xsi:type="xsd:double"&gt;25.5797300133346&lt;/D&gt;&lt;D xsi:type="xsd:double"&gt;23.9683015493566&lt;/D&gt;&lt;D xsi:type="xsd:double"&gt;23.4250574237773&lt;/D&gt;&lt;D xsi:type="xsd:double"&gt;24.9386389077382&lt;/D&gt;&lt;D xsi:type="xsd:double"&gt;26.6714083451734&lt;/D&gt;&lt;D xsi:type="xsd:double"&gt;27.9753211761512&lt;/D&gt;&lt;D xsi:type="xsd:double"&gt;28.717693811546&lt;/D&gt;&lt;D xsi:type="xsd:double"&gt;32.1840834803959&lt;/D&gt;&lt;D xsi:type="xsd:double"&gt;30.5399241983619&lt;/D&gt;&lt;D xsi:type="xsd:double"&gt;29.8523280857231&lt;/D&gt;&lt;D xsi:type="xsd:double"&gt;33.6672036037933&lt;/D&gt;&lt;D xsi:type="xsd:double"&gt;35.2372737395196&lt;/D&gt;&lt;D xsi:type="xsd:double"&gt;35.4321029356333&lt;/D&gt;&lt;D xsi:type="xsd:double"&gt;32.9384531889039&lt;/D&gt;&lt;D xsi:type="xsd:double"&gt;32.6716433388025&lt;/D&gt;&lt;D xsi:type="xsd:double"&gt;32.1483462619996&lt;/D&gt;&lt;D xsi:type="xsd:double"&gt;31.4137979161257&lt;/D&gt;&lt;D xsi:type="xsd:double"&gt;32.0171609181533&lt;/D&gt;&lt;D xsi:type="xsd:double"&gt;31.3742768493771&lt;/D&gt;&lt;D xsi:type="xsd:double"&gt;31.7616332673707&lt;/D&gt;&lt;D xsi:type="xsd:double"&gt;30.3830951349556&lt;/D&gt;&lt;D xsi:type="xsd:double"&gt;31.6139520193879&lt;/D&gt;&lt;D xsi:type="xsd:double"&gt;31.3546243036782&lt;/D&gt;&lt;D xsi:type="xsd:double"&gt;31.9012291369718&lt;/D&gt;&lt;D xsi:type="xsd:double"&gt;29.0799650753278&lt;/D&gt;&lt;D xsi:type="xsd:double"&gt;26.6985583829933&lt;/D&gt;&lt;D xsi:type="xsd:double"&gt;26.8365690549783&lt;/D&gt;&lt;D xsi:type="xsd:double"&gt;25.9324078450064&lt;/D&gt;&lt;D xsi:type="xsd:double"&gt;25.5151793421504&lt;/D&gt;&lt;D xsi:type="xsd:double"&gt;24.1734814448847&lt;/D&gt;&lt;D xsi:type="xsd:double"&gt;25.5849604733363&lt;/D&gt;&lt;D xsi:type="xsd:double"&gt;24.488897986318&lt;/D&gt;&lt;D xsi:type="xsd:double"&gt;22.6957009953717&lt;/D&gt;&lt;D xsi:type="xsd:double"&gt;22.4232012180297&lt;/D&gt;&lt;D xsi:type="xsd:double"&gt;24.0273413937452&lt;/D&gt;&lt;D xsi:type="xsd:double"&gt;22.7307339981462&lt;/D&gt;&lt;D xsi:type="xsd:double"&gt;26.5681301525742&lt;/D&gt;&lt;D xsi:type="xsd:double"&gt;25.2351121986662&lt;/D&gt;&lt;D xsi:type="xsd:double"&gt;25.682759558325&lt;/D&gt;&lt;D xsi:type="xsd:double"&gt;25.5763242598939&lt;/D&gt;&lt;D xsi:type="xsd:double"&gt;26.5754463926667&lt;/D&gt;&lt;D xsi:type="xsd:double"&gt;27.2777332015275&lt;/D&gt;&lt;D xsi:type="xsd:double"&gt;26.7566694649039&lt;/D&gt;&lt;D xsi:type="xsd:double"&gt;26.7888553986912&lt;/D&gt;&lt;D xsi:type="xsd:double"&gt;26.1182348640259&lt;/D&gt;&lt;D xsi:type="xsd:double"&gt;26.0844609771467&lt;/D&gt;&lt;D xsi:type="xsd:double"&gt;27.727625121785&lt;/D&gt;&lt;D xsi:type="xsd:double"&gt;28.6722958491448&lt;/D&gt;&lt;D xsi:type="xsd:double"&gt;30.0126951396668&lt;/D&gt;&lt;D xsi:type="xsd:double"&gt;30.3738224174653&lt;/D&gt;&lt;D xsi:type="xsd:double"&gt;29.9704831389635&lt;/D&gt;&lt;D xsi:type="xsd:double"&gt;29.2941896764531&lt;/D&gt;&lt;/FQL&gt;&lt;FQL&gt;&lt;Q&gt;DDR3512M-FDS^FG_PRICE(0)&lt;/Q&gt;&lt;R&gt;1&lt;/R&gt;&lt;C&gt;1&lt;/C&gt;&lt;D xsi:type="xsd:double"&gt;0.96773726&lt;/D&gt;&lt;/FQL&gt;&lt;FQL&gt;&lt;Q&gt;PASP-FDS^FG_PRICE(0)&lt;/Q&gt;&lt;R&gt;1&lt;/R&gt;&lt;C&gt;1&lt;/C&gt;&lt;D xsi:type="xsd:double"&gt;946&lt;/D&gt;&lt;/FQL&gt;&lt;FQL&gt;&lt;Q&gt;PLATI-FDS^FG_PRICE(0)&lt;/Q&gt;&lt;R&gt;1&lt;/R&gt;&lt;C&gt;1&lt;/C&gt;&lt;D xsi:type="xsd:double"&gt;952&lt;/D&gt;&lt;/FQL&gt;&lt;FQL&gt;&lt;Q&gt;W-FDS^FG_PRICE(0)&lt;/Q&gt;&lt;R&gt;1&lt;/R&gt;&lt;C&gt;1&lt;/C&gt;&lt;D xsi:type="xsd:double"&gt;5.865&lt;/D&gt;&lt;/FQL&gt;&lt;FQL&gt;&lt;Q&gt;COPP-FDS^FG_PRICE(0)&lt;/Q&gt;&lt;R&gt;1&lt;/R&gt;&lt;C&gt;1&lt;/C&gt;&lt;D xsi:type="xsd:double"&gt;4.494&lt;/D&gt;&lt;/FQL&gt;&lt;FQL&gt;&lt;Q&gt;FC0000US^FG_PRICE(0)&lt;/Q&gt;&lt;R&gt;1&lt;/R&gt;&lt;C&gt;1&lt;/C&gt;&lt;D xsi:type="xsd:double"&gt;381.23178&lt;/D&gt;&lt;/FQL&gt;&lt;FQL&gt;&lt;Q&gt;FC0000GR^FG_PRICE(0)&lt;/Q&gt;&lt;R&gt;1&lt;/R&gt;&lt;C&gt;1&lt;/C&gt;&lt;D xsi:type="xsd:double"&gt;9.687612&lt;/D&gt;&lt;/FQL&gt;&lt;FQL&gt;&lt;Q&gt;EWI^FG_PRICE(0)&lt;/Q&gt;&lt;R&gt;1&lt;/R&gt;&lt;C&gt;1&lt;/C&gt;&lt;D xsi:type="xsd:double"&gt;36.87&lt;/D&gt;&lt;/FQL&gt;&lt;FQL&gt;&lt;Q&gt;SPY^FG_PRICE(0)&lt;/Q&gt;&lt;R&gt;1&lt;/R&gt;&lt;C&gt;1&lt;/C&gt;&lt;D xsi:type="xsd:double"&gt;505.03&lt;/D&gt;&lt;/FQL&gt;&lt;FQL&gt;&lt;Q&gt;EWJ^FG_PRICE(0)&lt;/Q&gt;&lt;R&gt;1&lt;/R&gt;&lt;C&gt;1&lt;/C&gt;&lt;D xsi:type="xsd:double"&gt;68.47&lt;/D&gt;&lt;/FQL&gt;&lt;FQL&gt;&lt;Q&gt;ENZL^FG_PRICE(0)&lt;/Q&gt;&lt;R&gt;1&lt;/R&gt;&lt;C&gt;1&lt;/C&gt;&lt;D xsi:type="xsd:double"&gt;44.72&lt;/D&gt;&lt;/FQL&gt;&lt;FQL&gt;&lt;Q&gt;EWA^FG_COMPANY_NAME&lt;/Q&gt;&lt;R&gt;1&lt;/R&gt;&lt;C&gt;1&lt;/C&gt;&lt;D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xsi:type="xsd:double"&gt;0.30153394&lt;/D&gt;&lt;/FQL&gt;&lt;FQL&gt;&lt;Q&gt;SPY^FMA_PCT_ABOVE_MAVG(200,0,,,,"PORTAGG")&lt;/Q&gt;&lt;R&gt;1&lt;/R&gt;&lt;C&gt;1&lt;/C&gt;&lt;D xsi:type="xsd:double"&gt;68.6626746506986&lt;/D&gt;&lt;/FQL&gt;&lt;FQL&gt;&lt;Q&gt;URTH^PERCENT_CHANGE(FMA_EPS(+1,0,,,,"PORTAGG","MEAN"),FMA_EPS(+1,-3AM,,,,"PORTAGG","MEAN"))&lt;/Q&gt;&lt;R&gt;1&lt;/R&gt;&lt;C&gt;1&lt;/C&gt;&lt;D xsi:type="xsd:double"&gt;-0.142756330153098&lt;/D&gt;&lt;/FQL&gt;&lt;FQL&gt;&lt;Q&gt;VGK^FG_TOTAL_RETURNC(0,-3AM)&lt;/Q&gt;&lt;R&gt;1&lt;/R&gt;&lt;C&gt;1&lt;/C&gt;&lt;D xsi:type="xsd:double"&gt;4.48606&lt;/D&gt;&lt;/FQL&gt;&lt;FQL&gt;&lt;Q&gt;EWD^P_PRICE(0)/P_PRICE_HIGH_PR(0,,,,,,"PRICE","INTRA","52W")&lt;/Q&gt;&lt;R&gt;1&lt;/R&gt;&lt;C&gt;1&lt;/C&gt;&lt;D xsi:type="xsd:double"&gt;0.93719923&lt;/D&gt;&lt;/FQL&gt;&lt;FQL&gt;&lt;Q&gt;SPY^PERCENT_CHANGE(FMA_EPS(+1,0,,,,"PORTAGG","MEAN"),FMA_EPS(+1,-1AM,,,,"PORTAGG","MEAN"))&lt;/Q&gt;&lt;R&gt;1&lt;/R&gt;&lt;C&gt;1&lt;/C&gt;&lt;D xsi:type="xsd:double"&gt;0.180109728283243&lt;/D&gt;&lt;/FQL&gt;&lt;FQL&gt;&lt;Q&gt;EWJ^FG_TOTAL_RETURNC(0,-6AM)&lt;/Q&gt;&lt;R&gt;1&lt;/R&gt;&lt;C&gt;1&lt;/C&gt;&lt;D xsi:type="xsd:double"&gt;13.92138&lt;/D&gt;&lt;/FQL&gt;&lt;FQL&gt;&lt;Q&gt;EWC^P_PRICE(0)/P_PRICE_LOW_PR(0,,,,,,"PRICE","INTRA","52W")-1&lt;/Q&gt;&lt;R&gt;1&lt;/R&gt;&lt;C&gt;1&lt;/C&gt;&lt;D xsi:type="xsd:double"&gt;0.18879342&lt;/D&gt;&lt;/FQL&gt;&lt;FQL&gt;&lt;Q&gt;EWD^FMA_COS_DOWN("EPS","1M",+1,0,,,"PORTAGG","MEANR")&lt;/Q&gt;&lt;R&gt;1&lt;/R&gt;&lt;C&gt;1&lt;/C&gt;&lt;D xsi:type="xsd:double"&gt;11&lt;/D&gt;&lt;/FQL&gt;&lt;FQL&gt;&lt;Q&gt;EWU^FMA_COS_UP("EPS","1M",+1,0,,,"PORTAGG","MEANR")&lt;/Q&gt;&lt;R&gt;1&lt;/R&gt;&lt;C&gt;1&lt;/C&gt;&lt;D xsi:type="xsd:double"&gt;34&lt;/D&gt;&lt;/FQL&gt;&lt;FQL&gt;&lt;Q&gt;EWQ^FG_ROE(0)&lt;/Q&gt;&lt;R&gt;1&lt;/R&gt;&lt;C&gt;1&lt;/C&gt;&lt;D xsi:type="xsd:double"&gt;12.7686463891215&lt;/D&gt;&lt;/FQL&gt;&lt;FQL&gt;&lt;Q&gt;TRYGB10Y-FDS^FG_YIELD_NAME&lt;/Q&gt;&lt;R&gt;1&lt;/R&gt;&lt;C&gt;1&lt;/C&gt;&lt;D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xsi:type="xsd:double"&gt;4.5&lt;/D&gt;&lt;/FQL&gt;&lt;FQL&gt;&lt;Q&gt;TRYNL10Y-FDS^PCTCHG(FG_YIELD(0,,,,"YTM"),FG_YIELD(-1AM,,,,"YTM"))&lt;/Q&gt;&lt;R&gt;1&lt;/R&gt;&lt;C&gt;1&lt;/C&gt;&lt;D xsi:type="xsd:double"&gt;5.2865114&lt;/D&gt;&lt;/FQL&gt;&lt;FQL&gt;&lt;Q&gt;TRYNZ10Y-FDS^FG_YIELD_NAME&lt;/Q&gt;&lt;R&gt;1&lt;/R&gt;&lt;C&gt;1&lt;/C&gt;&lt;D xsi:type="xsd:string"&gt;New Zealand Benchmark Bond - 10 Year&lt;/D&gt;&lt;/FQL&gt;&lt;FQL&gt;&lt;Q&gt;EWU^FG_COMPANY_NAME&lt;/Q&gt;&lt;R&gt;1&lt;/R&gt;&lt;C&gt;1&lt;/C&gt;&lt;D xsi:type="xsd:string"&gt;iShares MSCI United Kingdom ETF&lt;/D&gt;&lt;/FQL&gt;&lt;FQL&gt;&lt;Q&gt;EWI^FG_PRICE_MAVG(0,,,,30)&lt;/Q&gt;&lt;R&gt;1&lt;/R&gt;&lt;C&gt;1&lt;/C&gt;&lt;D xsi:type="xsd:double"&gt;36.991&lt;/D&gt;&lt;/FQL&gt;&lt;FQL&gt;&lt;Q&gt;EWJ^FG_PRICE_MAVG(0,,,,30)&lt;/Q&gt;&lt;R&gt;1&lt;/R&gt;&lt;C&gt;1&lt;/C&gt;&lt;D xsi:type="xsd:double"&gt;69.05334&lt;/D&gt;&lt;/FQL&gt;&lt;FQL&gt;&lt;Q&gt;FXI^FG_TOTAL_RETURNC(0,-12AM)&lt;/Q&gt;&lt;R&gt;1&lt;/R&gt;&lt;C&gt;1&lt;/C&gt;&lt;D xsi:type="xsd:double"&gt;1.2145638&lt;/D&gt;&lt;/FQL&gt;&lt;FQL&gt;&lt;Q&gt;EWU^FG_TOTAL_RETURNC(0,-3AM)&lt;/Q&gt;&lt;R&gt;1&lt;/R&gt;&lt;C&gt;1&lt;/C&gt;&lt;D xsi:type="xsd:double"&gt;7.9790473&lt;/D&gt;&lt;/FQL&gt;&lt;FQL&gt;&lt;Q&gt;EWA^PERCENT_CHANGE(FMA_EPS(+1,0,,,,"PORTAGG","MEAN"),FMA_EPS(+1,-1AM,,,,"PORTAGG","MEAN"))&lt;/Q&gt;&lt;R&gt;1&lt;/R&gt;&lt;C&gt;1&lt;/C&gt;&lt;D xsi:type="xsd:double"&gt;-0.206084451000025&lt;/D&gt;&lt;/FQL&gt;&lt;FQL&gt;&lt;Q&gt;EWD^SIZE(FG_CONSTITUENTS)&lt;/Q&gt;&lt;R&gt;1&lt;/R&gt;&lt;C&gt;1&lt;/C&gt;&lt;D xsi:type="xsd:long"&gt;45&lt;/D&gt;&lt;/FQL&gt;&lt;FQL&gt;&lt;Q&gt;ENZL^FG_COMPANY_NAME&lt;/Q&gt;&lt;R&gt;1&lt;/R&gt;&lt;C&gt;1&lt;/C&gt;&lt;D xsi:type="xsd:string"&gt;iShares MSCI New Zealand ETF&lt;/D&gt;&lt;/FQL&gt;&lt;FQL&gt;&lt;Q&gt;TRYNZ10Y-FDS^FG_YIELD(0,,,,"YTM")&lt;/Q&gt;&lt;R&gt;1&lt;/R&gt;&lt;C&gt;1&lt;/C&gt;&lt;D xsi:type="xsd:double"&gt;4.87&lt;/D&gt;&lt;/FQL&gt;&lt;FQL&gt;&lt;Q&gt;DUMMY^ECON_EXPR_DATA('FDS_ECON[NTCPMIMFGSA@EME]',,,M)&lt;/Q&gt;&lt;R&gt;1&lt;/R&gt;&lt;C&gt;1&lt;/C&gt;&lt;D xsi:type="xsd:double"&gt;51.99054&lt;/D&gt;&lt;/FQL&gt;&lt;FQL&gt;&lt;Q&gt;EWD^FMA_ROE(NTMA,-20AY,NOW,FY,"PORTAGG","MEANR")&lt;/Q&gt;&lt;R&gt;20&lt;/R&gt;&lt;C&gt;1&lt;/C&gt;&lt;D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xsi:type="xsd:double"&gt;14.6912945484006&lt;/D&gt;&lt;D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</t>
        </r>
      </text>
    </comment>
    <comment ref="A2" authorId="0" shapeId="0" xr:uid="{A089AF37-9963-40F0-9B87-3A94E8C122AB}">
      <text>
        <r>
          <rPr>
            <b/>
            <sz val="9"/>
            <color indexed="81"/>
            <rFont val="Tahoma"/>
            <charset val="1"/>
          </rPr>
          <t>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xsi:type="xsd:double"&gt;2.004&lt;/D&gt;&lt;/FQL&gt;&lt;FQL&gt;&lt;Q&gt;EWU^FMA_PE(LTMA,-10AY,0,AM,"PORTAGG","MEANR")&lt;/Q&gt;&lt;R&gt;121&lt;/R&gt;&lt;C&gt;1&lt;/C&gt;&lt;D xsi:type="xsd:double"&gt;14.3893722187413&lt;/D&gt;&lt;D xsi:type="xsd:double"&gt;14.4064142218758&lt;/D&gt;&lt;D xsi:type="xsd:double"&gt;14.410630249834&lt;/D&gt;&lt;D xsi:type="xsd:double"&gt;14.2264618859393&lt;/D&gt;&lt;D xsi:type="xsd:double"&gt;14.2933320289831&lt;/D&gt;&lt;D xsi:type="xsd:double"&gt;13.6041001815952&lt;/D&gt;&lt;D xsi:type="xsd:double"&gt;13.7939795690512&lt;/D&gt;&lt;D xsi:type="xsd:double"&gt;14.0540617479267&lt;/D&gt;&lt;D xsi:type="xsd:double"&gt;13.6760489520509&lt;/D&gt;&lt;D xsi:type="xsd:double"&gt;14.2547883530568&lt;/D&gt;&lt;D xsi:type="xsd:double"&gt;15.1836659141172&lt;/D&gt;&lt;D xsi:type="xsd:double"&gt;15.2601983607484&lt;/D&gt;&lt;D xsi:type="xsd:double"&gt;15.568486125708&lt;/D&gt;&lt;D xsi:type="xsd:double"&gt;15.7058175924941&lt;/D&gt;&lt;D xsi:type="xsd:double"&gt;15.5181994991463&lt;/D&gt;&lt;D xsi:type="xsd:double"&gt;15.7515100816941&lt;/D&gt;&lt;D xsi:type="xsd:double"&gt;14.8802816481184&lt;/D&gt;&lt;D xsi:type="xsd:double"&gt;15.1081636704652&lt;/D&gt;&lt;D xsi:type="xsd:double"&gt;15.8246467399563&lt;/D&gt;&lt;D xsi:type="xsd:double"&gt;16.0783714988136&lt;/D&gt;&lt;D xsi:type="xsd:double"&gt;15.6728845885555&lt;/D&gt;&lt;D xsi:type="xsd:double"&gt;14.9729009831049&lt;/D&gt;&lt;D xsi:type="xsd:double"&gt;15.5517879352289&lt;/D&gt;&lt;D xsi:type="xsd:double"&gt;15.7247270423721&lt;/D&gt;&lt;D xsi:type="xsd:double"&gt;15.9614274494962&lt;/D&gt;&lt;D xsi:type="xsd:double"&gt;15.9582725160023&lt;/D&gt;&lt;D xsi:type="xsd:double"&gt;16.3512579053777&lt;/D&gt;&lt;D xsi:type="xsd:double"&gt;16.6044356516786&lt;/D&gt;&lt;D xsi:type="xsd:double"&gt;17.1492827394209&lt;/D&gt;&lt;D xsi:type="xsd:double"&gt;17.073490822109&lt;/D&gt;&lt;D xsi:type="xsd:double"&gt;16.5034677517509&lt;/D&gt;&lt;D xsi:type="xsd:double"&gt;16.3684698356865&lt;/D&gt;&lt;D xsi:type="xsd:double"&gt;17.2050718769924&lt;/D&gt;&lt;D xsi:type="xsd:double"&gt;17.0748753999934&lt;/D&gt;&lt;D xsi:type="xsd:double"&gt;17.3773686494956&lt;/D&gt;&lt;D xsi:type="xsd:double"&gt;17.1205694382888&lt;/D&gt;&lt;D xsi:type="xsd:double"&gt;16.8581633143651&lt;/D&gt;&lt;D xsi:type="xsd:double"&gt;16.8020541321819&lt;/D&gt;&lt;D xsi:type="xsd:double"&gt;16.4216199612828&lt;/D&gt;&lt;D xsi:type="xsd:double"&gt;16.4249194411553&lt;/D&gt;&lt;D xsi:type="xsd:double"&gt;16.103619870065&lt;/D&gt;&lt;D xsi:type="xsd:double"&gt;15.8741491571533&lt;/D&gt;&lt;D xsi:type="xsd:double"&gt;15.617573432135&lt;/D&gt;&lt;D xsi:type="xsd:double"&gt;15.0729034916162&lt;/D&gt;&lt;D xsi:type="xsd:double"&gt;15.4773962322802&lt;/D&gt;&lt;D xsi:type="xsd:double"&gt;15.0783485898368&lt;/D&gt;&lt;D xsi:type="xsd:double"&gt;13.8558218942637&lt;/D&gt;&lt;D xsi:type="xsd:double"&gt;13.8830350448547&lt;/D&gt;&lt;D xsi:type="xsd:double"&gt;14.038072769168&lt;/D&gt;&lt;D xsi:type="xsd:double"&gt;13.9999159097642&lt;/D&gt;&lt;D xsi:type="xsd:double"&gt;13.7469804591362&lt;/D&gt;&lt;D xsi:type="xsd:double"&gt;13.785502524423&lt;/D&gt;&lt;D xsi:type="xsd:double"&gt;13.5125453110635&lt;/D&gt;&lt;D xsi:type="xsd:double"&gt;13.5518608771427&lt;/D&gt;&lt;D xsi:type="xsd:double"&gt;12.861120610642&lt;/D&gt;&lt;D xsi:type="xsd:double"&gt;12.5509714836934&lt;/D&gt;&lt;D xsi:type="xsd:double"&gt;11.8987722850793&lt;/D&gt;&lt;D xsi:type="xsd:double"&gt;12.6629991530125&lt;/D&gt;&lt;D xsi:type="xsd:double"&gt;12.9360870157105&lt;/D&gt;&lt;D xsi:type="xsd:double"&gt;12.9967648121398&lt;/D&gt;&lt;D xsi:type="xsd:double"&gt;12.9741545807464&lt;/D&gt;&lt;D xsi:type="xsd:double"&gt;12.8111368147801&lt;/D&gt;&lt;D xsi:type="xsd:double"&gt;13.1405769413123&lt;/D&gt;&lt;D xsi:type="xsd:double"&gt;12.9743126121464&lt;/D&gt;&lt;D xsi:type="xsd:double"&gt;12.7895617670457&lt;/D&gt;&lt;D xsi:type="xsd:double"&gt;12.7912799177677&lt;/D&gt;&lt;D xsi:type="xsd:double"&gt;13.3082324119919&lt;/D&gt;&lt;D xsi:type="xsd:double"&gt;13.4318197849716&lt;/D&gt;&lt;D xsi:type="xsd:double"&gt;14.2005523203801&lt;/D&gt;&lt;D xsi:type="xsd:double"&gt;13.7741619897626&lt;/D&gt;&lt;D xsi:type="xsd:double"&gt;12.3493385402897&lt;/D&gt;&lt;D xsi:type="xsd:double"&gt;12.3800208535898&lt;/D&gt;&lt;D xsi:type="xsd:double"&gt;13.5297762003452&lt;/D&gt;&lt;D xsi:type="xsd:double"&gt;14.7758239609863&lt;/D&gt;&lt;D xsi:type="xsd:double"&gt;15.3088729985573&lt;/D&gt;&lt;D xsi:type="xsd:double"&gt;15.417495818249&lt;/D&gt;&lt;D xsi:type="xsd:double"&gt;16.6324377770994&lt;/D&gt;&lt;D xsi:type="xsd:double"&gt;16.8155783266292&lt;/D&gt;&lt;D xsi:type="xsd:double"&gt;15.911455608405&lt;/D&gt;&lt;D xsi:type="xsd:double"&gt;18.9702064917466&lt;/D&gt;&lt;D xsi:type="xsd:double"&gt;19.7309547376603&lt;/D&gt;&lt;D xsi:type="xsd:double"&gt;19.302171554775&lt;/D&gt;&lt;D xsi:type="xsd:double"&gt;18.7974605704886&lt;/D&gt;&lt;D xsi:type="xsd:double"&gt;18.2153961897661&lt;/D&gt;&lt;D xsi:type="xsd:double"&gt;17.6665425410864&lt;/D&gt;&lt;D xsi:type="xsd:double"&gt;17.1413623378059&lt;/D&gt;&lt;D xsi:type="xsd:double"&gt;16.3401414893504&lt;/D&gt;&lt;D xsi:type="xsd:double"&gt;15.4381954227522&lt;/D&gt;&lt;D xsi:type="xsd:double"&gt;14.7806556206308&lt;/D&gt;&lt;D xsi:type="xsd:double"&gt;13.861542407415&lt;/D&gt;&lt;D xsi:type="xsd:double"&gt;13.5076131142981&lt;/D&gt;&lt;D xsi:type="xsd:double"&gt;12.5166071008348&lt;/D&gt;&lt;D xsi:type="xsd:double"&gt;12.3879421136839&lt;/D&gt;&lt;D xsi:type="xsd:double"&gt;12.8416260313911&lt;/D&gt;&lt;D xsi:type="xsd:double"&gt;12.5400017623828&lt;/D&gt;&lt;D xsi:type="xsd:double"&gt;12.3043941304961&lt;/D&gt;&lt;D xsi:type="xsd:double"&gt;12.0366402172096&lt;/D&gt;&lt;D xsi:type="xsd:double"&gt;11.713358226175&lt;/D&gt;&lt;D xsi:type="xsd:double"&gt;11.1000349956988&lt;/D&gt;&lt;D xsi:type="xsd:double"&gt;10.9420632876098&lt;/D&gt;&lt;D xsi:type="xsd:double"&gt;10.2759097984494&lt;/D&gt;&lt;D xsi:type="xsd:double"&gt;9.48625582956309&lt;/D&gt;&lt;D xsi:type="xsd:double"&gt;9.50687233103856&lt;/D&gt;&lt;D xsi:type="xsd:double"&gt;9.9880876774813&lt;/D&gt;&lt;D xsi:type="xsd:double"&gt;9.56383303501593&lt;/D&gt;&lt;D xsi:type="xsd:double"&gt;10.0852224306808&lt;/D&gt;&lt;D xsi:type="xsd:double"&gt;10.2614785407048&lt;/D&gt;&lt;D xsi:type="xsd:double"&gt;10.2535167773826&lt;/D&gt;&lt;D xsi:type="xsd:double"&gt;10.351030448701&lt;/D&gt;&lt;D xsi:type="xsd:double"&gt;10.3040064909821&lt;/D&gt;&lt;D xsi:type="xsd:double"&gt;10.3685714075866&lt;/D&gt;&lt;D xsi:type="xsd:double"&gt;10.5339030916522&lt;/D&gt;&lt;D xsi:type="xsd:double"&gt;10.5162325430029&lt;/D&gt;&lt;D xsi:type="xsd:double"&gt;10.4782595546309&lt;/D&gt;&lt;D xsi:type="xsd:double"&gt;10.4819161986388&lt;/D&gt;&lt;D xsi:type="xsd:double"&gt;10.9301778630403&lt;/D&gt;&lt;D xsi:type="xsd:double"&gt;11.2668501457831&lt;/D&gt;&lt;D xsi:type="xsd:double"&gt;11.2653162133566&lt;/D&gt;&lt;D xsi:type="xsd:double"&gt;11.4497839387889&lt;/D&gt;&lt;D xsi:type="xsd:double"&gt;11.5293530046623&lt;/D&gt;&lt;D xsi:type="xsd:double"&gt;11.6275982426485&lt;/D&gt;&lt;/FQL&gt;&lt;FQL&gt;&lt;Q&gt;WL-FDS^MAX(FG_PRICE(0,-5AY))&lt;/Q&gt;&lt;R&gt;1&lt;/R&gt;&lt;C&gt;1&lt;/C&gt;&lt;D xsi:type="xsd:double"&gt;763.4&lt;/D&gt;&lt;/FQL&gt;&lt;FQL&gt;&lt;Q&gt;CPALM-FDS^MAX(FG_PRICE(0,-5AY))&lt;/Q&gt;&lt;R&gt;1&lt;/R&gt;&lt;C&gt;1&lt;/C&gt;&lt;D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xsi:type="xsd:double"&gt;2&lt;/D&gt;&lt;/FQL&gt;&lt;FQL&gt;&lt;Q&gt;EWD^FMA_RBICS_REV_CURRENT(30, LOC, "PORTAGG")&lt;/Q&gt;&lt;R&gt;1&lt;/R&gt;&lt;C&gt;1&lt;/C&gt;&lt;D xsi:type="xsd:double"&gt;27.1998242779551&lt;/D&gt;&lt;/FQL&gt;&lt;FQL&gt;&lt;Q&gt;SPY^FG_ROE(0)&lt;/Q&gt;&lt;R&gt;1&lt;/R&gt;&lt;C&gt;1&lt;/C&gt;&lt;D xsi:type="xsd:double"&gt;18.1352453927857&lt;/D&gt;&lt;/FQL&gt;&lt;FQL&gt;&lt;Q&gt;TRYCH10Y-FDS^FG_YIELD_NAME&lt;/Q&gt;&lt;R&gt;1&lt;/R&gt;&lt;C&gt;1&lt;/C&gt;&lt;D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xsi:type="xsd:double"&gt;5.5&lt;/D&gt;&lt;/FQL&gt;&lt;FQL&gt;&lt;Q&gt;TRYFR10Y-FDS^PCTCHG(FG_YIELD(0,,,,"YTM"),FG_YIELD(-3AM,,,,"YTM"))&lt;/Q&gt;&lt;R&gt;1&lt;/R&gt;&lt;C&gt;1&lt;/C&gt;&lt;D xsi:type="xsd:double"&gt;10.859238&lt;/D&gt;&lt;/FQL&gt;&lt;FQL&gt;&lt;Q&gt;USDUSD^FG_PRICE_CHANGE(0,-6AM)&lt;/Q&gt;&lt;R&gt;1&lt;/R&gt;&lt;C&gt;1&lt;/C&gt;&lt;D xsi:type="xsd:double"&gt;0&lt;/D&gt;&lt;/FQL&gt;&lt;FQL&gt;&lt;Q&gt;EWU^FG_PRICE_MAVG(0,,,,30)&lt;/Q&gt;&lt;R&gt;1&lt;/R&gt;&lt;C&gt;1&lt;/C&gt;&lt;D xsi:type="xsd:double"&gt;34.102333&lt;/D&gt;&lt;/FQL&gt;&lt;FQL&gt;&lt;Q&gt;EWI^P_PRICE(0)/P_PRICE_HIGH_PR(0,,,,,,"PRICE","INTRA","52W")&lt;/Q&gt;&lt;R&gt;1&lt;/R&gt;&lt;C&gt;1&lt;/C&gt;&lt;D xsi:type="xsd:double"&gt;0.9712856&lt;/D&gt;&lt;/FQL&gt;&lt;FQL&gt;&lt;Q&gt;EWC^FG_ROE(0)&lt;/Q&gt;&lt;R&gt;1&lt;/R&gt;&lt;C&gt;1&lt;/C&gt;&lt;D xsi:type="xsd:double"&gt;11.3504663117191&lt;/D&gt;&lt;/FQL&gt;&lt;FQL&gt;&lt;Q&gt;TRYJP10Y-FDS^FG_YIELD(0,,,,"YTM")&lt;/Q&gt;&lt;R&gt;1&lt;/R&gt;&lt;C&gt;1&lt;/C&gt;&lt;D xsi:type="xsd:double"&gt;0.8947&lt;/D&gt;&lt;/FQL&gt;&lt;FQL&gt;&lt;Q&gt;CPALM-FDS^FG_PRICE(0)&lt;/Q&gt;&lt;R&gt;1&lt;/R&gt;&lt;C&gt;1&lt;/C&gt;&lt;D xsi:type="xsd:double"&gt;3895&lt;/D&gt;&lt;/FQL&gt;&lt;FQL&gt;&lt;Q&gt;REFGBBANK-FDS^PROPER_NAME(0,,,"SECURITY","NAME")&lt;/Q&gt;&lt;R&gt;1&lt;/R&gt;&lt;C&gt;1&lt;/C&gt;&lt;D xsi:type="xsd:string"&gt;UK Bank Rate&lt;/D&gt;&lt;/FQL&gt;&lt;FQL&gt;&lt;Q&gt;TRYJP10Y-FDS^PCTCHG(FG_YIELD(0,,,,"YTM"),FG_YIELD(-1AM,,,,"YTM"))&lt;/Q&gt;&lt;R&gt;1&lt;/R&gt;&lt;C&gt;1&lt;/C&gt;&lt;D xsi:type="xsd:double"&gt;22.06003&lt;/D&gt;&lt;/FQL&gt;&lt;FQL&gt;&lt;Q&gt;EWI^FMA_COS_DOWN("EPS","1M",+1,0,,,"PORTAGG","MEANR")&lt;/Q&gt;&lt;R&gt;1&lt;/R&gt;&lt;C&gt;1&lt;/C&gt;&lt;D xsi:type="xsd:double"&gt;11&lt;/D&gt;&lt;/FQL&gt;&lt;FQL&gt;&lt;Q&gt;TRYCA10Y-FDS^PCTCHG(FG_YIELD(0,,,,"YTM"),FG_YIELD(-3AM,,,,"YTM"))&lt;/Q&gt;&lt;R&gt;1&lt;/R&gt;&lt;C&gt;1&lt;/C&gt;&lt;D xsi:type="xsd:double"&gt;10.172858&lt;/D&gt;&lt;/FQL&gt;&lt;FQL&gt;&lt;Q&gt;CAGDPY@FR^EE_ACTUAL_ANNUAL(MED,0)&lt;/Q&gt;&lt;R&gt;1&lt;/R&gt;&lt;C&gt;1&lt;/C&gt;&lt;D xsi:type="xsd:double"&gt;-0.768194132526586&lt;/D&gt;&lt;/FQL&gt;&lt;FQL&gt;&lt;Q&gt;CAGDPY@AU^EE_ACTUAL_ANNUAL(MED,0)&lt;/Q&gt;&lt;R&gt;1&lt;/R&gt;&lt;C&gt;1&lt;/C&gt;&lt;D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xsi:type="xsd:double"&gt;0.7250786&lt;/D&gt;&lt;/FQL&gt;&lt;FQL&gt;&lt;Q&gt;USDANG^FG_PRICE_CHANGE(0,-1AM)&lt;/Q&gt;&lt;R&gt;1&lt;/R&gt;&lt;C&gt;1&lt;/C&gt;&lt;D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xsi:type="xsd:double"&gt;0.65675974&lt;/D&gt;&lt;/FQL&gt;&lt;FQL&gt;&lt;Q&gt;USDJPY^FG_PRICE_CHANGE(0,-1AM)&lt;/Q&gt;&lt;R&gt;1&lt;/R&gt;&lt;C&gt;1&lt;/C&gt;&lt;D xsi:type="xsd:double"&gt;1.6394496&lt;/D&gt;&lt;/FQL&gt;&lt;FQL&gt;&lt;Q&gt;USDCAD^FG_PRICE_CHANGE(0,-1AM)&lt;/Q&gt;&lt;R&gt;1&lt;/R&gt;&lt;C&gt;1&lt;/C&gt;&lt;D xsi:type="xsd:double"&gt;0.9648204&lt;/D&gt;&lt;/FQL&gt;&lt;FQL&gt;&lt;Q&gt;USDNZD^FG_PRICE_CHANGE(0,-1AM)&lt;/Q&gt;&lt;R&gt;1&lt;/R&gt;&lt;C&gt;1&lt;/C&gt;&lt;D xsi:type="xsd:double"&gt;0.573504&lt;/D&gt;&lt;/FQL&gt;&lt;FQL&gt;&lt;Q&gt;ENZL^FMA_EPS(NTMA,-20AY,0,CY,,"PORTAGG","MEANR")&lt;/Q&gt;&lt;R&gt;20&lt;/R&gt;&lt;C&gt;1&lt;/C&gt;&lt;D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xsi:type="xsd:double"&gt;1.4689207&lt;/D&gt;&lt;D xsi:type="xsd:double"&gt;-0.83518624&lt;/D&gt;&lt;D xsi:type="xsd:double"&gt;0.7175207&lt;/D&gt;&lt;D xsi:type="xsd:double"&gt;-8.196724&lt;/D&gt;&lt;D xsi:type="xsd:double"&gt;-1.6625583&lt;/D&gt;&lt;D xsi:type="xsd:double"&gt;-5.4477158&lt;/D&gt;&lt;D xsi:type="xsd:double"&gt;-1.3245106&lt;/D&gt;&lt;D xsi:type="xsd:double"&gt;-1.0738254&lt;/D&gt;&lt;D xsi:type="xsd:double"&gt;-6.887877&lt;/D&gt;&lt;D xsi:type="xsd:double"&gt;1.6874552&lt;/D&gt;&lt;D xsi:type="xsd:double"&gt;7.720065&lt;/D&gt;&lt;D xsi:type="xsd:double"&gt;1.1386514&lt;/D&gt;&lt;D xsi:type="xsd:double"&gt;2.6490092&lt;/D&gt;&lt;D xsi:type="xsd:double"&gt;1.870966&lt;/D&gt;&lt;D xsi:type="xsd:double"&gt;-3.4584343&lt;/D&gt;&lt;D xsi:type="xsd:double"&gt;3.3377886&lt;/D&gt;&lt;D xsi:type="xsd:double"&gt;-5.4909525&lt;/D&gt;&lt;D xsi:type="xsd:double"&gt;0.2734065&lt;/D&gt;&lt;D xsi:type="xsd:double"&gt;1.9086599&lt;/D&gt;&lt;D xsi:type="xsd:double"&gt;-5.0167203&lt;/D&gt;&lt;D xsi:type="xsd:double"&gt;-2.9470503&lt;/D&gt;&lt;D xsi:type="xsd:double"&gt;-15.793305&lt;/D&gt;&lt;D xsi:type="xsd:double"&gt;1.8150449&lt;/D&gt;&lt;D xsi:type="xsd:double"&gt;2.2071362&lt;/D&gt;&lt;D xsi:type="xsd:double"&gt;4.9833894&lt;/D&gt;&lt;D xsi:type="xsd:double"&gt;-4.667723&lt;/D&gt;&lt;D xsi:type="xsd:double"&gt;-7.64913&lt;/D&gt;&lt;D xsi:type="xsd:double"&gt;-0.55452585&lt;/D&gt;&lt;D xsi:type="xsd:double"&gt;6.5985084&lt;/D&gt;&lt;D xsi:type="xsd:double"&gt;-3.923279&lt;/D&gt;&lt;D xsi:type="xsd:double"&gt;-0.27223825&lt;/D&gt;&lt;D xsi:type="xsd:double"&gt;0.6824374&lt;/D&gt;&lt;D xsi:type="xsd:double"&gt;10.408461&lt;/D&gt;&lt;D xsi:type="xsd:double"&gt;-0.90871453&lt;/D&gt;&lt;D xsi:type="xsd:double"&gt;0.04168749&lt;/D&gt;&lt;D xsi:type="xsd:double"&gt;7.249999&lt;/D&gt;&lt;D xsi:type="xsd:double"&gt;3.768456&lt;/D&gt;&lt;D xsi:type="xsd:double"&gt;6.1400294&lt;/D&gt;&lt;D xsi:type="xsd:double"&gt;-0.15527606&lt;/D&gt;&lt;D xsi:type="xsd:double"&gt;7.9496384&lt;/D&gt;&lt;D xsi:type="xsd:double"&gt;1.399529&lt;/D&gt;&lt;D xsi:type="xsd:double"&gt;2.7933002&lt;/D&gt;&lt;D xsi:type="xsd:double"&gt;0.4795432&lt;/D&gt;&lt;D xsi:type="xsd:double"&gt;-1.8135548&lt;/D&gt;&lt;D xsi:type="xsd:double"&gt;-0.19770265&lt;/D&gt;&lt;D xsi:type="xsd:double"&gt;8.390474&lt;/D&gt;&lt;D xsi:type="xsd:double"&gt;-5.0903616&lt;/D&gt;&lt;D xsi:type="xsd:double"&gt;0.50777197&lt;/D&gt;&lt;D xsi:type="xsd:double"&gt;6.378269&lt;/D&gt;&lt;D xsi:type="xsd:double"&gt;-9.8842325&lt;/D&gt;&lt;D xsi:type="xsd:double"&gt;-2.9880702&lt;/D&gt;&lt;D xsi:type="xsd:double"&gt;0.48866272&lt;/D&gt;&lt;D xsi:type="xsd:double"&gt;-5.870098&lt;/D&gt;&lt;D xsi:type="xsd:double"&gt;0.9594083&lt;/D&gt;&lt;D xsi:type="xsd:double"&gt;-5.8479548&lt;/D&gt;&lt;D xsi:type="xsd:double"&gt;-1.4363408&lt;/D&gt;&lt;D xsi:type="xsd:double"&gt;-3.6683738&lt;/D&gt;&lt;D xsi:type="xsd:double"&gt;7.494819&lt;/D&gt;&lt;D xsi:type="xsd:double"&gt;5.238831&lt;/D&gt;&lt;D xsi:type="xsd:double"&gt;2.5256276&lt;/D&gt;&lt;D xsi:type="xsd:double"&gt;-0.5712211&lt;/D&gt;&lt;D xsi:type="xsd:double"&gt;-6.85817&lt;/D&gt;&lt;D xsi:type="xsd:double"&gt;10.0222&lt;/D&gt;&lt;D xsi:type="xsd:double"&gt;-2.7193606&lt;/D&gt;&lt;D xsi:type="xsd:double"&gt;0.2981782&lt;/D&gt;&lt;D xsi:type="xsd:double"&gt;-1.0033488&lt;/D&gt;&lt;D xsi:type="xsd:double"&gt;9.684682&lt;/D&gt;&lt;D xsi:type="xsd:double"&gt;-2.566737&lt;/D&gt;&lt;D xsi:type="xsd:double"&gt;5.7540298&lt;/D&gt;&lt;D xsi:type="xsd:double"&gt;-3.7458181&lt;/D&gt;&lt;D xsi:type="xsd:double"&gt;-5.2814484&lt;/D&gt;&lt;D xsi:type="xsd:double"&gt;-25.275124&lt;/D&gt;&lt;D xsi:type="xsd:double"&gt;1.7182112&lt;/D&gt;&lt;D xsi:type="xsd:double"&gt;13.94788&lt;/D&gt;&lt;D xsi:type="xsd:double"&gt;5.1975965&lt;/D&gt;&lt;D xsi:type="xsd:double"&gt;0.6102562&lt;/D&gt;&lt;D xsi:type="xsd:double"&gt;5.1759005&lt;/D&gt;&lt;D xsi:type="xsd:double"&gt;-5.9208035&lt;/D&gt;&lt;D xsi:type="xsd:double"&gt;-4.69963&lt;/D&gt;&lt;D xsi:type="xsd:double"&gt;24.31389&lt;/D&gt;&lt;D xsi:type="xsd:double"&gt;2.3910403&lt;/D&gt;&lt;D xsi:type="xsd:double"&gt;-0.033968687&lt;/D&gt;&lt;D xsi:type="xsd:double"&gt;3.4318686&lt;/D&gt;&lt;D xsi:type="xsd:double"&gt;4.5335054&lt;/D&gt;&lt;D xsi:type="xsd:double"&gt;-0.6599605&lt;/D&gt;&lt;D xsi:type="xsd:double"&gt;6.95982&lt;/D&gt;&lt;D xsi:type="xsd:double"&gt;-2.6127636&lt;/D&gt;&lt;D xsi:type="xsd:double"&gt;-0.64555407&lt;/D&gt;&lt;D xsi:type="xsd:double"&gt;2.9702902&lt;/D&gt;&lt;D xsi:type="xsd:double"&gt;-4.1466293&lt;/D&gt;&lt;D xsi:type="xsd:double"&gt;6.1128497&lt;/D&gt;&lt;D xsi:type="xsd:double"&gt;-6.2038364&lt;/D&gt;&lt;D xsi:type="xsd:double"&gt;4.8100233&lt;/D&gt;&lt;D xsi:type="xsd:double"&gt;0.9753108&lt;/D&gt;&lt;D xsi:type="xsd:double"&gt;-11.198312&lt;/D&gt;&lt;D xsi:type="xsd:double"&gt;1.8694758&lt;/D&gt;&lt;D xsi:type="xsd:double"&gt;-8.475137&lt;/D&gt;&lt;D xsi:type="xsd:double"&gt;5.286181&lt;/D&gt;&lt;D xsi:type="xsd:double"&gt;-13.597256&lt;/D&gt;&lt;D xsi:type="xsd:double"&gt;0&lt;/D&gt;&lt;D xsi:type="xsd:double"&gt;-5.7827353&lt;/D&gt;&lt;D xsi:type="xsd:double"&gt;-5.7430925&lt;/D&gt;&lt;D xsi:type="xsd:double"&gt;11.162794&lt;/D&gt;&lt;D xsi:type="xsd:double"&gt;16.987442&lt;/D&gt;&lt;D xsi:type="xsd:double"&gt;-2.1992266&lt;/D&gt;&lt;D xsi:type="xsd:double"&gt;13.6971&lt;/D&gt;&lt;D xsi:type="xsd:double"&gt;-1.2406111&lt;/D&gt;&lt;D xsi:type="xsd:double"&gt;0.5950451&lt;/D&gt;&lt;D xsi:type="xsd:double"&gt;2.1031857&lt;/D&gt;&lt;D xsi:type="xsd:double"&gt;-0.933373&lt;/D&gt;&lt;D xsi:type="xsd:double"&gt;5.9487343&lt;/D&gt;&lt;D xsi:type="xsd:double"&gt;2.0421028&lt;/D&gt;&lt;D xsi:type="xsd:double"&gt;-1.9704401&lt;/D&gt;&lt;D xsi:type="xsd:double"&gt;-6.658292&lt;/D&gt;&lt;D xsi:type="xsd:double"&gt;4.0040374&lt;/D&gt;&lt;D xsi:type="xsd:double"&gt;7.246852&lt;/D&gt;&lt;D xsi:type="xsd:double"&gt;2.9111028&lt;/D&gt;&lt;D xsi:type="xsd:double"&gt;-0.17808676&lt;/D&gt;&lt;D xsi:type="xsd:double"&gt;6.779659&lt;/D&gt;&lt;D xsi:type="xsd:double"&gt;3.648007&lt;/D&gt;&lt;D xsi:type="xsd:double"&gt;-0.94035864&lt;/D&gt;&lt;/FQL&gt;&lt;FQL&gt;&lt;Q&gt;EWN^FMA_DIV_YLD(NTMA,-10AY,0,AM,"PORTAGG","MEANR")&lt;/Q&gt;&lt;R&gt;121&lt;/R&gt;&lt;C&gt;1&lt;/C&gt;&lt;D xsi:type="xsd:double"&gt;2.81697348034319&lt;/D&gt;&lt;D xsi:type="xsd:double"&gt;2.80426435070114&lt;/D&gt;&lt;D xsi:type="xsd:double"&gt;2.78201556614755&lt;/D&gt;&lt;D xsi:type="xsd:double"&gt;2.99646276175281&lt;/D&gt;&lt;D xsi:type="xsd:double"&gt;2.97829173727771&lt;/D&gt;&lt;D xsi:type="xsd:double"&gt;3.1057935356658&lt;/D&gt;&lt;D xsi:type="xsd:double"&gt;3.10167786383842&lt;/D&gt;&lt;D xsi:type="xsd:double"&gt;2.98759353310734&lt;/D&gt;&lt;D xsi:type="xsd:double"&gt;3.08146154647867&lt;/D&gt;&lt;D xsi:type="xsd:double"&gt;2.90284264136639&lt;/D&gt;&lt;D xsi:type="xsd:double"&gt;2.68209655189242&lt;/D&gt;&lt;D xsi:type="xsd:double"&gt;2.65446860563694&lt;/D&gt;&lt;D xsi:type="xsd:double"&gt;2.7461343999879&lt;/D&gt;&lt;D xsi:type="xsd:double"&gt;2.87038337062649&lt;/D&gt;&lt;D xsi:type="xsd:double"&gt;2.95031048369196&lt;/D&gt;&lt;D xsi:type="xsd:double"&gt;2.8900662201743&lt;/D&gt;&lt;D xsi:type="xsd:double"&gt;3.45626645220174&lt;/D&gt;&lt;D xsi:type="xsd:double"&gt;3.59274484905921&lt;/D&gt;&lt;D xsi:type="xsd:double"&gt;3.21556178983322&lt;/D&gt;&lt;D xsi:type="xsd:double"&gt;3.12701130727677&lt;/D&gt;&lt;D xsi:type="xsd:double"&gt;3.15784476268672&lt;/D&gt;&lt;D xsi:type="xsd:double"&gt;3.28590613932575&lt;/D&gt;&lt;D xsi:type="xsd:double"&gt;3.28264362026392&lt;/D&gt;&lt;D xsi:type="xsd:double"&gt;3.33589768325509&lt;/D&gt;&lt;D xsi:type="xsd:double"&gt;3.36134094128042&lt;/D&gt;&lt;D xsi:type="xsd:double"&gt;3.1316419742736&lt;/D&gt;&lt;D xsi:type="xsd:double"&gt;3.32961459433652&lt;/D&gt;&lt;D xsi:type="xsd:double"&gt;3.26169266058691&lt;/D&gt;&lt;D xsi:type="xsd:double"&gt;3.06719574638024&lt;/D&gt;&lt;D xsi:type="xsd:double"&gt;3.11899711258538&lt;/D&gt;&lt;D xsi:type="xsd:double"&gt;3.20561612993087&lt;/D&gt;&lt;D xsi:type="xsd:double"&gt;3.17431436302957&lt;/D&gt;&lt;D xsi:type="xsd:double"&gt;2.9618206119659&lt;/D&gt;&lt;D xsi:type="xsd:double"&gt;2.97070507164524&lt;/D&gt;&lt;D xsi:type="xsd:double"&gt;2.83278663542964&lt;/D&gt;&lt;D xsi:type="xsd:double"&gt;2.75918279903228&lt;/D&gt;&lt;D xsi:type="xsd:double"&gt;2.71411248930631&lt;/D&gt;&lt;D xsi:type="xsd:double"&gt;2.69270382525859&lt;/D&gt;&lt;D xsi:type="xsd:double"&gt;2.81837747248312&lt;/D&gt;&lt;D xsi:type="xsd:double"&gt;2.77047899168652&lt;/D&gt;&lt;D xsi:type="xsd:double"&gt;2.86919605885253&lt;/D&gt;&lt;D xsi:type="xsd:double"&gt;2.76850585678083&lt;/D&gt;&lt;D xsi:type="xsd:double"&gt;2.74240044428128&lt;/D&gt;&lt;D xsi:type="xsd:double"&gt;2.87240875502282&lt;/D&gt;&lt;D xsi:type="xsd:double"&gt;2.85746810525467&lt;/D&gt;&lt;D xsi:type="xsd:double"&gt;2.85162940046749&lt;/D&gt;&lt;D xsi:type="xsd:double"&gt;3.01713124475304&lt;/D&gt;&lt;D xsi:type="xsd:double"&gt;2.99317466764042&lt;/D&gt;&lt;D xsi:type="xsd:double"&gt;2.92059974201824&lt;/D&gt;&lt;D xsi:type="xsd:double"&gt;2.88192081467549&lt;/D&gt;&lt;D xsi:type="xsd:double"&gt;2.97669287340211&lt;/D&gt;&lt;D xsi:type="xsd:double"&gt;2.84630606211112&lt;/D&gt;&lt;D xsi:type="xsd:double"&gt;2.9031838112027&lt;/D&gt;&lt;D xsi:type="xsd:double"&gt;3.0233673184502&lt;/D&gt;&lt;D xsi:type="xsd:double"&gt;3.19994166073887&lt;/D&gt;&lt;D xsi:type="xsd:double"&gt;3.22587547233236&lt;/D&gt;&lt;D xsi:type="xsd:double"&gt;3.4698379016458&lt;/D&gt;&lt;D xsi:type="xsd:double"&gt;3.26422453828259&lt;/D&gt;&lt;D xsi:type="xsd:double"&gt;3.10551316904025&lt;/D&gt;&lt;D xsi:type="xsd:double"&gt;3.01884702501136&lt;/D&gt;&lt;D xsi:type="xsd:double"&gt;2.96206566335429&lt;/D&gt;&lt;D xsi:type="xsd:double"&gt;3.17470129993349&lt;/D&gt;&lt;D xsi:type="xsd:double"&gt;2.97117176308605&lt;/D&gt;&lt;D xsi:type="xsd:double"&gt;2.96913777924068&lt;/D&gt;&lt;D xsi:type="xsd:double"&gt;2.96896494958579&lt;/D&gt;&lt;D xsi:type="xsd:double"&gt;2.84715227871475&lt;/D&gt;&lt;D xsi:type="xsd:double"&gt;2.72748033026303&lt;/D&gt;&lt;D xsi:type="xsd:double"&gt;2.69492009651669&lt;/D&gt;&lt;D xsi:type="xsd:double"&gt;2.56330281268982&lt;/D&gt;&lt;D xsi:type="xsd:double"&gt;2.68424222188082&lt;/D&gt;&lt;D xsi:type="xsd:double"&gt;2.85935188362819&lt;/D&gt;&lt;D xsi:type="xsd:double"&gt;3.25566152377399&lt;/D&gt;&lt;D xsi:type="xsd:double"&gt;2.70522585620607&lt;/D&gt;&lt;D xsi:type="xsd:double"&gt;2.44990730092589&lt;/D&gt;&lt;D xsi:type="xsd:double"&gt;2.34370971906715&lt;/D&gt;&lt;D xsi:type="xsd:double"&gt;2.42043406141239&lt;/D&gt;&lt;D xsi:type="xsd:double"&gt;2.2525341362411&lt;/D&gt;&lt;D xsi:type="xsd:double"&gt;2.32667070572977&lt;/D&gt;&lt;D xsi:type="xsd:double"&gt;2.37726516181482&lt;/D&gt;&lt;D xsi:type="xsd:double"&gt;2.0733092668267&lt;/D&gt;&lt;D xsi:type="xsd:double"&gt;1.96818147211171&lt;/D&gt;&lt;D xsi:type="xsd:double"&gt;1.95413444935217&lt;/D&gt;&lt;D xsi:type="xsd:double"&gt;2.05776618669841&lt;/D&gt;&lt;D xsi:type="xsd:double"&gt;1.91768256488738&lt;/D&gt;&lt;D xsi:type="xsd:double"&gt;1.96312559170637&lt;/D&gt;&lt;D xsi:type="xsd:double"&gt;1.99873310689226&lt;/D&gt;&lt;D xsi:type="xsd:double"&gt;2.00869467931465&lt;/D&gt;&lt;D xsi:type="xsd:double"&gt;1.94272605427083&lt;/D&gt;&lt;D xsi:type="xsd:double"&gt;1.82642988263283&lt;/D&gt;&lt;D xsi:type="xsd:double"&gt;1.97422166995538&lt;/D&gt;&lt;D xsi:type="xsd:double"&gt;1.9010268273197&lt;/D&gt;&lt;D xsi:type="xsd:double"&gt;1.98377980765943&lt;/D&gt;&lt;D xsi:type="xsd:double"&gt;1.93656613406035&lt;/D&gt;&lt;D xsi:type="xsd:double"&gt;2.15747088531068&lt;/D&gt;&lt;D xsi:type="xsd:double"&gt;2.33325512352736&lt;/D&gt;&lt;D xsi:type="xsd:double"&gt;2.23773474542285&lt;/D&gt;&lt;D xsi:type="xsd:double"&gt;2.42543665516126&lt;/D&gt;&lt;D xsi:type="xsd:double"&gt;2.53503046449297&lt;/D&gt;&lt;D xsi:type="xsd:double"&gt;3.48420352945727&lt;/D&gt;&lt;D xsi:type="xsd:double"&gt;3.08147574264398&lt;/D&gt;&lt;D xsi:type="xsd:double"&gt;3.79304012738643&lt;/D&gt;&lt;D xsi:type="xsd:double"&gt;3.0790863216312&lt;/D&gt;&lt;D xsi:type="xsd:double"&gt;2.96983115698492&lt;/D&gt;&lt;D xsi:type="xsd:double"&gt;2.63424289569049&lt;/D&gt;&lt;D xsi:type="xsd:double"&gt;2.81744295330622&lt;/D&gt;&lt;D xsi:type="xsd:double"&gt;2.48980812685167&lt;/D&gt;&lt;D xsi:type="xsd:double"&gt;2.65357271217079&lt;/D&gt;&lt;D xsi:type="xsd:double"&gt;2.63452478820832&lt;/D&gt;&lt;D xsi:type="xsd:double"&gt;2.70969500763449&lt;/D&gt;&lt;D xsi:type="xsd:double"&gt;2.6879028226558&lt;/D&gt;&lt;D xsi:type="xsd:double"&gt;2.695808550689&lt;/D&gt;&lt;D xsi:type="xsd:double"&gt;2.70236444689797&lt;/D&gt;&lt;D xsi:type="xsd:double"&gt;2.88342968572098&lt;/D&gt;&lt;D xsi:type="xsd:double"&gt;3.06146093954977&lt;/D&gt;&lt;D xsi:type="xsd:double"&gt;3.01766695292891&lt;/D&gt;&lt;D xsi:type="xsd:double"&gt;2.80176726518001&lt;/D&gt;&lt;D xsi:type="xsd:double"&gt;2.71322955117439&lt;/D&gt;&lt;D xsi:type="xsd:double"&gt;2.55304737566583&lt;/D&gt;&lt;D xsi:type="xsd:double"&gt;2.58252995639034&lt;/D&gt;&lt;D xsi:type="xsd:double"&gt;2.54054526765088&lt;/D&gt;&lt;D xsi:type="xsd:double"&gt;2.59127326975751&lt;/D&gt;&lt;/FQL&gt;&lt;FQL&gt;&lt;Q&gt;SPY^FMA_PE(NTMA,-10AY,0,AM,"PORTAGG","MEANR")&lt;/Q&gt;&lt;R&gt;121&lt;/R&gt;&lt;C&gt;1&lt;/C&gt;&lt;D xsi:type="xsd:double"&gt;14.9807407222394&lt;/D&gt;&lt;D xsi:type="xsd:double"&gt;15.1895550927497&lt;/D&gt;&lt;D xsi:type="xsd:double"&gt;15.457746012371&lt;/D&gt;&lt;D xsi:type="xsd:double"&gt;14.8567439167192&lt;/D&gt;&lt;D xsi:type="xsd:double"&gt;15.3293096670329&lt;/D&gt;&lt;D xsi:type="xsd:double"&gt;14.8199441473498&lt;/D&gt;&lt;D xsi:type="xsd:double"&gt;15.4981269408046&lt;/D&gt;&lt;D xsi:type="xsd:double"&gt;15.8667160088321&lt;/D&gt;&lt;D xsi:type="xsd:double"&gt;15.96244162404&lt;/D&gt;&lt;D xsi:type="xsd:double"&gt;16.2395778352994&lt;/D&gt;&lt;D xsi:type="xsd:double"&gt;16.996306032602&lt;/D&gt;&lt;D xsi:type="xsd:double"&gt;16.4721081381795&lt;/D&gt;&lt;D xsi:type="xsd:double"&gt;16.7045817863234&lt;/D&gt;&lt;D xsi:type="xsd:double"&gt;16.5452229955928&lt;/D&gt;&lt;D xsi:type="xsd:double"&gt;16.2167847939528&lt;/D&gt;&lt;D xsi:type="xsd:double"&gt;16.4284707165386&lt;/D&gt;&lt;D xsi:type="xsd:double"&gt;15.1700180373308&lt;/D&gt;&lt;D xsi:type="xsd:double"&gt;15.211116793077&lt;/D&gt;&lt;D xsi:type="xsd:double"&gt;16.4874752557983&lt;/D&gt;&lt;D xsi:type="xsd:double"&gt;16.2445385157038&lt;/D&gt;&lt;D xsi:type="xsd:double"&gt;15.991430392029&lt;/D&gt;&lt;D xsi:type="xsd:double"&gt;15.5099438140132&lt;/D&gt;&lt;D xsi:type="xsd:double"&gt;15.5167363536305&lt;/D&gt;&lt;D xsi:type="xsd:double"&gt;16.5004635460184&lt;/D&gt;&lt;D xsi:type="xsd:double"&gt;16.5226770167304&lt;/D&gt;&lt;D xsi:type="xsd:double"&gt;16.6467353898289&lt;/D&gt;&lt;D xsi:type="xsd:double"&gt;16.5274762929012&lt;/D&gt;&lt;D xsi:type="xsd:double"&gt;16.8203507195242&lt;/D&gt;&lt;D xsi:type="xsd:double"&gt;16.8353987793995&lt;/D&gt;&lt;D xsi:type="xsd:double"&gt;16.6490222435307&lt;/D&gt;&lt;D xsi:type="xsd:double"&gt;16.0427103848048&lt;/D&gt;&lt;D xsi:type="xsd:double"&gt;16.6187304749981&lt;/D&gt;&lt;D xsi:type="xsd:double"&gt;16.8042774932923&lt;/D&gt;&lt;D xsi:type="xsd:double"&gt;17.0686789619723&lt;/D&gt;&lt;D xsi:type="xsd:double"&gt;17.7879748431195&lt;/D&gt;&lt;D xsi:type="xsd:double"&gt;17.5096202630589&lt;/D&gt;&lt;D xsi:type="xsd:double"&gt;17.4675661539529&lt;/D&gt;&lt;D xsi:type="xsd:double"&gt;17.6699845483287&lt;/D&gt;&lt;D xsi:type="xsd:double"&gt;17.4139594236772&lt;/D&gt;&lt;D xsi:type="xsd:double"&gt;17.6655674888622&lt;/D&gt;&lt;D xsi:type="xsd:double"&gt;17.5139583604644&lt;/D&gt;&lt;D xsi:type="xsd:double"&gt;17.7874584308826&lt;/D&gt;&lt;D xsi:type="xsd:double"&gt;17.9485475318512&lt;/D&gt;&lt;D xsi:type="xsd:double"&gt;18.1962903724008&lt;/D&gt;&lt;D xsi:type="xsd:double"&gt;18.244153544756&lt;/D&gt;&lt;D xsi:type="xsd:double"&gt;17.4567931643708&lt;/D&gt;&lt;D xsi:type="xsd:double"&gt;16.7186294157627&lt;/D&gt;&lt;D xsi:type="xsd:double"&gt;15.9458644670963&lt;/D&gt;&lt;D xsi:type="xsd:double"&gt;15.9608316491843&lt;/D&gt;&lt;D xsi:type="xsd:double"&gt;16.3485048016767&lt;/D&gt;&lt;D xsi:type="xsd:double"&gt;16.1548380773678&lt;/D&gt;&lt;D xsi:type="xsd:double"&gt;16.505117404364&lt;/D&gt;&lt;D xsi:type="xsd:double"&gt;16.8103827441345&lt;/D&gt;&lt;D xsi:type="xsd:double"&gt;16.8258206203433&lt;/D&gt;&lt;D xsi:type="xsd:double"&gt;15.5692950591314&lt;/D&gt;&lt;D xsi:type="xsd:double"&gt;15.7392730597703&lt;/D&gt;&lt;D xsi:type="xsd:double"&gt;14.4292822610686&lt;/D&gt;&lt;D xsi:type="xsd:double"&gt;15.782974885227&lt;/D&gt;&lt;D xsi:type="xsd:double"&gt;16.3320836374113&lt;/D&gt;&lt;D xsi:type="xsd:double"&gt;16.5937438758075&lt;/D&gt;&lt;D xsi:type="xsd:double"&gt;16.7471637992443&lt;/D&gt;&lt;D xsi:type="xsd:double"&gt;15.6848930281418&lt;/D&gt;&lt;D xsi:type="xsd:double"&gt;16.9080989481257&lt;/D&gt;&lt;D xsi:type="xsd:double"&gt;16.6709137074064&lt;/D&gt;&lt;D xsi:type="xsd:double"&gt;16.5612797272388&lt;/D&gt;&lt;D xsi:type="xsd:double"&gt;16.3007813245705&lt;/D&gt;&lt;D xsi:type="xsd:double"&gt;17.3374648120075&lt;/D&gt;&lt;D xsi:type="xsd:double"&gt;17.5501278705955&lt;/D&gt;&lt;D xsi:type="xsd:double"&gt;18.3024691198324&lt;/D&gt;&lt;D xsi:type="xsd:double"&gt;18.0535864909754&lt;/D&gt;&lt;D xsi:type="xsd:double"&gt;17.3306340425546&lt;/D&gt;&lt;D xsi:type="xsd:double"&gt;15.4896829535845&lt;/D&gt;&lt;D xsi:type="xsd:double"&gt;19.8915743612978&lt;/D&gt;&lt;D xsi:type="xsd:double"&gt;21.8551188595494&lt;/D&gt;&lt;D xsi:type="xsd:double"&gt;21.8530127408262&lt;/D&gt;&lt;D xsi:type="xsd:double"&gt;21.9340536091396&lt;/D&gt;&lt;D xsi:type="xsd:double"&gt;23.3665491108292&lt;/D&gt;&lt;D xsi:type="xsd:double"&gt;21.3957099989345&lt;/D&gt;&lt;D xsi:type="xsd:double"&gt;20.4185396660881&lt;/D&gt;&lt;D xsi:type="xsd:double"&gt;22.0252764049375&lt;/D&gt;&lt;D xsi:type="xsd:double"&gt;22.4393922440473&lt;/D&gt;&lt;D xsi:type="xsd:double"&gt;21.866592065693&lt;/D&gt;&lt;D xsi:type="xsd:double"&gt;21.6712288571216&lt;/D&gt;&lt;D xsi:type="xsd:double"&gt;22.0538828759518&lt;/D&gt;&lt;D xsi:type="xsd:double"&gt;21.6513602535872&lt;/D&gt;&lt;D xsi:type="xsd:double"&gt;21.2331417218116&lt;/D&gt;&lt;D xsi:type="xsd:double"&gt;21.5927825252749&lt;/D&gt;&lt;D xsi:type="xsd:double"&gt;20.9022740929728&lt;/D&gt;&lt;D xsi:type="xsd:double"&gt;21.2788596898014&lt;/D&gt;&lt;D xsi:type="xsd:double"&gt;20.3383473646076&lt;/D&gt;&lt;D xsi:type="xsd:double"&gt;21.2177067399739&lt;/D&gt;&lt;D xsi:type="xsd:double"&gt;20.721801600966&lt;/D&gt;&lt;D xsi:type="xsd:double"&gt;21.3209246647739&lt;/D&gt;&lt;D xsi:type="xsd:double"&gt;20.2036672737396&lt;/D&gt;&lt;D xsi:type="xsd:double"&gt;19.1315138614546&lt;/D&gt;&lt;D xsi:type="xsd:double"&gt;19.4955293758547&lt;/D&gt;&lt;D xsi:type="xsd:double"&gt;17.6265338581322&lt;/D&gt;&lt;D xsi:type="xsd:double"&gt;17.5283728360415&lt;/D&gt;&lt;D xsi:type="xsd:double"&gt;15.984134507212&lt;/D&gt;&lt;D xsi:type="xsd:double"&gt;17.247503252646&lt;/D&gt;&lt;D xsi:type="xsd:double"&gt;16.5141806530363&lt;/D&gt;&lt;D xsi:type="xsd:double"&gt;15.1562944983157&lt;/D&gt;&lt;D xsi:type="xsd:double"&gt;16.2218865928053&lt;/D&gt;&lt;D xsi:type="xsd:double"&gt;17.5966783677789&lt;/D&gt;&lt;D xsi:type="xsd:double"&gt;16.650131237619&lt;/D&gt;&lt;D xsi:type="xsd:double"&gt;18.4172590441387&lt;/D&gt;&lt;D xsi:type="xsd:double"&gt;17.5285817859088&lt;/D&gt;&lt;D xsi:type="xsd:double"&gt;18.0597010934251&lt;/D&gt;&lt;D xsi:type="xsd:double"&gt;17.9263571104399&lt;/D&gt;&lt;D xsi:type="xsd:double"&gt;18.4630562025458&lt;/D&gt;&lt;D xsi:type="xsd:double"&gt;19.13965126229&lt;/D&gt;&lt;D xsi:type="xsd:double"&gt;19.2194049974163&lt;/D&gt;&lt;D xsi:type="xsd:double"&gt;18.8906620700932&lt;/D&gt;&lt;D xsi:type="xsd:double"&gt;17.8245531073435&lt;/D&gt;&lt;D xsi:type="xsd:double"&gt;17.8672119874389&lt;/D&gt;&lt;D xsi:type="xsd:double"&gt;18.8291600556985&lt;/D&gt;&lt;D xsi:type="xsd:double"&gt;19.3949460973053&lt;/D&gt;&lt;D xsi:type="xsd:double"&gt;20.1635389863311&lt;/D&gt;&lt;D xsi:type="xsd:double"&gt;20.6322999549958&lt;/D&gt;&lt;D xsi:type="xsd:double"&gt;20.7252147139031&lt;/D&gt;&lt;D xsi:type="xsd:double"&gt;19.7376425214866&lt;/D&gt;&lt;/FQL&gt;&lt;FQL&gt;&lt;Q&gt;NI-FDS^MAX(FG_PRICE(0,-5AY))&lt;/Q&gt;&lt;R&gt;1&lt;/R&gt;&lt;C&gt;1&lt;/C&gt;&lt;D xsi:type="xsd:double"&gt;48241&lt;/D&gt;&lt;/FQL&gt;&lt;FQL&gt;&lt;Q&gt;TIOS-FDS^MAX(FG_PRICE(0,-5AY))&lt;/Q&gt;&lt;R&gt;1&lt;/R&gt;&lt;C&gt;1&lt;/C&gt;&lt;D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xsi:type="xsd:double"&gt;124.433754&lt;/D&gt;&lt;/FQL&gt;&lt;FQL&gt;&lt;Q&gt;FC0000CA^FG_PRICE(0)&lt;/Q&gt;&lt;R&gt;1&lt;/R&gt;&lt;C&gt;1&lt;/C&gt;&lt;D xsi:type="xsd:double"&gt;286.13522&lt;/D&gt;&lt;/FQL&gt;&lt;FQL&gt;&lt;Q&gt;EWD^FG_PRICE_MAVG(0,,,,200)&lt;/Q&gt;&lt;R&gt;1&lt;/R&gt;&lt;C&gt;1&lt;/C&gt;&lt;D xsi:type="xsd:double"&gt;36.29655&lt;/D&gt;&lt;/FQL&gt;&lt;FQL&gt;&lt;Q&gt;QQQ^FG_PRICE_MAVG(0,,,,200)&lt;/Q&gt;&lt;R&gt;1&lt;/R&gt;&lt;C&gt;1&lt;/C&gt;&lt;D xsi:type="xsd:double"&gt;398.452&lt;/D&gt;&lt;/FQL&gt;&lt;FQL&gt;&lt;Q&gt;EWG^FG_PRICE_MAVG(0,,,,200)&lt;/Q&gt;&lt;R&gt;1&lt;/R&gt;&lt;C&gt;1&lt;/C&gt;&lt;D xsi:type="xsd:double"&gt;28.64065&lt;/D&gt;&lt;/FQL&gt;&lt;FQL&gt;&lt;Q&gt;EWI^FG_COMPANY_NAME&lt;/Q&gt;&lt;R&gt;1&lt;/R&gt;&lt;C&gt;1&lt;/C&gt;&lt;D xsi:type="xsd:string"&gt;iShares MSCI Italy ETF&lt;/D&gt;&lt;/FQL&gt;&lt;FQL&gt;&lt;Q&gt;FXI^P_PRICE(0)/P_PRICE_HIGH_PR(0,,,,,,"PRICE","INTRA","52W")&lt;/Q&gt;&lt;R&gt;1&lt;/R&gt;&lt;C&gt;1&lt;/C&gt;&lt;D xsi:type="xsd:double"&gt;0.888998&lt;/D&gt;&lt;/FQL&gt;&lt;FQL&gt;&lt;Q&gt;EWJ^FG_TOTAL_RETURNC(0,-12AM)&lt;/Q&gt;&lt;R&gt;1&lt;/R&gt;&lt;C&gt;1&lt;/C&gt;&lt;D xsi:type="xsd:double"&gt;19.981598&lt;/D&gt;&lt;/FQL&gt;&lt;FQL&gt;&lt;Q&gt;URTH^PERCENT_CHANGE(FMA_EPS(+1,0,,,,"PORTAGG","MEAN"),FMA_EPS(+1,-1AM,,,,"PORTAGG","MEAN"))&lt;/Q&gt;&lt;R&gt;1&lt;/R&gt;&lt;C&gt;1&lt;/C&gt;&lt;D xsi:type="xsd:double"&gt;-0.102060871534227&lt;/D&gt;&lt;/FQL&gt;&lt;FQL&gt;&lt;Q&gt;VGK^FG_TOTAL_RETURNC(0,-1AM)&lt;/Q&gt;&lt;R&gt;1&lt;/R&gt;&lt;C&gt;1&lt;/C&gt;&lt;D xsi:type="xsd:double"&gt;-0.675267&lt;/D&gt;&lt;/FQL&gt;&lt;FQL&gt;&lt;Q&gt;EWD^FG_TOTAL_RETURNC(0,-6AM)&lt;/Q&gt;&lt;R&gt;1&lt;/R&gt;&lt;C&gt;1&lt;/C&gt;&lt;D xsi:type="xsd:double"&gt;24.065422&lt;/D&gt;&lt;/FQL&gt;&lt;FQL&gt;&lt;Q&gt;EWQ^P_PRICE(0)/P_PRICE_LOW_PR(0,,,,,,"PRICE","INTRA","52W")-1&lt;/Q&gt;&lt;R&gt;1&lt;/R&gt;&lt;C&gt;1&lt;/C&gt;&lt;D xsi:type="xsd:double"&gt;0.19696975&lt;/D&gt;&lt;/FQL&gt;&lt;FQL&gt;&lt;Q&gt;EWU^PERCENT_CHANGE(FMA_EPS(+1,0,,,,"PORTAGG","MEAN"),FMA_EPS(+1,-3AM,,,,"PORTAGG","MEAN"))&lt;/Q&gt;&lt;R&gt;1&lt;/R&gt;&lt;C&gt;1&lt;/C&gt;&lt;D xsi:type="xsd:double"&gt;0.2680754142194&lt;/D&gt;&lt;/FQL&gt;&lt;FQL&gt;&lt;Q&gt;EWJ^FG_TOTAL_RETURNC(0,-3AM)&lt;/Q&gt;&lt;R&gt;1&lt;/R&gt;&lt;C&gt;1&lt;/C&gt;&lt;D xsi:type="xsd:double"&gt;2.9469252&lt;/D&gt;&lt;/FQL&gt;&lt;FQL&gt;&lt;Q&gt;EWC^P_PRICE(0)/P_PRICE_HIGH_PR(0,,,,,,"PRICE","INTRA","52W")&lt;/Q&gt;&lt;R&gt;1&lt;/R&gt;&lt;C&gt;1&lt;/C&gt;&lt;D xsi:type="xsd:double"&gt;0.9668566&lt;/D&gt;&lt;/FQL&gt;&lt;FQL&gt;&lt;Q&gt;ENZL^FG_TOTAL_RETURNC(0,-12AM)&lt;/Q&gt;&lt;R&gt;1&lt;/R&gt;&lt;C&gt;1&lt;/C&gt;&lt;D xsi:type="xsd:double"&gt;-7.5073185&lt;/D&gt;&lt;/FQL&gt;&lt;FQL&gt;&lt;Q&gt;EWJ^FMA_COS_DOWN("EPS","1M",+1,0,,,"PORTAGG","MEANR")&lt;/Q&gt;&lt;R&gt;1&lt;/R&gt;&lt;C&gt;1&lt;/C&gt;&lt;D xsi:type="xsd:double"&gt;86&lt;/D&gt;&lt;/FQL&gt;&lt;FQL&gt;&lt;Q&gt;EWD^FMA_COS_UP("EPS","1M",+1,0,,,"PORTAGG","MEANR")&lt;/Q&gt;&lt;R&gt;1&lt;/R&gt;&lt;C&gt;1&lt;/C&gt;&lt;D xsi:type="xsd:double"&gt;23&lt;/D&gt;&lt;/FQL&gt;&lt;FQL&gt;&lt;Q&gt;REFEUREFI-FDS^PROPER_NAME(0,,,"SECURITY","NAME")&lt;/Q&gt;&lt;R&gt;1&lt;/R&gt;&lt;C&gt;1&lt;/C&gt;&lt;D xsi:type="xsd:string"&gt;Eurozone Main Refinancing Operations Minimum Bid Rate&lt;/D&gt;&lt;/FQL&gt;&lt;FQL&gt;&lt;Q&gt;TRYAU10Y-FDS^PCTCHG(FG_YIELD(0,,,,"YTM"),FG_YIELD(-3AM,,,,"YTM"))&lt;/Q&gt;&lt;R&gt;1&lt;/R&gt;&lt;C&gt;1&lt;/C&gt;&lt;D xsi:type="xsd:double"&gt;11.652435&lt;/D&gt;&lt;/FQL&gt;&lt;FQL&gt;&lt;Q&gt;TRYUS10Y-FDS^FG_YIELD(0,,,,"YTM")&lt;/Q&gt;&lt;R&gt;1&lt;/R&gt;&lt;C&gt;1&lt;/C&gt;&lt;D xsi:type="xsd:double"&gt;4.5759&lt;/D&gt;&lt;/FQL&gt;&lt;FQL&gt;&lt;Q&gt;EWU^FG_TOTAL_RETURNC(-10AY,0,AM)&lt;/Q&gt;&lt;R&gt;121&lt;/R&gt;&lt;C&gt;1&lt;/C&gt;&lt;D xsi:type="xsd:double"&gt;4.297447&lt;/D&gt;&lt;D xsi:type="xsd:double"&gt;0.6481409&lt;/D&gt;&lt;D xsi:type="xsd:double"&gt;2.2158027&lt;/D&gt;&lt;D xsi:type="xsd:double"&gt;-4.5325813&lt;/D&gt;&lt;D xsi:type="xsd:double"&gt;1.0385752&lt;/D&gt;&lt;D xsi:type="xsd:double"&gt;-7.391095&lt;/D&gt;&lt;D xsi:type="xsd:double"&gt;0.47569275&lt;/D&gt;&lt;D xsi:type="xsd:double"&gt;0.84166527&lt;/D&gt;&lt;D xsi:type="xsd:double"&gt;-4.9947143&lt;/D&gt;&lt;D xsi:type="xsd:double"&gt;1.9037008&lt;/D&gt;&lt;D xsi:type="xsd:double"&gt;5.1098824&lt;/D&gt;&lt;D xsi:type="xsd:double"&gt;-4.7569275&lt;/D&gt;&lt;D xsi:type="xsd:double"&gt;5.488479&lt;/D&gt;&lt;D xsi:type="xsd:double"&gt;-0.052028894&lt;/D&gt;&lt;D xsi:type="xsd:double"&gt;-2.5768936&lt;/D&gt;&lt;D xsi:type="xsd:double"&gt;0.87052584&lt;/D&gt;&lt;D xsi:type="xsd:double"&gt;-9.76268&lt;/D&gt;&lt;D xsi:type="xsd:double"&gt;0.95636845&lt;/D&gt;&lt;D xsi:type="xsd:double"&gt;4.4404984&lt;/D&gt;&lt;D xsi:type="xsd:double"&gt;-3.061217&lt;/D&gt;&lt;D xsi:type="xsd:double"&gt;-3.7293553&lt;/D&gt;&lt;D xsi:type="xsd:double"&gt;-7.5588584&lt;/D&gt;&lt;D xsi:type="xsd:double"&gt;2.8150082&lt;/D&gt;&lt;D xsi:type="xsd:double"&gt;1.2385845&lt;/D&gt;&lt;D xsi:type="xsd:double"&gt;5.6020617&lt;/D&gt;&lt;D xsi:type="xsd:double"&gt;-1.8292665&lt;/D&gt;&lt;D xsi:type="xsd:double"&gt;-2.1784425&lt;/D&gt;&lt;D xsi:type="xsd:double"&gt;1.2361765&lt;/D&gt;&lt;D xsi:type="xsd:double"&gt;4.113114&lt;/D&gt;&lt;D xsi:type="xsd:double"&gt;-2.222228&lt;/D&gt;&lt;D xsi:type="xsd:double"&gt;-6.1237392&lt;/D&gt;&lt;D xsi:type="xsd:double"&gt;2.051115&lt;/D&gt;&lt;D xsi:type="xsd:double"&gt;2.5205374&lt;/D&gt;&lt;D xsi:type="xsd:double"&gt;2.541542&lt;/D&gt;&lt;D xsi:type="xsd:double"&gt;1.6523719&lt;/D&gt;&lt;D xsi:type="xsd:double"&gt;1.7505407&lt;/D&gt;&lt;D xsi:type="xsd:double"&gt;2.5192022&lt;/D&gt;&lt;D xsi:type="xsd:double"&gt;4.285288&lt;/D&gt;&lt;D xsi:type="xsd:double"&gt;-2.075845&lt;/D&gt;&lt;D xsi:type="xsd:double"&gt;3.1503081&lt;/D&gt;&lt;D xsi:type="xsd:double"&gt;-1.1343777&lt;/D&gt;&lt;D xsi:type="xsd:double"&gt;2.265358&lt;/D&gt;&lt;D xsi:type="xsd:double"&gt;0.23015738&lt;/D&gt;&lt;D xsi:type="xsd:double"&gt;0.25832653&lt;/D&gt;&lt;D xsi:type="xsd:double"&gt;5.448234&lt;/D&gt;&lt;D xsi:type="xsd:double"&gt;0.3319502&lt;/D&gt;&lt;D xsi:type="xsd:double"&gt;-5.238491&lt;/D&gt;&lt;D xsi:type="xsd:double"&gt;0.029098988&lt;/D&gt;&lt;D xsi:type="xsd:double"&gt;4.3630004&lt;/D&gt;&lt;D xsi:type="xsd:double"&gt;1.0869503&lt;/D&gt;&lt;D xsi:type="xsd:double"&gt;-2.9845119&lt;/D&gt;&lt;D xsi:type="xsd:double"&gt;-0.23275614&lt;/D&gt;&lt;D xsi:type="xsd:double"&gt;-2.0997405&lt;/D&gt;&lt;D xsi:type="xsd:double"&gt;1.012814&lt;/D&gt;&lt;D xsi:type="xsd:double"&gt;-4.865825&lt;/D&gt;&lt;D xsi:type="xsd:double"&gt;-2.5728405&lt;/D&gt;&lt;D xsi:type="xsd:double"&gt;-4.641491&lt;/D&gt;&lt;D xsi:type="xsd:double"&gt;7.73952&lt;/D&gt;&lt;D xsi:type="xsd:double"&gt;3.259492&lt;/D&gt;&lt;D xsi:type="xsd:double"&gt;3.095305&lt;/D&gt;&lt;D xsi:type="xsd:double"&gt;-0.8917928&lt;/D&gt;&lt;D xsi:type="xsd:double"&gt;-4.9490094&lt;/D&gt;&lt;D xsi:type="xsd:double"&gt;5.5115223&lt;/D&gt;&lt;D xsi:type="xsd:double"&gt;-5.7975473&lt;/D&gt;&lt;D xsi:type="xsd:double"&gt;-1.2048185&lt;/D&gt;&lt;D xsi:type="xsd:double"&gt;-0.4943967&lt;/D&gt;&lt;D xsi:type="xsd:double"&gt;8.247768&lt;/D&gt;&lt;D xsi:type="xsd:double"&gt;0.06120205&lt;/D&gt;&lt;D xsi:type="xsd:double"&gt;6.262684&lt;/D&gt;&lt;D xsi:type="xsd:double"&gt;-4.421675&lt;/D&gt;&lt;D xsi:type="xsd:double"&gt;-9.528184&lt;/D&gt;&lt;D xsi:type="xsd:double"&gt;-21.266508&lt;/D&gt;&lt;D xsi:type="xsd:double"&gt;5.7634473&lt;/D&gt;&lt;D xsi:type="xsd:double"&gt;8.784056&lt;/D&gt;&lt;D xsi:type="xsd:double"&gt;-0.7991195&lt;/D&gt;&lt;D xsi:type="xsd:double"&gt;-0.8033633&lt;/D&gt;&lt;D xsi:type="xsd:double"&gt;3.4708858&lt;/D&gt;&lt;D xsi:type="xsd:double"&gt;-4.062617&lt;/D&gt;&lt;D xsi:type="xsd:double"&gt;-4.3511987&lt;/D&gt;&lt;D xsi:type="xsd:double"&gt;18.521523&lt;/D&gt;&lt;D xsi:type="xsd:double"&gt;1.5270472&lt;/D&gt;&lt;D xsi:type="xsd:double"&gt;1.638782&lt;/D&gt;&lt;D xsi:type="xsd:double"&gt;4.333222&lt;/D&gt;&lt;D xsi:type="xsd:double"&gt;1.9639373&lt;/D&gt;&lt;D xsi:type="xsd:double"&gt;2.7155042&lt;/D&gt;&lt;D xsi:type="xsd:double"&gt;5.133724&lt;/D&gt;&lt;D xsi:type="xsd:double"&gt;-1.7594397&lt;/D&gt;&lt;D xsi:type="xsd:double"&gt;-0.42372942&lt;/D&gt;&lt;D xsi:type="xsd:double"&gt;1.6413331&lt;/D&gt;&lt;D xsi:type="xsd:double"&gt;-3.1399488&lt;/D&gt;&lt;D xsi:type="xsd:double"&gt;3.8283467&lt;/D&gt;&lt;D xsi:type="xsd:double"&gt;-3.419572&lt;/D&gt;&lt;D xsi:type="xsd:double"&gt;4.8408628&lt;/D&gt;&lt;D xsi:type="xsd:double"&gt;4.3753743&lt;/D&gt;&lt;D xsi:type="xsd:double"&gt;-2.4862707&lt;/D&gt;&lt;D xsi:type="xsd:double"&gt;0.592947&lt;/D&gt;&lt;D xsi:type="xsd:double"&gt;-5.30504&lt;/D&gt;&lt;D xsi:type="xsd</t>
        </r>
      </text>
    </comment>
    <comment ref="A3" authorId="0" shapeId="0" xr:uid="{19E9E67C-C81D-422E-94DA-D8CED3F58559}">
      <text>
        <r>
          <rPr>
            <b/>
            <sz val="9"/>
            <color indexed="81"/>
            <rFont val="Tahoma"/>
            <charset val="1"/>
          </rPr>
          <t>:double"&gt;3.734827&lt;/D&gt;&lt;D xsi:type="xsd:double"&gt;-8.674568&lt;/D&gt;&lt;D xsi:type="xsd:double"&gt;2.4757385&lt;/D&gt;&lt;D xsi:type="xsd:double"&gt;-7.2477937&lt;/D&gt;&lt;D xsi:type="xsd:double"&gt;-7.743752&lt;/D&gt;&lt;D xsi:type="xsd:double"&gt;6.2953115&lt;/D&gt;&lt;D xsi:type="xsd:double"&gt;14.501071&lt;/D&gt;&lt;D xsi:type="xsd:double"&gt;-2.4490237&lt;/D&gt;&lt;D xsi:type="xsd:double"&gt;5.577302&lt;/D&gt;&lt;D xsi:type="xsd:double"&gt;0.40160418&lt;/D&gt;&lt;D xsi:type="xsd:double"&gt;-0.7384658&lt;/D&gt;&lt;D xsi:type="xsd:double"&gt;3.502798&lt;/D&gt;&lt;D xsi:type="xsd:double"&gt;-2.2761285&lt;/D&gt;&lt;D xsi:type="xsd:double"&gt;1.0677695&lt;/D&gt;&lt;D xsi:type="xsd:double"&gt;0.09274483&lt;/D&gt;&lt;D xsi:type="xsd:double"&gt;-0.9882629&lt;/D&gt;&lt;D xsi:type="xsd:double"&gt;-3.181535&lt;/D&gt;&lt;D xsi:type="xsd:double"&gt;0.5476713&lt;/D&gt;&lt;D xsi:type="xsd:double"&gt;5.350852&lt;/D&gt;&lt;D xsi:type="xsd:double"&gt;1.8665671&lt;/D&gt;&lt;D xsi:type="xsd:double"&gt;-0.8552313&lt;/D&gt;&lt;D xsi:type="xsd:double"&gt;1.4171243&lt;/D&gt;&lt;D xsi:type="xsd:double"&gt;3.3414364&lt;/D&gt;&lt;D xsi:type="xsd:double"&gt;3.0276299&lt;/D&gt;&lt;/FQL&gt;&lt;FQL&gt;&lt;Q&gt;EWQ^FMA_PCT_ABOVE_MAVG(200,0,,,,"PORTAGG")&lt;/Q&gt;&lt;R&gt;1&lt;/R&gt;&lt;C&gt;1&lt;/C&gt;&lt;D xsi:type="xsd:double"&gt;73.015873015873&lt;/D&gt;&lt;/FQL&gt;&lt;FQL&gt;&lt;Q&gt;EWL^FG_TOTAL_RETURNC(0,-3AM)&lt;/Q&gt;&lt;R&gt;1&lt;/R&gt;&lt;C&gt;1&lt;/C&gt;&lt;D xsi:type="xsd:double"&gt;-3.4650385&lt;/D&gt;&lt;/FQL&gt;&lt;FQL&gt;&lt;Q&gt;EWA^FG_TOTAL_RETURNC(0,-12AM)&lt;/Q&gt;&lt;R&gt;1&lt;/R&gt;&lt;C&gt;1&lt;/C&gt;&lt;D xsi:type="xsd:double"&gt;8.403897&lt;/D&gt;&lt;/FQL&gt;&lt;FQL&gt;&lt;Q&gt;VWO^FMA_COS_UP("EPS","1M",+1,0,,,"PORTAGG","MEANR")&lt;/Q&gt;&lt;R&gt;1&lt;/R&gt;&lt;C&gt;1&lt;/C&gt;&lt;D xsi:type="xsd:double"&gt;841&lt;/D&gt;&lt;/FQL&gt;&lt;FQL&gt;&lt;Q&gt;SPY^SIZE(FG_CONSTITUENTS)&lt;/Q&gt;&lt;R&gt;1&lt;/R&gt;&lt;C&gt;1&lt;/C&gt;&lt;D xsi:type="xsd:long"&gt;504&lt;/D&gt;&lt;/FQL&gt;&lt;FQL&gt;&lt;Q&gt;EWD^FG_COMPANY_NAME&lt;/Q&gt;&lt;R&gt;1&lt;/R&gt;&lt;C&gt;1&lt;/C&gt;&lt;D xsi:type="xsd:string"&gt;iShares MSCI Sweden ETF&lt;/D&gt;&lt;/FQL&gt;&lt;FQL&gt;&lt;Q&gt;REFNZOCR-FDS^(SUBARRAY(NOT_NA(NO_REPEAT_F(FG_YIELD(NOW,-10AY,D))),0,1)-SUBARRAY(NOT_NA(NO_REPEAT_F(FG_YIELD(NOW,-10AY,D))),1,1))*100&lt;/Q&gt;&lt;R&gt;1&lt;/R&gt;&lt;C&gt;1&lt;/C&gt;&lt;D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xsi:type="xsd:double"&gt;25&lt;/D&gt;&lt;/FQL&gt;&lt;FQL&gt;&lt;Q&gt;TRYIT10Y-FDS^FG_YIELD_NAME&lt;/Q&gt;&lt;R&gt;1&lt;/R&gt;&lt;C&gt;1&lt;/C&gt;&lt;D xsi:type="xsd:string"&gt;Italy Benchmark Bond - 10 Year&lt;/D&gt;&lt;/FQL&gt;&lt;FQL&gt;&lt;Q&gt;DUMMY^ECON_EXPR_DATA('FDS_ECON[PMIDMMANHE]',,,M)&lt;/Q&gt;&lt;R&gt;1&lt;/R&gt;&lt;C&gt;1&lt;/C&gt;&lt;D xsi:type="xsd:double"&gt;48.59645&lt;/D&gt;&lt;/FQL&gt;&lt;FQL&gt;&lt;Q&gt;EWN^FMA_ROE(NTMA,-20AY,NOW,FY,"PORTAGG","MEANR")&lt;/Q&gt;&lt;R&gt;20&lt;/R&gt;&lt;C&gt;1&lt;/C&gt;&lt;D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xsi:type="xsd:double"&gt;12.7459856688058&lt;/D&gt;&lt;/FQL&gt;&lt;FQL&gt;&lt;Q&gt;TRYSA10Y-FDS^FG_YIELD(-10AY,0,Y,,"YTM")&lt;/Q&gt;&lt;R&gt;10&lt;/R&gt;&lt;C&gt;1&lt;/C&gt;&lt;D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xsi:type="xsd:double"&gt;3.1928&lt;/D&gt;&lt;/FQL&gt;&lt;FQL&gt;&lt;Q&gt;EWQ^P_PRICE(0)/P_PRICE_HIGH_PR(0,,,,,,"PRICE","INTRA","52W")&lt;/Q&gt;&lt;R&gt;1&lt;/R&gt;&lt;C&gt;1&lt;/C&gt;&lt;D xsi:type="xsd:double"&gt;0.96214926&lt;/D&gt;&lt;/FQL&gt;&lt;FQL&gt;&lt;Q&gt;EWU^PERCENT_CHANGE(FMA_EPS(+1,0,,,,"PORTAGG","MEAN"),FMA_EPS(+1,-1AM,,,,"PORTAGG","MEAN"))&lt;/Q&gt;&lt;R&gt;1&lt;/R&gt;&lt;C&gt;1&lt;/C&gt;&lt;D xsi:type="xsd:double"&gt;0.746483022667197&lt;/D&gt;&lt;/FQL&gt;&lt;FQL&gt;&lt;Q&gt;EWN^SIZE(FG_CONSTITUENTS)&lt;/Q&gt;&lt;R&gt;1&lt;/R&gt;&lt;C&gt;1&lt;/C&gt;&lt;D xsi:type="xsd:long"&gt;54&lt;/D&gt;&lt;/FQL&gt;&lt;FQL&gt;&lt;Q&gt;EWN^FMA_RBICS_REV_CURRENT(30, LOC, "PORTAGG")&lt;/Q&gt;&lt;R&gt;1&lt;/R&gt;&lt;C&gt;1&lt;/C&gt;&lt;D xsi:type="xsd:double"&gt;25.1822237253434&lt;/D&gt;&lt;/FQL&gt;&lt;FQL&gt;&lt;Q&gt;QQQ^FG_ROE(0)&lt;/Q&gt;&lt;R&gt;1&lt;/R&gt;&lt;C&gt;1&lt;/C&gt;&lt;D xsi:type="xsd:double"&gt;22.084553882319&lt;/D&gt;&lt;/FQL&gt;&lt;FQL&gt;&lt;Q&gt;TRYJP10Y-FDS^FG_YIELD_NAME&lt;/Q&gt;&lt;R&gt;1&lt;/R&gt;&lt;C&gt;1&lt;/C&gt;&lt;D xsi:type="xsd:string"&gt;Japan Benchmark Bond - 10 Year&lt;/D&gt;&lt;/FQL&gt;&lt;FQL&gt;&lt;Q&gt;REFFFUND-FDS^PROPER_NAME(0,,,"SECURITY","NAME")&lt;/Q&gt;&lt;R&gt;1&lt;/R&gt;&lt;C&gt;1&lt;/C&gt;&lt;D xsi:type="xsd:string"&gt;US Federal Funds Target Rate&lt;/D&gt;&lt;/FQL&gt;&lt;FQL&gt;&lt;Q&gt;REFCATARG-FDS^(SUBARRAY(NOT_NA(NO_REPEAT_F(FG_YIELD(NOW,-10AY,D))),0,1)-SUBARRAY(NOT_NA(NO_REPEAT_F(FG_YIELD(NOW,-10AY,D))),1,1))*100&lt;/Q&gt;&lt;R&gt;1&lt;/R&gt;&lt;C&gt;1&lt;/C&gt;&lt;D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xsi:type="xsd:double"&gt;25&lt;/D&gt;&lt;/FQL&gt;&lt;FQL&gt;&lt;Q&gt;TRYFR10Y-FDS^PCTCHG(FG_YIELD(0,,,,"YTM"),FG_YIELD(-1AM,,,,"YTM"))&lt;/Q&gt;&lt;R&gt;1&lt;/R&gt;&lt;C&gt;1&lt;/C&gt;&lt;D xsi:type="xsd:double"&gt;3.871194&lt;/D&gt;&lt;/FQL&gt;&lt;FQL&gt;&lt;Q&gt;TRYAU10Y-FDS^PCTCHG(FG_YIELD(0,,,,"YTM"),FG_YIELD(-1AM,,,,"YTM"))&lt;/Q&gt;&lt;R&gt;1&lt;/R&gt;&lt;C&gt;1&lt;/C&gt;&lt;D xsi:type="xsd:double"&gt;9.453479&lt;/D&gt;&lt;/FQL&gt;&lt;FQL&gt;&lt;Q&gt;EWD^FG_PRICE_MAVG(0,,,,30)&lt;/Q&gt;&lt;R&gt;1&lt;/R&gt;&lt;C&gt;1&lt;/C&gt;&lt;D xsi:type="xsd:double"&gt;39.485832&lt;/D&gt;&lt;/FQL&gt;&lt;FQL&gt;&lt;Q&gt;EWG^FG_PRICE_MAVG(0,,,,30)&lt;/Q&gt;&lt;R&gt;1&lt;/R&gt;&lt;C&gt;1&lt;/C&gt;&lt;D xsi:type="xsd:double"&gt;30.948334&lt;/D&gt;&lt;/FQL&gt;&lt;FQL&gt;&lt;Q&gt;EWN^FG_COMPANY_NAME&lt;/Q&gt;&lt;R&gt;1&lt;/R&gt;&lt;C&gt;1&lt;/C&gt;&lt;D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xsi:type="xsd:double"&gt;26.809906&lt;/D&gt;&lt;/FQL&gt;&lt;FQL&gt;&lt;Q&gt;VGK^PERCENT_CHANGE(FMA_EPS(+1,0,,,,"PORTAGG","MEAN"),FMA_EPS(+1,-1AM,,,,"PORTAGG","MEAN"))&lt;/Q&gt;&lt;R&gt;1&lt;/R&gt;&lt;C&gt;1&lt;/C&gt;&lt;D xsi:type="xsd:double"&gt;0&lt;/D&gt;&lt;/FQL&gt;&lt;FQL&gt;&lt;Q&gt;QQQ^P_PRICE(0)/P_PRICE_LOW_PR(0,,,,,,"PRICE","INTRA","52W")-1&lt;/Q&gt;&lt;R&gt;1&lt;/R&gt;&lt;C&gt;1&lt;/C&gt;&lt;D xsi:type="xsd:double"&gt;0.35474348&lt;/D&gt;&lt;/FQL&gt;&lt;FQL&gt;&lt;Q&gt;EWU^FMA_PCT_ABOVE_MAVG(200,0,,,,"PORTAGG")&lt;/Q&gt;&lt;R&gt;1&lt;/R&gt;&lt;C&gt;1&lt;/C&gt;&lt;D xsi:type="xsd:double"&gt;65.4761904761905&lt;/D&gt;&lt;/FQL&gt;&lt;FQL&gt;&lt;Q&gt;USDCHF^FG_PRICE_CHANGE(0,-6AM)&lt;/Q&gt;&lt;R&gt;1&lt;/R&gt;&lt;C&gt;1&lt;/C&gt;&lt;D xsi:type="xsd:double"&gt;0.8000016&lt;/D&gt;&lt;/FQL&gt;&lt;FQL&gt;&lt;Q&gt;SPY^P_PRICE_RETURNS_PR('52W',2,-10AY,0,AM)&lt;/Q&gt;&lt;R&gt;121&lt;/R&gt;&lt;C&gt;1&lt;/C&gt;&lt;D xsi:type="xsd:double"&gt;20.094883&lt;/D&gt;&lt;D xsi:type="xsd:double"&gt;20.397722&lt;/D&gt;&lt;D xsi:type="xsd:double"&gt;24.74873&lt;/D&gt;&lt;D xsi:type="xsd:double"&gt;15.014923&lt;/D&gt;&lt;D xsi:type="xsd:double"&gt;24.994766&lt;/D&gt;&lt;D xsi:type="xsd:double"&gt;17.127502&lt;/D&gt;&lt;D xsi:type="xsd:double"&gt;16.945076&lt;/D&gt;&lt;D xsi:type="xsd:double"&gt;16.937983&lt;/D&gt;&lt;D xsi:type="xsd:double"&gt;14.498711&lt;/D&gt;&lt;D xsi:type="xsd:double"&gt;15.536261&lt;/D&gt;&lt;D xsi:type="xsd:double"&gt;16.017569&lt;/D&gt;&lt;D xsi:type="xsd:double"&gt;11.4277&lt;/D&gt;&lt;D xsi:type="xsd:double"&gt;14.075815&lt;/D&gt;&lt;D xsi:type="xsd:double"&gt;11.711431&lt;/D&gt;&lt;D xsi:type="xsd:double"&gt;7.173836&lt;/D&gt;&lt;D xsi:type="xsd:double"&gt;11.156249&lt;/D&gt;&lt;D xsi:type="xsd:double"&gt;-0.6802201&lt;/D&gt;&lt;D xsi:type="xsd:double"&gt;2.3498535&lt;/D&gt;&lt;D xsi:type="xsd:double"&gt;6.441152&lt;/D&gt;&lt;D xsi:type="xsd:double"&gt;2.7358532&lt;/D&gt;&lt;D xsi:type="xsd:double"&gt;1.2520194&lt;/D&gt;&lt;D xsi:type="xsd:double"&gt;-3.863871&lt;/D&gt;&lt;D xsi:type="xsd:double"&gt;-4.1737614&lt;/D&gt;&lt;D xsi:type="xsd:double"&gt;2.7596354&lt;/D&gt;&lt;D xsi:type="xsd:double"&gt;0.8206129&lt;/D&gt;&lt;D xsi:type="xsd:double"&gt;1.9362688&lt;/D&gt;&lt;D xsi:type="xsd:double"&gt;3.380084&lt;/D&gt;&lt;D xsi:type="xsd:double"&gt;4.6390533&lt;/D&gt;&lt;D xsi:type="xsd:double"&gt;14.194632&lt;/D&gt;&lt;D xsi:type="xsd:double"&gt;15.318548&lt;/D&gt;&lt;D xsi:type="xsd:double"&gt;1.8502951&lt;/D&gt;&lt;D xsi:type="xsd:double"&gt;7.6292157&lt;/D&gt;&lt;D xsi:type="xsd:double"&gt;10.880923&lt;/D&gt;&lt;D xsi:type="xsd:double"&gt;22.353947&lt;/D&gt;&lt;D xsi:type="xsd:double"&gt;22.308577&lt;/D&gt;&lt;D xsi:type="xsd:double"&gt;17.08033&lt;/D&gt;&lt;D xsi:type="xsd:double"&gt;17.18819&lt;/D&gt;&lt;D xsi:type="xsd:double"&gt;18.167995&lt;/D&gt;&lt;D xsi:type="xsd:double"&gt;17.782104&lt;/D&gt;&lt;D xsi:type="xsd:double"&gt;17.132866&lt;/D&gt;&lt;D xsi:type="xsd:double"&gt;16.328764&lt;/D&gt;&lt;D xsi:type="xsd:double"&gt;19.014502&lt;/D&gt;&lt;D xsi:type="xsd:double"&gt;25.300385&lt;/D&gt;&lt;D xsi:type="xsd:double"&gt;22.88295&lt;/D&gt;&lt;D xsi:type="xsd:double"&gt;22.571384&lt;/D&gt;&lt;D xsi:type="xsd:double"&gt;23.279358&lt;/D&gt;&lt;D xsi:type="xsd:double"&gt;15.121424&lt;/D&gt;&lt;D xsi:type="xsd:double"&gt;11.296701&lt;/D&gt;&lt;D xsi:type="xsd:double"&gt;12.329828&lt;/D&gt;&lt;D xsi:type="xsd:double"&gt;14.56604&lt;/D&gt;&lt;D xsi:type="xsd:double"&gt;14.528358&lt;/D&gt;&lt;D xsi:type="xsd:double"&gt;16.252827&lt;/D&gt;&lt;D xsi:type="xsd:double"&gt;19.489134&lt;/D&gt;&lt;D xsi:type="xsd:double"&gt;17.65672&lt;/D&gt;&lt;D xsi:type="xsd:double"&gt;7.474339&lt;/D&gt;&lt;D xsi:type="xsd:double"&gt;5.9098125&lt;/D&gt;&lt;D xsi:type="xsd:double"&gt;-5.1367464&lt;/D&gt;&lt;D xsi:type="xsd:double"&gt;-2.257222&lt;/D&gt;&lt;D xsi:type="xsd:double"&gt;6.7546606&lt;/D&gt;&lt;D xsi:type="xsd:double"&gt;13.236368&lt;/D&gt;&lt;D xsi:type="xsd:double"&gt;12.789249&lt;/D&gt;&lt;D xsi:type="xsd:double"&gt;3.580451&lt;/D&gt;&lt;D xsi:type="xsd:double"&gt;11.206734&lt;/D&gt;&lt;D xsi:type="xsd:double"&gt;5.683923&lt;/D&gt;&lt;D xsi:type="xsd:double"&gt;2.7445555&lt;/D&gt;&lt;D xsi:type="xsd:double"&gt;0.775826&lt;/D&gt;&lt;D xsi:type="xsd:double"&gt;14.169002&lt;/D&gt;&lt;D xsi:type="xsd:double"&gt;15.317858&lt;/D&gt;&lt;D xsi:type="xsd:double"&gt;32.31127&lt;/D&gt;&lt;D xsi:type="xsd:double"&gt;21.445179&lt;/D&gt;&lt;D xsi:type="xsd:double"&gt;12.309313&lt;/D&gt;&lt;D xsi:type="xsd:double"&gt;-10.115033&lt;/D&gt;&lt;D xsi:type="xsd:double"&gt;-1.084584&lt;/D&gt;&lt;D xsi:type="xsd:double"&gt;14.236439&lt;/D&gt;&lt;D xsi:type="xsd:double"&gt;7.4635267&lt;/D&gt;&lt;D xsi:type="xsd:double"&gt;12.00403&lt;/D&gt;&lt;D xsi:type="xsd:double"&gt;24.788904&lt;/D&gt;&lt;D xsi:type="xsd:double"&gt;18.170643&lt;/D&gt;&lt;D xsi:type="xsd:double"&gt;9.979355&lt;/D&gt;&lt;D xsi:type="xsd:double"&gt;20.01028&lt;/D&gt;&lt;D xsi:type="xsd:double"&gt;18.373215&lt;/D&gt;&lt;D xsi:type="xsd:double"&gt;20.850384&lt;/D&gt;&lt;D xsi:type="xsd:double"&gt;27.437628&lt;/D&gt;&lt;D xsi:type="xsd:double"&gt;65.37613&lt;/D&gt;&lt;D xsi:type="xsd:double"&gt;45.97652&lt;/D&gt;&lt;D xsi:type="xsd:double"&gt;38.636566&lt;/D&gt;&lt;D xsi:type="xsd:double"&gt;40.99548&lt;/D&gt;&lt;D xsi:type="xsd:double"&gt;36.02791&lt;/D&gt;&lt;D xsi:type="xsd:double"&gt;28.597271&lt;/D&gt;&lt;D xsi:type="xsd:double"&gt;30.667091&lt;/D&gt;&lt;D xsi:type="xsd:double"&gt;41.86939&lt;/D&gt;&lt;D xsi:type="xsd:double"&gt;26.472628&lt;/D&gt;&lt;D xsi:type="xsd:double"&gt;28.745068&lt;/D&gt;&lt;D xsi:type="xsd:double"&gt;21.4795&lt;/D&gt;&lt;D xsi:type="xsd:double"&gt;14.809108&lt;/D&gt;&lt;D xsi:type="xsd:double"&gt;14.555395&lt;/D&gt;&lt;D xsi:type="xsd:double"&gt;0.6401062&lt;/D&gt;&lt;D xsi:type="xsd:double"&gt;0.6161094&lt;/D&gt;&lt;D xsi:type="xsd:double"&gt;-10.165781&lt;/D&gt;&lt;D xsi:type="xsd:double"&gt;-5.4192963&lt;/D&gt;&lt;D xsi:type="xsd:double"&gt;-12.215585&lt;/D&gt;&lt;D xsi:type="xsd:double"&gt;-15.506047&lt;/D&gt;&lt;D xsi:type="xsd:double"&gt;-17.610819&lt;/D&gt;&lt;D xsi:type="xsd:double"&gt;-9.689199&lt;/D&gt;&lt;D xsi:type="xsd:double"&gt;-18.377907&lt;/D&gt;&lt;D xsi:type="xsd:double"&gt;-7.388079&lt;/D&gt;&lt;D xsi:type="xsd:double"&gt;-7.674992&lt;/D&gt;&lt;D xsi:type="xsd:double"&gt;-7.8076067&lt;/D&gt;&lt;D xsi:type="xsd:double"&gt;0.813663&lt;/D&gt;&lt;D xsi:type="xsd:double"&gt;4.272735&lt;/D&gt;&lt;D xsi:type="xsd:double"&gt;19.439352&lt;/D&gt;&lt;D xsi:type="xsd:double"&gt;12.12759&lt;/D&gt;&lt;D xsi:type="xsd:double"&gt;15.691757&lt;/D&gt;&lt;D xsi:type="xsd:double"&gt;21.53685&lt;/D&gt;&lt;D xsi:type="xsd:double"&gt;16.736519&lt;/D&gt;&lt;D xsi:type="xsd:double"&gt;14.48791&lt;/D&gt;&lt;D xsi:type="xsd:double"&gt;25.483358&lt;/D&gt;&lt;D xsi:type="xsd:double"&gt;20.427608&lt;/D&gt;&lt;D xsi:type="xsd:double"&gt;31.909966&lt;/D&gt;&lt;D xsi:type="xsd:double"&gt;28.581083&lt;/D&gt;&lt;D xsi:type="xsd:double"&gt;24.71689&lt;/D&gt;&lt;/FQL&gt;&lt;FQL&gt;&lt;Q&gt;NI-FDS^FG_PRICE_MAVG(0,,,,30)&lt;/Q&gt;&lt;R&gt;1&lt;/R&gt;&lt;C&gt;1&lt;/C&gt;&lt;D xsi:type="xsd:double"&gt;17869.5&lt;/D&gt;&lt;/FQL&gt;&lt;FQL&gt;&lt;Q&gt;TIOS-FDS^FG_PRICE_MAVG(0,,,,30)&lt;/Q&gt;&lt;R&gt;1&lt;/R&gt;&lt;C&gt;1&lt;/C&gt;&lt;D xsi:type="xsd:double"&gt;107.600334&lt;/D&gt;&lt;/FQL&gt;&lt;FQL&gt;&lt;Q&gt;EWN^FG_PRICE_MAVG(0,,,,30)&lt;/Q&gt;&lt;R&gt;1&lt;/R&gt;&lt;C&gt;1&lt;/C&gt;&lt;D xsi:type="xsd:double"&gt;48.725334&lt;/D&gt;&lt;/FQL&gt;&lt;FQL&gt;&lt;Q&gt;CAGDPY@US^EE_ACTUAL_ANNUAL(MED,+1)&lt;/Q&gt;&lt;R&gt;1&lt;/R&gt;&lt;C&gt;1&lt;/C&gt;&lt;D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xsi:type="xsd:double"&gt;-6.05&lt;/D&gt;&lt;/FQL&gt;&lt;FQL&gt;&lt;Q&gt;USDITL^FG_PRICE_CHANGE(0,-1AY)&lt;/Q&gt;&lt;R&gt;1&lt;/R&gt;&lt;C&gt;1&lt;/C&gt;&lt;D xsi:type="xsd:double"&gt;2.7178645&lt;/D&gt;&lt;/FQL&gt;&lt;FQL&gt;&lt;Q&gt;USDANG^FG_PRICE_CHANGE(0,-1AY)&lt;/Q&gt;&lt;R&gt;1&lt;/R&gt;&lt;C&gt;1&lt;/C&gt;&lt;D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xsi:type="xsd:double"&gt;-0.20023584&lt;/D&gt;&lt;/FQL&gt;&lt;FQL&gt;&lt;Q&gt;USDJPY^FG_PRICE_CHANGE(0,-1AY)&lt;/Q&gt;&lt;R&gt;1&lt;/R&gt;&lt;C&gt;1&lt;/C&gt;&lt;D xsi:type="xsd:double"&gt;12.885141&lt;/D&gt;&lt;/FQL&gt;&lt;FQL&gt;&lt;Q&gt;USDCAD^FG_PRICE_CHANGE(0,-1AY)&lt;/Q&gt;&lt;R&gt;1&lt;/R&gt;&lt;C&gt;1&lt;/C&gt;&lt;D xsi:type="xsd:double"&gt;0.60914755&lt;/D&gt;&lt;/FQL&gt;&lt;FQL&gt;&lt;Q&gt;USDNZD^FG_PRICE_CHANGE(0,-1AY)&lt;/Q&gt;&lt;R&gt;1&lt;/R&gt;&lt;C&gt;1&lt;/C&gt;&lt;D xsi:type="xsd:double"&gt;4.57114&lt;/D&gt;&lt;/FQL&gt;&lt;FQL&gt;&lt;Q&gt;EWA^JULIAN(FMA_EPS(NTMA,-20AY,0,CY,,"PORTAGG","MEANR").DATES)&lt;/Q&gt;&lt;R&gt;20&lt;/R&gt;&lt;C&gt;1&lt;/C&gt;&lt;D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xsi:type="xsd:double"&gt;-0.19000769&lt;/D&gt;&lt;D xsi:type="xsd:double"&gt;0.3535509&lt;/D&gt;&lt;D xsi:type="xsd:double"&gt;-0.84430575&lt;/D&gt;&lt;D xsi:type="xsd:double"&gt;-4.5825186&lt;/D&gt;&lt;D xsi:type="xsd:double"&gt;-0.2651751&lt;/D&gt;&lt;D xsi:type="xsd:double"&gt;-4.6971917&lt;/D&gt;&lt;D xsi:type="xsd:double"&gt;2.0458817&lt;/D&gt;&lt;D xsi:type="xsd:double"&gt;0.68348646&lt;/D&gt;&lt;D xsi:type="xsd:double"&gt;-4.386735&lt;/D&gt;&lt;D xsi:type="xsd:double"&gt;3.5918713&lt;/D&gt;&lt;D xsi:type="xsd:double"&gt;6.413007&lt;/D&gt;&lt;D xsi:type="xsd:double"&gt;-2.6816607&lt;/D&gt;&lt;D xsi:type="xsd:double"&gt;1.2740731&lt;/D&gt;&lt;D xsi:type="xsd:double"&gt;0.61439276&lt;/D&gt;&lt;D xsi:type="xsd:double"&gt;-4.608923&lt;/D&gt;&lt;D xsi:type="xsd:double"&gt;1.1044502&lt;/D&gt;&lt;D xsi:type="xsd:double"&gt;-6.3982544&lt;/D&gt;&lt;D xsi:type="xsd:double"&gt;-1.9006312&lt;/D&gt;&lt;D xsi:type="xsd:double"&gt;3.127122&lt;/D&gt;&lt;D xsi:type="xsd:double"&gt;-0.16479492&lt;/D&gt;&lt;D xsi:type="xsd:double"&gt;-3.579086&lt;/D&gt;&lt;D xsi:type="xsd:double"&gt;-9.629881&lt;/D&gt;&lt;D xsi:type="xsd:double"&gt;5.195296&lt;/D&gt;&lt;D xsi:type="xsd:double"&gt;6.3085794&lt;/D&gt;&lt;D xsi:type="xsd:double"&gt;3.119707&lt;/D&gt;&lt;D xsi:type="xsd:double"&gt;-2.795136&lt;/D&gt;&lt;D xsi:type="xsd:double"&gt;-3.3912182&lt;/D&gt;&lt;D xsi:type="xsd:double"&gt;0.6552577&lt;/D&gt;&lt;D xsi:type="xsd:double"&gt;4.66547&lt;/D&gt;&lt;D xsi:type="xsd:double"&gt;0.44920444&lt;/D&gt;&lt;D xsi:type="xsd:double"&gt;-6.1231494&lt;/D&gt;&lt;D xsi:type="xsd:double"&gt;0.5496502&lt;/D&gt;&lt;D xsi:type="xsd:double"&gt;4.719019&lt;/D&gt;&lt;D xsi:type="xsd:double"&gt;7.5182676&lt;/D&gt;&lt;D xsi:type="xsd:double"&gt;-1.8128812&lt;/D&gt;&lt;D xsi:type="xsd:double"&gt;4.088366&lt;/D&gt;&lt;D xsi:type="xsd:double"&gt;6.398475&lt;/D&gt;&lt;D xsi:type="xsd:double"&gt;3.1854749&lt;/D&gt;&lt;D xsi:type="xsd:double"&gt;0.08765459&lt;/D&gt;&lt;D xsi:type="xsd:double"&gt;1.4151096&lt;/D&gt;&lt;D xsi:type="xsd:double"&gt;1.1918545&lt;/D&gt;&lt;D xsi:type="xsd:double"&gt;2.8439999&lt;/D&gt;&lt;D xsi:type="xsd:double"&gt;-0.5586624&lt;/D&gt;&lt;D xsi:type="xsd:double"&gt;-4.129207&lt;/D&gt;&lt;D xsi:type="xsd:double"&gt;1.0897636&lt;/D&gt;&lt;D xsi:type="xsd:double"&gt;3.7763476&lt;/D&gt;&lt;D xsi:type="xsd:double"&gt;-6.234127&lt;/D&gt;&lt;D xsi:type="xsd:double"&gt;-0.7521033&lt;/D&gt;&lt;D xsi:type="xsd:double"&gt;-1.3337433&lt;/D&gt;&lt;D xsi:type="xsd:double"&gt;0.7373333&lt;/D&gt;&lt;D xsi:type="xsd:double"&gt;-3.224063&lt;/D&gt;&lt;D xsi:type="xsd:double"&gt;5.2770495&lt;/D&gt;&lt;D xsi:type="xsd:double"&gt;-0.156641&lt;/D&gt;&lt;D xsi:type="xsd:double"&gt;1.6002536&lt;/D&gt;&lt;D xsi:type="xsd:double"&gt;-7.535517&lt;/D&gt;&lt;D xsi:type="xsd:double"&gt;-2.6052117&lt;/D&gt;&lt;D xsi:type="xsd:double"&gt;-4.7099113&lt;/D&gt;&lt;D xsi:type="xsd:double"&gt;7.562113&lt;/D&gt;&lt;D xsi:type="xsd:double"&gt;1.6069651&lt;/D&gt;&lt;D xsi:type="xsd:double"&gt;2.0757794&lt;/D&gt;&lt;D xsi:type="xsd:double"&gt;2.0658493&lt;/D&gt;&lt;D xsi:type="xsd:double"&gt;-7.7166376&lt;/D&gt;&lt;D xsi:type="xsd:double"&gt;10.345734&lt;/D&gt;&lt;D xsi:type="xsd:double"&gt;-7.8525662&lt;/D&gt;&lt;D xsi:type="xsd:double"&gt;-1.4956534&lt;/D&gt;&lt;D xsi:type="xsd:double"&gt;-0.17654896&lt;/D&gt;&lt;D xsi:type="xsd:double"&gt;13.017332&lt;/D&gt;&lt;D xsi:type="xsd:double"&gt;-1.3771534&lt;/D&gt;&lt;D xsi:type="xsd:double"&gt;8.676434&lt;/D&gt;&lt;D xsi:type="xsd:double"&gt;-5.3518653&lt;/D&gt;&lt;D xsi:type="xsd:double"&gt;-3.2489836&lt;/D&gt;&lt;D xsi:type="xsd:double"&gt;-20.536&lt;/D&gt;&lt;D xsi:type="xsd:double"&gt;8.370579&lt;/D&gt;&lt;D xsi:type="xsd:double"&gt;16.98538&lt;/D&gt;&lt;D xsi:type="xsd:double"&gt;1.4397383&lt;/D&gt;&lt;D xsi:type="xsd:double"&gt;7.3217154&lt;/D&gt;&lt;D xsi:type="xsd:double"&gt;6.408739&lt;/D&gt;&lt;D xsi:type="xsd:double"&gt;-1.8873155&lt;/D&gt;&lt;D xsi:type="xsd:double"&gt;-2.6874006&lt;/D&gt;&lt;D xsi:type="xsd:double"&gt;15.406979&lt;/D&gt;&lt;D xsi:type="xsd:double"&gt;1.0021806&lt;/D&gt;&lt;D xsi:type="xsd:double"&gt;4.773879&lt;/D&gt;&lt;D xsi:type="xsd:double"&gt;4.2685866&lt;/D&gt;&lt;D xsi:type="xsd:double"&gt;4.0708423&lt;/D&gt;&lt;D xsi:type="xsd:double"&gt;2.5856256&lt;/D&gt;&lt;D xsi:type="xsd:double"&gt;5.9672594&lt;/D&gt;&lt;D xsi:type="xsd:double"&gt;-2.1646857&lt;/D&gt;&lt;D xsi:type="xsd:double"&gt;3.2319784&lt;/D&gt;&lt;D xsi:type="xsd:double"&gt;0.78270435&lt;/D&gt;&lt;D xsi:type="xsd:double"&gt;-7.4187636&lt;/D&gt;&lt;D xsi:type="xsd:double"&gt;6.1810136&lt;/D&gt;&lt;D xsi:type="xsd:double"&gt;-5.6548834&lt;/D&gt;&lt;D xsi:type="xsd:double"&gt;5.303383&lt;/D&gt;&lt;D xsi:type="xsd:double"&gt;-6.583214&lt;/D&gt;&lt;D xsi:type="xsd:double"&gt;-14.787424&lt;/D&gt;&lt;D xsi:type="xsd:double"&gt;7.754886&lt;/D&gt;&lt;D xsi:type="xsd:double"&gt;-10.770011&lt;/D&gt;&lt;D xsi:type="xsd:double"&gt;5.9785724&lt;/D&gt;&lt;D xsi:type="xsd:double"&gt;-16.381073&lt;/D&gt;&lt;D xsi:type="xsd:double"&gt;7.0072055&lt;/D&gt;&lt;D xsi:type="xsd:double"&gt;-10.709911&lt;/D&gt;&lt;D xsi:type="xsd:double"&gt;-6.6141186&lt;/D&gt;&lt;D xsi:type="xsd:double"&gt;6.9357753&lt;/D&gt;&lt;D xsi:type="xsd:double"&gt;17.673302&lt;/D&gt;&lt;D xsi:type="xsd:double"&gt;-5.1769257&lt;/D&gt;&lt;D xsi:type="xsd:double"&gt;13.578712&lt;/D&gt;&lt;D xsi:type="xsd:double"&gt;-4.112208&lt;/D&gt;&lt;D xsi:type="xsd:double"&gt;0.93723536&lt;/D&gt;&lt;D xsi:type="xsd:double"&gt;2.7011752&lt;/D&gt;&lt;D xsi:type="xsd:double"&gt;-3.397262&lt;/D&gt;&lt;D xsi:type="xsd:double"&gt;0.45377016&lt;/D&gt;&lt;D xsi:type="xsd:double"&gt;-2.343303&lt;/D&gt;&lt;D xsi:type="xsd:double"&gt;-4.1630507&lt;/D&gt;&lt;D xsi:type="xsd:double"&gt;-2.2926152&lt;/D&gt;&lt;D xsi:type="xsd:double"&gt;-0.6792247&lt;/D&gt;&lt;D xsi:type="xsd:double"&gt;14.361215&lt;/D&gt;&lt;D xsi:type="xsd:double"&gt;7.7335477&lt;/D&gt;&lt;D xsi:type="xsd:double"&gt;-3.0765235&lt;/D&gt;&lt;D xsi:type="xsd:double"&gt;6.6684484&lt;/D&gt;&lt;D xsi:type="xsd:double"&gt;-0.80021024&lt;/D&gt;&lt;D xsi:type="xsd:double"&gt;-1.8149674&lt;/D&gt;&lt;/FQL&gt;&lt;FQL&gt;&lt;Q&gt;EWQ^FMA_DIV_YLD(NTMA,-10AY,0,AM,"PORTAGG","MEANR")&lt;/Q&gt;&lt;R&gt;121&lt;/R&gt;&lt;C&gt;1&lt;/C&gt;&lt;D xsi:type="xsd:double"&gt;3.4638687105566&lt;/D&gt;&lt;D xsi:type="xsd:double"&gt;3.38791858915823&lt;/D&gt;&lt;D xsi:type="xsd:double"&gt;3.42561083796715&lt;/D&gt;&lt;D xsi:type="xsd:double"&gt;3.63523168362998&lt;/D&gt;&lt;D xsi:type="xsd:double"&gt;3.53993720017148&lt;/D&gt;&lt;D xsi:type="xsd:double"&gt;3.69367624221728&lt;/D&gt;&lt;D xsi:type="xsd:double"&gt;3.69761747281395&lt;/D&gt;&lt;D xsi:type="xsd:double"&gt;3.55632631527246&lt;/D&gt;&lt;D xsi:type="xsd:double"&gt;3.64916230848045&lt;/D&gt;&lt;D xsi:type="xsd:double"&gt;3.35469864374584&lt;/D&gt;&lt;D xsi:type="xsd:double"&gt;3.16395792012958&lt;/D&gt;&lt;D xsi:type="xsd:double"&gt;3.16908348705545&lt;/D&gt;&lt;D xsi:type="xsd:double"&gt;3.25032792451333&lt;/D&gt;&lt;D xsi:type="xsd:double"&gt;3.29281436701136&lt;/D&gt;&lt;D xsi:type="xsd:double"&gt;3.42910900812975&lt;/D&gt;&lt;D xsi:type="xsd:double"&gt;3.291572031812&lt;/D&gt;&lt;D xsi:type="xsd:double"&gt;3.68766374451199&lt;/D&gt;&lt;D xsi:type="xsd:double"&gt;3.75713712725147&lt;/D&gt;&lt;D xsi:type="xsd:double"&gt;3.41885827529157&lt;/D&gt;&lt;D xsi:type="xsd:double"&gt;3.41932454244994&lt;/D&gt;&lt;D xsi:type="xsd:double"&gt;3.60193863288813&lt;/D&gt;&lt;D xsi:type="xsd:double"&gt;3.88014225328309&lt;/D&gt;&lt;D xsi:type="xsd:double"&gt;3.76550685367257&lt;/D&gt;&lt;D xsi:type="xsd:double"&gt;3.81704597364603&lt;/D&gt;&lt;D xsi:type="xsd:double"&gt;3.71002936943924&lt;/D&gt;&lt;D xsi:type="xsd:double"&gt;3.71569826118118&lt;/D&gt;&lt;D xsi:type="xsd:double"&gt;3.87498928857858&lt;/D&gt;&lt;D xsi:type="xsd:double"&gt;3.81552508819399&lt;/D&gt;&lt;D xsi:type="xsd:double"&gt;3.65727704865518&lt;/D&gt;&lt;D xsi:type="xsd:double"&gt;3.72463199024037&lt;/D&gt;&lt;D xsi:type="xsd:double"&gt;3.802112436506&lt;/D&gt;&lt;D xsi:type="xsd:double"&gt;3.69359323027504&lt;/D&gt;&lt;D xsi:type="xsd:double"&gt;3.46627926955841&lt;/D&gt;&lt;D xsi:type="xsd:double"&gt;3.50530860558722&lt;/D&gt;&lt;D xsi:type="xsd:double"&gt;3.45404022867683&lt;/D&gt;&lt;D xsi:type="xsd:double"&gt;3.34878974588245&lt;/D&gt;&lt;D xsi:type="xsd:double"&gt;3.24244894980787&lt;/D&gt;&lt;D xsi:type="xsd:double"&gt;3.22577455836148&lt;/D&gt;&lt;D xsi:type="xsd:double"&gt;3.38892587160361&lt;/D&gt;&lt;D xsi:type="xsd:double"&gt;3.40282927433905&lt;/D&gt;&lt;D xsi:type="xsd:double"&gt;3.40480123197067&lt;/D&gt;&lt;D xsi:type="xsd:double"&gt;3.28625487377768&lt;/D&gt;&lt;D xsi:type="xsd:double"&gt;3.23340031409188&lt;/D&gt;&lt;D xsi:type="xsd:double"&gt;3.3108365060302&lt;/D&gt;&lt;D xsi:type="xsd:double"&gt;3.33468555523747&lt;/D&gt;&lt;D xsi:type="xsd:double"&gt;3.28798644955116&lt;/D&gt;&lt;D xsi:type="xsd:double"&gt;3.4729556178549&lt;/D&gt;&lt;D xsi:type="xsd:double"&gt;3.46873308019501&lt;/D&gt;&lt;D xsi:type="xsd:double"&gt;3.2985062038521&lt;/D&gt;&lt;D xsi:type="xsd:double"&gt;3.36118442045111&lt;/D&gt;&lt;D xsi:type="xsd:double"&gt;3.49476368588676&lt;/D&gt;&lt;D xsi:type="xsd:double"&gt;3.4053169720345&lt;/D&gt;&lt;D xsi:type="xsd:double"&gt;3.45504612316079&lt;/D&gt;&lt;D xsi:type="xsd:double"&gt;3.45325422579843&lt;/D&gt;&lt;D xsi:type="xsd:double"&gt;3.70183322733909&lt;/D&gt;&lt;D xsi:type="xsd:double"&gt;3.79446278583538&lt;/D&gt;&lt;D xsi:type="xsd:double"&gt;4.04413488670479&lt;/D&gt;&lt;D xsi:type="xsd:double"&gt;3.77589250735133&lt;/D&gt;&lt;D xsi:type="xsd:double"&gt;3.62006056995402&lt;/D&gt;&lt;D xsi:type="xsd:double"&gt;3.55694357602635&lt;/D&gt;&lt;D xsi:type="xsd:double"&gt;3.4966583549995&lt;/D&gt;&lt;D xsi:type="xsd:double"&gt;3.72724093589846&lt;/D&gt;&lt;D xsi:type="xsd:double"&gt;3.50889255889199&lt;/D&gt;&lt;D xsi:type="xsd:double"&gt;3.65992110966625&lt;/D&gt;&lt;D xsi:type="xsd:double"&gt;3.60141430704515&lt;/D&gt;&lt;D xsi:type="xsd:double"&gt;3.64645334125575&lt;/D&gt;&lt;D xsi:type="xsd:double"&gt;3.43179236232617&lt;/D&gt;&lt;D xsi:type="xsd:double"&gt;3.44507430139648&lt;/D&gt;&lt;D xsi:type="xsd:double"&gt;3.31934963429303&lt;/D&gt;&lt;D xsi:type="xsd:double"&gt;3.43300161790139&lt;/D&gt;&lt;D xsi:type="xsd:double"&gt;3.70929108124537&lt;/D&gt;&lt;D xsi:type="xsd:double"&gt;4.42950884807809&lt;/D&gt;&lt;D xsi:type="xsd:double"&gt;3.51706365847088&lt;/D&gt;&lt;D xsi:type="xsd:double"&gt;3.20320048093894&lt;/D&gt;&lt;D xsi:type="xsd:double"&gt;3.08260103593159&lt;/D&gt;&lt;D xsi:type="xsd:double"&gt;3.23491884614065&lt;/D&gt;&lt;D xsi:type="xsd:double"&gt;3.10182954378298&lt;/D&gt;&lt;D xsi:type="xsd:double"&gt;3.27590212138679&lt;/D&gt;&lt;D xsi:type="xsd:double"&gt;3.37087643294719&lt;/D&gt;&lt;D xsi:type="xsd:double"&gt;2.87665522493707&lt;/D&gt;&lt;D xsi:type="xsd:double"&gt;2.93955435270377&lt;/D&gt;&lt;D xsi:type="xsd:double"&gt;2.953248274664&lt;/D&gt;&lt;D xsi:type="xsd:double"&gt;2.82961370542975&lt;/D&gt;&lt;D xsi:type="xsd:double"&gt;2.74011411200578&lt;/D&gt;&lt;D xsi:type="xsd:double"&gt;2.70594869243793&lt;/D&gt;&lt;D xsi:type="xsd:double"&gt;2.65998269192396&lt;/D&gt;&lt;D xsi:type="xsd:double"&gt;2.69318037315259&lt;/D&gt;&lt;D xsi:type="xsd:double"&gt;2.70481290790914&lt;/D&gt;&lt;D xsi:type="xsd:double"&gt;2.72275329383159&lt;/D&gt;&lt;D xsi:type="xsd:double"&gt;2.86615409809599&lt;/D&gt;&lt;D xsi:type="xsd:double"&gt;2.75598067554446&lt;/D&gt;&lt;D xsi:type="xsd:double"&gt;2.86304702696292&lt;/D&gt;&lt;D xsi:type="xsd:double"&gt;2.7387953498537&lt;/D&gt;&lt;D xsi:type="xsd:double"&gt;2.82173917364461&lt;/D&gt;&lt;D xsi:type="xsd:double"&gt;3.16831363857506&lt;/D&gt;&lt;D xsi:type="xsd:double"&gt;3.08141318039513&lt;/D&gt;&lt;D xsi:type="xsd:double"&gt;3.20419544279078&lt;/D&gt;&lt;D xsi:type="xsd:double"&gt;3.19922622762357&lt;/D&gt;&lt;D xsi:type="xsd:double"&gt;3.53733002959211&lt;/D&gt;&lt;D xsi:type="xsd:double"&gt;3.30436446231383&lt;/D&gt;&lt;D xsi:type="xsd:double"&gt;3.49761963753558&lt;/D&gt;&lt;D xsi:type="xsd:double"&gt;3.77229923365667&lt;/D&gt;&lt;D xsi:type="xsd:double"&gt;3.50738416084949&lt;/D&gt;&lt;D xsi:type="xsd:double"&gt;3.26086573430072&lt;/D&gt;&lt;D xsi:type="xsd:double"&gt;3.38079486625485&lt;/D&gt;&lt;D xsi:type="xsd:double"&gt;3.08084438015475&lt;/D&gt;&lt;D xsi:type="xsd:double"&gt;3.15928432281497&lt;/D&gt;&lt;D xsi:type="xsd:double"&gt;3.17295241079551&lt;/D&gt;&lt;D xsi:type="xsd:double"&gt;3.17457664126005&lt;/D&gt;&lt;D xsi:type="xsd:double"&gt;3.26039322918616&lt;/D&gt;&lt;D xsi:type="xsd:double"&gt;3.22608407133038&lt;/D&gt;&lt;D xsi:type="xsd:double"&gt;3.31135038455267&lt;/D&gt;&lt;D xsi:type="xsd:double"&gt;3.32489102721045&lt;/D&gt;&lt;D xsi:type="xsd:double"&gt;3.45800027023433&lt;/D&gt;&lt;D xsi:type="xsd:double"&gt;3.45852434675478&lt;/D&gt;&lt;D xsi:type="xsd:double"&gt;3.32217925687503&lt;/D&gt;&lt;D xsi:type="xsd:double"&gt;3.24344226818251&lt;/D&gt;&lt;D xsi:type="xsd:double"&gt;3.20797374830791&lt;/D&gt;&lt;D xsi:type="xsd:double"&gt;3.12859752807417&lt;/D&gt;&lt;D xsi:type="xsd:double"&gt;3.08282040036951&lt;/D&gt;&lt;D xsi:type="xsd:double"&gt;3.12179769454038&lt;/D&gt;&lt;/FQL&gt;&lt;FQL&gt;&lt;Q&gt;QQQ^FMA_PE(NTMA,-10AY,0,AM,"PORTAGG","MEANR")&lt;/Q&gt;&lt;R&gt;121&lt;/R&gt;&lt;C&gt;1&lt;/C&gt;&lt;D xsi:type="xsd:double"&gt;16.6762648670382&lt;/D&gt;&lt;D xsi:type="xsd:double"&gt;17.155028454877&lt;/D&gt;&lt;D xsi:type="xsd:double"&gt;17.6790313058892&lt;/D&gt;&lt;D xsi:type="xsd:double"&gt;17.1603828219968&lt;/D&gt;&lt;D xsi:type="xsd:double"&gt;17.9129101048114&lt;/D&gt;&lt;D xsi:type="xsd:double"&gt;17.1500686433516&lt;/D&gt;&lt;D xsi:type="xsd:double"&gt;17.6885889608936&lt;/D&gt;&lt;D xsi:type="xsd:double"&gt;18.1468935746914&lt;/D&gt;&lt;D xsi:type="xsd:double"&gt;17.4085719896589&lt;/D&gt;&lt;D xsi:type="xsd:double"&gt;17.0770248813762&lt;/D&gt;&lt;D xsi:type="xsd:double"&gt;18.2514651611771&lt;/D&gt;&lt;D xsi:type="xsd:double"&gt;17.5930702998624&lt;/D&gt;&lt;D xsi:type="xsd:double"&gt;18.0048963080168&lt;/D&gt;&lt;D xsi:type="xsd:double"&gt;17.9974799013944&lt;/D&gt;&lt;D xsi:type="xsd:double"&gt;17.6216170239777&lt;/D&gt;&lt;D xsi:type="xsd:double"&gt;18.6258597243979&lt;/D&gt;&lt;D xsi:type="xsd:double"&gt;17.1992202872027&lt;/D&gt;&lt;D xsi:type="xsd:double"&gt;17.1770994663732&lt;/D&gt;&lt;D xsi:type="xsd:double"&gt;18.7854067418725&lt;/D&gt;&lt;D xsi:type="xsd:double"&gt;18.7327910537066&lt;/D&gt;&lt;D xsi:type="xsd:double"&gt;18.4588215357575&lt;/D&gt;&lt;D xsi:type="xsd:double"&gt;16.9320191908337&lt;/D&gt;&lt;D xsi:type="xsd:double"&gt;17.3941317982739&lt;/D&gt;&lt;D xsi:type="xsd:double"&gt;18.0861929547362&lt;/D&gt;&lt;D xsi:type="xsd:double"&gt;17.6104190305304&lt;/D&gt;&lt;D xsi:type="xsd:double"&gt;18.0448349426&lt;/D&gt;&lt;D xsi:type="xsd:double"&gt;17.7093238287946&lt;/D&gt;&lt;D xsi:type="xsd:double"&gt;18.5723661532146&lt;/D&gt;&lt;D xsi:type="xsd:double"&gt;18.5893421645408&lt;/D&gt;&lt;D xsi:type="xsd:double"&gt;18.6686139794025&lt;/D&gt;&lt;D xsi:type="xsd:double"&gt;17.9190441908042&lt;/D&gt;&lt;D xsi:type="xsd:double"&gt;17.7586649712242&lt;/D&gt;&lt;D xsi:type="xsd:double"&gt;18.0470918716454&lt;/D&gt;&lt;D xsi:type="xsd:double"&gt;19.2131264969138&lt;/D&gt;&lt;D xsi:type="xsd:double"&gt;20.1057257321876&lt;/D&gt;&lt;D xsi:type="xsd:double"&gt;20.1485369307087&lt;/D&gt;&lt;D xsi:type="xsd:double"&gt;20.5623258059895&lt;/D&gt;&lt;D xsi:type="xsd:double"&gt;21.2027524572007&lt;/D&gt;&lt;D xsi:type="xsd:double"&gt;20.0519431453177&lt;/D&gt;&lt;D xsi:type="xsd:double"&gt;20.7294347772889&lt;/D&gt;&lt;D xsi:type="xsd:double"&gt;20.6993067237689&lt;/D&gt;&lt;D xsi:type="xsd:double"&gt;20.3619974684997&lt;/D&gt;&lt;D xsi:type="xsd:double"&gt;20.7714638896362&lt;/D&gt;&lt;D xsi:type="xsd:double"&gt;20.8107825461829&lt;/D&gt;&lt;D xsi:type="xsd:double"&gt;21.13481833237&lt;/D&gt;&lt;D xsi:type="xsd:double"&gt;20.8845307369388&lt;/D&gt;&lt;D xsi:type="xsd:double"&gt;20.6426104833192&lt;/D&gt;&lt;D xsi:type="xsd:double"&gt;19.173702443229&lt;/D&gt;&lt;D xsi:type="xsd:double"&gt;19.3910055607116&lt;/D&gt;&lt;D xsi:type="xsd:double"&gt;20.3931962500705&lt;/D&gt;&lt;D xsi:type="xsd:double"&gt;20.2390075279914&lt;/D&gt;&lt;D xsi:type="xsd:double"&gt;20.5046912810062&lt;/D&gt;&lt;D xsi:type="xsd:double"&gt;21.1439522256258&lt;/D&gt;&lt;D xsi:type="xsd:double"&gt;20.8682097263403&lt;/D&gt;&lt;D xsi:type="xsd:double"&gt;18.8850673113004&lt;/D&gt;&lt;D xsi:type="xsd:double"&gt;18.8114498633601&lt;/D&gt;&lt;D xsi:type="xsd:double"&gt;17.2815839107385&lt;/D&gt;&lt;D xsi:type="xsd:double"&gt;18.9850887961166&lt;/D&gt;&lt;D xsi:type="xsd:double"&gt;19.8238920117317&lt;/D&gt;&lt;D xsi:type="xsd:double"&gt;20.650996745109&lt;/D&gt;&lt;D xsi:type="xsd:double"&gt;21.1212885862698&lt;/D&gt;&lt;D xsi:type="xsd:double"&gt;19.3503560143766&lt;/D&gt;&lt;D xsi:type="xsd:double"&gt;21.1322295217748&lt;/D&gt;&lt;D xsi:type="xsd:double"&gt;20.6348273258007&lt;/D&gt;&lt;D xsi:type="xsd:double"&gt;20.4554378513343&lt;/D&gt;&lt;D xsi:type="xsd:double"&gt;19.8972634958169&lt;/D&gt;&lt;D xsi:type="xsd:double"&gt;21.3230855569571&lt;/D&gt;&lt;D xsi:type="xsd:double"&gt;21.7378045458632&lt;/D&gt;&lt;D xsi:type="xsd:double"&gt;23.0796807155473&lt;/D&gt;&lt;D xsi:type="xsd:double"&gt;22.777200936904&lt;/D&gt;&lt;D xsi:type="xsd:double"&gt;22.4023960672293&lt;/D&gt;&lt;D xsi:type="xsd:double"&gt;20.325173021535&lt;/D&gt;&lt;D xsi:type="xsd:double"&gt;24.7721688398222&lt;/D&gt;&lt;D xsi:type="xsd:double"&gt;27.5965659136591&lt;/D&gt;&lt;D xsi:type="xsd:double"&gt;28.8230082344702&lt;/D&gt;&lt;D xsi:type="xsd:double"&gt;28.9096785265755&lt;/D&gt;&lt;D xsi:type="xsd:double"&gt;32.3094296530733&lt;/D&gt;&lt;D xsi:type="xsd:double"&gt;28.7721260874328&lt;/D&gt;&lt;D xsi:type="xsd:double"&gt;27.3766988794542&lt;/D&gt;&lt;D xsi:type="xsd:double"&gt;30.0360846409351&lt;/D&gt;&lt;D xsi:type="xsd:double"&gt;30.0918514845951&lt;/D&gt;&lt;D xsi:type="xsd:double"&gt;29.9940526397084&lt;/D&gt;&lt;D xsi:type="xsd:double"&gt;28.1164844655067&lt;/D&gt;&lt;D xsi:type="xsd:double"&gt;28.4157878524009&lt;/D&gt;&lt;D xsi:type="xsd:double"&gt;27.7969176363141&lt;/D&gt;&lt;D xsi:type="xsd:double"&gt;26.8685591804797&lt;/D&gt;&lt;D xsi:type="xsd:double"&gt;28.6177148872982&lt;/D&gt;&lt;D xsi:type="xsd:double"&gt;27.9623551700096&lt;/D&gt;&lt;D xsi:type="xsd:double"&gt;28.7001373154841&lt;/D&gt;&lt;D xsi:type="xsd:double"&gt;27.0611441666442&lt;/D&gt;&lt;D xsi:type="xsd:double"&gt;29.1038650462597&lt;/D&gt;&lt;D xsi:type="xsd:double"&gt;28.7463370622953&lt;/D&gt;&lt;D xsi:type="xsd:double"&gt;29.1673117399636&lt;/D&gt;&lt;D xsi:type="xsd:double"&gt;26.5034771533174&lt;/D&gt;&lt;D xsi:type="xsd:double"&gt;24.8066038521567&lt;/D&gt;&lt;D xsi:type="xsd:double"&gt;25.6253252793107&lt;/D&gt;&lt;D xsi:type="xsd:double"&gt;22.8237789013341&lt;/D&gt;&lt;D xsi:type="xsd:double"&gt;22.2572434140489&lt;/D&gt;&lt;D xsi:type="xsd:double"&gt;20.0874049897724&lt;/D&gt;&lt;D xsi:type="xsd:double"&gt;22.9112140662245&lt;/D&gt;&lt;D xsi:type="xsd:double"&gt;21.4813741815194&lt;/D&gt;&lt;D xsi:type="xsd:double"&gt;19.5241373574786&lt;/D&gt;&lt;D xsi:type="xsd:double"&gt;20.1948605681974&lt;/D&gt;&lt;D xsi:type="xsd:double"&gt;22.2772241849681&lt;/D&gt;&lt;D xsi:type="xsd:double"&gt;20.8845994764384&lt;/D&gt;&lt;D xsi:type="xsd:double"&gt;24.6502838010049&lt;/D&gt;&lt;D xsi:type="xsd:double"&gt;23.0954646446244&lt;/D&gt;&lt;D xsi:type="xsd:double"&gt;25.0734269257497&lt;/D&gt;&lt;D xsi:type="xsd:double"&gt;24.284199922068&lt;/D&gt;&lt;D xsi:type="xsd:double"&gt;26.1279353429818&lt;/D&gt;&lt;D xsi:type="xsd:double"&gt;26.7921812331499&lt;/D&gt;&lt;D xsi:type="xsd:double"&gt;25.1938539535045&lt;/D&gt;&lt;D xsi:type="xsd:double"&gt;24.6496716527869&lt;/D&gt;&lt;D xsi:type="xsd:double"&gt;23.3320249711533&lt;/D&gt;&lt;D xsi:type="xsd:double"&gt;23.0978309510475&lt;/D&gt;&lt;D xsi:type="xsd:double"&gt;24.3018291327118&lt;/D&gt;&lt;D xsi:type="xsd:double"&gt;24.6477786270585&lt;/D&gt;&lt;D xsi:type="xsd:double"&gt;25.9850718414901&lt;/D&gt;&lt;D xsi:type="xsd:double"&gt;26.5734800213193&lt;/D&gt;&lt;D xsi:type="xsd:double"&gt;25.9396548026955&lt;/D&gt;&lt;D xsi:type="xsd:double"&gt;24.5721900247893&lt;/D&gt;&lt;/FQL&gt;&lt;FQL&gt;&lt;Q&gt;EWL^FMA_PE(LTMA,-10AY,0,AM,"PORTAGG","MEANR")&lt;/Q&gt;&lt;R&gt;121&lt;/R&gt;&lt;C&gt;1&lt;/C&gt;&lt;D xsi:type="xsd:double"&gt;17.1250613126208&lt;/D&gt;&lt;D xsi:type="xsd:double"&gt;17.2327668107083&lt;/D&gt;&lt;D xsi:type="xsd:double"&gt;17.1865185124846&lt;/D&gt;&lt;D xsi:type="xsd:double"&gt;17.1250287795835&lt;/D&gt;&lt;D xsi:type="xsd:double"&gt;17.4510036248853&lt;/D&gt;&lt;D xsi:type="xsd:double"&gt;17.0564756730785&lt;/D&gt;&lt;D xsi:type="xsd:double"&gt;17.3080166035208&lt;/D&gt;&lt;D xsi:type="xsd:double"&gt;17.5915206731995&lt;/D&gt;&lt;D xsi:type="xsd:double"&gt;17.1892387956023&lt;/D&gt;&lt;D xsi:type="xsd:double"&gt;16.7285525064111&lt;/D&gt;&lt;D xsi:type="xsd:double"&gt;17.9875288277521&lt;/D&gt;&lt;D xsi:type="xsd:double"&gt;18.028330397076&lt;/D&gt;&lt;D xsi:type="xsd:double"&gt;18.0823487485388&lt;/D&gt;&lt;D xsi:type="xsd:double"&gt;18.0715614895414&lt;/D&gt;&lt;D xsi:type="xsd:double"&gt;17.8155523923486&lt;/D&gt;&lt;D xsi:type="xsd:double"&gt;18.2155542852859&lt;/D&gt;&lt;D xsi:type="xsd:double"&gt;17.1647272013361&lt;/D&gt;&lt;D xsi:type="xsd:double"&gt;17.0105680671862&lt;/D&gt;&lt;D xsi:type="xsd:double"&gt;17.7828653298356&lt;/D&gt;&lt;D xsi:type="xsd:double"&gt;17.6852977757736&lt;/D&gt;&lt;D xsi:type="xsd:double"&gt;17.3781775117904&lt;/D&gt;&lt;D xsi:type="xsd:double"&gt;16.558900935831&lt;/D&gt;&lt;D xsi:type="xsd:double"&gt;16.6338684551117&lt;/D&gt;&lt;D xsi:type="xsd:double"&gt;16.5964163990059&lt;/D&gt;&lt;D xsi:type="xsd:double"&gt;16.846144409823&lt;/D&gt;&lt;D xsi:type="xsd:double"&gt;17.1206062820641&lt;/D&gt;&lt;D xsi:type="xsd:double"&gt;17.2037167975357&lt;/D&gt;&lt;D xsi:type="xsd:double"&gt;17.5144640276328&lt;/D&gt;&lt;D xsi:type="xsd:double"&gt;17.9974801924623&lt;/D&gt;&lt;D xsi:type="xsd:double"&gt;18.0270248722881&lt;/D&gt;&lt;D xsi:type="xsd:double"&gt;17.4760300374506&lt;/D&gt;&lt;D xsi:type="xsd:double"&gt;17.3308447360363&lt;/D&gt;&lt;D xsi:type="xsd:double"&gt;18.2312249975706&lt;/D&gt;&lt;D xsi:type="xsd:double"&gt;18.4724657014612&lt;/D&gt;&lt;D xsi:type="xsd:double"&gt;19.6773418235285&lt;/D&gt;&lt;D xsi:type="xsd:double"&gt;19.4836656134011&lt;/D&gt;&lt;D xsi:type="xsd:double"&gt;19.4535660497855&lt;/D&gt;&lt;D xsi:type="xsd:double"&gt;19.6261880786779&lt;/D&gt;&lt;D xsi:type="xsd:double"&gt;19.3423476611755&lt;/D&gt;&lt;D xsi:type="xsd:double"&gt;19.4135123180221&lt;/D&gt;&lt;D xsi:type="xsd:double"&gt;19.1444664384264&lt;/D&gt;&lt;D xsi:type="xsd:double"&gt;19.5412932553852&lt;/D&gt;&lt;D xsi:type="xsd:double"&gt;20.3323022393626&lt;/D&gt;&lt;D xsi:type="xsd:double"&gt;20.3191407844838&lt;/D&gt;&lt;D xsi:type="xsd:double"&gt;20.7308218415206&lt;/D&gt;&lt;D xsi:type="xsd:double"&gt;21.507578164467&lt;/D&gt;&lt;D xsi:type="xsd:double"&gt;21.1100631842414&lt;/D&gt;&lt;D xsi:type="xsd:double"&gt;20.6649054630945&lt;/D&gt;&lt;D xsi:type="xsd:double"&gt;20.2732901707173&lt;/D&gt;&lt;D xsi:type="xsd:double"&gt;19.6961564251071&lt;/D&gt;&lt;D xsi:type="xsd:double"&gt;19.1619215447865&lt;/D&gt;&lt;D xsi:type="xsd:double"&gt;19.2400955366727&lt;/D&gt;&lt;D xsi:type="xsd:double"&gt;18.7977019411547&lt;/D&gt;&lt;D xsi:type="xsd:double"&gt;18.512045247353&lt;/D&gt;&lt;D xsi:type="xsd:double"&gt;17.9929825099386&lt;/D&gt;&lt;D xsi:type="xsd:double"&gt;17.7037866596995&lt;/D&gt;&lt;D xsi:type="xsd:double"&gt;16.1687918524556&lt;/D&gt;&lt;D xsi:type="xsd:double"&gt;17.6000232415279&lt;/D&gt;&lt;D xsi:type="xsd:double"&gt;18.3575359207335&lt;/D&gt;&lt;D xsi:type="xsd:double"&gt;18.2832659109284&lt;/D&gt;&lt;D xsi:type="xsd:double"&gt;18.2741568085417&lt;/D&gt;&lt;D xsi:type="xsd:double"&gt;18.0480416723578&lt;/D&gt;&lt;D xsi:type="xsd:double"&gt;18.4311679820495&lt;/D&gt;&lt;D xsi:type="xsd:double"&gt;18.2494739557424&lt;/D&gt;&lt;D xsi:type="xsd:double"&gt;18.2372817421703&lt;/D&gt;&lt;D xsi:type="xsd:double"&gt;18.0134694756453&lt;/D&gt;&lt;D xsi:type="xsd:double"&gt;18.7578110169301&lt;/D&gt;&lt;D xsi:type="xsd:double"&gt;18.8578453528893&lt;/D&gt;&lt;D xsi:type="xsd:double"&gt;19.6059013866816&lt;/D&gt;&lt;D xsi:type="xsd:double"&gt;19.6783186172664&lt;/D&gt;&lt;D xsi:type="xsd:double"&gt;18.0383905041082&lt;/D&gt;&lt;D xsi:type="xsd:double"&gt;17.8106743819159&lt;/D&gt;&lt;D xsi:type="xsd:double"&gt;18.6034651660968&lt;/D&gt;&lt;D xsi:type="xsd:double"&gt;19.1997663738217&lt;/D&gt;&lt;D xsi:type="xsd:double"&gt;19.7118619811028&lt;/D&gt;&lt;D xsi:type="xsd:double"&gt;19.9094463440796&lt;/D&gt;&lt;D xsi:type="xsd:double"&gt;20.7785154845542&lt;/D&gt;&lt;D xsi:type="xsd:double"&gt;20.8093810688801&lt;/D&gt;&lt;D xsi:type="xsd:double"&gt;19.9442921098399&lt;/D&gt;&lt;D xsi:type="xsd:double"&gt;21.0505223526107&lt;/D&gt;&lt;D xsi:type="xsd:double"&gt;22.0192335076548&lt;/D&gt;&lt;D xsi:type="xsd:double"&gt;21.4588881634309&lt;/D&gt;&lt;D xsi:type="xsd:double"&gt;20.5133190448978&lt;/D&gt;&lt;D xsi:type="xsd:double"&gt;20.4554903396325&lt;/D&gt;&lt;D xsi:type="xsd:double"&gt;20.1108644172687&lt;/D&gt;&lt;D xsi:type="xsd:double"&gt;20.6647159601951&lt;/D&gt;&lt;D xsi:type="x</t>
        </r>
      </text>
    </comment>
    <comment ref="A4" authorId="0" shapeId="0" xr:uid="{FF3489A2-28A0-4BC4-BE80-AED5C94967BC}">
      <text>
        <r>
          <rPr>
            <b/>
            <sz val="9"/>
            <color indexed="81"/>
            <rFont val="Tahoma"/>
            <charset val="1"/>
          </rPr>
          <t>sd:double"&gt;20.859253667377&lt;/D&gt;&lt;D xsi:type="xsd:double"&gt;21.0219448853449&lt;/D&gt;&lt;D xsi:type="xsd:double"&gt;21.2163985749696&lt;/D&gt;&lt;D xsi:type="xsd:double"&gt;20.0012053258354&lt;/D&gt;&lt;D xsi:type="xsd:double"&gt;20.8816101856159&lt;/D&gt;&lt;D xsi:type="xsd:double"&gt;20.4356240141757&lt;/D&gt;&lt;D xsi:type="xsd:double"&gt;21.6670376324775&lt;/D&gt;&lt;D xsi:type="xsd:double"&gt;20.4272811443691&lt;/D&gt;&lt;D xsi:type="xsd:double"&gt;18.4728688959459&lt;/D&gt;&lt;D xsi:type="xsd:double"&gt;18.5890147428654&lt;/D&gt;&lt;D xsi:type="xsd:double"&gt;18.4255717264177&lt;/D&gt;&lt;D xsi:type="xsd:double"&gt;18.1695438285816&lt;/D&gt;&lt;D xsi:type="xsd:double"&gt;17.572476820139&lt;/D&gt;&lt;D xsi:type="xsd:double"&gt;18.2631791226703&lt;/D&gt;&lt;D xsi:type="xsd:double"&gt;17.9012740863063&lt;/D&gt;&lt;D xsi:type="xsd:double"&gt;16.9641631423621&lt;/D&gt;&lt;D xsi:type="xsd:double"&gt;18.3536321364051&lt;/D&gt;&lt;D xsi:type="xsd:double"&gt;19.9699112989813&lt;/D&gt;&lt;D xsi:type="xsd:double"&gt;20.0573075428435&lt;/D&gt;&lt;D xsi:type="xsd:double"&gt;20.686347237394&lt;/D&gt;&lt;D xsi:type="xsd:double"&gt;20.6830107848981&lt;/D&gt;&lt;D xsi:type="xsd:double"&gt;20.4309085273748&lt;/D&gt;&lt;D xsi:type="xsd:double"&gt;20.2513557244502&lt;/D&gt;&lt;D xsi:type="xsd:double"&gt;19.6827548274603&lt;/D&gt;&lt;D xsi:type="xsd:double"&gt;19.2961850249866&lt;/D&gt;&lt;D xsi:type="xsd:double"&gt;19.0920234056266&lt;/D&gt;&lt;D xsi:type="xsd:double"&gt;18.8886452923249&lt;/D&gt;&lt;D xsi:type="xsd:double"&gt;18.2533730165056&lt;/D&gt;&lt;D xsi:type="xsd:double"&gt;17.7673158284555&lt;/D&gt;&lt;D xsi:type="xsd:double"&gt;18.0225885780505&lt;/D&gt;&lt;D xsi:type="xsd:double"&gt;18.3374127783455&lt;/D&gt;&lt;D xsi:type="xsd:double"&gt;18.5953505901525&lt;/D&gt;&lt;D xsi:type="xsd:double"&gt;19.1959389699973&lt;/D&gt;&lt;D xsi:type="xsd:double"&gt;19.0798736780117&lt;/D&gt;&lt;D xsi:type="xsd:double"&gt;18.8028737149916&lt;/D&gt;&lt;/FQL&gt;&lt;FQL&gt;&lt;Q&gt;WL-FDS^FG_PRICE(0)/MAX(FG_PRICE(0,-1AY))&lt;/Q&gt;&lt;R&gt;1&lt;/R&gt;&lt;C&gt;1&lt;/C&gt;&lt;D xsi:type="xsd:double"&gt;0.74731464500917&lt;/D&gt;&lt;/FQL&gt;&lt;FQL&gt;&lt;Q&gt;NI-FDS^FG_PRICE(0)/MAX(FG_PRICE(0,-1AY))&lt;/Q&gt;&lt;R&gt;1&lt;/R&gt;&lt;C&gt;1&lt;/C&gt;&lt;D xsi:type="xsd:double"&gt;0.733266932270916&lt;/D&gt;&lt;/FQL&gt;&lt;FQL&gt;&lt;Q&gt;CPALM-FDS^FG_PRICE(0)/MAX(FG_PRICE(0,-1AY))&lt;/Q&gt;&lt;R&gt;1&lt;/R&gt;&lt;C&gt;1&lt;/C&gt;&lt;D xsi:type="xsd:double"&gt;0.850622406639004&lt;/D&gt;&lt;/FQL&gt;&lt;FQL&gt;&lt;Q&gt;BRENT-FDS^FG_PRICE(0)/MAX(FG_PRICE(0,-1AY))&lt;/Q&gt;&lt;R&gt;1&lt;/R&gt;&lt;C&gt;1&lt;/C&gt;&lt;D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xsi:type="xsd:double"&gt;0.819089900110988&lt;/D&gt;&lt;/FQL&gt;&lt;FQL&gt;&lt;Q&gt;EWD^FG_PRICE_MAVG(0,,,,60)&lt;/Q&gt;&lt;R&gt;1&lt;/R&gt;&lt;C&gt;1&lt;/C&gt;&lt;D xsi:type="xsd:double"&gt;39.455082&lt;/D&gt;&lt;/FQL&gt;&lt;FQL&gt;&lt;Q&gt;QQQ^FG_PRICE_MAVG(0,,,,60)&lt;/Q&gt;&lt;R&gt;1&lt;/R&gt;&lt;C&gt;1&lt;/C&gt;&lt;D xsi:type="xsd:double"&gt;435.64984&lt;/D&gt;&lt;/FQL&gt;&lt;FQL&gt;&lt;Q&gt;EWG^FG_PRICE_MAVG(0,,,,60)&lt;/Q&gt;&lt;R&gt;1&lt;/R&gt;&lt;C&gt;1&lt;/C&gt;&lt;D xsi:type="xsd:double"&gt;30.651167&lt;/D&gt;&lt;/FQL&gt;&lt;FQL&gt;&lt;Q&gt;FXI^FG_TOTAL_RETURNC(0,-6AM)&lt;/Q&gt;&lt;R&gt;1&lt;/R&gt;&lt;C&gt;1&lt;/C&gt;&lt;D xsi:type="xsd:double"&gt;8.232474&lt;/D&gt;&lt;/FQL&gt;&lt;FQL&gt;&lt;Q&gt;EWJ^P_PRICE(0)/P_PRICE_LOW_PR(0,,,,,,"PRICE","INTRA","52W")-1&lt;/Q&gt;&lt;R&gt;1&lt;/R&gt;&lt;C&gt;1&lt;/C&gt;&lt;D xsi:type="xsd:double"&gt;0.19702792&lt;/D&gt;&lt;/FQL&gt;&lt;FQL&gt;&lt;Q&gt;URTH^FMA_PCT_ABOVE_MAVG(200,0,,,,"PORTAGG")&lt;/Q&gt;&lt;R&gt;1&lt;/R&gt;&lt;C&gt;1&lt;/C&gt;&lt;D xsi:type="xsd:double"&gt;70.7934336525308&lt;/D&gt;&lt;/FQL&gt;&lt;FQL&gt;&lt;Q&gt;VGK^PERCENT_CHANGE(FMA_EPS(+1,0,,,,"PORTAGG","MEAN"),FMA_EPS(+1,-3AM,,,,"PORTAGG","MEAN"))&lt;/Q&gt;&lt;R&gt;1&lt;/R&gt;&lt;C&gt;1&lt;/C&gt;&lt;D xsi:type="xsd:double"&gt;-1.55999743264334&lt;/D&gt;&lt;/FQL&gt;&lt;FQL&gt;&lt;Q&gt;EWD^FG_TOTAL_RETURNC(0,-3AM)&lt;/Q&gt;&lt;R&gt;1&lt;/R&gt;&lt;C&gt;1&lt;/C&gt;&lt;D xsi:type="xsd:double"&gt;3.8943648&lt;/D&gt;&lt;/FQL&gt;&lt;FQL&gt;&lt;Q&gt;QQQ^FG_TOTAL_RETURNC(0,-12AM)&lt;/Q&gt;&lt;R&gt;1&lt;/R&gt;&lt;C&gt;1&lt;/C&gt;&lt;D xsi:type="xsd:double"&gt;34.554935&lt;/D&gt;&lt;/FQL&gt;&lt;FQL&gt;&lt;Q&gt;EWJ^FG_TOTAL_RETURNC(0,-1AM)&lt;/Q&gt;&lt;R&gt;1&lt;/R&gt;&lt;C&gt;1&lt;/C&gt;&lt;D xsi:type="xsd:double"&gt;-2.0737946&lt;/D&gt;&lt;/FQL&gt;&lt;FQL&gt;&lt;Q&gt;EWC^FG_TOTAL_RETURNC(0,-6AM)&lt;/Q&gt;&lt;R&gt;1&lt;/R&gt;&lt;C&gt;1&lt;/C&gt;&lt;D xsi:type="xsd:double"&gt;13.557649&lt;/D&gt;&lt;/FQL&gt;&lt;FQL&gt;&lt;Q&gt;ENZL^P_PRICE(0)/P_PRICE_LOW_PR(0,,,,,,"PRICE","INTRA","52W")-1&lt;/Q&gt;&lt;R&gt;1&lt;/R&gt;&lt;C&gt;1&lt;/C&gt;&lt;D xsi:type="xsd:double"&gt;0.08993149&lt;/D&gt;&lt;/FQL&gt;&lt;FQL&gt;&lt;Q&gt;EWJ^FMA_COS_UP("EPS","1M",+1,0,,,"PORTAGG","MEANR")&lt;/Q&gt;&lt;R&gt;1&lt;/R&gt;&lt;C&gt;1&lt;/C&gt;&lt;D xsi:type="xsd:double"&gt;100&lt;/D&gt;&lt;/FQL&gt;&lt;FQL&gt;&lt;Q&gt;EWL^FMA_COS_DOWN("EPS","1M",+1,0,,,"PORTAGG","MEANR")&lt;/Q&gt;&lt;R&gt;1&lt;/R&gt;&lt;C&gt;1&lt;/C&gt;&lt;D xsi:type="xsd:double"&gt;19&lt;/D&gt;&lt;/FQL&gt;&lt;FQL&gt;&lt;Q&gt;ENZL^FMA_COS_UP("EPS","1M",+1,0,,,"PORTAGG","MEANR")&lt;/Q&gt;&lt;R&gt;1&lt;/R&gt;&lt;C&gt;1&lt;/C&gt;&lt;D xsi:type="xsd:double"&gt;5&lt;/D&gt;&lt;/FQL&gt;&lt;FQL&gt;&lt;Q&gt;TRYUS10Y-FDS^FG_YIELD_NAME&lt;/Q&gt;&lt;R&gt;1&lt;/R&gt;&lt;C&gt;1&lt;/C&gt;&lt;D xsi:type="xsd:string"&gt;US Benchmark Bond - 10 Year&lt;/D&gt;&lt;/FQL&gt;&lt;FQL&gt;&lt;Q&gt;QQQ^FG_PRICE_MAVG(0,,,,30)&lt;/Q&gt;&lt;R&gt;1&lt;/R&gt;&lt;C&gt;1&lt;/C&gt;&lt;D xsi:type="xsd:double"&gt;434.52167&lt;/D&gt;&lt;/FQL&gt;&lt;FQL&gt;&lt;Q&gt;EWC^FMA_PCT_ABOVE_MAVG(200,0,,,,"PORTAGG")&lt;/Q&gt;&lt;R&gt;1&lt;/R&gt;&lt;C&gt;1&lt;/C&gt;&lt;D xsi:type="xsd:double"&gt;63.6363636363636&lt;/D&gt;&lt;/FQL&gt;&lt;FQL&gt;&lt;Q&gt;EWG^SIZE(FG_CONSTITUENTS)&lt;/Q&gt;&lt;R&gt;1&lt;/R&gt;&lt;C&gt;1&lt;/C&gt;&lt;D xsi:type="xsd:long"&gt;58&lt;/D&gt;&lt;/FQL&gt;&lt;FQL&gt;&lt;Q&gt;EWQ^FMA_ROE(NTMA,-20AY,NOW,FY,"PORTAGG","MEANR")&lt;/Q&gt;&lt;R&gt;20&lt;/R&gt;&lt;C&gt;1&lt;/C&gt;&lt;D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xsi:type="xsd:double"&gt;8.94223448963436&lt;/D&gt;&lt;D xsi:type="xsd:double"&gt;12.2539555438325&lt;/D&gt;&lt;D xsi:type="xsd:double"&gt;13.1476341644672&lt;/D&gt;&lt;D xsi:type="xsd:double"&gt;13.220962405767&lt;/D&gt;&lt;/FQL&gt;&lt;FQL&gt;&lt;Q&gt;TRYID10Y-FDS^FG_YIELD(-10AY,0,Y,,"YTM")&lt;/Q&gt;&lt;R&gt;10&lt;/R&gt;&lt;C&gt;1&lt;/C&gt;&lt;D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xsi:type="xsd:double"&gt;5.1912&lt;/D&gt;&lt;/FQL&gt;&lt;FQL&gt;&lt;Q&gt;WL-FDS^FG_PRICE_CHANGE(0,-1AY)&lt;/Q&gt;&lt;R&gt;1&lt;/R&gt;&lt;C&gt;1&lt;/C&gt;&lt;D xsi:type="xsd:double"&gt;-17.7479815455594&lt;/D&gt;&lt;/FQL&gt;&lt;FQL&gt;&lt;Q&gt;NI-FDS^FG_PRICE_CHANGE(0,-1AY)&lt;/Q&gt;&lt;R&gt;1&lt;/R&gt;&lt;C&gt;1&lt;/C&gt;&lt;D xsi:type="xsd:double"&gt;-24.0561171858882&lt;/D&gt;&lt;/FQL&gt;&lt;FQL&gt;&lt;Q&gt;CPALM-FDS^FG_PRICE_CHANGE(0,-1AY)&lt;/Q&gt;&lt;R&gt;1&lt;/R&gt;&lt;C&gt;1&lt;/C&gt;&lt;D xsi:type="xsd:double"&gt;-3.01294820717132&lt;/D&gt;&lt;/FQL&gt;&lt;FQL&gt;&lt;Q&gt;BRENT-FDS^FG_PRICE_CHANGE(0,-1AY)&lt;/Q&gt;&lt;R&gt;1&lt;/R&gt;&lt;C&gt;1&lt;/C&gt;&lt;D xsi:type="xsd:double"&gt;8.95939086294417&lt;/D&gt;&lt;/FQL&gt;&lt;FQL&gt;&lt;Q&gt;TIOS-FDS^FG_PRICE_CHANGE(0,-1AY)&lt;/Q&gt;&lt;R&gt;1&lt;/R&gt;&lt;C&gt;1&lt;/C&gt;&lt;D xsi:type="xsd:double"&gt;11.3857183284596&lt;/D&gt;&lt;/FQL&gt;&lt;FQL&gt;&lt;Q&gt;EWQ^FG_TOTAL_RETURNC(0,-6AM)&lt;/Q&gt;&lt;R&gt;1&lt;/R&gt;&lt;C&gt;1&lt;/C&gt;&lt;D xsi:type="xsd:double"&gt;14.167822&lt;/D&gt;&lt;/FQL&gt;&lt;FQL&gt;&lt;Q&gt;EWC^FG_TOTAL_RETURNC(0,-3AM)&lt;/Q&gt;&lt;R&gt;1&lt;/R&gt;&lt;C&gt;1&lt;/C&gt;&lt;D xsi:type="xsd:double"&gt;2.610612&lt;/D&gt;&lt;/FQL&gt;&lt;FQL&gt;&lt;Q&gt;EWL^FMA_COS_UP("EPS","1M",+1,0,,,"PORTAGG","MEANR")&lt;/Q&gt;&lt;R&gt;1&lt;/R&gt;&lt;C&gt;1&lt;/C&gt;&lt;D xsi:type="xsd:double"&gt;21&lt;/D&gt;&lt;/FQL&gt;&lt;FQL&gt;&lt;Q&gt;EWQ^FMA_RBICS_REV_CURRENT(30, LOC, "PORTAGG")&lt;/Q&gt;&lt;R&gt;1&lt;/R&gt;&lt;C&gt;1&lt;/C&gt;&lt;D xsi:type="xsd:double"&gt;10.7535343809749&lt;/D&gt;&lt;/FQL&gt;&lt;FQL&gt;&lt;Q&gt;TRYDE10Y-FDS^FG_YIELD_NAME&lt;/Q&gt;&lt;R&gt;1&lt;/R&gt;&lt;C&gt;1&lt;/C&gt;&lt;D xsi:type="xsd:string"&gt;Germany Benchmark Bond - 10 Year&lt;/D&gt;&lt;/FQL&gt;&lt;FQL&gt;&lt;Q&gt;REFCATARG-FDS^FG_YIELD(NOW,,,0)&lt;/Q&gt;&lt;R&gt;1&lt;/R&gt;&lt;C&gt;1&lt;/C&gt;&lt;D xsi:type="xsd:double"&gt;5&lt;/D&gt;&lt;/FQL&gt;&lt;FQL&gt;&lt;Q&gt;TRYCA10Y-FDS^FG_YIELD_NAME&lt;/Q&gt;&lt;R&gt;1&lt;/R&gt;&lt;C&gt;1&lt;/C&gt;&lt;D xsi:type="xsd:string"&gt;Canada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xsi:type="xsd:double"&gt;25&lt;/D&gt;&lt;/FQL&gt;&lt;FQL&gt;&lt;Q&gt;REFCATARG-FDS^PROPER_NAME(0,,,"SECURITY","NAME")&lt;/Q&gt;&lt;R&gt;1&lt;/R&gt;&lt;C&gt;1&lt;/C&gt;&lt;D xsi:type="xsd:string"&gt;Canada Target Rate&lt;/D&gt;&lt;/FQL&gt;&lt;FQL&gt;&lt;Q&gt;TRYUS10Y-FDS^PCTCHG(FG_YIELD(0,,,,"YTM"),FG_YIELD(-1AM,,,,"YTM"))&lt;/Q&gt;&lt;R&gt;1&lt;/R&gt;&lt;C&gt;1&lt;/C&gt;&lt;D xsi:type="xsd:double"&gt;5.0940456&lt;/D&gt;&lt;/FQL&gt;&lt;FQL&gt;&lt;Q&gt;TRYNZ10Y-FDS^PCTCHG(FG_YIELD(0,,,,"YTM"),FG_YIELD(-1AM,,,,"YTM"))&lt;/Q&gt;&lt;R&gt;1&lt;/R&gt;&lt;C&gt;1&lt;/C&gt;&lt;D xsi:type="xsd:double"&gt;4.8597183&lt;/D&gt;&lt;/FQL&gt;&lt;FQL&gt;&lt;Q&gt;EWU^FG_PRICE(0)&lt;/Q&gt;&lt;R&gt;1&lt;/R&gt;&lt;C&gt;1&lt;/C&gt;&lt;D xsi:type="xsd:double"&gt;35.05&lt;/D&gt;&lt;/FQL&gt;&lt;FQL&gt;&lt;Q&gt;QQQ^PERCENT_CHANGE(FMA_EPS(+1,0,,,,"PORTAGG","MEAN"),FMA_EPS(+1,-3AM,,,,"PORTAGG","MEAN"))&lt;/Q&gt;&lt;R&gt;1&lt;/R&gt;&lt;C&gt;1&lt;/C&gt;&lt;D xsi:type="xsd:double"&gt;-0.0421874989898303&lt;/D&gt;&lt;/FQL&gt;&lt;FQL&gt;&lt;Q&gt;SPY^FG_COMPANY_NAME&lt;/Q&gt;&lt;R&gt;1&lt;/R&gt;&lt;C&gt;1&lt;/C&gt;&lt;D xsi:type="xsd:string"&gt;SPDR S&amp;amp;P 500 ETF Trust&lt;/D&gt;&lt;/FQL&gt;&lt;FQL&gt;&lt;Q&gt;CAGDPY@US^EE_ACTUAL_ANNUAL(MED,0)&lt;/Q&gt;&lt;R&gt;1&lt;/R&gt;&lt;C&gt;1&lt;/C&gt;&lt;D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xsi:type="xsd:double"&gt;1811.545&lt;/D&gt;&lt;/FQL&gt;&lt;FQL&gt;&lt;Q&gt;USDANG^FG_PRICE(0)&lt;/Q&gt;&lt;R&gt;1&lt;/R&gt;&lt;C&gt;1&lt;/C&gt;&lt;D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xsi:type="xsd:double"&gt;0.80092907&lt;/D&gt;&lt;/FQL&gt;&lt;FQL&gt;&lt;Q&gt;USDJPY^FG_PRICE(0)&lt;/Q&gt;&lt;R&gt;1&lt;/R&gt;&lt;C&gt;1&lt;/C&gt;&lt;D xsi:type="xsd:double"&gt;154.06&lt;/D&gt;&lt;/FQL&gt;&lt;FQL&gt;&lt;Q&gt;USDCAD^FG_PRICE(0)&lt;/Q&gt;&lt;R&gt;1&lt;/R&gt;&lt;C&gt;1&lt;/C&gt;&lt;D xsi:type="xsd:double"&gt;1.37085&lt;/D&gt;&lt;/FQL&gt;&lt;FQL&gt;&lt;Q&gt;USDNZD^FG_PRICE(0)&lt;/Q&gt;&lt;R&gt;1&lt;/R&gt;&lt;C&gt;1&lt;/C&gt;&lt;D xsi:type="xsd:double"&gt;1.6867673&lt;/D&gt;&lt;/FQL&gt;&lt;FQL&gt;&lt;Q&gt;EWI^P_PRICE_RETURNS_PR('52W',2,-10AY,0,AM)&lt;/Q&gt;&lt;R&gt;121&lt;/R&gt;&lt;C&gt;1&lt;/C&gt;&lt;D xsi:type="xsd:double"&gt;41.68253&lt;/D&gt;&lt;D xsi:type="xsd:double"&gt;37.438&lt;/D&gt;&lt;D xsi:type="xsd:double"&gt;53.39103&lt;/D&gt;&lt;D xsi:type="xsd:double"&gt;24.618626&lt;/D&gt;&lt;D xsi:type="xsd:double"&gt;24.990189&lt;/D&gt;&lt;D xsi:type="xsd:double"&gt;4.8354626&lt;/D&gt;&lt;D xsi:type="xsd:double"&gt;-2.9256642&lt;/D&gt;&lt;D xsi:type="xsd:double"&gt;0.15579462&lt;/D&gt;&lt;D xsi:type="xsd:double"&gt;-9.217387&lt;/D&gt;&lt;D xsi:type="xsd:double"&gt;-8.932972&lt;/D&gt;&lt;D xsi:type="xsd:double"&gt;-8.166599&lt;/D&gt;&lt;D xsi:type="xsd:double"&gt;-12.893075&lt;/D&gt;&lt;D xsi:type="xsd:double"&gt;-12.173438&lt;/D&gt;&lt;D xsi:type="xsd:double"&gt;-9.475279&lt;/D&gt;&lt;D xsi:type="xsd:double"&gt;-13.228625&lt;/D&gt;&lt;D xsi:type="xsd:double"&gt;-2.9241025&lt;/D&gt;&lt;D xsi:type="xsd:double"&gt;-6.128889&lt;/D&gt;&lt;D xsi:type="xsd:double"&gt;-0.4489839&lt;/D&gt;&lt;D xsi:type="xsd:double"&gt;2.8128624&lt;/D&gt;&lt;D xsi:type="xsd:double"&gt;-1.284945&lt;/D&gt;&lt;D xsi:type="xsd:double"&gt;3.1199813&lt;/D&gt;&lt;D xsi:type="xsd:double"&gt;-14.794981&lt;/D&gt;&lt;D xsi:type="xsd:double"&gt;-19.46578&lt;/D&gt;&lt;D xsi:type="xsd:double"&gt;-18.017746&lt;/D&gt;&lt;D xsi:type="xsd:double"&gt;-16.764158&lt;/D&gt;&lt;D xsi:type="xsd:double"&gt;-22.106726&lt;/D&gt;&lt;D xsi:type="xsd:double"&gt;-26.031101&lt;/D&gt;&lt;D xsi:type="xsd:double"&gt;-28.29449&lt;/D&gt;&lt;D xsi:type="xsd:double"&gt;-19.122028&lt;/D&gt;&lt;D xsi:type="xsd:double"&gt;-20.612938&lt;/D&gt;&lt;D xsi:type="xsd:double"&gt;-24.165356&lt;/D&gt;&lt;D xsi:type="xsd:double"&gt;-19.61515&lt;/D&gt;&lt;D xsi:type="xsd:double"&gt;-9.994489&lt;/D&gt;&lt;D xsi:type="xsd:double"&gt;7.6110125&lt;/D&gt;&lt;D xsi:type="xsd:double"&gt;5.7366967&lt;/D&gt;&lt;D xsi:type="xsd:double"&gt;9.498585&lt;/D&gt;&lt;D xsi:type="xsd:double"&gt;9.669674&lt;/D&gt;&lt;D xsi:type="xsd:double"&gt;22.102844&lt;/D&gt;&lt;D xsi:type="xsd:double"&gt;31.645918&lt;/D&gt;&lt;D xsi:type="xsd:double"&gt;43.29996&lt;/D&gt;&lt;D xsi:type="xsd:double"&gt;37.509872&lt;/D&gt;&lt;D xsi:type="xsd:double"&gt;45.840275&lt;/D&gt;&lt;D xsi:type="xsd:double"&gt;46.939682&lt;/D&gt;&lt;D xsi:type="xsd:double"&gt;44.274857&lt;/D&gt;&lt;D xsi:type="xsd:double"&gt;29.53142&lt;/D&gt;&lt;D xsi:type="xsd:double"&gt;41.68725&lt;/D&gt;&lt;D xsi:type="xsd:double"&gt;34.418823&lt;/D&gt;&lt;D xsi:type="xsd:double"&gt;25.968636&lt;/D&gt;&lt;D xsi:type="xsd:double"&gt;29.1368&lt;/D&gt;&lt;D xsi:type="xsd:double"&gt;10.067725&lt;/D&gt;&lt;D xsi:type="xsd:double"&gt;6.5299153&lt;/D&gt;&lt;D xsi:type="xsd:double"&gt;-0.83293915&lt;/D&gt;&lt;D xsi:type="xsd:double"&gt;-7.517028&lt;/D&gt;&lt;D xsi:type="xsd:double"&gt;-9.5848675&lt;/D&gt;&lt;D xsi:type="xsd:double"&gt;-15.278572&lt;/D&gt;&lt;D xsi:type="xsd:double"&gt;-15.364474&lt;/D&gt;&lt;D xsi:type="xsd:double"&gt;-17.910635&lt;/D&gt;&lt;D xsi:type="xsd:double"&gt;-20.900005&lt;/D&gt;&lt;D xsi:type="xsd:double"&gt;-9.957438&lt;/D&gt;&lt;D xsi:type="xsd:double"&gt;-7.916504&lt;/D&gt;&lt;D xsi:type="xsd:double"&gt;-13.932144&lt;/D&gt;&lt;D xsi:type="xsd:double"&gt;-10.836429&lt;/D&gt;&lt;D xsi:type="xsd:double"&gt;0.88814497&lt;/D&gt;&lt;D xsi:type="xsd:double"&gt;-2.3326337&lt;/D&gt;&lt;D xsi:type="xsd:double"&gt;2.5537372&lt;/D&gt;&lt;D xsi:type="xsd:double"&gt;2.0442724&lt;/D&gt;&lt;D xsi:type="xsd:double"&gt;19.90292&lt;/D&gt;&lt;D xsi:type="xsd:double"&gt;17.515528&lt;/D&gt;&lt;D xsi:type="xsd:double"&gt;29.009974&lt;/D&gt;&lt;D xsi:type="xsd:double"&gt;14.592541&lt;/D&gt;&lt;D xsi:type="xsd:double"&gt;3.971529&lt;/D&gt;&lt;D xsi:type="xsd:double"&gt;-24.221294&lt;/D&gt;&lt;D xsi:type="xsd:double"&gt;-23.056608&lt;/D&gt;&lt;D xsi:type="xsd:double"&gt;-5.1591873&lt;/D&gt;&lt;D xsi:type="xsd:double"&gt;-9.31806&lt;/D&gt;&lt;D xsi:type="xsd:double"&gt;-6.908238&lt;/D&gt;&lt;D xsi:type="xsd:double"&gt;-1.6532898&lt;/D&gt;&lt;D xsi:type="xsd:double"&gt;-6.538457&lt;/D&gt;&lt;D xsi:type="xsd:double"&gt;-18.795227&lt;/D&gt;&lt;D xsi:type="xsd:double"&gt;3.6081553&lt;/D&gt;&lt;D xsi:type="xsd:double"&gt;1.6735792&lt;/D&gt;&lt;D xsi:type="xsd:double"&gt;4.1817665&lt;/D&gt;&lt;D xsi:type="xsd:double"&gt;13.765621&lt;/D&gt;&lt;D xsi:type="xsd:double"&gt;63.152813&lt;/D&gt;&lt;D xsi:type="xsd:double"&gt;52.26722&lt;/D&gt;&lt;D xsi:type="xsd:double"&gt;45.89534&lt;/D&gt;&lt;D xsi:type="xsd:double"&gt;35.063396&lt;/D&gt;&lt;D xsi:type="xsd:double"&gt;33.377552&lt;/D&gt;&lt;D xsi:type="xsd:double"&gt;30.580532&lt;/D&gt;&lt;D xsi:type="xsd:double"&gt;32.934402&lt;/D&gt;&lt;D xsi:type="xsd:double"&gt;48.13771&lt;/D&gt;&lt;D xsi:type="xsd:double"&gt;11.771488&lt;/D&gt;&lt;D xsi:type="xsd:double"&gt;14.412093&lt;/D&gt;&lt;D xsi:type="xsd:double"&gt;15.567231&lt;/D&gt;&lt;D xsi:type="xsd:double"&gt;-0.7794738&lt;/D&gt;&lt;D xsi:type="xsd:double"&gt;-3.3081055&lt;/D&gt;&lt;D xsi:type="xsd:double"&gt;-10.914951&lt;/D&gt;&lt;D xsi:type="xsd:double"&gt;-12.308902&lt;/D&gt;&lt;D xsi:type="xsd:double"&gt;-22.247553&lt;/D&gt;&lt;D xsi:type="xsd:double"&gt;-21.694237&lt;/D&gt;&lt;D xsi:type="xsd:double"&gt;-28.350645&lt;/D&gt;&lt;D xsi:type="xsd:double"&gt;-28.987461&lt;/D&gt;&lt;D xsi:type="xsd:double"&gt;-26.190966&lt;/D&gt;&lt;D xsi:type="xsd:double"&gt;-7.941538&lt;/D&gt;&lt;D xsi:type="xsd:double"&gt;-13.940644&lt;/D&gt;&lt;D xsi:type="xsd:double"&gt;-3.275311&lt;/D&gt;&lt;D xsi:type="xsd:double"&gt;7.570827&lt;/D&gt;&lt;D xsi:type="xsd:double"&gt;7.807827&lt;/D&gt;&lt;D xsi:type="xsd:double"&gt;18.502415&lt;/D&gt;&lt;D xsi:type="xsd:double"&gt;11.502159&lt;/D&gt;&lt;D xsi:type="xsd:double"&gt;37.46426&lt;/D&gt;&lt;D xsi:type="xsd:double"&gt;39.5182&lt;/D&gt;&lt;D xsi:type="xsd:double"&gt;44.340862&lt;/D&gt;&lt;D xsi:type="xsd:double"&gt;43.754005&lt;/D&gt;&lt;D xsi:type="xsd:double"&gt;34.496426&lt;/D&gt;&lt;D xsi:type="xsd:double"&gt;23.165834&lt;/D&gt;&lt;D xsi:type="xsd:double"&gt;29.74062&lt;/D&gt;&lt;D xsi:type="xsd:double"&gt;13.907539&lt;/D&gt;&lt;D xsi:type="xsd:double"&gt;23.607481&lt;/D&gt;&lt;D xsi:type="xsd:double"&gt;26.895714&lt;/D&gt;&lt;D xsi:type="xsd:double"&gt;23.113155&lt;/D&gt;&lt;/FQL&gt;&lt;FQL&gt;&lt;Q&gt;EWN^FG_TOTAL_RETURNC(-10AY,0,AM)&lt;/Q&gt;&lt;R&gt;121&lt;/R&gt;&lt;C&gt;1&lt;/C&gt;&lt;D xsi:type="xsd:double"&gt;-2.776724&lt;/D&gt;&lt;D xsi:type="xsd:double"&gt;1.3302088&lt;/D&gt;&lt;D xsi:type="xsd:double"&gt;1.287365&lt;/D&gt;&lt;D xsi:type="xsd:double"&gt;-6.793481&lt;/D&gt;&lt;D xsi:type="xsd:double"&gt;2.8321505&lt;/D&gt;&lt;D xsi:type="xsd:double"&gt;-4.617262&lt;/D&gt;&lt;D xsi:type="xsd:double"&gt;0.8921504&lt;/D&gt;&lt;D xsi:type="xsd:double"&gt;4.9658895&lt;/D&gt;&lt;D xsi:type="xsd:double"&gt;-4.2445364&lt;/D&gt;&lt;D xsi:type="xsd:double"&gt;1.4075637&lt;/D&gt;&lt;D xsi:type="xsd:double"&gt;7.064426&lt;/D&gt;&lt;D xsi:type="xsd:double"&gt;0.2708912&lt;/D&gt;&lt;D xsi:type="xsd:double"&gt;1.813972&lt;/D&gt;&lt;D xsi:type="xsd:double"&gt;0.41698217&lt;/D&gt;&lt;D xsi:type="xsd:double"&gt;-1.7630577&lt;/D&gt;&lt;D xsi:type="xsd:double"&gt;3.0326605&lt;/D&gt;&lt;D xsi:type="xsd:double"&gt;-9.094339&lt;/D&gt;&lt;D xsi:type="xsd:double"&gt;-1.452887&lt;/D&gt;&lt;D xsi:type="xsd:double"&gt;6.9081664&lt;/D&gt;&lt;D xsi:type="xsd:double"&gt;-3.3884883&lt;/D&gt;&lt;D xsi:type="xsd:double"&gt;-2.1753073&lt;/D&gt;&lt;D xsi:type="xsd:double"&gt;-4.2785225&lt;/D&gt;&lt;D xsi:type="xsd:double"&gt;2.4539828&lt;/D&gt;&lt;D xsi:type="xsd:double"&gt;4.747653&lt;/D&gt;&lt;D xsi:type="xsd:double"&gt;1.9599795&lt;/D&gt;&lt;D xsi:type="xsd:double"&gt;0.440526&lt;/D&gt;&lt;D xsi:type="xsd:double"&gt;-6.522548&lt;/D&gt;&lt;D xsi:type="xsd:double"&gt;2.682817&lt;/D&gt;&lt;D xsi:type="xsd:double"&gt;6.8689466&lt;/D&gt;&lt;D xsi:type="xsd:double"&gt;-1.1829674&lt;/D&gt;&lt;D xsi:type="xsd:double"&gt;-3.391862&lt;/D&gt;&lt;D xsi:type="xsd:double"&gt;-4.2957425&lt;/D&gt;&lt;D xsi:type="xsd:double"&gt;5.5726647&lt;/D&gt;&lt;D xsi:type="xsd:double"&gt;3.1884074&lt;/D&gt;&lt;D xsi:type="xsd:double"&gt;2.849114&lt;/D&gt;&lt;D xsi:type="xsd:double"&gt;4.603982&lt;/D&gt;&lt;D xsi:type="xsd:double"&gt;6.229019&lt;/D&gt;&lt;D xsi:type="xsd:double"&gt;4.880619&lt;/D&gt;&lt;D xsi:type="xsd:double"&gt;-1.9595683&lt;/D&gt;&lt;D xsi:type="xsd:double"&gt;6.6539884&lt;/D&gt;&lt;D xsi:type="xsd:double"&gt;-0.567168&lt;/D&gt;&lt;D xsi:type="xsd:double"&gt;2.3793936&lt;/D&gt;&lt;D xsi:type="xsd:double"&gt;1.0824561&lt;/D&gt;&lt;D xsi:type="xsd:double"&gt;-1.2283444&lt;/D&gt;&lt;D xsi:type="xsd:double"&gt;2.2655487&lt;/D&gt;&lt;D xsi:type="xsd:double"&gt;3.4493685&lt;/D&gt;&lt;D xsi:type="xsd:double"&gt;-4.1830897&lt;/D&gt;&lt;D xsi:type="xsd:double"&gt;-0.1581788&lt;/D&gt;&lt;D xsi:type="xsd:double"&gt;0.8713603&lt;/D&gt;&lt;D xsi:type="xsd:double"&gt;-0.58112144&lt;/D&gt;&lt;D xsi:type="xsd:double"&gt;-2.5157928&lt;/D&gt;&lt;D xsi:type="xsd:double"&gt;4.216075&lt;/D&gt;&lt;D xsi:type="xsd:double"&gt;-1.8963277&lt;/D&gt;&lt;D xsi:type="xsd:double"&gt;-3.1894386&lt;/D&gt;&lt;D xsi:type="xsd:double"&gt;-4.825288&lt;/D&gt;&lt;D xsi:type="xsd:double"&gt;-0.5944073&lt;/D&gt;&lt;D xsi:type="xsd:double"&gt;-7.187957&lt;/D&gt;&lt;D xsi:type="xsd:double"&gt;8.301603&lt;/D&gt;&lt;D xsi:type="xsd:double"&gt;4.781997&lt;/D&gt;&lt;D xsi:type="xsd:double"&gt;1.5100718&lt;/D&gt;&lt;D xsi:type="xsd:double"&gt;3.5041332&lt;/D&gt;&lt;D xsi:type="xsd:double"&gt;-5.301821&lt;/D&gt;&lt;D xsi:type="xsd:double"&gt;7.4371457&lt;/D&gt;&lt;D xsi:type="xsd:double"&gt;-1.9942105&lt;/D&gt;&lt;D xsi:type="xsd:double"&gt;0.42665005&lt;/D&gt;&lt;D xsi:type="xsd:double"&gt;-0.58823824&lt;/D&gt;&lt;D xsi:type="xsd:double"&gt;6.278765&lt;/D&gt;&lt;D xsi:type="xsd:double"&gt;-0.09279847&lt;/D&gt;&lt;D xsi:type="xsd:double"&gt;6.348431&lt;/D&gt;&lt;D xsi:type="xsd:double"&gt;-4.443145&lt;/D&gt;&lt;D xsi:type="xsd:double"&gt;-4.496789&lt;/D&gt;&lt;D xsi:type="xsd:double"&gt;-19.026262&lt;/D&gt;&lt;D xsi:type="xsd:double"&gt;9.968352&lt;/D&gt;&lt;D xsi:type="xsd:double"&gt;13.30936&lt;/D&gt;&lt;D xsi:type="xsd:double"&gt;5.9978724&lt;/D&gt;&lt;D xsi:type="xsd:double"&gt;2.3199797&lt;/D&gt;&lt;D xsi:type="xsd:double"&gt;7.0376873&lt;/D&gt;&lt;D xsi:type="xsd:double"&gt;-2.668494&lt;/D&gt;&lt;D xsi:type="xsd:double"&gt;-2.5155425&lt;/D&gt;&lt;D xsi:type="xsd:double"&gt;15.975642&lt;/D&gt;&lt;D xsi:type="xsd:double"&gt;3.6878943&lt;/D&gt;&lt;D xsi:type="xsd:double"&gt;5.587816&lt;/D&gt;&lt;D xsi:type="xsd:double"&gt;2.176392&lt;/D&gt;&lt;D xsi:type="xsd:double"&gt;6.210768&lt;/D&gt;&lt;D xsi:type="xsd:double"&gt;1.4777303&lt;/D&gt;&lt;D xsi:type="xsd:double"&gt;3.7237406&lt;/D&gt;&lt;D xsi:type="xsd:double"&gt;-2.2449732&lt;/D&gt;&lt;D xsi:type="xsd:double"&gt;3.490293&lt;/D&gt;&lt;D xsi:type="xsd:double"&gt;7.264018&lt;/D&gt;&lt;D xsi:type="xsd:double"&gt;-8.093023&lt;/D&gt;&lt;D xsi:type="xsd:double"&gt;5.829954&lt;/D&gt;&lt;D xsi:type="xsd:double"&gt;-6.178272&lt;/D&gt;&lt;D xsi:type="xsd:double"&gt;2.76649&lt;/D&gt;&lt;D xsi:type="xsd:double"&gt;-6.1927557&lt;/D&gt;&lt;D xsi:type="xsd:double"&gt;-10.974318&lt;/D&gt;&lt;D xsi:type="xsd:double"&gt;1.9074917&lt;/D&gt;&lt;D xsi:type="xsd:double"&gt;-10.318202&lt;/D&gt;&lt;D xsi:type="xsd:double"&gt;3.4959435&lt;/D&gt;&lt;D xsi:type="xsd:double"&gt;-11.281073&lt;/D&gt;&lt;D xsi:type="xsd:double"&gt;7.225096&lt;/D&gt;&lt;D xsi:type="xsd:double"&gt;-11.087251&lt;/D&gt;&lt;D xsi:type="xsd:double"&gt;-7.699275&lt;/D&gt;&lt;D xsi:type="xsd:double"&gt;4.317963&lt;/D&gt;&lt;D xsi:type="xsd:double"&gt;23.551893&lt;/D&gt;&lt;D xsi:type="xsd:double"&gt;-4.8969564&lt;/D&gt;&lt;D xsi:type="xsd:double"&gt;16.836727&lt;/D&gt;&lt;D xsi:type="xsd:double"&gt;-5.309117&lt;/D&gt;&lt;D xsi:type="xsd:double"&gt;2.4271846&lt;/D&gt;&lt;D xsi:type="xsd:double"&gt;-0.8056879&lt;/D&gt;&lt;D xsi:type="xsd:double"&gt;1.9589067&lt;/D&gt;&lt;D xsi:type="xsd:double"&gt;2.5419235&lt;/D&gt;&lt;D xsi:type="xsd:double"&gt;0.09242296&lt;/D&gt;&lt;D xsi:type="xsd:double"&gt;-5.1015673&lt;/D&gt;&lt;D xsi:type="xsd:double"&gt;-9.000248&lt;/D&gt;&lt;D xsi:type="xsd:double"&gt;3.3680797&lt;/D&gt;&lt;D xsi:type="xsd:double"&gt;9.800887&lt;/D&gt;&lt;D xsi:type="xsd:double"&gt;3.2697678&lt;/D&gt;&lt;D xsi:type="xsd:double"&gt;5.2849293&lt;/D&gt;&lt;D xsi:type="xsd:double"&gt;5.477965&lt;/D&gt;&lt;D xsi:type="xsd:double"&gt;1.9035816&lt;/D&gt;&lt;D xsi:type="xsd:double"&gt;-1.7868042&lt;/D&gt;&lt;/FQL&gt;&lt;FQL&gt;&lt;Q&gt;SPY^FMA_DIV_YLD(NTMA,-10AY,0,AM,"PORTAGG","MEANR")&lt;/Q&gt;&lt;R&gt;121&lt;/R&gt;&lt;C&gt;1&lt;/C&gt;&lt;D xsi:type="xsd:double"&gt;2.15691568432852&lt;/D&gt;&lt;D xsi:type="xsd:double"&gt;2.1236559762255&lt;/D&gt;&lt;D xsi:type="xsd:double"&gt;2.08374716701832&lt;/D&gt;&lt;D xsi:type="xsd:double"&gt;2.15628005760197&lt;/D&gt;&lt;D xsi:type="xsd:double"&gt;2.08651622870346&lt;/D&gt;&lt;D xsi:type="xsd:double"&gt;2.16212072385925&lt;/D&gt;&lt;D xsi:type="xsd:double"&gt;2.10653241131414&lt;/D&gt;&lt;D xsi:type="xsd:double"&gt;2.07705730175296&lt;/D&gt;&lt;D xsi:type="xsd:double"&gt;2.10229323424265&lt;/D&gt;&lt;D xsi:type="xsd:double"&gt;2.16316261010878&lt;/D&gt;&lt;D xsi:type="xsd:double"&gt;2.08612525473474&lt;/D&gt;&lt;D xsi:type="xsd:double"&gt;2.18037388974949&lt;/D&gt;&lt;D xsi:type="xsd:double"&gt;2.14931031730696&lt;/D&gt;&lt;D xsi:type="xsd:double"&gt;2.15877352447257&lt;/D&gt;&lt;D xsi:type="xsd:double"&gt;2.19149921343609&lt;/D&gt;&lt;D xsi:type="xsd:double"&gt;2.18739124047345&lt;/D&gt;&lt;D xsi:type="xsd:double"&gt;2.3780083738274&lt;/D&gt;&lt;D xsi:type="xsd:double"&gt;2.38199274009803&lt;/D&gt;&lt;D xsi:type="xsd:double"&gt;2.22290872665258&lt;/D&gt;&lt;D xsi:type="xsd:double"&gt;2.27744614659979&lt;/D&gt;&lt;D xsi:type="xsd:double"&gt;2.31468341119618&lt;/D&gt;&lt;D xsi:type="xsd:double"&gt;2.45182025901469&lt;/D&gt;&lt;D xsi:type="xsd:double"&gt;2.47519773454617&lt;/D&gt;&lt;D xsi:type="xsd:double"&gt;2.29179874134034&lt;/D&gt;&lt;D xsi:type="xsd:double"&gt;2.29270141173246&lt;/D&gt;&lt;D xsi:type="xsd:double"&gt;2.26420748659915&lt;/D&gt;&lt;D xsi:type="xsd:double"&gt;2.27675912156177&lt;/D&gt;&lt;D xsi:type="xsd:double"&gt;2.22855699646518&lt;/D&gt;&lt;D xsi:type="xsd:double"&gt;2.21341278146833&lt;/D&gt;&lt;D xsi:type="xsd:double"&gt;2.22038243921728&lt;/D&gt;&lt;D xsi:type="xsd:double"&gt;2.3058900724682&lt;/D&gt;&lt;D xsi:type="xsd:double"&gt;2.22327630646496&lt;/D&gt;&lt;D xsi:type="xsd:double"&gt;2.18859151652776&lt;/D&gt;&lt;D xsi:type="xsd:double"&gt;2.16901664805026&lt;/D&gt;&lt;D xsi:type="xsd:double"&gt;2.0897750216117&lt;/D&gt;&lt;D xsi:type="xsd:double"&gt;2.11464581814407&lt;/D&gt;&lt;D xsi:type="xsd:double"&gt;2.10406091207061&lt;/D&gt;&lt;D xsi:type="xsd:double"&gt;2.07494532252397&lt;/D&gt;&lt;D xsi:type="xsd:double"&gt;2.10344270989808&lt;/D&gt;&lt;D xsi:type="xsd:double"&gt;2.08049144712285&lt;/D&gt;&lt;D xsi:type="xsd:double"&gt;2.09267262525336&lt;/D&gt;&lt;D xsi:type="xsd:double"&gt;2.05365407540277&lt;/D&gt;&lt;D xsi:type="xsd:double"&gt;2.03107371428945&lt;/D&gt;&lt;D xsi:type="xsd:double"&gt;1.97452527147198&lt;/D&gt;&lt;D xsi:type="xsd:double"&gt;1.9480618735873&lt;/D&gt;&lt;D xsi:type="xsd:double"&gt;1.92807790157411&lt;/D&gt;&lt;D xsi:type="xsd:double"&gt;2.00588531378872&lt;/D&gt;&lt;D xsi:type="xsd:double"&gt;2.10612555462326&lt;/D&gt;&lt;D xsi:type="xsd:double"&gt;2.08709058979388&lt;/D&gt;&lt;D xsi:type="xsd:double"&gt;2.02241372702905&lt;/D&gt;&lt;D xsi:type="xsd:double"&gt;2.04734444155518&lt;/D&gt;&lt;D xsi:type="xsd:double"&gt;1.99703231239788&lt;/D&gt;&lt;D xsi:type="xsd:double"&gt;1.95551789133049&lt;/D&gt;&lt;D xsi:type="xsd:double"&gt;1.95165354632473&lt;/D&gt;&lt;D xsi:type="xsd:double"&gt;2.10136678168294&lt;/D&gt;&lt;D xsi:type="xsd:double"&gt;2.08669050371727&lt;/D&gt;&lt;D xsi:type="xsd:double"&gt;2.31834526605308&lt;/D&gt;&lt;D xsi:type="xsd:double"&gt;2.16110422856803&lt;/D&gt;&lt;D xsi:type="xsd:double"&gt;2.09436131892643&lt;/D&gt;&lt;D xsi:type="xsd:double"&gt;2.06782666891949&lt;/D&gt;&lt;D xsi:type="xsd:double"&gt;2.04450538703311&lt;/D&gt;&lt;D xsi:type="xsd:double"&gt;2.17784237831635&lt;/D&gt;&lt;D xsi:type="xsd:double"&gt;2.02719550101786&lt;/D&gt;&lt;D xsi:type="xsd:double"&gt;2.06527222269989&lt;/D&gt;&lt;D xsi:type="xsd:double"&gt;2.08063231134793&lt;/D&gt;&lt;D xsi:type="xsd:double"&gt;2.1161832531484&lt;/D&gt;&lt;D xsi:type="xsd:double"&gt;2.01070300194118&lt;/D&gt;&lt;D xsi:type="xsd:double"&gt;1.99378105807676&lt;/D&gt;&lt;D xsi:type="xsd:double"&gt;1.91781868548395&lt;/D&gt;&lt;D xsi:type="xsd:double"&gt;1.9520299270353&lt;/D&gt;&lt;D xsi:type="xsd:double"&gt;2.05270602642877&lt;/D&gt;&lt;D xsi:type="xsd:double"&gt;2.48472839135939&lt;/D&gt;&lt;D xsi:type="xsd:double"&gt;2.15226425198335&lt;/D&gt;&lt;D xsi:type="xsd:double"&gt;1.96028221808008&lt;/D&gt;&lt;D xsi:type="xsd:double"&gt;1.91411502456657&lt;/D&gt;&lt;D xsi:type="xsd:double"&gt;1.81788451651092&lt;/D&gt;&lt;D xsi:type="xsd:double"&gt;1.66582669099961&lt;/D&gt;&lt;D xsi:type="xsd:double"&gt;1.78152899984697&lt;/D&gt;&lt;D xsi:type="xsd:double"&gt;1.8111615223438&lt;/D&gt;&lt;D xsi:type="xsd:double"&gt;1.63609022849901&lt;/D&gt;&lt;D xsi:type="xsd:double"&gt;1.57770774766304&lt;/D&gt;&lt;D xsi:type="xsd:double"&gt;1.5601885847137&lt;/D&gt;&lt;D xsi:type="xsd:double"&gt;1.55650222530393&lt;/D&gt;&lt;D xsi:type="xsd:double"&gt;1.50646577006554&lt;/D&gt;&lt;D xsi:type="xsd:double"&gt;1.46012557345929&lt;/D&gt;&lt;D xsi:type="xsd:double"&gt;1.45980887403535&lt;/D&gt;&lt;D xsi:type="xsd:double"&gt;1.42593221313335&lt;/D&gt;&lt;D xsi:type="xsd:double"&gt;1.4320917984326&lt;/D&gt;&lt;D xsi:type="xsd:double"&gt;1.39638173576838&lt;/D&gt;&lt;D xsi:type="xsd:double"&gt;1.45917065713492&lt;/D&gt;&lt;D xsi:type="xsd:double"&gt;1.38860760279639&lt;/D&gt;&lt;D xsi:type="xsd:double"&gt;1.40777099176519&lt;/D&gt;&lt;D xsi:type="xsd:double"&gt;1.35459202448055&lt;/D&gt;&lt;D xsi:type="xsd:double"&gt;1.42647742241173&lt;/D&gt;&lt;D xsi:type="xsd:double"&gt;1.50649013718787&lt;/D&gt;&lt;D xsi:type="xsd:double"&gt;1.45043251205188&lt;/D&gt;&lt;D xsi:type="xsd:double"&gt;1.59094138383693&lt;/D&gt;&lt;D xsi:type="xsd:double"&gt;1.59115894386298&lt;/D&gt;&lt;D xsi:type="xsd:double"&gt;1.75495806548524&lt;/D&gt;&lt;D xsi:type="xsd:double"&gt;1.64837911697772&lt;/D&gt;&lt;D xsi:type="xsd:double"&gt;1.74076258516122&lt;/D&gt;&lt;D xsi:type="xsd:double"&gt;1.91157674240475&lt;/D&gt;&lt;D xsi:type="xsd:double"&gt;1.83904471204629&lt;/D&gt;&lt;D xsi:type="xsd:double"&gt;1.69919760704677&lt;/D&gt;&lt;D xsi:type="xsd:double"&gt;1.80889407839403&lt;/D&gt;&lt;D xsi:type="xsd:double"&gt;1.67403975281354&lt;/D&gt;&lt;D xsi:type="xsd:double"&gt;1.76430404655059&lt;/D&gt;&lt;D xsi:type="xsd:double"&gt;1.71388883272638&lt;/D&gt;&lt;D xsi:type="xsd:double"&gt;1.71360645476949&lt;/D&gt;&lt;D xsi:type="xsd:double"&gt;1.65609087967257&lt;/D&gt;&lt;D xsi:type="xsd:double"&gt;1.59650435282419&lt;/D&gt;&lt;D xsi:type="xsd:double"&gt;1.58282325788915&lt;/D&gt;&lt;D xsi:type="xsd:double"&gt;1.59253501745826&lt;/D&gt;&lt;D xsi:type="xsd:double"&gt;1.68942455652859&lt;/D&gt;&lt;D xsi:type="xsd:double"&gt;1.684253121143&lt;/D&gt;&lt;D xsi:type="xsd:double"&gt;1.58686801083778&lt;/D&gt;&lt;D xsi:type="xsd:double"&gt;1.55300068459346&lt;/D&gt;&lt;D xsi:type="xsd:double"&gt;1.50261284795621&lt;/D&gt;&lt;D xsi:type="xsd:double"&gt;1.4615474319811&lt;/D&gt;&lt;D xsi:type="xsd:double"&gt;1.44185002877924&lt;/D&gt;&lt;D xsi:type="xsd:double"&gt;1.51719218767529&lt;/D&gt;&lt;/FQL&gt;&lt;FQL&gt;&lt;Q&gt;EWU^FMA_PE(NTMA,-10AY,0,AM,"PORTAGG","MEANR")&lt;/Q&gt;&lt;R&gt;121&lt;/R&gt;&lt;C&gt;1&lt;/C&gt;&lt;D xsi:type="xsd:double"&gt;13.6001519615146&lt;/D&gt;&lt;D xsi:type="xsd:double"&gt;13.7055821817354&lt;/D&gt;&lt;D xsi:type="xsd:double"&gt;13.7330086630971&lt;/D&gt;&lt;D xsi:type="xsd:double"&gt;13.4185458223909&lt;/D&gt;&lt;D xsi:type="xsd:double"&gt;13.5460767180067&lt;/D&gt;&lt;D xsi:type="xsd:double"&gt;12.6986320867039&lt;/D&gt;&lt;D xsi:type="xsd:double"&gt;13.1604728966266&lt;/D&gt;&lt;D xsi:type="xsd:double"&gt;13.734826114618&lt;/D&gt;&lt;D xsi:type="xsd:double"&gt;13.7274018826704&lt;/D&gt;&lt;D xsi:type="xsd:double"&gt;15.0367030378154&lt;/D&gt;&lt;D xsi:type="xsd:double"&gt;15.7035693996053&lt;/D&gt;&lt;D xsi:type="xsd:double"&gt;15.4774161276279&lt;/D&gt;&lt;D xsi:type="xsd:double"&gt;16.0124486951167&lt;/D&gt;&lt;D xsi:type="xsd:double"&gt;15.8676271732119&lt;/D&gt;&lt;D xsi:type="xsd:double"&gt;15.1399987260779&lt;/D&gt;&lt;D xsi:type="xsd:double"&gt;15.4029204684913&lt;/D&gt;&lt;D xsi:type="xsd:double"&gt;13.9958032710912&lt;/D&gt;&lt;D xsi:type="xsd:double"&gt;14.4814131553931&lt;/D&gt;&lt;D xsi:type="xsd:double"&gt;15.3038113109867&lt;/D&gt;&lt;D xsi:type="xsd:double"&gt;15.4917227649773&lt;/D&gt;&lt;D xsi:type="xsd:double"&gt;15.2053139260079&lt;/D&gt;&lt;D xsi:type="xsd:double"&gt;15.2204511577831&lt;/D&gt;&lt;D xsi:type="xsd:double"&gt;15.8060576407697&lt;/D&gt;&lt;D xsi:type="xsd:double"&gt;16.0054167293524&lt;/D&gt;&lt;D xsi:type="xsd:double"&gt;16.1933817366484&lt;/D&gt;&lt;D xsi:type="xsd:double"&gt;15.7055648837027&lt;/D&gt;&lt;D xsi:type="xsd:double"&gt;16.1076551566143&lt;/D&gt;&lt;D xsi:type="xsd:double"&gt;15.9896006682044&lt;/D&gt;&lt;D xsi:type="xsd:double"&gt;16.2733929134538&lt;/D&gt;&lt;D xsi:type="xsd:double"&gt;15.7154072811657&lt;/D&gt;&lt;D xsi:type="xsd:double"&gt;14.6584456357289&lt;/D&gt;&lt;D xsi:type="xsd:double"&gt;14.1545278968975&lt;/D&gt;&lt;D xsi:type="xsd:double"&gt;14.4510565442094&lt;/D&gt;&lt;D xsi:type="xsd:double"&gt;14.2331061483905&lt;/D&gt;&lt;D xsi:type="xsd:double"&gt;14.5113071990582&lt;/D&gt;&lt;D xsi:type="xsd:double"&gt;14.4190694742358&lt;/D&gt;&lt;D xsi:type="xsd:double"&gt;14.3840968918027&lt;/D&gt;&lt;D xsi:type="xsd:double"&gt;14.8416697673004&lt;/D&gt;&lt;D xsi:type="xsd:double"&gt;14.3989278646626&lt;/D&gt;&lt;D xsi:type="xsd:double"&gt;14.7861131314944&lt;/D&gt;&lt;D xsi:type="xsd:double"&gt;14.6286836464253&lt;/D&gt;&lt;D xsi:type="xsd:double"&gt;14.6027332244273&lt;/D&gt;&lt;D xsi:type="xsd:double"&gt;14.5385449273302&lt;/D&gt;&lt;D xsi:type="xsd:double"&gt;14.1193684645936&lt;/D&gt;&lt;D xsi:type="xsd:double"&gt;14.7072229616047&lt;/D&gt;&lt;D xsi:type="xsd:double"&gt;14.145621020314&lt;/D&gt;&lt;D xsi:type="xsd:double"&gt;12.8099255289285&lt;/D&gt;&lt;D xsi:type="xsd:double"&gt;13.2141510705567&lt;/D&gt;&lt;D xsi:type="xsd:double"&gt;13.7582103334624&lt;/D&gt;&lt;D xsi:type="xsd:double"&gt;13.6334728503001&lt;/D&gt;&lt;D xsi:type="xsd:double"&gt;13.0949434402468&lt;/D&gt;&lt;D xsi:type="xsd:double"&gt;13.0263077546348&lt;/D&gt;&lt;D xsi:type="xsd:double"&gt;12.6358290761544&lt;/D&gt;&lt;D xsi:type="xsd:double"&gt;12.6830800705505&lt;/D&gt;&lt;D xsi:type="xsd:double"&gt;11.8665666456458&lt;/D&gt;&lt;D xsi:type="xsd:double"&gt;11.7049560237895&lt;/D&gt;&lt;D xsi:type="xsd:double"&gt;11.3536683141459&lt;/D&gt;&lt;D xsi:type="xsd:double"&gt;12.2478018688638&lt;/D&gt;&lt;D xsi:type="xsd:double"&gt;12.4162939089334&lt;/D&gt;&lt;D xsi:type="xsd:double"&gt;12.7255634844932&lt;/D&gt;&lt;D xsi:type="xsd:double"&gt;12.5617494170028&lt;/D&gt;&lt;D xsi:type="xsd:double"&gt;12.1186264747505&lt;/D&gt;&lt;D xsi:type="xsd:double"&gt;12.7454845374391&lt;/D&gt;&lt;D xsi:type="xsd:double"&gt;12.3144106681021&lt;/D&gt;&lt;D xsi:type="xsd:double"&gt;11.9965417006693&lt;/D&gt;&lt;D xsi:type="xsd:double"&gt;11.9700915137889&lt;/D&gt;&lt;D xsi:type="xsd:double"&gt;12.721959000882&lt;/D&gt;&lt;D xsi:type="xsd:double"&gt;12.8839123847736&lt;/D&gt;&lt;D xsi:type="xsd:double"&gt;13.5290698433994&lt;/D&gt;&lt;D xsi:type="xsd:double"&gt;13.0766565693587&lt;/D&gt;&lt;D xsi:type="xsd:double"&gt;11.989542104642&lt;/D&gt;&lt;D xsi:type="xsd:double"&gt;11.8906721263028&lt;/D&gt;&lt;D xsi:type="xsd:double"&gt;14.5914088601471&lt;/D&gt;&lt;D xsi:type="xsd:double"&gt;16.219223171338&lt;/D&gt;&lt;D xsi:type="xsd:double"&gt;16.0111734699685&lt;/D&gt;&lt;D xsi:type="xsd:double"&gt;15.1112646372904&lt;/D&gt;&lt;D xsi:type="xsd:double"&gt;15.2453818169686&lt;/D&gt;&lt;D xsi:type="xsd:double"&gt;14.3894354453942&lt;/D&gt;&lt;D xsi:type="xsd:double"&gt;13.1150769536722&lt;/D&gt;&lt;D xsi:type="xsd:double"&gt;14.9654964569204&lt;/D&gt;&lt;D xsi:type="xsd:double"&gt;14.3956782704291&lt;/D&gt;&lt;D xsi:type="xsd:double"&gt;13.784064566245&lt;/D&gt;&lt;D xsi:type="xsd:double"&gt;14.0381148851281&lt;/D&gt;&lt;D xsi:type="xsd:double"&gt;13.431647037593&lt;/D&gt;&lt;D xsi:type="xsd:double"&gt;13.2401887204138&lt;/D&gt;&lt;D xsi:type="xsd:double"&gt;13.3078970756539&lt;/D&gt;&lt;D xsi:type="xsd:double"&gt;12.6943475320275&lt;/D&gt;&lt;D xsi:type="xsd:double"&gt;12.327453649362&lt;/D&gt;&lt;D xsi:type="xsd:double"&gt;12.2774332996002&lt;/D&gt;&lt;D xsi:type="xsd:double"&gt;11.7835488221079&lt;/D&gt;&lt;D xsi:type="xsd:double"&gt;12.2024185585538&lt;/D&gt;&lt;D xsi:type="xsd:double"&gt;11.7493477361356&lt;/D&gt;&lt;D xsi:type="xsd:double"&gt;12.209534264943&lt;/D&gt;&lt;D xsi:type="xsd:double"&gt;12.3713032783041&lt;/D&gt;&lt;D xsi:type="xsd:double"&gt;11.9154614094992&lt;/D&gt;&lt;D xsi:type="xsd:double"&gt;11.2507721813573&lt;/D&gt;&lt;D xsi:type="xsd:double"&gt;10.7913225440828&lt;/D&gt;&lt;D xsi:type="xsd:double"&gt;10.4449392281701&lt;/D&gt;&lt;D xsi:type="xsd:double"&gt;9.53875295596883&lt;/D&gt;&lt;D xsi:type="xsd:double"&gt;9.82515520010353&lt;/D&gt;&lt;D xsi:type="xsd:double"&gt;9.22014653941107&lt;/D&gt;&lt;D xsi:type="xsd:double"&gt;8.55513446148832&lt;/D&gt;&lt;D xsi:type="xsd:double"&gt;9.04813920407908&lt;/D&gt;&lt;D xsi:type="xsd:double"&gt;9.93161236465625&lt;/D&gt;&lt;D xsi:type="xsd:double"&gt;9.80305771985703&lt;/D&gt;&lt;D xsi:type="xsd:double"&gt;10.4886085825074&lt;/D&gt;&lt;D xsi:type="xsd:double"&gt;10.5358392393139&lt;/D&gt;&lt;D xsi:type="xsd:double"&gt;10.3398505776306&lt;/D&gt;&lt;D xsi:type="xsd:double"&gt;10.5561550682346&lt;/D&gt;&lt;D xsi:type="xsd:double"&gt;10.3040301855153&lt;/D&gt;&lt;D xsi:type="xsd:double"&gt;10.37598399064&lt;/D&gt;&lt;D xsi:type="xsd:double"&gt;10.5225062615363&lt;/D&gt;&lt;D xsi:type="xsd:double"&gt;10.3725426645774&lt;/D&gt;&lt;D xsi:type="xsd:double"&gt;10.2513238577556&lt;/D&gt;&lt;D xsi:type="xsd:double"&gt;10.1867825419858&lt;/D&gt;&lt;D xsi:type="xsd:double"&gt;10.5920235357426&lt;/D&gt;&lt;D xsi:type="xsd:double"&gt;10.9713802011028&lt;/D&gt;&lt;D xsi:type="xsd:double"&gt;11.0587191766114&lt;/D&gt;&lt;D xsi:type="xsd:double"&gt;11.2369579228722&lt;/D&gt;&lt;D xsi:type="xsd:double"&gt;11.4819071995555&lt;/D&gt;&lt;D xsi:type="xsd:double"&gt;11.6463997791601&lt;/D&gt;&lt;/FQL&gt;&lt;FQL&gt;&lt;Q&gt;EWJ^FMA_PE(LTMA,-10AY,0,AM,"PORTAGG","MEANR")&lt;/Q&gt;&lt;R&gt;121&lt;/R&gt;&lt;C&gt;1&lt;/C&gt;&lt;D xsi:type="xsd:double"&gt;15.2812199500938&lt;/D&gt;&lt;D xsi:type="xsd:double"&gt;15.2592071013563&lt;/D&gt;&lt;D xsi:type="xsd:double"&gt;15.3998304129211&lt;/D&gt;&lt;D xsi:type="xsd:double"&gt;15.2311492823174&lt;/D&gt;&lt;D xsi:type="xsd:double"&gt;15.1368848158286&lt;/D&gt;&lt;D xsi:type="xsd:double"&gt;15.06690625202&lt;/D&gt;&lt;D xsi:type="xsd:double"&gt;15.3501722772435&lt;/D&gt;&lt;D xsi:type="xsd:double"&gt;16.0343550326829&lt;/D&gt;&lt;D xsi:type="xsd:double"&gt;15.885694894027&lt;/D&gt;&lt;D xsi:type="xsd:double"&gt;15.4327125866144&lt;/D&gt;&lt;D xsi:type="xsd:double"&gt;16.9197408010976&lt;/D&gt;&lt;D xsi:type="xsd:double"&gt;16.846137982127&lt;/D&gt;&lt;D xsi:type="xsd:double"&gt;16.8850210625588&lt;/D&gt;&lt;D xsi:type="xsd:double"&gt;17.1622601229127&lt;/D&gt;&lt;D xsi:type="xsd:double"&gt;16.8303581367694&lt;/D&gt;&lt;D xsi:type="xsd:double"&gt;16.8590830233591&lt;/D&gt;&lt;D xsi:type="xsd:double"&gt;15.4129519374117&lt;/D&gt;&lt;D xsi:type="xsd:double"&gt;15.0560339317944&lt;/D&gt;&lt;D xsi:type="xsd:double"&gt;15.6098449264295&lt;/D&gt;&lt;D xsi:type="xsd:double"&gt;16.3177436832115&lt;/D&gt;&lt;D xsi:type="xsd:double"&gt;15.7241220272528&lt;/D&gt;&lt;D xsi:type="xsd:double"&gt;14.8422952433768&lt;/D&gt;&lt;D xsi:type="xsd:double"&gt;13.8920939709518&lt;/D&gt;&lt;D xsi:type="xsd:double"&gt;13.711784284269&lt;/D&gt;&lt;D xsi:type="xsd:double"&gt;13.6483585984328&lt;/D&gt;&lt;D xsi:type="xsd:double"&gt;13.994019370104&lt;/D&gt;&lt;D xsi:type="xsd:double"&gt;13.7030448296098&lt;/D&gt;&lt;D xsi:type="xsd:double"&gt;13.9347523635371&lt;/D&gt;&lt;D xsi:type="xsd:double"&gt;14.381164911327&lt;/D&gt;&lt;D xsi:type="xsd:double"&gt;14.1918651950187&lt;/D&gt;&lt;D xsi:type="xsd:double"&gt;14.5904436329419&lt;/D&gt;&lt;D xsi:type="xsd:double"&gt;15.8579848447712&lt;/D&gt;&lt;D xsi:type="xsd:double"&gt;16.336549755413&lt;/D&gt;&lt;D xsi:type="xsd:double"&gt;16.1236828244139&lt;/D&gt;&lt;D xsi:type="xsd:double"&gt;15.9854962068182&lt;/D&gt;&lt;D xsi:type="xsd:double"&gt;15.7187584660595&lt;/D&gt;&lt;D xsi:type="xsd:double"&gt;15.637682856755&lt;/D&gt;&lt;D xsi:type="xsd:double"&gt;15.7743482115011&lt;/D&gt;&lt;D xsi:type="xsd:double"&gt;15.5614075878747&lt;/D&gt;&lt;D xsi:type="xsd:double"&gt;15.4741362387861&lt;/D&gt;&lt;D xsi:type="xsd:double"&gt;14.9719992262634&lt;/D&gt;&lt;D xsi:type="xsd:double"&gt;15.0176899315799&lt;/D&gt;&lt;D xsi:type="xsd:double"&gt;15.6501340153415&lt;/D&gt;&lt;D xsi:type="xsd:double"&gt;16.1118501248426&lt;/D&gt;&lt;D xsi:type="xsd:double"&gt;16.3473463194346&lt;/D&gt;&lt;D xsi:type="xsd:double"&gt;16.4463583995679&lt;/D&gt;&lt;D xsi:type="xsd:double"&gt;14.4091154825721&lt;/D&gt;&lt;D xsi:type="xsd:double"&gt;14.2422035250036&lt;/D&gt;&lt;D xsi:type="xsd:double"&gt;14.2715805406288&lt;/D&gt;&lt;D xsi:type="xsd:double"&gt;14.0897163036692&lt;/D&gt;&lt;D xsi:type="xsd:double"&gt;13.8396336462333&lt;/D&gt;&lt;D xsi:type="xsd:double"&gt;13.8649640711722&lt;/D&gt;&lt;D xsi:type="xsd:double"&gt;13.6506504736833&lt;/D&gt;&lt;D xsi:type="xsd:double"&gt;14.0166290879885&lt;/D&gt;&lt;D xsi:type="xsd:double"&gt;12.9119129900646&lt;/D&gt;&lt;D xsi:type="xsd:double"&gt;12.8279675403355&lt;/D&gt;&lt;D xsi:type="xsd:double"&gt;11.476921960416&lt;/D&gt;&lt;D xsi:type="xsd:double"&gt;12.1613713410437&lt;/D&gt;&lt;D xsi:type="xsd:double"&gt;12.702</t>
        </r>
      </text>
    </comment>
    <comment ref="A5" authorId="0" shapeId="0" xr:uid="{886A286F-D16C-49D1-9CF6-C92C031CD00E}">
      <text>
        <r>
          <rPr>
            <b/>
            <sz val="9"/>
            <color indexed="81"/>
            <rFont val="Tahoma"/>
            <charset val="1"/>
          </rPr>
          <t>2799934721&lt;/D&gt;&lt;D xsi:type="xsd:double"&gt;12.7267712356719&lt;/D&gt;&lt;D xsi:type="xsd:double"&gt;12.7899329167057&lt;/D&gt;&lt;D xsi:type="xsd:double"&gt;12.6047285191562&lt;/D&gt;&lt;D xsi:type="xsd:double"&gt;13.0157825340615&lt;/D&gt;&lt;D xsi:type="xsd:double"&gt;12.858455870972&lt;/D&gt;&lt;D xsi:type="xsd:double"&gt;12.7294124117303&lt;/D&gt;&lt;D xsi:type="xsd:double"&gt;13.4625017134177&lt;/D&gt;&lt;D xsi:type="xsd:double"&gt;14.0736389709863&lt;/D&gt;&lt;D xsi:type="xsd:double"&gt;14.9531640830735&lt;/D&gt;&lt;D xsi:type="xsd:double"&gt;15.3103004572472&lt;/D&gt;&lt;D xsi:type="xsd:double"&gt;15.041330177922&lt;/D&gt;&lt;D xsi:type="xsd:double"&gt;13.9835567809939&lt;/D&gt;&lt;D xsi:type="xsd:double"&gt;13.5919136103995&lt;/D&gt;&lt;D xsi:type="xsd:double"&gt;14.2436383364059&lt;/D&gt;&lt;D xsi:type="xsd:double"&gt;15.8520431801397&lt;/D&gt;&lt;D xsi:type="xsd:double"&gt;16.8997735115306&lt;/D&gt;&lt;D xsi:type="xsd:double"&gt;17.3845613454213&lt;/D&gt;&lt;D xsi:type="xsd:double"&gt;19.0287780761715&lt;/D&gt;&lt;D xsi:type="xsd:double"&gt;19.8984989770619&lt;/D&gt;&lt;D xsi:type="xsd:double"&gt;20.5158204501514&lt;/D&gt;&lt;D xsi:type="xsd:double"&gt;22.4045364475503&lt;/D&gt;&lt;D xsi:type="xsd:double"&gt;23.6107677762699&lt;/D&gt;&lt;D xsi:type="xsd:double"&gt;23.3267331612984&lt;/D&gt;&lt;D xsi:type="xsd:double"&gt;21.6628267263447&lt;/D&gt;&lt;D xsi:type="xsd:double"&gt;21.3136890627908&lt;/D&gt;&lt;D xsi:type="xsd:double"&gt;20.7215401133062&lt;/D&gt;&lt;D xsi:type="xsd:double"&gt;20.2720679178967&lt;/D&gt;&lt;D xsi:type="xsd:double"&gt;19.7943401727249&lt;/D&gt;&lt;D xsi:type="xsd:double"&gt;19.1456109240637&lt;/D&gt;&lt;D xsi:type="xsd:double"&gt;18.5019323029695&lt;/D&gt;&lt;D xsi:type="xsd:double"&gt;17.8577532785077&lt;/D&gt;&lt;D xsi:type="xsd:double"&gt;17.631099275267&lt;/D&gt;&lt;D xsi:type="xsd:double"&gt;16.317115225533&lt;/D&gt;&lt;D xsi:type="xsd:double"&gt;16.1019754878596&lt;/D&gt;&lt;D xsi:type="xsd:double"&gt;15.3854503604481&lt;/D&gt;&lt;D xsi:type="xsd:double"&gt;14.671127507821&lt;/D&gt;&lt;D xsi:type="xsd:double"&gt;14.6117555010958&lt;/D&gt;&lt;D xsi:type="xsd:double"&gt;14.3412351597568&lt;/D&gt;&lt;D xsi:type="xsd:double"&gt;14.2545037259604&lt;/D&gt;&lt;D xsi:type="xsd:double"&gt;13.7562360343812&lt;/D&gt;&lt;D xsi:type="xsd:double"&gt;13.8481329891897&lt;/D&gt;&lt;D xsi:type="xsd:double"&gt;13.6686075076923&lt;/D&gt;&lt;D xsi:type="xsd:double"&gt;12.9355938544323&lt;/D&gt;&lt;D xsi:type="xsd:double"&gt;13.3096290941177&lt;/D&gt;&lt;D xsi:type="xsd:double"&gt;13.3674582625414&lt;/D&gt;&lt;D xsi:type="xsd:double"&gt;12.7449453205506&lt;/D&gt;&lt;D xsi:type="xsd:double"&gt;13.353265828304&lt;/D&gt;&lt;D xsi:type="xsd:double"&gt;13.6631205017005&lt;/D&gt;&lt;D xsi:type="xsd:double"&gt;13.6528380728028&lt;/D&gt;&lt;D xsi:type="xsd:double"&gt;13.8110043236964&lt;/D&gt;&lt;D xsi:type="xsd:double"&gt;14.1522157796925&lt;/D&gt;&lt;D xsi:type="xsd:double"&gt;14.5900759292971&lt;/D&gt;&lt;D xsi:type="xsd:double"&gt;14.6625478884746&lt;/D&gt;&lt;D xsi:type="xsd:double"&gt;14.8615476455978&lt;/D&gt;&lt;D xsi:type="xsd:double"&gt;14.7548680437073&lt;/D&gt;&lt;D xsi:type="xsd:double"&gt;14.844407697114&lt;/D&gt;&lt;D xsi:type="xsd:double"&gt;15.2550273351572&lt;/D&gt;&lt;D xsi:type="xsd:double"&gt;15.2493388114812&lt;/D&gt;&lt;D xsi:type="xsd:double"&gt;16.3782126846227&lt;/D&gt;&lt;D xsi:type="xsd:double"&gt;17.0887814026035&lt;/D&gt;&lt;D xsi:type="xsd:double"&gt;16.9404761080044&lt;/D&gt;&lt;D xsi:type="xsd:double"&gt;16.7366488977103&lt;/D&gt;&lt;/FQL&gt;&lt;FQL&gt;&lt;Q&gt;EWJ^P_PRICE(0)/P_PRICE_HIGH_PR(0,,,,,,"PRICE","INTRA","52W")&lt;/Q&gt;&lt;R&gt;1&lt;/R&gt;&lt;C&gt;1&lt;/C&gt;&lt;D xsi:type="xsd:double"&gt;0.9501145&lt;/D&gt;&lt;/FQL&gt;&lt;FQL&gt;&lt;Q&gt;VWO^FG_TOTAL_RETURNC(0,-12AM)&lt;/Q&gt;&lt;R&gt;1&lt;/R&gt;&lt;C&gt;1&lt;/C&gt;&lt;D xsi:type="xsd:double"&gt;12.947369&lt;/D&gt;&lt;/FQL&gt;&lt;FQL&gt;&lt;Q&gt;EWD^FG_TOTAL_RETURNC(0,-1AM)&lt;/Q&gt;&lt;R&gt;1&lt;/R&gt;&lt;C&gt;1&lt;/C&gt;&lt;D xsi:type="xsd:double"&gt;-1.8149674&lt;/D&gt;&lt;/FQL&gt;&lt;FQL&gt;&lt;Q&gt;EWJ^PERCENT_CHANGE(FMA_EPS(+1,0,,,,"PORTAGG","MEAN"),FMA_EPS(+1,-3AM,,,,"PORTAGG","MEAN"))&lt;/Q&gt;&lt;R&gt;1&lt;/R&gt;&lt;C&gt;1&lt;/C&gt;&lt;D xsi:type="xsd:double"&gt;-1.64354113951465&lt;/D&gt;&lt;/FQL&gt;&lt;FQL&gt;&lt;Q&gt;ENZL^P_PRICE(0)/P_PRICE_HIGH_PR(0,,,,,,"PRICE","INTRA","52W")&lt;/Q&gt;&lt;R&gt;1&lt;/R&gt;&lt;C&gt;1&lt;/C&gt;&lt;D xsi:type="xsd:double"&gt;0.8717349&lt;/D&gt;&lt;/FQL&gt;&lt;FQL&gt;&lt;Q&gt;URTH^SIZE(FG_CONSTITUENTS)&lt;/Q&gt;&lt;R&gt;1&lt;/R&gt;&lt;C&gt;1&lt;/C&gt;&lt;D xsi:type="xsd:long"&gt;1469&lt;/D&gt;&lt;/FQL&gt;&lt;FQL&gt;&lt;Q&gt;EWN^FMA_COS_DOWN("EPS","1M",+1,0,,,"PORTAGG","MEANR")&lt;/Q&gt;&lt;R&gt;1&lt;/R&gt;&lt;C&gt;1&lt;/C&gt;&lt;D xsi:type="xsd:double"&gt;18&lt;/D&gt;&lt;/FQL&gt;&lt;FQL&gt;&lt;Q&gt;EWU^FG_ROE(0)&lt;/Q&gt;&lt;R&gt;1&lt;/R&gt;&lt;C&gt;1&lt;/C&gt;&lt;D xsi:type="xsd:double"&gt;17.0453215924902&lt;/D&gt;&lt;/FQL&gt;&lt;FQL&gt;&lt;Q&gt;TRYUS10Y-FDS^PCTCHG(FG_YIELD(0,,,,"YTM"),FG_YIELD(-3AM,,,,"YTM"))&lt;/Q&gt;&lt;R&gt;1&lt;/R&gt;&lt;C&gt;1&lt;/C&gt;&lt;D xsi:type="xsd:double"&gt;13.616385&lt;/D&gt;&lt;/FQL&gt;&lt;FQL&gt;&lt;Q&gt;TRYNZ10Y-FDS^PCTCHG(FG_YIELD(0,,,,"YTM"),FG_YIELD(-3AM,,,,"YTM"))&lt;/Q&gt;&lt;R&gt;1&lt;/R&gt;&lt;C&gt;1&lt;/C&gt;&lt;D xsi:type="xsd:double"&gt;6.7350492&lt;/D&gt;&lt;/FQL&gt;&lt;FQL&gt;&lt;Q&gt;TRYGB10Y-FDS^FG_YIELD(0,,,,"YTM")&lt;/Q&gt;&lt;R&gt;1&lt;/R&gt;&lt;C&gt;1&lt;/C&gt;&lt;D xsi:type="xsd:double"&gt;4.306&lt;/D&gt;&lt;/FQL&gt;&lt;FQL&gt;&lt;Q&gt;EWL^FG_ROE(0)&lt;/Q&gt;&lt;R&gt;1&lt;/R&gt;&lt;C&gt;1&lt;/C&gt;&lt;D xsi:type="xsd:double"&gt;24.1376843790016&lt;/D&gt;&lt;/FQL&gt;&lt;FQL&gt;&lt;Q&gt;EWN^FMA_EPS(NTMA,-20AY,0,CY,,"PORTAGG","MEANR")&lt;/Q&gt;&lt;R&gt;20&lt;/R&gt;&lt;C&gt;1&lt;/C&gt;&lt;D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xsi:type="xsd:double"&gt;2.95560750186165&lt;/D&gt;&lt;/FQL&gt;&lt;FQL&gt;&lt;Q&gt;QQQ^FG_COMPANY_NAME&lt;/Q&gt;&lt;R&gt;1&lt;/R&gt;&lt;C&gt;1&lt;/C&gt;&lt;D xsi:type="xsd:string"&gt;Invesco QQQ Trust Series I&lt;/D&gt;&lt;/FQL&gt;&lt;FQL&gt;&lt;Q&gt;TRYGB10Y-FDS^PCTCHG(FG_YIELD(0,,,,"YTM"),FG_YIELD(-3AM,,,,"YTM"))&lt;/Q&gt;&lt;R&gt;1&lt;/R&gt;&lt;C&gt;1&lt;/C&gt;&lt;D xsi:type="xsd:double"&gt;10.466911&lt;/D&gt;&lt;/FQL&gt;&lt;FQL&gt;&lt;Q&gt;WL-FDS^FG_PRICE(0)&lt;/Q&gt;&lt;R&gt;1&lt;/R&gt;&lt;C&gt;1&lt;/C&gt;&lt;D xsi:type="xsd:double"&gt;570.5&lt;/D&gt;&lt;/FQL&gt;&lt;FQL&gt;&lt;Q&gt;EWI^FG_ROE(0)&lt;/Q&gt;&lt;R&gt;1&lt;/R&gt;&lt;C&gt;1&lt;/C&gt;&lt;D xsi:type="xsd:double"&gt;14.2642897443217&lt;/D&gt;&lt;/FQL&gt;&lt;FQL&gt;&lt;Q&gt;SPY^FMA_ROE(NTMA,-20AY,NOW,FY,"PORTAGG","MEANR")&lt;/Q&gt;&lt;R&gt;20&lt;/R&gt;&lt;C&gt;1&lt;/C&gt;&lt;D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xsi:type="xsd:double"&gt;20.686290276184&lt;/D&gt;&lt;D xsi:type="xsd:double"&gt;20.5983105929019&lt;/D&gt;&lt;D xsi:type="xsd:double"&gt;20.3486892313688&lt;/D&gt;&lt;/FQL&gt;&lt;FQL&gt;&lt;Q&gt;TRYAE10Y-FDS^FG_YIELD(-10AY,0,Y,,"YTM")&lt;/Q&gt;&lt;R&gt;10&lt;/R&gt;&lt;C&gt;1&lt;/C&gt;&lt;D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xsi:type="xsd:double"&gt;11.358896&lt;/D&gt;&lt;/FQL&gt;&lt;FQL&gt;&lt;Q&gt;EWG^FMA_PE(LTMA,-10AY,0,AM,"PORTAGG","MEANR")&lt;/Q&gt;&lt;R&gt;121&lt;/R&gt;&lt;C&gt;1&lt;/C&gt;&lt;D xsi:type="xsd:double"&gt;14.6330415699914&lt;/D&gt;&lt;D xsi:type="xsd:double"&gt;14.7103616554671&lt;/D&gt;&lt;D xsi:type="xsd:double"&gt;14.6262255952975&lt;/D&gt;&lt;D xsi:type="xsd:double"&gt;14.0638805875565&lt;/D&gt;&lt;D xsi:type="xsd:double"&gt;14.1731297862566&lt;/D&gt;&lt;D xsi:type="xsd:double"&gt;13.7465896466067&lt;/D&gt;&lt;D xsi:type="xsd:double"&gt;13.7675510419231&lt;/D&gt;&lt;D xsi:type="xsd:double"&gt;14.5190284298233&lt;/D&gt;&lt;D xsi:type="xsd:double"&gt;14.2318596028789&lt;/D&gt;&lt;D xsi:type="xsd:double"&gt;15.6308827754166&lt;/D&gt;&lt;D xsi:type="xsd:double"&gt;16.4805579558278&lt;/D&gt;&lt;D xsi:type="xsd:double"&gt;16.5142576521012&lt;/D&gt;&lt;D xsi:type="xsd:double"&gt;16.2020950800914&lt;/D&gt;&lt;D xsi:type="xsd:double"&gt;15.8548107780096&lt;/D&gt;&lt;D xsi:type="xsd:double"&gt;15.471700557444&lt;/D&gt;&lt;D xsi:type="xsd:double"&gt;15.4623519316004&lt;/D&gt;&lt;D xsi:type="xsd:double"&gt;14.2259130469486&lt;/D&gt;&lt;D xsi:type="xsd:double"&gt;13.6947369017506&lt;/D&gt;&lt;D xsi:type="xsd:double"&gt;14.6330114932519&lt;/D&gt;&lt;D xsi:type="xsd:double"&gt;14.7833833027717&lt;/D&gt;&lt;D xsi:type="xsd:double"&gt;14.0285507216998&lt;/D&gt;&lt;D xsi:type="xsd:double"&gt;12.6567806411144&lt;/D&gt;&lt;D xsi:type="xsd:double"&gt;12.7048330048438&lt;/D&gt;&lt;D xsi:type="xsd:double"&gt;12.7367373784601&lt;/D&gt;&lt;D xsi:type="xsd:double"&gt;12.8878589967513&lt;/D&gt;&lt;D xsi:type="xsd:double"&gt;12.9173826154522&lt;/D&gt;&lt;D xsi:type="xsd:double"&gt;12.705984699086&lt;/D&gt;&lt;D xsi:type="xsd:double"&gt;12.9920805818039&lt;/D&gt;&lt;D xsi:type="xsd:double"&gt;13.4928239289522&lt;/D&gt;&lt;D xsi:type="xsd:double"&gt;13.577312567197&lt;/D&gt;&lt;D xsi:type="xsd:double"&gt;13.4731178222521&lt;/D&gt;&lt;D xsi:type="xsd:double"&gt;13.5491630343979&lt;/D&gt;&lt;D xsi:type="xsd:double"&gt;14.7976712735815&lt;/D&gt;&lt;D xsi:type="xsd:double"&gt;14.850859106217&lt;/D&gt;&lt;D xsi:type="xsd:double"&gt;15.0032823118263&lt;/D&gt;&lt;D xsi:type="xsd:double"&gt;14.9705781965843&lt;/D&gt;&lt;D xsi:type="xsd:double"&gt;14.9031672928671&lt;/D&gt;&lt;D xsi:type="xsd:double"&gt;14.8415014924809&lt;/D&gt;&lt;D xsi:type="xsd:double"&gt;14.4898674106417&lt;/D&gt;&lt;D xsi:type="xsd:double"&gt;14.322316107843&lt;/D&gt;&lt;D xsi:type="xsd:double"&gt;14.1350471384664&lt;/D&gt;&lt;D xsi:type="xsd:double"&gt;14.6769211131309&lt;/D&gt;&lt;D xsi:type="xsd:double"&gt;15.4351958862639&lt;/D&gt;&lt;D xsi:type="xsd:double"&gt;15.1727174553831&lt;/D&gt;&lt;D xsi:type="xsd:double"&gt;15.2088569797839&lt;/D&gt;&lt;D xsi:type="xsd:double"&gt;14.7787830038189&lt;/D&gt;&lt;D xsi:type="xsd:double"&gt;14.1641193569388&lt;/D&gt;&lt;D xsi:type="xsd:double"&gt;14.0868363847018&lt;/D&gt;&lt;D xsi:type="xsd:double"&gt;14.2157166214675&lt;/D&gt;&lt;D xsi:type="xsd:double"&gt;14.0895430336534&lt;/D&gt;&lt;D xsi:type="xsd:double"&gt;13.8508321862918&lt;/D&gt;&lt;D xsi:type="xsd:double"&gt;14.0499871003615&lt;/D&gt;&lt;D xsi:type="xsd:double"&gt;14.0214033605298&lt;/D&gt;&lt;D xsi:type="xsd:double"&gt;13.9436012027067&lt;/D&gt;&lt;D xsi:type="xsd:double"&gt;13.1625388688089&lt;/D&gt;&lt;D xsi:type="xsd:double"&gt;12.8828774173161&lt;/D&gt;&lt;D xsi:type="xsd:double"&gt;12.0344250862795&lt;/D&gt;&lt;D xsi:type="xsd:double"&gt;12.840174060001&lt;/D&gt;&lt;D xsi:type="xsd:double"&gt;13.2358567209154&lt;/D&gt;&lt;D xsi:type="xsd:double"&gt;13.2165489905488&lt;/D&gt;&lt;D xsi:type="xsd:double"&gt;13.4039555474559&lt;/D&gt;&lt;D xsi:type="xsd:double"&gt;13.0896201183251&lt;/D&gt;&lt;D xsi:type="xsd:double"&gt;13.5025796602411&lt;/D&gt;&lt;D xsi:type="xsd:double"&gt;13.4258317322727&lt;/D&gt;&lt;D xsi:type="xsd:double"&gt;13.5188905032313&lt;/D&gt;&lt;D xsi:type="xsd:double"&gt;13.7092612344767&lt;/D&gt;&lt;D xsi:type="xsd:double"&gt;14.8613488169956&lt;/D&gt;&lt;D xsi:type="xsd:double"&gt;14.9924873358527&lt;/D&gt;&lt;D xsi:type="xsd:double"&gt;15.6167881591758&lt;/D&gt;&lt;D xsi:type="xsd:double"&gt;15.0341086969967&lt;/D&gt;&lt;D xsi:type="xsd:double"&gt;14.0178515535555&lt;/D&gt;&lt;D xsi:type="xsd:double"&gt;13.7912256086356&lt;/D&gt;&lt;D xsi:type="xsd:double"&gt;15.0676505396542&lt;/D&gt;&lt;D xsi:type="xsd:double"&gt;16.6313237680331&lt;/D&gt;&lt;D xsi:type="xsd:double"&gt;17.9694938279274&lt;/D&gt;&lt;D xsi:type="xsd:double"&gt;18.4977538774007&lt;/D&gt;&lt;D xsi:type="xsd:double"&gt;20.3499263832159&lt;/D&gt;&lt;D xsi:type="xsd:double"&gt;20.3324112533178&lt;/D&gt;&lt;D xsi:type="xsd:double"&gt;18.7298028896231&lt;/D&gt;&lt;D xsi:type="xsd:double"&gt;20.763491791179&lt;/D&gt;&lt;D xsi:type="xsd:double"&gt;22.1267684635384&lt;/D&gt;&lt;D xsi:type="xsd:double"&gt;21.2550843155342&lt;/D&gt;&lt;D xsi:type="xsd:double"&gt;20.279052596746&lt;/D&gt;&lt;D xsi:type="xsd:double"&gt;20.0776866219531&lt;/D&gt;&lt;D xsi:type="xsd:double"&gt;19.3918044331191&lt;/D&gt;&lt;D xsi:type="xsd:double"&gt;18.8347128292178&lt;/D&gt;&lt;D xsi:type="xsd:double"&gt;18.3271729228187&lt;/D&gt;&lt;D xsi:type="xsd:double"&gt;17.5059080457633&lt;/D&gt;&lt;D xsi:type="xsd:double"&gt;16.8837220119496&lt;/D&gt;&lt;D xsi:type="xsd:double"&gt;15.830232476553&lt;/D&gt;&lt;D xsi:type="xsd:double"&gt;15.7223304549568&lt;/D&gt;&lt;D xsi:type="xsd:double"&gt;14.1769127378392&lt;/D&gt;&lt;D xsi:type="xsd:double"&gt;14.1378654604296&lt;/D&gt;&lt;D xsi:type="xsd:double"&gt;13.6845270983269&lt;/D&gt;&lt;D xsi:type="xsd:double"&gt;12.4550625525802&lt;/D&gt;&lt;D xsi:type="xsd:double"&gt;12.4501370702888&lt;/D&gt;&lt;D xsi:type="xsd:double"&gt;12.1762348565286&lt;/D&gt;&lt;D xsi:type="xsd:double"&gt;12.1579998615973&lt;/D&gt;&lt;D xsi:type="xsd:double"&gt;11.3778245348287&lt;/D&gt;&lt;D xsi:type="xsd:double"&gt;11.4812121913303&lt;/D&gt;&lt;D xsi:type="xsd:double"&gt;10.7948924858246&lt;/D&gt;&lt;D xsi:type="xsd:double"&gt;10.1258062443327&lt;/D&gt;&lt;D xsi:type="xsd:double"&gt;10.4982982751628&lt;/D&gt;&lt;D xsi:type="xsd:double"&gt;11.0713833727759&lt;/D&gt;&lt;D xsi:type="xsd:double"&gt;10.4151947731043&lt;/D&gt;&lt;D xsi:type="xsd:double"&gt;11.7850189821641&lt;/D&gt;&lt;D xsi:type="xsd:double"&gt;11.3411959962247&lt;/D&gt;&lt;D xsi:type="xsd:double"&gt;11.3853145706614&lt;/D&gt;&lt;D xsi:type="xsd:double"&gt;11.3813157474414&lt;/D&gt;&lt;D xsi:type="xsd:double"&gt;11.2752590979744&lt;/D&gt;&lt;D xsi:type="xsd:double"&gt;11.3062516655622&lt;/D&gt;&lt;D xsi:type="xsd:double"&gt;11.2458969378368&lt;/D&gt;&lt;D xsi:type="xsd:double"&gt;11.2535872120991&lt;/D&gt;&lt;D xsi:type="xsd:double"&gt;10.9838037952391&lt;/D&gt;&lt;D xsi:type="xsd:double"&gt;10.8800832153798&lt;/D&gt;&lt;D xsi:type="xsd:double"&gt;11.6841115407002&lt;/D&gt;&lt;D xsi:type="xsd:double"&gt;11.9536607132784&lt;/D&gt;&lt;D xsi:type="xsd:double"&gt;12.0550782803247&lt;/D&gt;&lt;D xsi:type="xsd:double"&gt;12.5160536940372&lt;/D&gt;&lt;D xsi:type="xsd:double"&gt;12.5758704070548&lt;/D&gt;&lt;D xsi:type="xsd:double"&gt;12.523178254598&lt;/D&gt;&lt;/FQL&gt;&lt;FQL&gt;&lt;Q&gt;BRENT-FDS^FG_PRICE_CHANGE(0,-6AM)&lt;/Q&gt;&lt;R&gt;1&lt;/R&gt;&lt;C&gt;1&lt;/C&gt;&lt;D xsi:type="xsd:double"&gt;-5.20039748261013&lt;/D&gt;&lt;/FQL&gt;&lt;FQL&gt;&lt;Q&gt;TIOS-FDS^FG_PRICE_CHANGE(0,-6AM)&lt;/Q&gt;&lt;R&gt;1&lt;/R&gt;&lt;C&gt;1&lt;/C&gt;&lt;D xsi:type="xsd:double"&gt;-5.96480050967587&lt;/D&gt;&lt;/FQL&gt;&lt;FQL&gt;&lt;Q&gt;EWD^FG_PRICE(0)&lt;/Q&gt;&lt;R&gt;1&lt;/R&gt;&lt;C&gt;1&lt;/C&gt;&lt;D xsi:type="xsd:double"&gt;38.95&lt;/D&gt;&lt;/FQL&gt;&lt;FQL&gt;&lt;Q&gt;QQQ^FG_PRICE(0)&lt;/Q&gt;&lt;R&gt;1&lt;/R&gt;&lt;C&gt;1&lt;/C&gt;&lt;D xsi:type="xsd:double"&gt;426.9&lt;/D&gt;&lt;/FQL&gt;&lt;FQL&gt;&lt;Q&gt;VGK^FMA_PCT_ABOVE_MAVG(200,0,,,,"PORTAGG")&lt;/Q&gt;&lt;R&gt;1&lt;/R&gt;&lt;C&gt;1&lt;/C&gt;&lt;D xsi:type="xsd:double"&gt;69.2368839427663&lt;/D&gt;&lt;/FQL&gt;&lt;FQL&gt;&lt;Q&gt;EWL^FG_TOTAL_RETURNC(0,-12AM)&lt;/Q&gt;&lt;R&gt;1&lt;/R&gt;&lt;C&gt;1&lt;/C&gt;&lt;D xsi:type="xsd:double"&gt;-2.7566314&lt;/D&gt;&lt;/FQL&gt;&lt;FQL&gt;&lt;Q&gt;USDSEK^FG_PRICE_CHANGE(0,-6AM)&lt;/Q&gt;&lt;R&gt;1&lt;/R&gt;&lt;C&gt;1&lt;/C&gt;&lt;D xsi:type="xsd:double"&gt;-1.9575119&lt;/D&gt;&lt;/FQL&gt;&lt;FQL&gt;&lt;Q&gt;VWO^FG_TOTAL_RETURNC(0,-3AM)&lt;/Q&gt;&lt;R&gt;1&lt;/R&gt;&lt;C&gt;1&lt;/C&gt;&lt;D xsi:type="xsd:double"&gt;9.235501&lt;/D&gt;&lt;/FQL&gt;&lt;FQL&gt;&lt;Q&gt;EWQ^PERCENT_CHANGE(FMA_EPS(+1,0,,,,"PORTAGG","MEAN"),FMA_EPS(+1,-1AM,,,,"PORTAGG","MEAN"))&lt;/Q&gt;&lt;R&gt;1&lt;/R&gt;&lt;C&gt;1&lt;/C&gt;&lt;D xsi:type="xsd:double"&gt;-0.956558041274437&lt;/D&gt;&lt;/FQL&gt;&lt;FQL&gt;&lt;Q&gt;EWG^P_PRICE(0)/P_PRICE_HIGH_PR(0,,,,,,"PRICE","INTRA","52W")&lt;/Q&gt;&lt;R&gt;1&lt;/R&gt;&lt;C&gt;1&lt;/C&gt;&lt;D xsi:type="xsd:double"&gt;0.96058804&lt;/D&gt;&lt;/FQL&gt;&lt;FQL&gt;&lt;Q&gt;EWG^FG_TOTAL_RETURNC(0,-1AM)&lt;/Q&gt;&lt;R&gt;1&lt;/R&gt;&lt;C&gt;1&lt;/C&gt;&lt;D xsi:type="xsd:double"&gt;-2.041471&lt;/D&gt;&lt;/FQL&gt;&lt;FQL&gt;&lt;Q&gt;TRYSE10Y-FDS^FG_YIELD_NAME&lt;/Q&gt;&lt;R&gt;1&lt;/R&gt;&lt;C&gt;1&lt;/C&gt;&lt;D xsi:type="xsd:string"&gt;Sweden Benchmark Bond - 10 Year&lt;/D&gt;&lt;/FQL&gt;&lt;FQL&gt;&lt;Q&gt;CC_US^FG_COMPANY_NAME&lt;/Q&gt;&lt;R&gt;1&lt;/R&gt;&lt;C&gt;1&lt;/C&gt;&lt;D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xsi:type="xsd:double"&gt;16.818226&lt;/D&gt;&lt;D xsi:type="xsd:double"&gt;17.267025&lt;/D&gt;&lt;D xsi:type="xsd:double"&gt;22.84273&lt;/D&gt;&lt;D xsi:type="xsd:double"&gt;6.2291026&lt;/D&gt;&lt;D xsi:type="xsd:double"&gt;9.694529&lt;/D&gt;&lt;D xsi:type="xsd:double"&gt;-3.2691479&lt;/D&gt;&lt;D xsi:type="xsd:double"&gt;-0.30854344&lt;/D&gt;&lt;D xsi:type="xsd:double"&gt;0.13850927&lt;/D&gt;&lt;D xsi:type="xsd:double"&gt;-6.5948305&lt;/D&gt;&lt;D xsi:type="xsd:double"&gt;-1.0278523&lt;/D&gt;&lt;D xsi:type="xsd:double"&gt;-1.5211821&lt;/D&gt;&lt;D xsi:type="xsd:double"&gt;-5.072558&lt;/D&gt;&lt;D xsi:type="xsd:double"&gt;-3.8370073&lt;/D&gt;&lt;D xsi:type="xsd:double"&gt;-3.4297347&lt;/D&gt;&lt;D xsi:type="xsd:double"&gt;-7.0961833&lt;/D&gt;&lt;D xsi:type="xsd:double"&gt;-2.0496547&lt;/D&gt;&lt;D xsi:type="xsd:double"&gt;-7.6125503&lt;/D&gt;&lt;D xsi:type="xsd:double"&gt;-4.9015403&lt;/D&gt;&lt;D xsi:type="xsd:double"&gt;-3.8939059&lt;/D&gt;&lt;D xsi:type="xsd:double"&gt;-4.7036114&lt;/D&gt;&lt;D xsi:type="xsd:double"&gt;-4.535884&lt;/D&gt;&lt;D xsi:type="xsd:double"&gt;-16.164356&lt;/D&gt;&lt;D xsi:type="xsd:double"&gt;-17.12371&lt;/D&gt;&lt;D xsi:type="xsd:double"&gt;-8.682966&lt;/D&gt;&lt;D xsi:type="xsd:double"&gt;-7.817757&lt;/D&gt;&lt;D xsi:type="xsd:double"&gt;-10.941535&lt;/D&gt;&lt;D xsi:type="xsd:double"&gt;-11.095184&lt;/D&gt;&lt;D xsi:type="xsd:double"&gt;-10.205394&lt;/D&gt;&lt;D xsi:type="xsd:double"&gt;0.40832758&lt;/D&gt;&lt;D xsi:type="xsd:double"&gt;4.1947007&lt;/D&gt;&lt;D xsi:type="xsd:double"&gt;-6.4086676&lt;/D&gt;&lt;D xsi:type="xsd:double"&gt;-5.738908&lt;/D&gt;&lt;D xsi:type="xsd:double"&gt;0.92072487&lt;/D&gt;&lt;D xsi:type="xsd:double"&gt;21.799135&lt;/D&gt;&lt;D xsi:type="xsd:double"&gt;13.684797&lt;/D&gt;&lt;D xsi:type="xsd:double"&gt;11.461711&lt;/D&gt;&lt;D xsi:type="xsd:double"&gt;14.849747&lt;/D&gt;&lt;D xsi:type="xsd:double"&gt;21.91596&lt;/D&gt;&lt;D xsi:type="xsd:double"&gt;26.860296&lt;/D&gt;&lt;D xsi:type="xsd:double"&gt;27.259613&lt;/D&gt;&lt;D xsi:type="xsd:double"&gt;23.978651&lt;/D&gt;&lt;D xsi:type="xsd:double"&gt;25.969446&lt;/D&gt;&lt;D xsi:type="xsd:double"&gt;33.436203&lt;/D&gt;&lt;D xsi:type="xsd:double"&gt;27.319849&lt;/D&gt;&lt;D xsi:type="xsd:double"&gt;22.81773&lt;/D&gt;&lt;D xsi:type="xsd:double"&gt;18.54335&lt;/D&gt;&lt;D xsi:type="xsd:double"&gt;13.205481&lt;/D&gt;&lt;D xsi:type="xsd:double"&gt;7.9410434&lt;/D&gt;&lt;D xsi:type="xsd:double"&gt;0.0967145&lt;/D&gt;&lt;D xsi:type="xsd:double"&gt;-1.2812734&lt;/D&gt;&lt;D xsi:type="xsd:double"&gt;-5.511582&lt;/D&gt;&lt;D xsi:type="xsd:double"&gt;-1.9134104&lt;/D&gt;&lt;D xsi:type="xsd:double"&gt;-2.9696643&lt;/D&gt;&lt;D xsi:type="xsd:double"&gt;-4.390943&lt;/D&gt;&lt;D xsi:type="xsd:double"&gt;-11.0989275&lt;/D&gt;&lt;D xsi:type="xsd:double"&gt;-10.080904&lt;/D&gt;&lt;D xsi:type="xsd:double"&gt;-14.867187&lt;/D&gt;&lt;D xsi:type="xsd:double"&gt;-13.946253&lt;/D&gt;&lt;D xsi:type="xsd:double"&gt;-5.0964413&lt;/D&gt;&lt;D xsi:type="xsd:double"&gt;-1.658231&lt;/D&gt;&lt;D xsi:type="xsd:double"&gt;1.7301917&lt;/D&gt;&lt;D xsi:type="xsd:double"&gt;-5.7144346&lt;/D&gt;&lt;D xsi:type="xsd:double"&gt;6.260288&lt;/D&gt;&lt;D xsi:type="xsd:double"&gt;-6.9919467&lt;/D&gt;&lt;D xsi:type="xsd:double"&gt;-8.896762&lt;/D&gt;&lt;D xsi:type="xsd:double"&gt;-9.844028&lt;/D&gt;&lt;D xsi:type="xsd:double"&gt;10.750556&lt;/D&gt;&lt;D xsi:type="xsd:double"&gt;11.585164&lt;/D&gt;&lt;D xsi:type="xsd:double"&gt;27.260637&lt;/D&gt;&lt;D xsi:type="xsd:double"&gt;12.169397&lt;/D&gt;&lt;D xsi:type="xsd:double"&gt;6.6298723&lt;/D&gt;&lt;D xsi:type="xsd:double"&gt;-16.990734&lt;/D&gt;&lt;D xsi:type="xsd:double"&gt;-12.664151&lt;/D&gt;&lt;D xsi:type="xsd:double"&gt;11.728943&lt;/D&gt;&lt;D xsi:type="xsd:double"&gt;2.711296&lt;/D&gt;&lt;D xsi:type="xsd:double"&gt;17.74131&lt;/D&gt;&lt;D xsi:type="xsd:double"&gt;29.224384&lt;/D&gt;&lt;D xsi:type="xsd:double"&gt;27.00975&lt;/D&gt;&lt;D xsi:type="xsd:double"&gt;9.360636&lt;/D&gt;&lt;D xsi:type="xsd:double"&gt;27.972185&lt;/D&gt;&lt;D xsi:type="xsd:double"&gt;22.261215&lt;/D&gt;&lt;D xsi:type="xsd:double"&gt;31.659424&lt;/D&gt;&lt;D xsi:type="xsd:double"&gt;41.88937&lt;/D&gt;&lt;D xsi:type="xsd:double"&gt;89.20971&lt;/D&gt;&lt;D xsi:type="xsd:double"&gt;70.97102&lt;/D&gt;&lt;D xsi:type="xsd:double"&gt;59.339607&lt;/D&gt;&lt;D xsi:type="xsd:double"&gt;53.677845&lt;/D&gt;&lt;D xsi:type="xsd:double"&gt;47.821594&lt;/D&gt;&lt;D xsi:type="xsd:double"&gt;40.00598&lt;/D&gt;&lt;D xsi:type="xsd:double"&gt;30.707598&lt;/D&gt;&lt;D xsi:type="xsd:double"&gt;44.152523&lt;/D&gt;&lt;D xsi:type="xsd:double"&gt;17.844593&lt;/D&gt;&lt;D xsi:type="xsd:double"&gt;22.86303&lt;/D&gt;&lt;D xsi:type="xsd:double"&gt;9.545159&lt;/D&gt;&lt;D xsi:type="xsd:double"&gt;-10.475195&lt;/D&gt;&lt;D xsi:type="xsd:double"&gt;-7.306075&lt;/D&gt;&lt;D xsi:type="xsd:double"&gt;-19.37391&lt;/D&gt;&lt;D xsi:type="xsd:double"&gt;-19.365305&lt;/D&gt;&lt;D xsi:type="xsd:double"&gt;-30.431414&lt;/D&gt;&lt;D xsi:type="xsd:double"&gt;-28.561937&lt;/D&gt;&lt;D xsi:type="xsd:double"&gt;-36.70828&lt;/D&gt;&lt;D xsi:type="xsd:double"&gt;-35.51764&lt;/D&gt;&lt;D xsi:type="xsd:double"&gt;-35.704388&lt;/D&gt;&lt;D xsi:type="xsd:double"&gt;-19.806374&lt;/D&gt;&lt;D xsi:type="xsd:double"&gt;-27.927637&lt;/D&gt;&lt;D xsi:type="xsd:double"&gt;-12.202197&lt;/D&gt;&lt;D xsi:type="xsd:double"&gt;-1.2031138&lt;/D&gt;&lt;D xsi:type="xsd:double"&gt;-5.3338823&lt;/D&gt;&lt;D xsi:type="xsd:double"&gt;6.5178275&lt;/D&gt;&lt;D xsi:type="xsd:double"&gt;-2.9057205&lt;/D&gt;&lt;D xsi:type="xsd:double"&gt;16.986835&lt;/D&gt;&lt;D xsi:type="xsd:double"&gt;6.4496636&lt;/D&gt;&lt;D xsi:type="xsd:double"&gt;13.63163&lt;/D&gt;&lt;D xsi:type="xsd:double"&gt;19.54192&lt;/D&gt;&lt;D xsi:type="xsd:double"&gt;11.02922&lt;/D&gt;&lt;D xsi:type="xsd:double"&gt;7.809818&lt;/D&gt;&lt;D xsi:type="xsd:double"&gt;22.595655&lt;/D&gt;&lt;D xsi:type="xsd:double"&gt;4.618156&lt;/D&gt;&lt;D xsi:type="xsd:double"&gt;16.017925&lt;/D&gt;&lt;D xsi:type="xsd:double"&gt;14.377093&lt;/D&gt;&lt;D xsi:type="xsd:double"&gt;9.347523&lt;/D&gt;&lt;/FQL&gt;&lt;FQL&gt;&lt;Q&gt;EWQ^FG_TOTAL_RETURNC(-10AY,0,AM)&lt;/Q&gt;&lt;R&gt;121&lt;/R&gt;&lt;C&gt;1&lt;/C&gt;&lt;D xsi:type="xsd:double"&gt;1.7323375&lt;/D&gt;&lt;D xsi:type="xsd:double"&gt;0.7011652&lt;/D&gt;&lt;D xsi:type="xsd:double"&gt;-1.0546565&lt;/D&gt;&lt;D xsi:type="xsd:double"&gt;-7.287031&lt;/D&gt;&lt;D xsi:type="xsd:double"&gt;1.6605139&lt;/D&gt;&lt;D xsi:type="xsd:double"&gt;-6.097996&lt;/D&gt;&lt;D xsi:type="xsd:double"&gt;-1.2369573&lt;/D&gt;&lt;D xsi:type="xsd:double"&gt;2.7397275&lt;/D&gt;&lt;D xsi:type="xsd:double"&gt;-5.7607174&lt;/D&gt;&lt;D xsi:type="xsd:double"&gt;3.262639&lt;/D&gt;&lt;D xsi:type="xsd:double"&gt;4.660344&lt;/D&gt;&lt;D xsi:type="xsd:double"&gt;0.2264142&lt;/D&gt;&lt;D xsi:type="xsd:double"&gt;3.5768151&lt;/D&gt;&lt;D xsi:type="xsd:double"&gt;-0.9451091&lt;/D&gt;&lt;D xsi:type="xsd:double"&gt;-3.7566066&lt;/D&gt;&lt;D xsi:type="xsd:double"&gt;3.838694&lt;/D&gt;&lt;D xsi:type="xsd:double"&gt;-7.580286&lt;/D&gt;&lt;D xsi:type="xsd:double"&gt;-1.050508&lt;/D&gt;&lt;D xsi:type="xsd:double"&gt;6.819105&lt;/D&gt;&lt;D xsi:type="xsd:double"&gt;-4.5871615&lt;/D&gt;&lt;D xsi:type="xsd:double"&gt;-2.6524842&lt;/D&gt;&lt;D xsi:type="xsd:double"&gt;-6.691444&lt;/D&gt;&lt;D xsi:type="xsd:double"&gt;2.9216409&lt;/D&gt;&lt;D xsi:type="xsd:double"&gt;3.0967712&lt;/D&gt;&lt;D xsi:type="xsd:double"&gt;4.338765&lt;/D&gt;&lt;D xsi:type="xsd:double"&gt;-1.0795712&lt;/D&gt;&lt;D xsi:type="xsd:double"&gt;-5.092263&lt;/D&gt;&lt;D xsi:type="xsd:double"&gt;2.7086139&lt;/D&gt;&lt;D xsi:type="xsd:double"&gt;4.0833592&lt;/D&gt;&lt;D xsi:type="xsd:double"&gt;-1.266855&lt;/D&gt;&lt;D xsi:type="xsd:double"&gt;-1.531452&lt;/D&gt;&lt;D xsi:type="xsd:double"&gt;-1.6813874&lt;/D&gt;&lt;D xsi:type="xsd:double"&gt;5.851507&lt;/D&gt;&lt;D xsi:type="xsd:double"&gt;1.7430067&lt;/D&gt;&lt;D xsi:type="xsd:double"&gt;0.31872988&lt;/D&gt;&lt;D xsi:type="xsd:double"&gt;5.281973&lt;/D&gt;&lt;D xsi:type="xsd:double"&gt;7.0916653&lt;/D&gt;&lt;D xsi:type="xsd:double"&gt;5.318773&lt;/D&gt;&lt;D xsi:type="xsd:double"&gt;-2.149713&lt;/D&gt;&lt;D xsi:type="xsd:double"&gt;3.0945778&lt;/D&gt;&lt;D xsi:type="xsd:double"&gt;0.5059004&lt;/D&gt;&lt;D xsi:type="xsd:double"&gt;3.456378&lt;/D&gt;&lt;D xsi:type="xsd:double"&gt;2.0758986&lt;/D&gt;&lt;D xsi:type="xsd:double"&gt;-0.9532869&lt;/D&gt;&lt;D xsi:type="xsd:double"&gt;0.6901264&lt;/D&gt;&lt;D xsi:type="xsd:double"&gt;4.090762&lt;/D&gt;&lt;D xsi:type="xsd:double"&gt;-3.6843657&lt;/D&gt;&lt;D xsi:type="xsd:double"&gt;-1.2432277&lt;/D&gt;&lt;D xsi:type="xsd:double"&gt;5.0677896&lt;/D&gt;&lt;D xsi:type="xsd:double"&gt;-1.4132082&lt;/D&gt;&lt;D xsi:type="xsd:double"&gt;-3.4783185&lt;/D&gt;&lt;D xsi:type="xsd:double"&gt;3.3289433&lt;/D&gt;&lt;D xsi:type="xsd:double"&gt;-1.05263&lt;/D&gt;&lt;D xsi:type="xsd:double"&gt;0.35459995&lt;/D&gt;&lt;D xsi:type="xsd:double"&gt;-7.516861&lt;/D&gt;&lt;D xsi:type="xsd:double"&gt;-2.4661361999999998&lt;/D&gt;&lt;D xsi:type="xsd:double"&gt;-5.944067&lt;/D&gt;&lt;D xsi:type="xsd:double"&gt;7.4553013&lt;/D&gt;&lt;D xsi:type="xsd:double"&gt;4.707968&lt;/D&gt;&lt;D xsi:type="xsd:double"&gt;1.0141969&lt;/D&gt;&lt;D xsi:type="xsd:double"&gt;2.1419048&lt;/D&gt;&lt;D xsi:type="xsd:double"&gt;-4.980344&lt;/D&gt;&lt;D xsi:type="xsd:double"&gt;8.451653&lt;/D&gt;&lt;D xsi:type="xsd:double"&gt;-4.9201727&lt;/D&gt;&lt;D xsi:type="xsd:double"&gt;1.0623693&lt;/D&gt;&lt;D xsi:type="xsd:double"&gt;-1.729399&lt;/D&gt;&lt;D xsi:type="xsd:double"&gt;8.454108&lt;/D&gt;&lt;D xsi:type="xsd:double"&gt;-0.28635263&lt;/D&gt;&lt;D xsi:type="xsd:double"&gt;5.32912&lt;/D&gt;&lt;D xsi:type="xsd:double"&gt;-4.675162&lt;/D&gt;&lt;D xsi:type="xsd:double"&gt;-5.668783&lt;/D&gt;&lt;D xsi:type="xsd:double"&gt;-23.869015&lt;/D&gt;&lt;D xsi:type="xsd:double"&gt;6.474507&lt;/D&gt;&lt;D xsi:type="xsd:double"&gt;12.5780945&lt;/D&gt;&lt;D xsi:type="xsd:double"&gt;3.6696076&lt;/D&gt;&lt;D xsi:type="xsd:double"&gt;0.3951192&lt;/D&gt;&lt;D xsi:type="xsd:double"&gt;6.6547394&lt;/D&gt;&lt;D xsi:type="xsd:double"&gt;-5.736327&lt;/D&gt;&lt;D xsi:type="xsd:double"&gt;-3.3451974&lt;/D&gt;&lt;D xsi:type="xsd:double"&gt;23.048592&lt;/D&gt;&lt;D xsi:type="xsd:double"&gt;0.01386404&lt;/D&gt;&lt;D xsi:type="xsd:double"&gt;-0.030058622&lt;/D&gt;&lt;D xsi:type="xsd:double"&gt;3.819549&lt;/D&gt;&lt;D xsi:type="xsd:double"&gt;2.520275&lt;/D&gt;&lt;D xsi:type="xsd:double"&gt;4.4927955&lt;/D&gt;&lt;D xsi:type="xsd:double"&gt;6.2466264&lt;/D&gt;&lt;D xsi:type="xsd:double"&gt;-2.022767&lt;/D&gt;&lt;D xsi:type="xsd:double"&gt;1.3133645&lt;/D&gt;&lt;D xsi:type="xsd:double"&gt;2.3074865&lt;/D&gt;&lt;D xsi:type="xsd:double"&gt;-4.7389746&lt;/D&gt;&lt;D xsi:type="xsd:double"&gt;5.7994127&lt;/D&gt;&lt;D xsi:type="xsd:double"&gt;-4.425454&lt;/D&gt;&lt;D xsi:type="xsd:double"&gt;5.1185727&lt;/D&gt;&lt;D xsi:type="xsd:double"&gt;-0.7716&lt;/D&gt;&lt;D xsi:type="xsd:double"&gt;-10.212553&lt;/D&gt;&lt;D xsi:type="xsd:double"&gt;2.8868318&lt;/D&gt;&lt;D xsi:type="xsd:double"&gt;-7.884395&lt;/D&gt;&lt;D xsi:type="xsd:double"&gt;5.9092283&lt;/D&gt;&lt;D xsi:type="xsd:double"&gt;-10.84804&lt;/D&gt;&lt;D xsi:type="xsd:double"&gt;3.885758&lt;/D&gt;&lt;D xsi:type="xsd:double"&gt;-7.448846&lt;/D&gt;&lt;D xsi:type="xsd:double"&gt;-7.4266014&lt;/D&gt;&lt;D xsi:type="xsd:double"&gt;9.40299&lt;/D&gt;&lt;D xsi:type="xsd:double"&gt;16.234661&lt;/D&gt;&lt;D xsi:type="xsd:double"&gt;-2.4663806&lt;/D&gt;&lt;D xsi:type="xsd:double"&gt;12.922716&lt;/D&gt;&lt;D xsi:type="xsd:double"&gt;-1.5508056&lt;/D&gt;&lt;D xsi:type="xsd:double"&gt;2.6615977&lt;/D&gt;&lt;D xsi:type="xsd:double"&gt;3.4391522&lt;/D&gt;&lt;D xsi:type="xsd:double"&gt;-3.3248067&lt;/D&gt;&lt;D xsi:type="xsd:double"&gt;4.210031&lt;/D&gt;&lt;D xsi:type="xsd:double"&gt;-1.557225&lt;/D&gt;&lt;D xsi:type="xsd:double"&gt;-1.3182163&lt;/D&gt;&lt;D xsi:type="xsd:double"&gt;-6.75928&lt;/D&gt;&lt;D xsi:type="xsd:double"&gt;1.7765045&lt;/D&gt;&lt;D xsi:type="xsd:double"&gt;6.278157&lt;/D&gt;&lt;D xsi:type="xsd:double"&gt;2.9442787&lt;/D&gt;&lt;D xsi:type="xsd:double"&gt;-0.025904179&lt;/D&gt;&lt;D xsi:type="xsd:double"&gt;4.2487144&lt;/D&gt;&lt;D xsi:type="xsd:double"&gt;1.7395496&lt;/D&gt;&lt;D xsi:type="xsd:double"&gt;-1.587683&lt;/D&gt;&lt;/FQL&gt;&lt;FQL&gt;&lt;Q&gt;QQQ^FMA_DIV_YLD(NTMA,-10AY,0,AM,"PORTAGG","MEANR")&lt;/Q&gt;&lt;R&gt;121&lt;/R&gt;&lt;C&gt;1&lt;/C&gt;&lt;D xsi:type="xsd:double"&gt;1.35765022006343&lt;/D&gt;&lt;D xsi:type="xsd:double"&gt;1.31432221486782&lt;/D&gt;&lt;D xsi:type="xsd:double"&gt;1.24984220793107&lt;/D&gt;&lt;D xsi:type="xsd:double"&gt;1.26889000357946&lt;/D&gt;&lt;D xsi:type="xsd:double"&gt;1.20754532652973&lt;/D&gt;&lt;D xsi:type="xsd:double"&gt;1.25911953174716&lt;/D&gt;&lt;D xsi:type="xsd:double"&gt;1.22378485612699&lt;/D&gt;&lt;D xsi:type="xsd:double"&gt;1.19894600567655&lt;/D&gt;&lt;D xsi:type="xsd:double"&gt;1.20789072103969&lt;/D&gt;&lt;D xsi:type="xsd:double"&gt;1.23053825011448&lt;/D&gt;&lt;D xsi:type="xsd:double"&gt;1.20162353375402&lt;/D&gt;&lt;D xsi:type="xsd:double"&gt;1.28225423001148&lt;/D&gt;&lt;D xsi:type="xsd:double"&gt;1.2376520692411&lt;/D&gt;&lt;D xsi:type="xsd:double"&gt;1.23899610292688&lt;/D&gt;&lt;D xsi:type="xsd:double"&gt;1.26122092774196&lt;/D&gt;&lt;D xsi:type="xsd:double"&gt;1.26115963601434&lt;/D&gt;&lt;D xsi:type="xsd:double"&gt;1.36761008859341&lt;/D&gt;&lt;D xsi:type="xsd:double"&gt;1.36720016176551&lt;/D&gt;&lt;D xsi:type="xsd:double"&gt;1.25048353878265&lt;/D&gt;&lt;D xsi:type="xsd:double"&gt;1.2674640246928&lt;/D&gt;&lt;D xsi:type="xsd:double"&gt;1.25997804336583&lt;/D&gt;&lt;D xsi:type="xsd:double"&gt;1.38800455379553&lt;/D&gt;&lt;D xsi:type="xsd:double"&gt;1.37135563410976&lt;/D&gt;&lt;D xsi:type="xsd:double"&gt;1.31866278442854&lt;/D&gt;&lt;D xsi:type="xsd:double"&gt;1.37742367310575&lt;/D&gt;&lt;D xsi:type="xsd:double"&gt;1.34008823041727&lt;/D&gt;&lt;D xsi:type="xsd:double"&gt;1.35862473258535&lt;/D&gt;&lt;D xsi:type="xsd:double"&gt;1.29376543887995&lt;/D&gt;&lt;D xsi:type="xsd:double"&gt;1.28338731892531&lt;/D&gt;&lt;D xsi:type="xsd:double"&gt;1.26004379696741&lt;/D&gt;&lt;D xsi:type="xsd:double"&gt;1.31222485360725&lt;/D&gt;&lt;D xsi:type="xsd:double"&gt;1.31592340023061&lt;/D&gt;&lt;D xsi:type="xsd:double"&gt;1.30197782946316&lt;/D&gt;&lt;D xsi:type="xsd:double"&gt;1.24180465630411&lt;/D&gt;&lt;D xsi:type="xsd:double"&gt;1.21808205769529&lt;/D&gt;&lt;D xsi:type="xsd:double"&gt;1.20673171258263&lt;/D&gt;&lt;D xsi:type="xsd:double"&gt;1.17639820163567&lt;/D&gt;&lt;D xsi:type="xsd:double"&gt;1.14103212413917&lt;/D&gt;&lt;D xsi:type="xsd:double"&gt;1.19969361998082&lt;/D&gt;&lt;D xsi:type="xsd:double"&gt;1.16913720356583&lt;/D&gt;&lt;D xsi:type="xsd:double"&gt;1.16027732463639&lt;/D&gt;&lt;D xsi:type="xsd:double"&gt;1.16278015834191&lt;/D&gt;&lt;D xsi:type="xsd:double"&gt;1.12166423697967&lt;/D&gt;&lt;D xsi:type="xsd:double"&gt;1.10938838728236&lt;/D&gt;&lt;D xsi:type="xsd:double"&gt;1.08290585307372&lt;/D&gt;&lt;D xsi:type="xsd:double"&gt;1.0631498940693&lt;/D&gt;&lt;D xsi:type="xsd:double"&gt;1.07210358135772&lt;/D&gt;&lt;D xsi:type="xsd:double"&gt;1.15621719535238&lt;/D&gt;&lt;D xsi:type="xsd:double"&gt;1.12960682180853&lt;/D&gt;&lt;D xsi:type="xsd:double"&gt;1.06473200386643&lt;/D&gt;&lt;D xsi:type="xsd:double"&gt;1.06801737201209&lt;/D&gt;&lt;D xsi:type="xsd:double"&gt;1.0824845120508&lt;/D&gt;&lt;D xsi:type="xsd:double"&gt;1.05046082475478&lt;/D&gt;&lt;D xsi:type="xsd:double"&gt;1.06129962256813&lt;/D&gt;&lt;D xsi:type="xsd:double"&gt;1.18219257849352&lt;/D&gt;&lt;D xsi:type="xsd:double"&gt;1.19016442416278&lt;/D&gt;&lt;D xsi:type="xsd:double"&gt;1.31508214498989&lt;/D&gt;&lt;D xsi:type="xsd:double"&gt;1.22445201957326&lt;/D&gt;&lt;D xsi:type="xsd:double"&gt;1.1693555171644&lt;/D&gt;&lt;D xsi:type="xsd:double"&gt;1.1208013362769&lt;/D&gt;&lt;D xsi:type="xsd:double"&gt;1.09726764184444&lt;/D&gt;&lt;D xsi:type="xsd:double"&gt;1.20013896593598&lt;/D&gt;&lt;D xsi:type="xsd:double"&gt;1.09650418562131&lt;/D&gt;&lt;D xsi:type="xsd:double"&gt;1.11621918955703&lt;/D&gt;&lt;D xsi:type="xsd:double"&gt;1.11766359841406&lt;/D&gt;&lt;D xsi:type="xsd:double"&gt;1.14611070850616&lt;/D&gt;&lt;D xsi:type="xsd:double"&gt;1.07384042212001&lt;/D&gt;&lt;D xsi:type="xsd:double"&gt;1.08443604406701&lt;/D&gt;&lt;D xsi:type="xsd:double"&gt;1.0316536582619&lt;/D&gt;&lt;D xsi:type="xsd:double"&gt;1.02349312664834&lt;/D&gt;&lt;D xsi:type="xsd:double"&gt;1.04316366158779&lt;/D&gt;&lt;D xsi:type="xsd:double"&gt;1.21445931104217&lt;/D&gt;&lt;D xsi:type="xsd:double"&gt;1.04478206154923&lt;/D&gt;&lt;D xsi:type="xsd:double"&gt;0.940854120883255&lt;/D&gt;&lt;D xsi:type="xsd:double"&gt;0.879624694337777&lt;/D&gt;&lt;D xsi:type="xsd:double"&gt;0.835276832095417&lt;/D&gt;&lt;D xsi:type="xsd:double"&gt;0.734467390358148&lt;/D&gt;&lt;D xsi:type="xsd:double"&gt;0.812639713215828&lt;/D&gt;&lt;D xsi:type="xsd:double"&gt;0.836318684747208&lt;/D&gt;&lt;D xsi:type="xsd:double"&gt;0.745563211328603&lt;/D&gt;&lt;D xsi:type="xsd:double"&gt;0.763066803932728&lt;/D&gt;&lt;D xsi:type="xsd:double"&gt;0.736764037545465&lt;/D&gt;&lt;D xsi:type="xsd:double"&gt;0.766390776756047&lt;/D&gt;&lt;D xsi:type="xsd:double"&gt;0.754172587513757&lt;/D&gt;&lt;D xsi:type="xsd:double"&gt;0.730901961367236&lt;/D&gt;&lt;D xsi:type="xsd:double"&gt;0.742720068323417&lt;/D&gt;&lt;D xsi:type="xsd:double"&gt;0.696209342838354&lt;/D&gt;&lt;D xsi:type="xsd:double"&gt;0.70422197414715&lt;/D&gt;&lt;D xsi:type="xsd:double"&gt;0.679186948823449&lt;/D&gt;&lt;D xsi:type="xsd:double"&gt;0.723255601223674&lt;/D&gt;&lt;D xsi:type="xsd:double"&gt;0.673823465173517&lt;/D&gt;&lt;D xsi:type="xsd:double"&gt;0.677978641377979&lt;/D&gt;&lt;D xsi:type="xsd:double"&gt;0.667983627601131&lt;/D&gt;&lt;D xsi:type="xsd:double"&gt;0.729284457815438&lt;/D&gt;&lt;D xsi:type="xsd:double"&gt;0.787235668076078&lt;/D&gt;&lt;D xsi:type="xsd:double"&gt;0.757604901089378&lt;/D&gt;&lt;D xsi:type="xsd:double"&gt;0.864330094362867&lt;/D&gt;&lt;D xsi:type="xsd:double"&gt;0.884158160929154&lt;/D&gt;&lt;D xsi:type="xsd:double"&gt;0.992342144236491&lt;/D&gt;&lt;D xsi:type="xsd:double"&gt;0.897230285777443&lt;/D&gt;&lt;D xsi:type="xsd:double"&gt;0.962519191385244&lt;/D&gt;&lt;D xsi:type="xsd:double"&gt;1.07002595175519&lt;/D&gt;&lt;D xsi:type="xsd:double"&gt;1.08628788537636&lt;/D&gt;&lt;D xsi:type="xsd:double"&gt;0.987037692848049&lt;/D&gt;&lt;D xsi:type="xsd:double"&gt;1.0384400172415&lt;/D&gt;&lt;D xsi:type="xsd:double"&gt;0.898530185451607&lt;/D&gt;&lt;D xsi:type="xsd:double"&gt;0.962032956719198&lt;/D&gt;&lt;D xsi:type="xsd:double"&gt;0.884085342159011&lt;/D&gt;&lt;D xsi:type="xsd:double"&gt;0.872865716789166&lt;/D&gt;&lt;D xsi:type="xsd:double"&gt;0.791640315756685&lt;/D&gt;&lt;D xsi:type="xsd:double"&gt;0.762629514025155&lt;/D&gt;&lt;D xsi:type="xsd:double"&gt;0.876830054880225&lt;/D&gt;&lt;D xsi:type="xsd:double"&gt;0.874202950493079&lt;/D&gt;&lt;D xsi:type="xsd:double"&gt;0.938423503483436&lt;/D&gt;&lt;D xsi:type="xsd:double"&gt;0.938882741507334&lt;/D&gt;&lt;D xsi:type="xsd:double"&gt;0.884761737957578&lt;/D&gt;&lt;D xsi:type="xsd:double"&gt;0.935521289765869&lt;/D&gt;&lt;D xsi:type="xsd:double"&gt;0.894795987323513&lt;/D&gt;&lt;D xsi:type="xsd:double"&gt;0.870117819304388&lt;/D&gt;&lt;D xsi:type="xsd:double"&gt;0.890530661257213&lt;/D&gt;&lt;D xsi:type="xsd:double"&gt;0.951079499914929&lt;/D&gt;&lt;/FQL&gt;&lt;FQL&gt;&lt;Q&gt;EWL^FMA_PE(NTMA,-10AY,0,AM,"PORTAGG","MEANR")&lt;/Q&gt;&lt;R&gt;121&lt;/R&gt;&lt;C&gt;1&lt;/C&gt;&lt;D xsi:type="xsd:double"&gt;16.1890176135056&lt;/D&gt;&lt;D xsi:type="xsd:double"&gt;16.3901499829991&lt;/D&gt;&lt;D xsi:type="xsd:double"&gt;16.1565756955102&lt;/D&gt;&lt;D xsi:type="xsd:double"&gt;15.8727206864061&lt;/D&gt;&lt;D xsi:type="xsd:double"&gt;16.2242644458077&lt;/D&gt;&lt;D xsi:type="xsd:double"&gt;15.6569411422182&lt;/D&gt;&lt;D xsi:type="xsd:double"&gt;15.9486062855683&lt;/D&gt;&lt;D xsi:type="xsd:double"&gt;16.094764856479&lt;/D&gt;&lt;D xsi:type="xsd:double"&gt;15.6550501907529&lt;/D&gt;&lt;D xsi:type="xsd:double"&gt;16.4042838772585&lt;/D&gt;&lt;D xsi:type="xsd:double"&gt;17.6001915297802&lt;/D&gt;&lt;D xsi:type="xsd:double"&gt;17.7000054458579&lt;/D&gt;&lt;D xsi:type="xsd:double"&gt;17.7436319002889&lt;/D&gt;&lt;D xsi:type="xsd:double"&gt;17.618650276782&lt;/D&gt;&lt;D xsi:type="xsd:double"&gt;17.041634530551&lt;/D&gt;&lt;D xsi:type="xsd:double"&gt;17.7286593613652&lt;/D&gt;&lt;D xsi:type="xsd:double"&gt;16.2179479798422&lt;/D&gt;&lt;D xsi:type="xsd:double"&gt;16.0054315414928&lt;/D&gt;&lt;D xsi:type="xsd:double"&gt;17.017197268755&lt;/D&gt;&lt;D xsi:type="xsd:double"&gt;17.0708126392164&lt;/D&gt;&lt;D xsi:type="xsd:double"&gt;16.8788893702635&lt;/D&gt;&lt;D xsi:type="xsd:double"&gt;16.0979339138778&lt;/D&gt;&lt;D xsi:type="xsd:double"&gt;16.5972344712133&lt;/D&gt;&lt;D xsi:type="xsd:double"&gt;16.2188975213253&lt;/D&gt;&lt;D xsi:type="xsd:double"&gt;16.7682115847221&lt;/D&gt;&lt;D xsi:type="xsd:double"&gt;17.0939318089009&lt;/D&gt;&lt;D xsi:type="xsd:double"&gt;16.895370900135&lt;/D&gt;&lt;D xsi:type="xsd:double"&gt;17.045264577677&lt;/D&gt;&lt;D xsi:type="xsd:double"&gt;17.4419500342325&lt;/D&gt;&lt;D xsi:type="xsd:double"&gt;17.1320757681278&lt;/D&gt;&lt;D xsi:type="xsd:double"&gt;16.2903864619667&lt;/D&gt;&lt;D xsi:type="xsd:double"&gt;16.1562192824815&lt;/D&gt;&lt;D xsi:type="xsd:double"&gt;16.782175135433&lt;/D&gt;&lt;D xsi:type="xsd:double"&gt;17.0807701957801&lt;/D&gt;&lt;D xsi:type="xsd:double"&gt;17.6248804093142&lt;/D&gt;&lt;D xsi:type="xsd:double"&gt;17.4040404249103&lt;/D&gt;&lt;D xsi:type="xsd:double"&gt;17.7292437101209&lt;/D&gt;&lt;D xsi:type="xsd:double"&gt;18.2644958815692&lt;/D&gt;&lt;D xsi:type="xsd:double"&gt;17.73516256302&lt;/D&gt;&lt;D xsi:type="xsd:double"&gt;17.9213417468286&lt;/D&gt;&lt;D xsi:type="xsd:double"&gt;17.4885502054535&lt;/D&gt;&lt;D xsi:type="xsd:double"&gt;17.8459157401921&lt;/D&gt;&lt;D xsi:type="xsd:double"&gt;17.9222903448682&lt;/D&gt;&lt;D xsi:type="xsd:double"&gt;17.6115320037995&lt;/D&gt;&lt;D xsi:type="xsd:double"&gt;17.68816257897&lt;/D&gt;&lt;D xsi:type="xsd:double"&gt;17.3427588214935&lt;/D&gt;&lt;D xsi:type="xsd:double"&gt;16.</t>
        </r>
      </text>
    </comment>
    <comment ref="A6" authorId="0" shapeId="0" xr:uid="{19FE9CC5-6DCC-4ECE-A959-BCB52E018FCC}">
      <text>
        <r>
          <rPr>
            <b/>
            <sz val="9"/>
            <color indexed="81"/>
            <rFont val="Tahoma"/>
            <charset val="1"/>
          </rPr>
          <t>0124396473691&lt;/D&gt;&lt;D xsi:type="xsd:double"&gt;16.0774229962709&lt;/D&gt;&lt;D xsi:type="xsd:double"&gt;16.1540708297154&lt;/D&gt;&lt;D xsi:type="xsd:double"&gt;15.689540932587&lt;/D&gt;&lt;D xsi:type="xsd:double"&gt;15.4454320982768&lt;/D&gt;&lt;D xsi:type="xsd:double"&gt;16.2688416507258&lt;/D&gt;&lt;D xsi:type="xsd:double"&gt;16.0320587816632&lt;/D&gt;&lt;D xsi:type="xsd:double"&gt;16.0254333105499&lt;/D&gt;&lt;D xsi:type="xsd:double"&gt;15.7177625033584&lt;/D&gt;&lt;D xsi:type="xsd:double"&gt;15.646935610208&lt;/D&gt;&lt;D xsi:type="xsd:double"&gt;14.47719094876&lt;/D&gt;&lt;D xsi:type="xsd:double"&gt;15.5825025071396&lt;/D&gt;&lt;D xsi:type="xsd:double"&gt;16.387212962816&lt;/D&gt;&lt;D xsi:type="xsd:double"&gt;16.6687253105854&lt;/D&gt;&lt;D xsi:type="xsd:double"&gt;16.8946081872127&lt;/D&gt;&lt;D xsi:type="xsd:double"&gt;16.4630232621215&lt;/D&gt;&lt;D xsi:type="xsd:double"&gt;17.2822068809937&lt;/D&gt;&lt;D xsi:type="xsd:double"&gt;16.9283003434567&lt;/D&gt;&lt;D xsi:type="xsd:double"&gt;16.8990330378957&lt;/D&gt;&lt;D xsi:type="xsd:double"&gt;16.5997819489642&lt;/D&gt;&lt;D xsi:type="xsd:double"&gt;17.3733815047836&lt;/D&gt;&lt;D xsi:type="xsd:double"&gt;17.3169367978683&lt;/D&gt;&lt;D xsi:type="xsd:double"&gt;17.8094104954972&lt;/D&gt;&lt;D xsi:type="xsd:double"&gt;17.8411205610265&lt;/D&gt;&lt;D xsi:type="xsd:double"&gt;16.7046344705549&lt;/D&gt;&lt;D xsi:type="xsd:double"&gt;16.0841014613318&lt;/D&gt;&lt;D xsi:type="xsd:double"&gt;18.3838141610209&lt;/D&gt;&lt;D xsi:type="xsd:double"&gt;19.1845437566133&lt;/D&gt;&lt;D xsi:type="xsd:double"&gt;19.5197212042751&lt;/D&gt;&lt;D xsi:type="xsd:double"&gt;19.2253827885576&lt;/D&gt;&lt;D xsi:type="xsd:double"&gt;19.6407998370535&lt;/D&gt;&lt;D xsi:type="xsd:double"&gt;19.0512570791866&lt;/D&gt;&lt;D xsi:type="xsd:double"&gt;17.8217612057148&lt;/D&gt;&lt;D xsi:type="xsd:double"&gt;18.4968304097634&lt;/D&gt;&lt;D xsi:type="xsd:double"&gt;18.8631388298919&lt;/D&gt;&lt;D xsi:type="xsd:double"&gt;18.7252862594576&lt;/D&gt;&lt;D xsi:type="xsd:double"&gt;18.5533310804629&lt;/D&gt;&lt;D xsi:type="xsd:double"&gt;18.8140765229449&lt;/D&gt;&lt;D xsi:type="xsd:double"&gt;18.2269849452322&lt;/D&gt;&lt;D xsi:type="xsd:double"&gt;19.4638443522642&lt;/D&gt;&lt;D xsi:type="xsd:double"&gt;19.751334170712&lt;/D&gt;&lt;D xsi:type="xsd:double"&gt;19.8535755985828&lt;/D&gt;&lt;D xsi:type="xsd:double"&gt;19.8794672568991&lt;/D&gt;&lt;D xsi:type="xsd:double"&gt;18.211083298949&lt;/D&gt;&lt;D xsi:type="xsd:double"&gt;19.2220804549045&lt;/D&gt;&lt;D xsi:type="xsd:double"&gt;18.6968787867626&lt;/D&gt;&lt;D xsi:type="xsd:double"&gt;19.8058466704819&lt;/D&gt;&lt;D xsi:type="xsd:double"&gt;18.4445807415435&lt;/D&gt;&lt;D xsi:type="xsd:double"&gt;17.923880844783&lt;/D&gt;&lt;D xsi:type="xsd:double"&gt;18.3393219219863&lt;/D&gt;&lt;D xsi:type="xsd:double"&gt;17.6181495601599&lt;/D&gt;&lt;D xsi:type="xsd:double"&gt;16.9046845276423&lt;/D&gt;&lt;D xsi:type="xsd:double"&gt;15.7364674857983&lt;/D&gt;&lt;D xsi:type="xsd:double"&gt;16.7967643861851&lt;/D&gt;&lt;D xsi:type="xsd:double"&gt;16.1352721394159&lt;/D&gt;&lt;D xsi:type="xsd:double"&gt;14.9673832905973&lt;/D&gt;&lt;D xsi:type="xsd:double"&gt;15.8413516146793&lt;/D&gt;&lt;D xsi:type="xsd:double"&gt;16.9119655431448&lt;/D&gt;&lt;D xsi:type="xsd:double"&gt;16.2295004732045&lt;/D&gt;&lt;D xsi:type="xsd:double"&gt;17.3289318644929&lt;/D&gt;&lt;D xsi:type="xsd:double"&gt;17.0657695359088&lt;/D&gt;&lt;D xsi:type="xsd:double"&gt;17.1606533380692&lt;/D&gt;&lt;D xsi:type="xsd:double"&gt;17.4802146325044&lt;/D&gt;&lt;D xsi:type="xsd:double"&gt;16.7714574837315&lt;/D&gt;&lt;D xsi:type="xsd:double"&gt;16.5053467701609&lt;/D&gt;&lt;D xsi:type="xsd:double"&gt;16.7143630498517&lt;/D&gt;&lt;D xsi:type="xsd:double"&gt;16.6075138478088&lt;/D&gt;&lt;D xsi:type="xsd:double"&gt;15.9889275845809&lt;/D&gt;&lt;D xsi:type="xsd:double"&gt;15.7266524191018&lt;/D&gt;&lt;D xsi:type="xsd:double"&gt;16.3585969928166&lt;/D&gt;&lt;D xsi:type="xsd:double"&gt;16.766659119537&lt;/D&gt;&lt;D xsi:type="xsd:double"&gt;17.0956571834068&lt;/D&gt;&lt;D xsi:type="xsd:double"&gt;17.4783929401733&lt;/D&gt;&lt;D xsi:type="xsd:double"&gt;17.4113078046602&lt;/D&gt;&lt;D xsi:type="xsd:double"&gt;16.780877258649&lt;/D&gt;&lt;/FQL&gt;&lt;FQL&gt;&lt;Q&gt;WL-FDS^FG_PRICE_CHANGE(0,-6AM)&lt;/Q&gt;&lt;R&gt;1&lt;/R&gt;&lt;C&gt;1&lt;/C&gt;&lt;D xsi:type="xsd:double"&gt;-23.4228187919463&lt;/D&gt;&lt;/FQL&gt;&lt;FQL&gt;&lt;Q&gt;NI-FDS^FG_PRICE_CHANGE(0,-6AM)&lt;/Q&gt;&lt;R&gt;1&lt;/R&gt;&lt;C&gt;1&lt;/C&gt;&lt;D xsi:type="xsd:double"&gt;3.486083778465&lt;/D&gt;&lt;/FQL&gt;&lt;FQL&gt;&lt;Q&gt;CPALM-FDS^FG_PRICE_CHANGE(0,-6AM)&lt;/Q&gt;&lt;R&gt;1&lt;/R&gt;&lt;C&gt;1&lt;/C&gt;&lt;D xsi:type="xsd:double"&gt;6.47895024603609&lt;/D&gt;&lt;/FQL&gt;&lt;FQL&gt;&lt;Q&gt;EWG^FG_PRICE(0)&lt;/Q&gt;&lt;R&gt;1&lt;/R&gt;&lt;C&gt;1&lt;/C&gt;&lt;D xsi:type="xsd:double"&gt;30.71&lt;/D&gt;&lt;/FQL&gt;&lt;FQL&gt;&lt;Q&gt;EWQ^FG_COMPANY_NAME&lt;/Q&gt;&lt;R&gt;1&lt;/R&gt;&lt;C&gt;1&lt;/C&gt;&lt;D xsi:type="xsd:string"&gt;iShares MSCI France ETF&lt;/D&gt;&lt;/FQL&gt;&lt;FQL&gt;&lt;Q&gt;FXI^FG_TOTAL_RETURNC(0,-1AM)&lt;/Q&gt;&lt;R&gt;1&lt;/R&gt;&lt;C&gt;1&lt;/C&gt;&lt;D xsi:type="xsd:double"&gt;10.365856&lt;/D&gt;&lt;/FQL&gt;&lt;FQL&gt;&lt;Q&gt;VWO^P_PRICE(0)/P_PRICE_LOW_PR(0,,,,,,"PRICE","INTRA","52W")-1&lt;/Q&gt;&lt;R&gt;1&lt;/R&gt;&lt;C&gt;1&lt;/C&gt;&lt;D xsi:type="xsd:double"&gt;0.154719&lt;/D&gt;&lt;/FQL&gt;&lt;FQL&gt;&lt;Q&gt;EWD^PERCENT_CHANGE(FMA_EPS(+1,0,,,,"PORTAGG","MEAN"),FMA_EPS(+1,-3AM,,,,"PORTAGG","MEAN"))&lt;/Q&gt;&lt;R&gt;1&lt;/R&gt;&lt;C&gt;1&lt;/C&gt;&lt;D xsi:type="xsd:double"&gt;0.121139958774507&lt;/D&gt;&lt;/FQL&gt;&lt;FQL&gt;&lt;Q&gt;EWQ^FG_TOTAL_RETURNC(0,-3AM)&lt;/Q&gt;&lt;R&gt;1&lt;/R&gt;&lt;C&gt;1&lt;/C&gt;&lt;D xsi:type="xsd:double"&gt;4.3782473&lt;/D&gt;&lt;/FQL&gt;&lt;FQL&gt;&lt;Q&gt;QQQ^P_PRICE(0)/P_PRICE_HIGH_PR(0,,,,,,"PRICE","INTRA","52W")&lt;/Q&gt;&lt;R&gt;1&lt;/R&gt;&lt;C&gt;1&lt;/C&gt;&lt;D xsi:type="xsd:double"&gt;0.95006007&lt;/D&gt;&lt;/FQL&gt;&lt;FQL&gt;&lt;Q&gt;EWJ^PERCENT_CHANGE(FMA_EPS(+1,0,,,,"PORTAGG","MEAN"),FMA_EPS(+1,-1AM,,,,"PORTAGG","MEAN"))&lt;/Q&gt;&lt;R&gt;1&lt;/R&gt;&lt;C&gt;1&lt;/C&gt;&lt;D xsi:type="xsd:double"&gt;-1.24589288512919&lt;/D&gt;&lt;/FQL&gt;&lt;FQL&gt;&lt;Q&gt;EWC^FG_TOTAL_RETURNC(0,-1AM)&lt;/Q&gt;&lt;R&gt;1&lt;/R&gt;&lt;C&gt;1&lt;/C&gt;&lt;D xsi:type="xsd:double"&gt;-1.8401682&lt;/D&gt;&lt;/FQL&gt;&lt;FQL&gt;&lt;Q&gt;ENZL^FG_TOTAL_RETURNC(0,-6AM)&lt;/Q&gt;&lt;R&gt;1&lt;/R&gt;&lt;C&gt;1&lt;/C&gt;&lt;D xsi:type="xsd:double"&gt;4.4636726&lt;/D&gt;&lt;/FQL&gt;&lt;FQL&gt;&lt;Q&gt;URTH^FMA_COS_DOWN("EPS","1M",+1,0,,,"PORTAGG","MEANR")&lt;/Q&gt;&lt;R&gt;1&lt;/R&gt;&lt;C&gt;1&lt;/C&gt;&lt;D xsi:type="xsd:double"&gt;566&lt;/D&gt;&lt;/FQL&gt;&lt;FQL&gt;&lt;Q&gt;EWN^FMA_COS_UP("EPS","1M",+1,0,,,"PORTAGG","MEANR")&lt;/Q&gt;&lt;R&gt;1&lt;/R&gt;&lt;C&gt;1&lt;/C&gt;&lt;D xsi:type="xsd:double"&gt;20&lt;/D&gt;&lt;/FQL&gt;&lt;FQL&gt;&lt;Q&gt;EWJ^SIZE(FG_CONSTITUENTS)&lt;/Q&gt;&lt;R&gt;1&lt;/R&gt;&lt;C&gt;1&lt;/C&gt;&lt;D xsi:type="xsd:long"&gt;218&lt;/D&gt;&lt;/FQL&gt;&lt;FQL&gt;&lt;Q&gt;SPY^FMA_RBICS_REV_CURRENT(30, LOC, "PORTAGG")&lt;/Q&gt;&lt;R&gt;1&lt;/R&gt;&lt;C&gt;1&lt;/C&gt;&lt;D xsi:type="xsd:double"&gt;12.6373564575532&lt;/D&gt;&lt;/FQL&gt;&lt;FQL&gt;&lt;Q&gt;USDAUD^FG_PRICE_CHANGE(0,-6AM)&lt;/Q&gt;&lt;R&gt;1&lt;/R&gt;&lt;C&gt;1&lt;/C&gt;&lt;D xsi:type="xsd:double"&gt;-1.7593443&lt;/D&gt;&lt;/FQL&gt;&lt;FQL&gt;&lt;Q&gt;ENZL^FMA_PE(LTMA,-10AY,0,AM,"PORTAGG","MEANR")&lt;/Q&gt;&lt;R&gt;121&lt;/R&gt;&lt;C&gt;1&lt;/C&gt;&lt;D xsi:type="xsd:double"&gt;18.1081302909899&lt;/D&gt;&lt;D xsi:type="xsd:double"&gt;17.9753581808465&lt;/D&gt;&lt;D xsi:type="xsd:double"&gt;17.9868008003103&lt;/D&gt;&lt;D xsi:type="xsd:double"&gt;17.9250695119331&lt;/D&gt;&lt;D xsi:type="xsd:double"&gt;17.9031663506774&lt;/D&gt;&lt;D xsi:type="xsd:double"&gt;17.8960962991705&lt;/D&gt;&lt;D xsi:type="xsd:double"&gt;18.3922776203662&lt;/D&gt;&lt;D xsi:type="xsd:double"&gt;18.6888001774865&lt;/D&gt;&lt;D xsi:type="xsd:double"&gt;19.2341389813833&lt;/D&gt;&lt;D xsi:type="xsd:double"&gt;19.9098158577524&lt;/D&gt;&lt;D xsi:type="xsd:double"&gt;20.5325507955841&lt;/D&gt;&lt;D xsi:type="xsd:double"&gt;20.2701126972107&lt;/D&gt;&lt;D xsi:type="xsd:double"&gt;20.1000815154015&lt;/D&gt;&lt;D xsi:type="xsd:double"&gt;20.0634534268453&lt;/D&gt;&lt;D xsi:type="xsd:double"&gt;19.8755888358466&lt;/D&gt;&lt;D xsi:type="xsd:double"&gt;19.8477085315348&lt;/D&gt;&lt;D xsi:type="xsd:double"&gt;19.0898536285193&lt;/D&gt;&lt;D xsi:type="xsd:double"&gt;18.6100967787143&lt;/D&gt;&lt;D xsi:type="xsd:double"&gt;19.4578960823484&lt;/D&gt;&lt;D xsi:type="xsd:double"&gt;19.680910549912&lt;/D&gt;&lt;D xsi:type="xsd:double"&gt;19.8617758299773&lt;/D&gt;&lt;D xsi:type="xsd:double"&gt;19.1726750103567&lt;/D&gt;&lt;D xsi:type="xsd:double"&gt;19.2864901240881&lt;/D&gt;&lt;D xsi:type="xsd:double"&gt;19.333984789594&lt;/D&gt;&lt;D xsi:type="xsd:double"&gt;19.4031640926577&lt;/D&gt;&lt;D xsi:type="xsd:double"&gt;19.7988057482114&lt;/D&gt;&lt;D xsi:type="xsd:double"&gt;19.7077987621199&lt;/D&gt;&lt;D xsi:type="xsd:double"&gt;20.5147903802116&lt;/D&gt;&lt;D xsi:type="xsd:double"&gt;20.963367602413&lt;/D&gt;&lt;D xsi:type="xsd:double"&gt;20.9571967123212&lt;/D&gt;&lt;D xsi:type="xsd:double"&gt;19.8359766658478&lt;/D&gt;&lt;D xsi:type="xsd:double"&gt;20.0199524674571&lt;/D&gt;&lt;D xsi:type="xsd:double"&gt;19.9705823649528&lt;/D&gt;&lt;D xsi:type="xsd:double"&gt;20.3833301456198&lt;/D&gt;&lt;D xsi:type="xsd:double"&gt;19.6967109112179&lt;/D&gt;&lt;D xsi:type="xsd:double"&gt;19.7808677360449&lt;/D&gt;&lt;D xsi:type="xsd:double"&gt;19.975890924785&lt;/D&gt;&lt;D xsi:type="xsd:double"&gt;20.0034945545716&lt;/D&gt;&lt;D xsi:type="xsd:double"&gt;20.1012546266455&lt;/D&gt;&lt;D xsi:type="xsd:double"&gt;20.4977938531242&lt;/D&gt;&lt;D xsi:type="xsd:double"&gt;20.6091379600415&lt;/D&gt;&lt;D xsi:type="xsd:double"&gt;20.6080781680225&lt;/D&gt;&lt;D xsi:type="xsd:double"&gt;21.270148377793&lt;/D&gt;&lt;D xsi:type="xsd:double"&gt;21.5609239490599&lt;/D&gt;&lt;D xsi:type="xsd:double"&gt;22.3863928904936&lt;/D&gt;&lt;D xsi:type="xsd:double"&gt;22.4628391333142&lt;/D&gt;&lt;D xsi:type="xsd:double"&gt;22.5797765761439&lt;/D&gt;&lt;D xsi:type="xsd:double"&gt;22.3697684703432&lt;/D&gt;&lt;D xsi:type="xsd:double"&gt;22.3505480168006&lt;/D&gt;&lt;D xsi:type="xsd:double"&gt;22.4265512501182&lt;/D&gt;&lt;D xsi:type="xsd:double"&gt;22.8309545766324&lt;/D&gt;&lt;D xsi:type="xsd:double"&gt;22.7659827179622&lt;/D&gt;&lt;D xsi:type="xsd:double"&gt;23.757388864391&lt;/D&gt;&lt;D xsi:type="xsd:double"&gt;23.6966067595846&lt;/D&gt;&lt;D xsi:type="xsd:double"&gt;22.824232228699&lt;/D&gt;&lt;D xsi:type="xsd:double"&gt;22.721928670499&lt;/D&gt;&lt;D xsi:type="xsd:double"&gt;22.9625342448194&lt;/D&gt;&lt;D xsi:type="xsd:double"&gt;23.2798198585488&lt;/D&gt;&lt;D xsi:type="xsd:double"&gt;24.1854317851912&lt;/D&gt;&lt;D xsi:type="xsd:double"&gt;24.2125973675053&lt;/D&gt;&lt;D xsi:type="xsd:double"&gt;24.2848762521183&lt;/D&gt;&lt;D xsi:type="xsd:double"&gt;24.2756481212711&lt;/D&gt;&lt;D xsi:type="xsd:double"&gt;24.7558676249564&lt;/D&gt;&lt;D xsi:type="xsd:double"&gt;25.4183300791344&lt;/D&gt;&lt;D xsi:type="xsd:double"&gt;27.6180524236735&lt;/D&gt;&lt;D xsi:type="xsd:double"&gt;28.7019335651262&lt;/D&gt;&lt;D xsi:type="xsd:double"&gt;28.8281061316689&lt;/D&gt;&lt;D xsi:type="xsd:double"&gt;31.2605902820656&lt;/D&gt;&lt;D xsi:type="xsd:double"&gt;32.3024398392811&lt;/D&gt;&lt;D xsi:type="xsd:double"&gt;32.637837937192&lt;/D&gt;&lt;D xsi:type="xsd:double"&gt;30.9635729650203&lt;/D&gt;&lt;D xsi:type="xsd:double"&gt;30.5251263498211&lt;/D&gt;&lt;D xsi:type="xsd:double"&gt;31.4631260359205&lt;/D&gt;&lt;D xsi:type="xsd:double"&gt;32.0712129395086&lt;/D&gt;&lt;D xsi:type="xsd:double"&gt;32.8069384123573&lt;/D&gt;&lt;D xsi:type="xsd:double"&gt;33.6752292840071&lt;/D&gt;&lt;D xsi:type="xsd:double"&gt;33.9845099170832&lt;/D&gt;&lt;D xsi:type="xsd:double"&gt;33.9186217581934&lt;/D&gt;&lt;D xsi:type="xsd:double"&gt;34.9252148090087&lt;/D&gt;&lt;D xsi:type="xsd:double"&gt;36.2999837871742&lt;/D&gt;&lt;D xsi:type="xsd:double"&gt;37.9280375106667&lt;/D&gt;&lt;D xsi:type="xsd:double"&gt;36.703173140064&lt;/D&gt;&lt;D xsi:type="xsd:double"&gt;34.4568985625885&lt;/D&gt;&lt;D xsi:type="xsd:double"&gt;34.4420911347834&lt;/D&gt;&lt;D xsi:type="xsd:double"&gt;34.5850753527358&lt;/D&gt;&lt;D xsi:type="xsd:double"&gt;35.1261539261779&lt;/D&gt;&lt;D xsi:type="xsd:double"&gt;36.2748853413342&lt;/D&gt;&lt;D xsi:type="xsd:double"&gt;36.6478209249019&lt;/D&gt;&lt;D xsi:type="xsd:double"&gt;38.5362457449689&lt;/D&gt;&lt;D xsi:type="xsd:double"&gt;38.9620878831889&lt;/D&gt;&lt;D xsi:type="xsd:double"&gt;39.0883688253377&lt;/D&gt;&lt;D xsi:type="xsd:double"&gt;37.7195015031911&lt;/D&gt;&lt;D xsi:type="xsd:double"&gt;39.3549452476964&lt;/D&gt;&lt;D xsi:type="xsd:double"&gt;37.1934545303208&lt;/D&gt;&lt;D xsi:type="xsd:double"&gt;35.29146727549&lt;/D&gt;&lt;D xsi:type="xsd:double"&gt;35.014480592642&lt;/D&gt;&lt;D xsi:type="xsd:double"&gt;34.5321139844423&lt;/D&gt;&lt;D xsi:type="xsd:double"&gt;33.6683481877483&lt;/D&gt;&lt;D xsi:type="xsd:double"&gt;32.7706817688362&lt;/D&gt;&lt;D xsi:type="xsd:double"&gt;33.2830082046343&lt;/D&gt;&lt;D xsi:type="xsd:double"&gt;34.2725599613364&lt;/D&gt;&lt;D xsi:type="xsd:double"&gt;31.7065092068335&lt;/D&gt;&lt;D xsi:type="xsd:double"&gt;31.3466592350427&lt;/D&gt;&lt;D xsi:type="xsd:double"&gt;29.9399648504985&lt;/D&gt;&lt;D xsi:type="xsd:double"&gt;29.0383466191266&lt;/D&gt;&lt;D xsi:type="xsd:double"&gt;30.2398565566725&lt;/D&gt;&lt;D xsi:type="xsd:double"&gt;29.542158079234&lt;/D&gt;&lt;D xsi:type="xsd:double"&gt;28.9469486321736&lt;/D&gt;&lt;D xsi:type="xsd:double"&gt;28.5104210211592&lt;/D&gt;&lt;D xsi:type="xsd:double"&gt;26.8703611716475&lt;/D&gt;&lt;D xsi:type="xsd:double"&gt;26.0947908042071&lt;/D&gt;&lt;D xsi:type="xsd:double"&gt;25.2827827037995&lt;/D&gt;&lt;D xsi:type="xsd:double"&gt;24.8184061430677&lt;/D&gt;&lt;D xsi:type="xsd:double"&gt;23.7120110120463&lt;/D&gt;&lt;D xsi:type="xsd:double"&gt;22.7403134295753&lt;/D&gt;&lt;D xsi:type="xsd:double"&gt;23.4941724835379&lt;/D&gt;&lt;D xsi:type="xsd:double"&gt;24.0395379241886&lt;/D&gt;&lt;D xsi:type="xsd:double"&gt;23.416418503694&lt;/D&gt;&lt;D xsi:type="xsd:double"&gt;23.7051852255553&lt;/D&gt;&lt;D xsi:type="xsd:double"&gt;24.1164784818521&lt;/D&gt;&lt;D xsi:type="xsd:double"&gt;24.3783777685571&lt;/D&gt;&lt;/FQL&gt;&lt;FQL&gt;&lt;Q&gt;BRENT-FDS^FG_PRICE_MAVG(0,,,,30)&lt;/Q&gt;&lt;R&gt;1&lt;/R&gt;&lt;C&gt;1&lt;/C&gt;&lt;D xsi:type="xsd:double"&gt;85.86&lt;/D&gt;&lt;/FQL&gt;&lt;FQL&gt;&lt;Q&gt;FC0000CH^FG_PRICE(0)&lt;/Q&gt;&lt;R&gt;1&lt;/R&gt;&lt;C&gt;1&lt;/C&gt;&lt;D xsi:type="xsd:double"&gt;307.55954&lt;/D&gt;&lt;/FQL&gt;&lt;FQL&gt;&lt;Q&gt;FC0000AU^FG_PRICE(0)&lt;/Q&gt;&lt;R&gt;1&lt;/R&gt;&lt;C&gt;1&lt;/C&gt;&lt;D xsi:type="xsd:double"&gt;346.82925&lt;/D&gt;&lt;/FQL&gt;&lt;FQL&gt;&lt;Q&gt;EWC^FG_PRICE_MAVG(0,,,,30)&lt;/Q&gt;&lt;R&gt;1&lt;/R&gt;&lt;C&gt;1&lt;/C&gt;&lt;D xsi:type="xsd:double"&gt;37.635&lt;/D&gt;&lt;/FQL&gt;&lt;FQL&gt;&lt;Q&gt;FXI^FMA_PCT_ABOVE_MAVG(200,0,,,,"PORTAGG")&lt;/Q&gt;&lt;R&gt;1&lt;/R&gt;&lt;C&gt;1&lt;/C&gt;&lt;D xsi:type="xsd:double"&gt;70.5882352941177&lt;/D&gt;&lt;/FQL&gt;&lt;FQL&gt;&lt;Q&gt;EWN^FG_TOTAL_RETURNC(0,-12AM)&lt;/Q&gt;&lt;R&gt;1&lt;/R&gt;&lt;C&gt;1&lt;/C&gt;&lt;D xsi:type="xsd:double"&gt;17.728006&lt;/D&gt;&lt;/FQL&gt;&lt;FQL&gt;&lt;Q&gt;EWL^FMA_RBICS_REV_CURRENT(30, LOC, "PORTAGG")&lt;/Q&gt;&lt;R&gt;1&lt;/R&gt;&lt;C&gt;1&lt;/C&gt;&lt;D xsi:type="xsd:double"&gt;18.5381872854438&lt;/D&gt;&lt;/FQL&gt;&lt;FQL&gt;&lt;Q&gt;EWA^FMA_PE(NTMA,-10AY,0,AM,"PORTAGG","MEANR")&lt;/Q&gt;&lt;R&gt;121&lt;/R&gt;&lt;C&gt;1&lt;/C&gt;&lt;D xsi:type="xsd:double"&gt;14.2721515065256&lt;/D&gt;&lt;D xsi:type="xsd:double"&gt;14.349410985274&lt;/D&gt;&lt;D xsi:type="xsd:double"&gt;14.4067952592009&lt;/D&gt;&lt;D xsi:type="xsd:double"&gt;14.8204287429637&lt;/D&gt;&lt;D xsi:type="xsd:double"&gt;14.9285628153438&lt;/D&gt;&lt;D xsi:type="xsd:double"&gt;13.8930270607942&lt;/D&gt;&lt;D xsi:type="xsd:double"&gt;14.6171477501576&lt;/D&gt;&lt;D xsi:type="xsd:double"&gt;13.8493215008528&lt;/D&gt;&lt;D xsi:type="xsd:double"&gt;14.6262194220997&lt;/D&gt;&lt;D xsi:type="xsd:double"&gt;15.3634926813525&lt;/D&gt;&lt;D xsi:type="xsd:double"&gt;16.3889578089277&lt;/D&gt;&lt;D xsi:type="xsd:double"&gt;16.2523775221701&lt;/D&gt;&lt;D xsi:type="xsd:double"&gt;16.2534079600681&lt;/D&gt;&lt;D xsi:type="xsd:double"&gt;15.5328034849651&lt;/D&gt;&lt;D xsi:type="xsd:double"&gt;15.4841375406311&lt;/D&gt;&lt;D xsi:type="xsd:double"&gt;15.6963684051369&lt;/D&gt;&lt;D xsi:type="xsd:double"&gt;14.2032335059901&lt;/D&gt;&lt;D xsi:type="xsd:double"&gt;14.2968851204463&lt;/D&gt;&lt;D xsi:type="xsd:double"&gt;14.8307803318691&lt;/D&gt;&lt;D xsi:type="xsd:double"&gt;15.2884076259548&lt;/D&gt;&lt;D xsi:type="xsd:double"&gt;15.7577891400844&lt;/D&gt;&lt;D xsi:type="xsd:double"&gt;15.2422372076616&lt;/D&gt;&lt;D xsi:type="xsd:double"&gt;15.5850789755047&lt;/D&gt;&lt;D xsi:type="xsd:double"&gt;15.4658529260418&lt;/D&gt;&lt;D xsi:type="xsd:double"&gt;16.1826446539878&lt;/D&gt;&lt;D xsi:type="xsd:double"&gt;16.1426177171933&lt;/D&gt;&lt;D xsi:type="xsd:double"&gt;15.999973819414&lt;/D&gt;&lt;D xsi:type="xsd:double"&gt;16.7209230315686&lt;/D&gt;&lt;D xsi:type="xsd:double"&gt;16.2099438092433&lt;/D&gt;&lt;D xsi:type="xsd:double"&gt;16.2714200349259&lt;/D&gt;&lt;D xsi:type="xsd:double"&gt;15.5349502029581&lt;/D&gt;&lt;D xsi:type="xsd:double"&gt;15.6786481105494&lt;/D&gt;&lt;D xsi:type="xsd:double"&gt;15.7804147186182&lt;/D&gt;&lt;D xsi:type="xsd:double"&gt;15.7108740791112&lt;/D&gt;&lt;D xsi:type="xsd:double"&gt;15.8607191462845&lt;/D&gt;&lt;D xsi:type="xsd:double"&gt;15.8592587383625&lt;/D&gt;&lt;D xsi:type="xsd:double"&gt;16.0456589520495&lt;/D&gt;&lt;D xsi:type="xsd:double"&gt;15.39965433794&lt;/D&gt;&lt;D xsi:type="xsd:double"&gt;15.4265713988627&lt;/D&gt;&lt;D xsi:type="xsd:double"&gt;15.7438408824969&lt;/D&gt;&lt;D xsi:type="xsd:double"&gt;15.6384385009527&lt;/D&gt;&lt;D xsi:type="xsd:double"&gt;15.5690951813751&lt;/D&gt;&lt;D xsi:type="xsd:double"&gt;15.9003462526956&lt;/D&gt;&lt;D xsi:type="xsd:double"&gt;15.8621452188413&lt;/D&gt;&lt;D xsi:type="xsd:double"&gt;16.0026190829667&lt;/D&gt;&lt;D xsi:type="xsd:double"&gt;15.9032455761203&lt;/D&gt;&lt;D xsi:type="xsd:double"&gt;15.3294363410676&lt;/D&gt;&lt;D xsi:type="xsd:double"&gt;14.7139414885106&lt;/D&gt;&lt;D xsi:type="xsd:double"&gt;15.3107020943835&lt;/D&gt;&lt;D xsi:type="xsd:double"&gt;15.0356792812731&lt;/D&gt;&lt;D xsi:type="xsd:double"&gt;15.392999127242&lt;/D&gt;&lt;D xsi:type="xsd:double"&gt;15.521467401303&lt;/D&gt;&lt;D xsi:type="xsd:double"&gt;15.6920441685479&lt;/D&gt;&lt;D xsi:type="xsd:double"&gt;15.0558347028478&lt;/D&gt;&lt;D xsi:type="xsd:double"&gt;14.3912145806402&lt;/D&gt;&lt;D xsi:type="xsd:double"&gt;14.057780519792&lt;/D&gt;&lt;D xsi:type="xsd:double"&gt;13.730810069772&lt;/D&gt;&lt;D xsi:type="xsd:double"&gt;14.6180898442541&lt;/D&gt;&lt;D xsi:type="xsd:double"&gt;15.4389791308334&lt;/D&gt;&lt;D xsi:type="xsd:double"&gt;15.3901164731762&lt;/D&gt;&lt;D xsi:type="xsd:double"&gt;15.3894016166468&lt;/D&gt;&lt;D xsi:type="xsd:double"&gt;15.5061517606689&lt;/D&gt;&lt;D xsi:type="xsd:double"&gt;16.2062376669101&lt;/D&gt;&lt;D xsi:type="xsd:double"&gt;16.3162212856101&lt;/D&gt;&lt;D xsi:type="xsd:double"&gt;15.9437412283025&lt;/D&gt;&lt;D xsi:type="xsd:double"&gt;16.528865451496&lt;/D&gt;&lt;D xsi:type="xsd:double"&gt;16.908821260171&lt;/D&gt;&lt;D xsi:type="xsd:double"&gt;17.4573767115835&lt;/D&gt;&lt;D xsi:type="xsd:double"&gt;17.1645375655544&lt;/D&gt;&lt;D xsi:type="xsd:double"&gt;17.8997930548609&lt;/D&gt;&lt;D xsi:type="xsd:double"&gt;16.3683519960413&lt;/D&gt;&lt;D xsi:type="xsd:double"&gt;14.324885101106&lt;/D&gt;&lt;D xsi:type="xsd:double"&gt;16.6199755158604&lt;/D&gt;&lt;D xsi:type="xsd:double"&gt;18.9682185320622&lt;/D&gt;&lt;D xsi:type="xsd:double"&gt;19.2256058688285&lt;/D&gt;&lt;D xsi:type="xsd:double"&gt;19.0209536693887&lt;/D&gt;&lt;D xsi:type="xsd:double"&gt;19.4866354147462&lt;/D&gt;&lt;D xsi:type="xsd:double"&gt;17.8949313774311&lt;/D&gt;&lt;D xsi:type="xsd:double"&gt;17.8841312030878&lt;/D&gt;&lt;D xsi:type="xsd:double"&gt;19.6994176676615&lt;/D&gt;&lt;D xsi:type="xsd:double"&gt;18.9693708470683&lt;/D&gt;&lt;D xsi:type="xsd:double"&gt;18.8540536550026&lt;/D&gt;&lt;D xsi:type="xsd:double"&gt;18.2849813538128&lt;/D&gt;&lt;D xsi:type="xsd:double"&gt;17.6611665393569&lt;/D&gt;&lt;D xsi:type="xsd:double"&gt;17.9952989060456&lt;/D&gt;&lt;D xsi:type="xsd:double"&gt;18.2017438882818&lt;/D&gt;&lt;D xsi:type="xsd:double"&gt;17.3066818034817&lt;/D&gt;&lt;D xsi:type="xsd:double"&gt;17.0636615357182&lt;/D&gt;&lt;D xsi:type="xsd:double"&gt;17.2802007210674&lt;/D&gt;&lt;D xsi:type="xsd:double"&gt;16.7414712694679&lt;/D&gt;&lt;D xsi:type="xsd:double"&gt;17.3921175842315&lt;/D&gt;&lt;D xsi:type="xsd:double"&gt;16.8540670860111&lt;/D&gt;&lt;D xsi:type="xsd:double"&gt;17.4970792673071&lt;/D&gt;&lt;D xsi:type="xsd:double"&gt;15.8135174813192&lt;/D&gt;&lt;D xsi:type="xsd:double"&gt;15.6112657224537&lt;/D&gt;&lt;D xsi:type="xsd:double"&gt;16.1527514548227&lt;/D&gt;&lt;D xsi:type="xsd:double"&gt;14.8278357102739&lt;/D&gt;&lt;D xsi:type="xsd:double"&gt;14.1250423795983&lt;/D&gt;&lt;D xsi:type="xsd:double"&gt;12.4724347323239&lt;/D&gt;&lt;D xsi:type="xsd:double"&gt;13.9246939614575&lt;/D&gt;&lt;D xsi:type="xsd:double"&gt;13.5788553456945&lt;/D&gt;&lt;D xsi:type="xsd:double"&gt;12.5463699651518&lt;/D&gt;&lt;D xsi:type="xsd:double"&gt;13.6829399454492&lt;/D&gt;&lt;D xsi:type="xsd:double"&gt;14.5963023095546&lt;/D&gt;&lt;D xsi:type="xsd:double"&gt;14.1727504256807&lt;/D&gt;&lt;D xsi:type="xsd:double"&gt;15.0740736787557&lt;/D&gt;&lt;D xsi:type="xsd:double"&gt;14.4559795305814&lt;/D&gt;&lt;D xsi:type="xsd:double"&gt;14.3117517505269&lt;/D&gt;&lt;D xsi:type="xsd:double"&gt;14.5481304769143&lt;/D&gt;&lt;D xsi:type="xsd:double"&gt;14.3998475346568&lt;/D&gt;&lt;D xsi:type="xsd:double"&gt;14.9313123571497&lt;/D&gt;&lt;D xsi:type="xsd:double"&gt;15.4206329620279&lt;/D&gt;&lt;D xsi:type="xsd:double"&gt;15.5104648620548&lt;/D&gt;&lt;D xsi:type="xsd:double"&gt;14.8107541113476&lt;/D&gt;&lt;D xsi:type="xsd:double"&gt;14.6004147406847&lt;/D&gt;&lt;D xsi:type="xsd:double"&gt;15.3253993852093&lt;/D&gt;&lt;D xsi:type="xsd:double"&gt;16.5006164207472&lt;/D&gt;&lt;D xsi:type="xsd:double"&gt;16.5898470502772&lt;/D&gt;&lt;D xsi:type="xsd:double"&gt;16.6808928773108&lt;/D&gt;&lt;D xsi:type="xsd:double"&gt;16.8099302394364&lt;/D&gt;&lt;D xsi:type="xsd:double"&gt;16.3573736535644&lt;/D&gt;&lt;/FQL&gt;&lt;FQL&gt;&lt;Q&gt;EWI^FG_TOTAL_RETURNC(0,-6AM)&lt;/Q&gt;&lt;R&gt;1&lt;/R&gt;&lt;C&gt;1&lt;/C&gt;&lt;D xsi:type="xsd:double"&gt;20.786655&lt;/D&gt;&lt;/FQL&gt;&lt;FQL&gt;&lt;Q&gt;ENZL^PERCENT_CHANGE(FMA_EPS(+1,0,,,,"PORTAGG","MEAN"),FMA_EPS(+1,-1AM,,,,"PORTAGG","MEAN"))&lt;/Q&gt;&lt;R&gt;1&lt;/R&gt;&lt;C&gt;1&lt;/C&gt;&lt;D xsi:type="xsd:double"&gt;-0.922990168410925&lt;/D&gt;&lt;/FQL&gt;&lt;FQL&gt;&lt;Q&gt;EWG^FMA_COS_DOWN("EPS","1M",+1,0,,,"PORTAGG","MEANR")&lt;/Q&gt;&lt;R&gt;1&lt;/R&gt;&lt;C&gt;1&lt;/C&gt;&lt;D xsi:type="xsd:double"&gt;24&lt;/D&gt;&lt;/FQL&gt;&lt;FQL&gt;&lt;Q&gt;EWA^FG_ROE(0)&lt;/Q&gt;&lt;R&gt;1&lt;/R&gt;&lt;C&gt;1&lt;/C&gt;&lt;D xsi:type="xsd:double"&gt;12.8425298344662&lt;/D&gt;&lt;/FQL&gt;&lt;FQL&gt;&lt;Q&gt;URTH^P_PRICE(0)/P_PRICE_LOW_PR(0,,,,,,"PRICE","INTRA","52W")-1&lt;/Q&gt;&lt;R&gt;1&lt;/R&gt;&lt;C&gt;1&lt;/C&gt;&lt;D xsi:type="xsd:double"&gt;0.22127295&lt;/D&gt;&lt;/FQL&gt;&lt;FQL&gt;&lt;Q&gt;FXI^FMA_COS_DOWN("EPS","1M",+1,0,,,"PORTAGG","MEANR")&lt;/Q&gt;&lt;R&gt;1&lt;/R&gt;&lt;C&gt;1&lt;/C&gt;&lt;D xsi:type="xsd:double"&gt;22&lt;/D&gt;&lt;/FQL&gt;&lt;FQL&gt;&lt;Q&gt;TRYIT10Y-FDS^PCTCHG(FG_YIELD(0,,,,"YTM"),FG_YIELD(-3AM,,,,"YTM"))&lt;/Q&gt;&lt;R&gt;1&lt;/R&gt;&lt;C&gt;1&lt;/C&gt;&lt;D xsi:type="xsd:double"&gt;1.2124408&lt;/D&gt;&lt;/FQL&gt;&lt;FQL&gt;&lt;Q&gt;TRYFR10Y-FDS^FG_YIELD_NAME&lt;/Q&gt;&lt;R&gt;1&lt;/R&gt;&lt;C&gt;1&lt;/C&gt;&lt;D xsi:type="xsd:string"&gt;France Benchmark Bond - 10 Year&lt;/D&gt;&lt;/FQL&gt;&lt;FQL&gt;&lt;Q&gt;TRYSE10Y-FDS^PCTCHG(FG_YIELD(0,,,,"YTM"),FG_YIELD(-3AM,,,,"YTM"))&lt;/Q&gt;&lt;R&gt;1&lt;/R&gt;&lt;C&gt;1&lt;/C&gt;&lt;D xsi:type="xsd:double"&gt;13.696147&lt;/D&gt;&lt;/FQL&gt;&lt;FQL&gt;&lt;Q&gt;QQQ^FMA_ROE(NTMA,-20AY,NOW,FY,"PORTAGG","MEANR")&lt;/Q&gt;&lt;R&gt;20&lt;/R&gt;&lt;C&gt;1&lt;/C&gt;&lt;D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xsi:type="xsd:double"&gt;25.3197942228377&lt;/D&gt;&lt;/FQL&gt;&lt;FQL&gt;&lt;Q&gt;TRYMY10Y-FDS^FG_YIELD(-10AY,0,Y,,"YTM")&lt;/Q&gt;&lt;R&gt;10&lt;/R&gt;&lt;C&gt;1&lt;/C&gt;&lt;D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xsi:type="xsd:double"&gt;3.955&lt;/D&gt;&lt;/FQL&gt;&lt;FQL&gt;&lt;Q&gt;VWO^P_PRICE(0)/P_PRICE_HIGH_PR(0,,,,,,"PRICE","INTRA","52W")&lt;/Q&gt;&lt;R&gt;1&lt;/R&gt;&lt;C&gt;1&lt;/C&gt;&lt;D xsi:type="xsd:double"&gt;0.99769324&lt;/D&gt;&lt;/FQL&gt;&lt;FQL&gt;&lt;Q&gt;EWQ^FG_TOTAL_RETURNC(0,-1AM)&lt;/Q&gt;&lt;R&gt;1&lt;/R&gt;&lt;C&gt;1&lt;/C&gt;&lt;D xsi:type="xsd:double"&gt;-1.587683&lt;/D&gt;&lt;/FQL&gt;&lt;FQL&gt;&lt;Q&gt;EWL^P_PRICE(0)/P_PRICE_LOW_PR(0,,,,,,"PRICE","INTRA","52W")-1&lt;/Q&gt;&lt;R&gt;1&lt;/R&gt;&lt;C&gt;1&lt;/C&gt;&lt;D xsi:type="xsd:double"&gt;0.09963894&lt;/D&gt;&lt;/FQL&gt;&lt;FQL&gt;&lt;Q&gt;EWJ^FMA_PCT_ABOVE_MAVG(200,0,,,,"PORTAGG")&lt;/Q&gt;&lt;R&gt;1&lt;/R&gt;&lt;C&gt;1&lt;/C&gt;&lt;D xsi:type="xsd:double"&gt;70.1834862385321&lt;/D&gt;&lt;/FQL&gt;&lt;FQL&gt;&lt;Q&gt;EWC^PERCENT_CHANGE(FMA_EPS(+1,0,,,,"PORTAGG","MEAN"),FMA_EPS(+1,-3AM,,,,"PORTAGG","MEAN"))&lt;/Q&gt;&lt;R&gt;1&lt;/R&gt;&lt;C&gt;1&lt;/C&gt;&lt;D xsi:type="xsd:double"&gt;-2.81244302292515&lt;/D&gt;&lt;/FQL&gt;&lt;FQL&gt;&lt;Q&gt;URTH^FMA_COS_UP("EPS","1M",+1,0,,,"PORTAGG","MEANR")&lt;/Q&gt;&lt;R&gt;1&lt;/R&gt;&lt;C&gt;1&lt;/C&gt;&lt;D xsi:type="xsd:double"&gt;634&lt;/D&gt;&lt;/FQL&gt;&lt;FQL&gt;&lt;Q&gt;TRYCH10Y-FDS^FG_YIELD(0,,,,"YTM")&lt;/Q&gt;&lt;R&gt;1&lt;/R&gt;&lt;C&gt;1&lt;/C&gt;&lt;D xsi:type="xsd:double"&gt;0.741&lt;/D&gt;&lt;/FQL&gt;&lt;FQL&gt;&lt;Q&gt;WL-FDS^FG_PRICE_MAVG(0,,,,30)&lt;/Q&gt;&lt;R&gt;1&lt;/R&gt;&lt;C&gt;1&lt;/C&gt;&lt;D xsi:type="xsd:double"&gt;609.39&lt;/D&gt;&lt;/FQL&gt;&lt;FQL&gt;&lt;Q&gt;EWG^P_PRICE(0)/P_PRICE_LOW_PR(0,,,,,,"PRICE","INTRA","52W")-1&lt;/Q&gt;&lt;R&gt;1&lt;/R&gt;&lt;C&gt;1&lt;/C&gt;&lt;D xsi:type="xsd:double"&gt;0.24306822&lt;/D&gt;&lt;/FQL&gt;&lt;FQL&gt;&lt;Q&gt;VWO^FMA_COS_DOWN("EPS","1M",+1,0,,,"PORTAGG","MEANR")&lt;/Q&gt;&lt;R&gt;1&lt;/R&gt;&lt;C&gt;1&lt;/C&gt;&lt;D xsi:type="xsd:double"&gt;1332&lt;/D&gt;&lt;/FQL&gt;&lt;FQL&gt;&lt;Q&gt;REFGBBANK-FDS^FG_YIELD(NOW,,,0)&lt;/Q&gt;&lt;R&gt;1&lt;/R&gt;&lt;C&gt;1&lt;/C&gt;&lt;D xsi:type="xsd:double"&gt;5.25&lt;/D&gt;&lt;/FQL&gt;&lt;FQL&gt;&lt;Q&gt;TRYIT10Y-FDS^FG_YIELD(0,,,,"YTM")&lt;/Q&gt;&lt;R&gt;1&lt;/R&gt;&lt;C&gt;1&lt;/C&gt;&lt;D xsi:type="xsd:double"&gt;3.84&lt;/D&gt;&lt;/FQL&gt;&lt;FQL&gt;&lt;Q&gt;USDSEK^STD(FG_PRICE_CHANGE(0,-3AY,M))&lt;/Q&gt;&lt;R&gt;1&lt;/R&gt;&lt;C&gt;1&lt;/C&gt;&lt;D xsi:type="xsd:double"&gt;2.91505747000306&lt;/D&gt;&lt;/FQL&gt;&lt;FQL&gt;&lt;Q&gt;USDCHF^STD(FG_PRICE_CHANGE(0,-3AY,M))&lt;/Q&gt;&lt;R&gt;1&lt;/R&gt;&lt;C&gt;1&lt;/C&gt;&lt;D xsi:type="xsd:double"&gt;2.45552879219006&lt;/D&gt;&lt;/FQL&gt;&lt;FQL&gt;&lt;Q&gt;USDUSD^STD(FG_PRICE_CHANGE(0,-3AY,M))&lt;/Q&gt;&lt;R&gt;1&lt;/R&gt;&lt;C&gt;1&lt;/C&gt;&lt;D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xsi:type="xsd:double"&gt;2.17952888526641&lt;/D&gt;&lt;/FQL&gt;&lt;FQL&gt;&lt;Q&gt;USDAUD^STD(FG_PRICE_CHANGE(0,-3AY,M))&lt;/Q&gt;&lt;R&gt;1&lt;/R&gt;&lt;C&gt;1&lt;/C&gt;&lt;D xsi:type="xsd:double"&gt;3.05578812282471&lt;/D&gt;&lt;/FQL&gt;&lt;FQL&gt;&lt;Q&gt;EWI^FMA_EPS(NTMA,-20AY,0,CY,,"PORTAGG","MEANR")&lt;/Q&gt;&lt;R&gt;20&lt;/R&gt;&lt;C&gt;1&lt;/C&gt;&lt;D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xsi:type="xsd:double"&gt;22.22736&lt;/D&gt;&lt;D xsi:type="xsd:double"&gt;20.678986&lt;/D&gt;&lt;D xsi:type="xsd:double"&gt;25.818897&lt;/D&gt;&lt;D xsi:type="xsd:double"&gt;5.7920814&lt;/D&gt;&lt;D xsi:type="xsd:double"&gt;12.024856&lt;/D&gt;&lt;D xsi:type="xsd:double"&gt;-0.35959482&lt;/D&gt;&lt;D xsi:type="xsd:double"&gt;-2.9666722&lt;/D&gt;&lt;D xsi:type="xsd:double"&gt;1.6086459&lt;/D&gt;&lt;D xsi:type="xsd:double"&gt;-4.6979666&lt;/D&gt;&lt;D xsi:type="xsd:double"&gt;1.4088988&lt;/D&gt;&lt;D xsi:type="xsd:double"&gt;2.7428627&lt;/D&gt;&lt;D xsi:type="xsd:double"&gt;0.709188&lt;/D&gt;&lt;D xsi:type="xsd:double"&gt;4.788029&lt;/D&gt;&lt;D xsi:type="xsd:double"&gt;4.514003&lt;/D&gt;&lt;D xsi:type="xsd:double"&gt;1.3664007&lt;/D&gt;&lt;D xsi:type="xsd:double"&gt;11.588025&lt;/D&gt;&lt;D xsi:type="xsd:double"&gt;-0.94311833&lt;/D&gt;&lt;D xsi:type="xsd:double"&gt;2.34313&lt;/D&gt;&lt;D xsi:type="xsd:double"&gt;8.445692&lt;/D&gt;&lt;D xsi:type="xsd:double"&gt;-0.18566251&lt;/D&gt;&lt;D xsi:type="xsd:double"&gt;1.5233636&lt;/D&gt;&lt;D xsi:type="xsd:double"&gt;-3.746426&lt;/D&gt;&lt;D xsi:type="xsd:double"&gt;-7.891327&lt;/D&gt;&lt;D xsi:type="xsd:double"&gt;-1.9242287&lt;/D&gt;&lt;D xsi:type="xsd:double"&gt;-3.6410034&lt;/D&gt;&lt;D xsi:type="xsd:double"&gt;-3.6184072&lt;/D&gt;&lt;D xsi:type="xsd:double"&gt;-9.170872&lt;/D&gt;&lt;D xsi:type="xsd:double"&gt;-8.599419&lt;/D&gt;&lt;D xsi:type="xsd:double"&gt;7.4507833&lt;/D&gt;&lt;D xsi:type="xsd:double"&gt;9.310616&lt;/D&gt;&lt;D xsi:type="xsd:double"&gt;-2.6355743&lt;/D&gt;&lt;D xsi:type="xsd:double"&gt;-3.5498977&lt;/D&gt;&lt;D xsi:type="xsd:double"&gt;2.3715615&lt;/D&gt;&lt;D xsi:type="xsd:double"&gt;12.208879&lt;/D&gt;&lt;D xsi:type="xsd:double"&gt;12.641632&lt;/D&gt;&lt;D xsi:type="xsd:double"&gt;11.984146&lt;/D&gt;&lt;D xsi:type="xsd:double"&gt;17.196953&lt;/D&gt;&lt;D xsi:type="xsd:double"&gt;22.377777&lt;/D&gt;&lt;D xsi:type="xsd:double"&gt;28.129732&lt;/D&gt;&lt;D xsi:type="xsd:double"&gt;33.315372&lt;/D&gt;&lt;D xsi:type="xsd:double"&gt;25.774944&lt;/D&gt;&lt;D xsi:type="xsd:double"&gt;28.510702&lt;/D&gt;&lt;D xsi:type="xsd:double"&gt;34.46256&lt;/D&gt;&lt;D xsi:type="xsd:double"&gt;38.057182&lt;/D&gt;&lt;D xsi:type="xsd:double"&gt;34.42508&lt;/D&gt;&lt;D xsi:type="xsd:double"&gt;34.76502&lt;/D&gt;&lt;D xsi:type="xsd:double"&gt;25.550604&lt;/D&gt;&lt;D xsi:type="xsd:double"&gt;19.83484&lt;/D&gt;&lt;D xsi:type="xsd:double"&gt;13.790953&lt;/D&gt;&lt;D xsi:type="xsd:double"&gt;8.519161&lt;/D&gt;&lt;D xsi:type="xsd:double"&gt;7.2532415&lt;/D&gt;&lt;D xsi:type="xsd:double"&gt;4.801631&lt;/D&gt;&lt;D xsi:type="xsd:double"&gt;3.535688&lt;/D&gt;&lt;D xsi:type="xsd:double"&gt;-2.2236884&lt;/D&gt;&lt;D xsi:type="xsd:double"&gt;-7.9382124&lt;/D&gt;&lt;D xsi:type="xsd:double"&gt;-7.846892&lt;/D&gt;&lt;D xsi:type="xsd:double"&gt;-15.912223&lt;/D&gt;&lt;D xsi:type="xsd:double"&gt;-13.873922&lt;/D&gt;&lt;D xsi:type="xsd:double"&gt;-3.3952773&lt;/D&gt;&lt;D xsi:type="xsd:double"&gt;-2.1229029&lt;/D&gt;&lt;D xsi:type="xsd:double"&gt;0.43171644&lt;/D&gt;&lt;D xsi:type="xsd:double"&gt;-3.4216404&lt;/D&gt;&lt;D xsi:type="xsd:double"&gt;5.4299116&lt;/D&gt;&lt;D xsi:type="xsd:double"&gt;-0.85271&lt;/D&gt;&lt;D xsi:type="xsd:double"&gt;0.5555153&lt;/D&gt;&lt;D xsi:type="xsd:double"&gt;4.2220473&lt;/D&gt;&lt;D xsi:type="xsd:double"&gt;16.50387&lt;/D&gt;&lt;D xsi:type="xsd:double"&gt;16.96893&lt;/D&gt;&lt;D xsi:type="xsd:double"&gt;34.02854&lt;/D&gt;&lt;D xsi:type="xsd:double"&gt;18.715454&lt;/D&gt;&lt;D xsi:type="xsd:double"&gt;7.784319&lt;/D&gt;&lt;D xsi:type="xsd:double"&gt;-14.021343&lt;/D&gt;&lt;D xsi:type="xsd:double"&gt;-9.231461&lt;/D&gt;&lt;D xsi:type="xsd:double"&gt;9.301174&lt;/D&gt;&lt;D xsi:type="xsd:double"&gt;7.836938&lt;/D&gt;&lt;D xsi:type="xsd:double"&gt;11.269247&lt;/D&gt;&lt;D xsi:type="xsd:double"&gt;19.995235&lt;/D&gt;&lt;D xsi:type="xsd:double"&gt;17.484247&lt;/D&gt;&lt;D xsi:type="xsd:double"&gt;7.762718&lt;/D&gt;&lt;D xsi:type="xsd:double"&gt;25.094582&lt;/D&gt;&lt;D xsi:type="xsd:double"&gt;23.225773&lt;/D&gt;&lt;D xsi:type="xsd:double"&gt;34.768177&lt;/D&gt;&lt;D xsi:type="xsd:double"&gt;44.18496&lt;/D&gt;&lt;D xsi:type="xsd:double"&gt;92.31813&lt;/D&gt;&lt;D xsi:type="xsd:double"&gt;70.473656&lt;/D&gt;&lt;D xsi:type="xsd:double"&gt;59.756947&lt;/D&gt;&lt;D xsi:type="xsd:double"&gt;47.33356&lt;/D&gt;&lt;D xsi:type="xsd:double"&gt;49.018753&lt;/D&gt;&lt;D xsi:type="xsd:double"&gt;49.333847&lt;/D&gt;&lt;D xsi:type="xsd:double"&gt;40.851868&lt;/D&gt;&lt;D xsi:type="xsd:double"&gt;53.082836&lt;/D&gt;&lt;D xsi:type="xsd:double"&gt;23.840641&lt;/D&gt;&lt;D xsi:type="xsd:double"&gt;22.740162&lt;/D&gt;&lt;D xsi:type="xsd:double"&gt;9.045876&lt;/D&gt;&lt;D xsi:type="xsd:double"&gt;-4.9889803&lt;/D&gt;&lt;D xsi:type="xsd:double"&gt;-8.838474&lt;/D&gt;&lt;D xsi:type="xsd:double"&gt;-19.435238&lt;/D&gt;&lt;D xsi:type="xsd:double"&gt;-19.612164&lt;/D&gt;&lt;D xsi:type="xsd:double"&gt;-26.87679&lt;/D&gt;&lt;D xsi:type="xsd:double"&gt;-24.41001&lt;/D&gt;&lt;D xsi:type="xsd:double"&gt;-37.342323&lt;/D&gt;&lt;D xsi:type="xsd:double"&gt;-36.88223&lt;/D&gt;&lt;D xsi:type="xsd:double"&gt;-37.972916&lt;/D&gt;&lt;D xsi:type="xsd:double"&gt;-18.317812&lt;/D&gt;&lt;D xsi:type="xsd:double"&gt;-24.333632&lt;/D&gt;&lt;D xsi:type="xsd:double"&gt;-5.851543&lt;/D&gt;&lt;D xsi:type="xsd:double"&gt;0.13965368&lt;/D&gt;&lt;D xsi:type="xsd:double"&gt;1.6252041&lt;/D&gt;&lt;D xsi:type="xsd:double"&gt;11.326277&lt;/D&gt;&lt;D xsi:type="xsd:double"&gt;9.672952&lt;/D&gt;&lt;D xsi:type="xsd:double"&gt;25.603724&lt;/D&gt;&lt;D xsi:type="xsd:double"&gt;18.328499&lt;/D&gt;&lt;D xsi:type="xsd:double"&gt;25.123346&lt;/D&gt;&lt;D xsi:type="xsd:double"&gt;24.514378&lt;/D&gt;&lt;D xsi:type="xsd:double"&gt;23.380589&lt;/D&gt;&lt;D xsi:type="xsd:double"&gt;9.567165&lt;/D&gt;&lt;D xsi:type="xsd:double"&gt;19.064463&lt;/D&gt;&lt;D xsi:type="xsd:double"&gt;7.292402&lt;/D&gt;&lt;D xsi:type="xsd:double"&gt;19.980967&lt;/D&gt;&lt;D xsi:type="xsd:double"&gt;18.904066&lt;/D&gt;&lt;D xsi:type="xsd:double"&gt;17.728006&lt;/D&gt;&lt;/FQL&gt;&lt;FQL&gt;&lt;Q&gt;SPY^FG_TOTAL_RETURNC(-10AY,0,AM)&lt;/Q&gt;&lt;R&gt;121&lt;/R&gt;&lt;C&gt;1&lt;/C&gt;&lt;D xsi:type="xsd:double"&gt;-0.43414235&lt;/D&gt;&lt;D xsi:type="xsd:double"&gt;2.5709867&lt;/D&gt;&lt;D xsi:type="xsd:double"&gt;2.7361274&lt;/D&gt;&lt;D xsi:type="xsd:double"&gt;-2.3982108&lt;/D&gt;&lt;D xsi:type="xsd:double"&gt;4.2129874&lt;/D&gt;&lt;D xsi:type="xsd:double"&gt;-2.6521027&lt;/D&gt;&lt;D xsi:type="xsd:double"&gt;3.745246&lt;/D&gt;&lt;D xsi:type="xsd:double"&gt;2.6901722&lt;/D&gt;&lt;D xsi:type="xsd:double"&gt;-0.25404096&lt;/D&gt;&lt;D xsi:type="xsd:double"&gt;-1.7086089&lt;/D&gt;&lt;D xsi:type="xsd:double"&gt;4.9871325&lt;/D&gt;&lt;D xsi:type="xsd:double"&gt;-2.1896243&lt;/D&gt;&lt;D xsi:type="xsd:double"&gt;2.0757198&lt;/D&gt;&lt;D xsi:type="xsd:double"&gt;0.30372143&lt;/D&gt;&lt;D xsi:type="xsd:double"&gt;-1.4369011&lt;/D&gt;&lt;D xsi:type="xsd:double"&gt;1.5387654&lt;/D&gt;&lt;D xsi:type="xsd:double"&gt;-7.168645&lt;/D&gt;&lt;D xsi:type="xsd:double"&gt;0.3178239&lt;/D&gt;&lt;D xsi:type="xsd:double"&gt;7.8923106&lt;/D&gt;&lt;D xsi:type="xsd:double"&gt;-0.88454485&lt;/D&gt;&lt;D xsi:type="xsd:double"&gt;-1.6420543&lt;/D&gt;&lt;D xsi:type="xsd:double"&gt;-6.72487&lt;/D&gt;&lt;D xsi:type="xsd:double"&gt;4.6487093&lt;/D&gt;&lt;D xsi:type="xsd:double"&gt;4.5138955&lt;/D&gt;&lt;D xsi:type="xsd:double"&gt;0.5074382&lt;/D&gt;&lt;D xsi:type="xsd:double"&gt;1.4136672&lt;/D&gt;&lt;D xsi:type="xsd:double"&gt;0.050735474&lt;/D&gt;&lt;D xsi:type="xsd:double"&gt;2.6811957&lt;/D&gt;&lt;D xsi:type="xsd:double"&gt;1.3086557&lt;/D&gt;&lt;D xsi:type="xsd:double"&gt;-0.44560432&lt;/D&gt;&lt;D xsi:type="xsd:double"&gt;-3.0328214&lt;/D&gt;&lt;D xsi:type="xsd:double"&gt;4.739189&lt;/D&gt;&lt;D xsi:type="xsd:double"&gt;2.3534417&lt;/D&gt;&lt;D xsi:type="xsd:double"&gt;1.8968344&lt;/D&gt;&lt;D xsi:type="xsd:double"&gt;4.6099186&lt;/D&gt;&lt;D xsi:type="xsd:double"&gt;-0.63058734&lt;/D&gt;&lt;D xsi:type="xsd:double"&gt;1.2853146&lt;/D&gt;&lt;D xsi:type="xsd:double"&gt;2.261591&lt;/D&gt;&lt;D xsi:type="xsd:double"&gt;-0.48776865&lt;/D&gt;&lt;D xsi:type="xsd:double"&gt;2.3325086&lt;/D&gt;&lt;D xsi:type="xsd:double"&gt;0.1616478&lt;/D&gt;&lt;D xsi:type="xsd:double"&gt;2.3120046&lt;/D&gt;&lt;D xsi:type="xsd:double"&gt;2.0886183&lt;/D&gt;&lt;D xsi:type="xsd:double"&gt;2.6670218&lt;/D&gt;&lt;D xsi:type="xsd:double"&gt;2.145052&lt;/D&gt;&lt;D xsi:type="xsd:double"&gt;2.4854064&lt;/D&gt;&lt;D xsi:type="xsd:double"&gt;-2.3125887&lt;/D&gt;&lt;D xsi:type="xsd:double"&gt;-3.9319575&lt;/D&gt;&lt;D xsi:type="xsd:double"&gt;2.2255063&lt;/D&gt;&lt;D xsi:type="xsd:double"&gt;3.9513707&lt;/D&gt;&lt;D xsi:type="xsd:double"&gt;-0.18938184&lt;/D&gt;&lt;D xsi:type="xsd:double"&gt;3.8733244&lt;/D&gt;&lt;D xsi:type="xsd:double"&gt;2.804625&lt;/D&gt;&lt;D xsi:type="xsd:double"&gt;0.8854866&lt;/D&gt;&lt;D xsi:type="xsd:double"&gt;-6.746459&lt;/D&gt;&lt;D xsi:type="xsd:double"&gt;1.3828993&lt;/D&gt;&lt;D xsi:type="xsd:double"&gt;-8.698731&lt;/D&gt;&lt;D xsi:type="xsd:double"&gt;7.9462767&lt;/D&gt;&lt;D xsi:type="xsd:double"&gt;3.8361907&lt;/D&gt;&lt;D xsi:type="xsd:double"&gt;2.4261832&lt;/D&gt;&lt;D xsi:type="xsd:double"&gt;1.8218637&lt;/D&gt;&lt;D xsi:type="xsd:double"&gt;-5.463976&lt;/D&gt;&lt;D xsi:type="xsd:double"&gt;8.211374&lt;/D&gt;&lt;D xsi:type="xsd:double"&gt;-1.2852967&lt;/D&gt;&lt;D xsi:type="xsd:double"&gt;-0.058090687&lt;/D&gt;&lt;D xsi:type="xsd:double"&gt;-1.0442138&lt;/D&gt;&lt;D xsi:type="xsd:double"&gt;6.2764764&lt;/D&gt;&lt;D xsi:type="xsd:double"&gt;1.7965674&lt;/D&gt;&lt;D xsi:type="xsd:double"&gt;4.7555566&lt;/D&gt;&lt;D xsi:type="xsd:double"&gt;-0.966537&lt;/D&gt;&lt;D xsi:type="xsd:double"&gt;-3.9287627&lt;/D&gt;&lt;D xsi:type="xsd:double"&gt;-18.024837&lt;/D&gt;&lt;D xsi:type="xsd:double"&gt;12.294006&lt;/D&gt;&lt;D xsi:type="xsd:double"&gt;8.943022&lt;/D&gt;&lt;D xsi:type="xsd:double"&gt;1.7956853&lt;/D&gt;&lt;D xsi:type="xsd:double"&gt;4.5767426&lt;/D&gt;&lt;D xsi:type="xsd:double"&gt;9.549189&lt;/D&gt;&lt;D xsi:type="xsd:double"&gt;-6.292385&lt;/D&gt;&lt;D xsi:type="xsd:double"&gt;-1.0903358&lt;/D&gt;&lt;D xsi:type="xsd:double"&gt;11.08116&lt;/D&gt;&lt;D xsi:type="xsd:double"&gt;2.369237&lt;/D&gt;&lt;D xsi:type="xsd:double"&gt;2.0514607&lt;/D&gt;&lt;D xsi:type="xsd:double"&gt;1.3078332&lt;/D&gt;&lt;D xsi:type="xsd:double"&gt;3.9799929&lt;/D&gt;&lt;D xsi:type="xsd:double"&gt;4.16615&lt;/D&gt;&lt;D xsi:type="xsd:double"&gt;0.72609186&lt;/D&gt;&lt;D xsi:type="xsd:double"&gt;3.5277605&lt;/D&gt;&lt;D xsi:type="xsd:double"&gt;0.89228153&lt;/D&gt;&lt;D xsi:type="xsd:double"&gt;3.5649776&lt;/D&gt;&lt;D xsi:type="xsd:double"&gt;-3.8714528&lt;/D&gt;&lt;D xsi:type="xsd:double"&gt;6.3697457&lt;/D&gt;&lt;D xsi:type="xsd:double"&gt;-0.9742379&lt;/D&gt;&lt;D xsi:type="xsd:double"&gt;4.2086005&lt;/D&gt;&lt;D xsi:type="xsd:double"&gt;-3.7076771&lt;/D&gt;&lt;D xsi:type="xsd:double"&gt;-4.254943&lt;/D&gt;&lt;D xsi:type="xsd:double"&gt;3.750217&lt;/D&gt;&lt;D xsi:type="xsd:double"&gt;-8.487153&lt;/D&gt;&lt;D xsi:type="xsd:double"&gt;0.7020831&lt;/D&gt;&lt;D xsi:type="xsd:double"&gt;-8.267296&lt;/D&gt;&lt;D xsi:type="xsd:double"&gt;7.0349455&lt;/D&gt;&lt;D xsi:type="xsd:double"&gt;-3.8768828&lt;/D&gt;&lt;D xsi:type="xsd:double"&gt;-8.561361&lt;/D&gt;&lt;D xsi:type="xsd:double"&gt;4.952681&lt;/D&gt;&lt;D xsi:type="xsd:double"&gt;8.546961&lt;/D&gt;&lt;D xsi:type="xsd:double"&gt;-5.579245&lt;/D&gt;&lt;D xsi:type="xsd:double"&gt;8.9820385&lt;/D&gt;&lt;D xsi:type="xsd:double"&gt;-4.5515594&lt;/D&gt;&lt;D xsi:type="xsd:double"&gt;3.3084035&lt;/D&gt;&lt;D xsi:type="xsd:double"&gt;0.35418272&lt;/D&gt;&lt;D xsi:type="xsd:double"&gt;4.1573405&lt;/D&gt;&lt;D xsi:type="xsd:double"&gt;3.9756536&lt;/D&gt;&lt;D xsi:type="xsd:double"&gt;1.5452981&lt;/D&gt;&lt;D xsi:type="xsd:double"&gt;0.23548603&lt;/D&gt;&lt;D xsi:type="xsd:double"&gt;-4.954493&lt;/D&gt;&lt;D xsi:type="xsd:double"&gt;0.8073807&lt;/D&gt;&lt;D xsi:type="xsd:double"&gt;6.5790653&lt;/D&gt;&lt;D xsi:type="xsd:double"&gt;3.369534&lt;/D&gt;&lt;D xsi:type="xsd:double"&gt;4.591143&lt;/D&gt;&lt;D xsi:type="xsd:double"&gt;3.7422776&lt;/D&gt;&lt;D xsi:type="xsd:double"&gt;1.4844894&lt;/D&gt;&lt;D xsi:type="xsd:double"&gt;-2.661711&lt;/D&gt;&lt;/FQL&gt;&lt;FQL&gt;&lt;Q&gt;EWU^FMA_DIV_YLD(NTMA,-10AY,0,AM,"PORTAGG","MEANR")&lt;/Q&gt;&lt;R&gt;121&lt;/R&gt;&lt;C&gt;1&lt;/C&gt;&lt;D xsi:type="xsd:double"&gt;3.819658860763&lt;/D&gt;&lt;D xsi:type="xsd:double"&gt;3.82946055773396&lt;/D&gt;&lt;D xsi:type="xsd:double"&gt;3.82404470850864&lt;/D&gt;&lt;D xsi:type="xsd:double"&gt;3.94472150285523&lt;/D&gt;&lt;D xsi:type="xsd:double"&gt;3.884917994</t>
        </r>
      </text>
    </comment>
    <comment ref="A7" authorId="0" shapeId="0" xr:uid="{3356520D-E61D-4A5B-9A08-586793F754D8}">
      <text>
        <r>
          <rPr>
            <b/>
            <sz val="9"/>
            <color indexed="81"/>
            <rFont val="Tahoma"/>
            <charset val="1"/>
          </rPr>
          <t>39676&lt;/D&gt;&lt;D xsi:type="xsd:double"&gt;4.16876698717698&lt;/D&gt;&lt;D xsi:type="xsd:double"&gt;4.09206953370175&lt;/D&gt;&lt;D xsi:type="xsd:double"&gt;4.01963040032825&lt;/D&gt;&lt;D xsi:type="xsd:double"&gt;4.17006326625388&lt;/D&gt;&lt;D xsi:type="xsd:double"&gt;4.06410260423572&lt;/D&gt;&lt;D xsi:type="xsd:double"&gt;3.90141474963993&lt;/D&gt;&lt;D xsi:type="xsd:double"&gt;4.0204209325582&lt;/D&gt;&lt;D xsi:type="xsd:double"&gt;3.90727354923853&lt;/D&gt;&lt;D xsi:type="xsd:double"&gt;3.95003573497703&lt;/D&gt;&lt;D xsi:type="xsd:double"&gt;4.14420467296905&lt;/D&gt;&lt;D xsi:type="xsd:double"&gt;4.096417008216&lt;/D&gt;&lt;D xsi:type="xsd:double"&gt;4.52836656700234&lt;/D&gt;&lt;D xsi:type="xsd:double"&gt;4.42968318466133&lt;/D&gt;&lt;D xsi:type="xsd:double"&gt;4.24703879940721&lt;/D&gt;&lt;D xsi:type="xsd:double"&gt;4.17394409929893&lt;/D&gt;&lt;D xsi:type="xsd:double"&gt;4.30856301942377&lt;/D&gt;&lt;D xsi:type="xsd:double"&gt;4.53739668258748&lt;/D&gt;&lt;D xsi:type="xsd:double"&gt;4.43219495256446&lt;/D&gt;&lt;D xsi:type="xsd:double"&gt;4.3902824733655&lt;/D&gt;&lt;D xsi:type="xsd:double"&gt;4.27160628849445&lt;/D&gt;&lt;D xsi:type="xsd:double"&gt;4.34670998174423&lt;/D&gt;&lt;D xsi:type="xsd:double"&gt;4.18327853364226&lt;/D&gt;&lt;D xsi:type="xsd:double"&gt;4.16626856742688&lt;/D&gt;&lt;D xsi:type="xsd:double"&gt;4.0356491162387&lt;/D&gt;&lt;D xsi:type="xsd:double"&gt;4.1564709474935&lt;/D&gt;&lt;D xsi:type="xsd:double"&gt;4.39978182235259&lt;/D&gt;&lt;D xsi:type="xsd:double"&gt;4.43792867253151&lt;/D&gt;&lt;D xsi:type="xsd:double"&gt;4.27151734515527&lt;/D&gt;&lt;D xsi:type="xsd:double"&gt;4.31661790399731&lt;/D&gt;&lt;D xsi:type="xsd:double"&gt;4.27381057385585&lt;/D&gt;&lt;D xsi:type="xsd:double"&gt;4.32479324020005&lt;/D&gt;&lt;D xsi:type="xsd:double"&gt;4.36023702006412&lt;/D&gt;&lt;D xsi:type="xsd:double"&gt;4.22036612470311&lt;/D&gt;&lt;D xsi:type="xsd:double"&gt;4.35243963248784&lt;/D&gt;&lt;D xsi:type="xsd:double"&gt;4.25772201767707&lt;/D&gt;&lt;D xsi:type="xsd:double"&gt;4.31442701168876&lt;/D&gt;&lt;D xsi:type="xsd:double"&gt;4.27668547439277&lt;/D&gt;&lt;D xsi:type="xsd:double"&gt;4.28963296184312&lt;/D&gt;&lt;D xsi:type="xsd:double"&gt;4.4051747101624&lt;/D&gt;&lt;D xsi:type="xsd:double"&gt;4.20699867009321&lt;/D&gt;&lt;D xsi:type="xsd:double"&gt;4.2797272394745&lt;/D&gt;&lt;D xsi:type="xsd:double"&gt;4.72587456316156&lt;/D&gt;&lt;D xsi:type="xsd:double"&gt;4.56352419759494&lt;/D&gt;&lt;D xsi:type="xsd:double"&gt;4.34986588226125&lt;/D&gt;&lt;D xsi:type="xsd:double"&gt;4.32964674886198&lt;/D&gt;&lt;D xsi:type="xsd:double"&gt;4.46959721839581&lt;/D&gt;&lt;D xsi:type="xsd:double"&gt;4.47446295210614&lt;/D&gt;&lt;D xsi:type="xsd:double"&gt;4.5766306421935&lt;/D&gt;&lt;D xsi:type="xsd:double"&gt;4.54715784565825&lt;/D&gt;&lt;D xsi:type="xsd:double"&gt;4.85250651158737&lt;/D&gt;&lt;D xsi:type="xsd:double"&gt;4.97924386808332&lt;/D&gt;&lt;D xsi:type="xsd:double"&gt;5.36275722580912&lt;/D&gt;&lt;D xsi:type="xsd:double"&gt;5.04855046991584&lt;/D&gt;&lt;D xsi:type="xsd:double"&gt;4.97145053687759&lt;/D&gt;&lt;D xsi:type="xsd:double"&gt;4.83721495663854&lt;/D&gt;&lt;D xsi:type="xsd:double"&gt;4.8880458208161&lt;/D&gt;&lt;D xsi:type="xsd:double"&gt;4.95938389253906&lt;/D&gt;&lt;D xsi:type="xsd:double"&gt;4.7206825547161&lt;/D&gt;&lt;D xsi:type="xsd:double"&gt;4.95575843656519&lt;/D&gt;&lt;D xsi:type="xsd:double"&gt;5.08439202306934&lt;/D&gt;&lt;D xsi:type="xsd:double"&gt;5.08521899430217&lt;/D&gt;&lt;D xsi:type="xsd:double"&gt;4.81227115245526&lt;/D&gt;&lt;D xsi:type="xsd:double"&gt;4.78744512993244&lt;/D&gt;&lt;D xsi:type="xsd:double"&gt;4.54659654517987&lt;/D&gt;&lt;D xsi:type="xsd:double"&gt;4.74670605021999&lt;/D&gt;&lt;D xsi:type="xsd:double"&gt;5.28054478967328&lt;/D&gt;&lt;D xsi:type="xsd:double"&gt;6.29205108006056&lt;/D&gt;&lt;D xsi:type="xsd:double"&gt;4.83971178368564&lt;/D&gt;&lt;D xsi:type="xsd:double"&gt;4.02683503876857&lt;/D&gt;&lt;D xsi:type="xsd:double"&gt;4.08392480355766&lt;/D&gt;&lt;D xsi:type="xsd:double"&gt;4.16555742901953&lt;/D&gt;&lt;D xsi:type="xsd:double"&gt;4.07028791507216&lt;/D&gt;&lt;D xsi:type="xsd:double"&gt;4.23416743952932&lt;/D&gt;&lt;D xsi:type="xsd:double"&gt;4.5507521408723&lt;/D&gt;&lt;D xsi:type="xsd:double"&gt;3.91012541572875&lt;/D&gt;&lt;D xsi:type="xsd:double"&gt;3.94773962429216&lt;/D&gt;&lt;D xsi:type="xsd:double"&gt;4.07995663755702&lt;/D&gt;&lt;D xsi:type="xsd:double"&gt;3.99033058348036&lt;/D&gt;&lt;D xsi:type="xsd:double"&gt;4.04903206083814&lt;/D&gt;&lt;D xsi:type="xsd:double"&gt;3.96701520146157&lt;/D&gt;&lt;D xsi:type="xsd:double"&gt;3.85686390133488&lt;/D&gt;&lt;D xsi:type="xsd:double"&gt;3.99409262531663&lt;/D&gt;&lt;D xsi:type="xsd:double"&gt;4.14716176824681&lt;/D&gt;&lt;D xsi:type="xsd:double"&gt;4.15402138085534&lt;/D&gt;&lt;D xsi:type="xsd:double"&gt;4.20909519123334&lt;/D&gt;&lt;D xsi:type="xsd:double"&gt;4.03517403579508&lt;/D&gt;&lt;D xsi:type="xsd:double"&gt;4.11770589679329&lt;/D&gt;&lt;D xsi:type="xsd:double"&gt;3.90526118428229&lt;/D&gt;&lt;D xsi:type="xsd:double"&gt;3.77690272047781&lt;/D&gt;&lt;D xsi:type="xsd:double"&gt;3.93088825335762&lt;/D&gt;&lt;D xsi:type="xsd:double"&gt;4.00242890578579&lt;/D&gt;&lt;D xsi:type="xsd:double"&gt;4.05823240903248&lt;/D&gt;&lt;D xsi:type="xsd:double"&gt;4.06608746252418&lt;/D&gt;&lt;D xsi:type="xsd:double"&gt;4.32321531067159&lt;/D&gt;&lt;D xsi:type="xsd:double"&gt;4.18564228383756&lt;/D&gt;&lt;D xsi:type="xsd:double"&gt;4.43846751558151&lt;/D&gt;&lt;D xsi:type="xsd:double"&gt;4.77033445333701&lt;/D&gt;&lt;D xsi:type="xsd:double"&gt;4.51826665490748&lt;/D&gt;&lt;D xsi:type="xsd:double"&gt;4.21216748233736&lt;/D&gt;&lt;D xsi:type="xsd:double"&gt;4.28414620337631&lt;/D&gt;&lt;D xsi:type="xsd:double"&gt;4.09611926787827&lt;/D&gt;&lt;D xsi:type="xsd:double"&gt;4.1305234749641&lt;/D&gt;&lt;D xsi:type="xsd:double"&gt;4.22499582438271&lt;/D&gt;&lt;D xsi:type="xsd:double"&gt;4.22387563992652&lt;/D&gt;&lt;D xsi:type="xsd:double"&gt;4.35294126696343&lt;/D&gt;&lt;D xsi:type="xsd:double"&gt;4.36045381056001&lt;/D&gt;&lt;D xsi:type="xsd:double"&gt;4.39585194017119&lt;/D&gt;&lt;D xsi:type="xsd:double"&gt;4.47451367108921&lt;/D&gt;&lt;D xsi:type="xsd:double"&gt;4.53397928192442&lt;/D&gt;&lt;D xsi:type="xsd:double"&gt;4.5740591824703&lt;/D&gt;&lt;D xsi:type="xsd:double"&gt;4.41093981019979&lt;/D&gt;&lt;D xsi:type="xsd:double"&gt;4.28936649713355&lt;/D&gt;&lt;D xsi:type="xsd:double"&gt;4.30207612966457&lt;/D&gt;&lt;D xsi:type="xsd:double"&gt;4.1556279722505&lt;/D&gt;&lt;D xsi:type="xsd:double"&gt;4.03724552095805&lt;/D&gt;&lt;D xsi:type="xsd:double"&gt;3.92112574686134&lt;/D&gt;&lt;/FQL&gt;&lt;FQL&gt;&lt;Q&gt;EWJ^FMA_PE(NTMA,-10AY,0,AM,"PORTAGG","MEANR")&lt;/Q&gt;&lt;R&gt;121&lt;/R&gt;&lt;C&gt;1&lt;/C&gt;&lt;D xsi:type="xsd:double"&gt;13.0292388408046&lt;/D&gt;&lt;D xsi:type="xsd:double"&gt;13.4233263399243&lt;/D&gt;&lt;D xsi:type="xsd:double"&gt;13.9674897732419&lt;/D&gt;&lt;D xsi:type="xsd:double"&gt;13.8186266306269&lt;/D&gt;&lt;D xsi:type="xsd:double"&gt;13.7700276310028&lt;/D&gt;&lt;D xsi:type="xsd:double"&gt;13.5987909715018&lt;/D&gt;&lt;D xsi:type="xsd:double"&gt;13.9869905302651&lt;/D&gt;&lt;D xsi:type="xsd:double"&gt;14.6175854294484&lt;/D&gt;&lt;D xsi:type="xsd:double"&gt;14.2217382053288&lt;/D&gt;&lt;D xsi:type="xsd:double"&gt;13.9421496389751&lt;/D&gt;&lt;D xsi:type="xsd:double"&gt;15.1097656184477&lt;/D&gt;&lt;D xsi:type="xsd:double"&gt;15.3071373737643&lt;/D&gt;&lt;D xsi:type="xsd:double"&gt;15.6616916730624&lt;/D&gt;&lt;D xsi:type="xsd:double"&gt;16.2915825246592&lt;/D&gt;&lt;D xsi:type="xsd:double"&gt;15.5409536493671&lt;/D&gt;&lt;D xsi:type="xsd:double"&gt;15.5549826524311&lt;/D&gt;&lt;D xsi:type="xsd:double"&gt;13.5236173603329&lt;/D&gt;&lt;D xsi:type="xsd:double"&gt;13.2918978074689&lt;/D&gt;&lt;D xsi:type="xsd:double"&gt;14.0802344337816&lt;/D&gt;&lt;D xsi:type="xsd:double"&gt;14.7085174491649&lt;/D&gt;&lt;D xsi:type="xsd:double"&gt;14.0592028995939&lt;/D&gt;&lt;D xsi:type="xsd:double"&gt;13.2311853480482&lt;/D&gt;&lt;D xsi:type="xsd:double"&gt;12.8048523670451&lt;/D&gt;&lt;D xsi:type="xsd:double"&gt;12.3706974096579&lt;/D&gt;&lt;D xsi:type="xsd:double"&gt;12.4624631986894&lt;/D&gt;&lt;D xsi:type="xsd:double"&gt;13.3194792254596&lt;/D&gt;&lt;D xsi:type="xsd:double"&gt;12.6818555773172&lt;/D&gt;&lt;D xsi:type="xsd:double"&gt;13.1558416661815&lt;/D&gt;&lt;D xsi:type="xsd:double"&gt;13.636063568928&lt;/D&gt;&lt;D xsi:type="xsd:double"&gt;13.3536745368456&lt;/D&gt;&lt;D xsi:type="xsd:double"&gt;13.5934930415781&lt;/D&gt;&lt;D xsi:type="xsd:double"&gt;14.6070228151189&lt;/D&gt;&lt;D xsi:type="xsd:double"&gt;14.666066308777&lt;/D&gt;&lt;D xsi:type="xsd:double"&gt;14.2483454464425&lt;/D&gt;&lt;D xsi:type="xsd:double"&gt;14.3938741019167&lt;/D&gt;&lt;D xsi:type="xsd:double"&gt;13.7674669359031&lt;/D&gt;&lt;D xsi:type="xsd:double"&gt;14.0213586097894&lt;/D&gt;&lt;D xsi:type="xsd:double"&gt;14.6177589268447&lt;/D&gt;&lt;D xsi:type="xsd:double"&gt;14.3027048416095&lt;/D&gt;&lt;D xsi:type="xsd:double"&gt;14.2995574843511&lt;/D&gt;&lt;D xsi:type="xsd:double"&gt;13.7297054110204&lt;/D&gt;&lt;D xsi:type="xsd:double"&gt;13.9707907150591&lt;/D&gt;&lt;D xsi:type="xsd:double"&gt;14.8140174654812&lt;/D&gt;&lt;D xsi:type="xsd:double"&gt;14.7504364366261&lt;/D&gt;&lt;D xsi:type="xsd:double"&gt;14.6992512136724&lt;/D&gt;&lt;D xsi:type="xsd:double"&gt;14.824058295345&lt;/D&gt;&lt;D xsi:type="xsd:double"&gt;12.8016957965391&lt;/D&gt;&lt;D xsi:type="xsd:double"&gt;12.707530558025&lt;/D&gt;&lt;D xsi:type="xsd:double"&gt;13.1895254054524&lt;/D&gt;&lt;D xsi:type="xsd:double"&gt;12.9500813214387&lt;/D&gt;&lt;D xsi:type="xsd:double"&gt;12.6616870991746&lt;/D&gt;&lt;D xsi:type="xsd:double"&gt;12.8948111470092&lt;/D&gt;&lt;D xsi:type="xsd:double"&gt;12.6994134229768&lt;/D&gt;&lt;D xsi:type="xsd:double"&gt;13.3874349816557&lt;/D&gt;&lt;D xsi:type="xsd:double"&gt;12.1167172200331&lt;/D&gt;&lt;D xsi:type="xsd:double"&gt;12.2456849881368&lt;/D&gt;&lt;D xsi:type="xsd:double"&gt;11.1004679303178&lt;/D&gt;&lt;D xsi:type="xsd:double"&gt;11.9182586991163&lt;/D&gt;&lt;D xsi:type="xsd:double"&gt;12.572848675728&lt;/D&gt;&lt;D xsi:type="xsd:double"&gt;12.6228289442525&lt;/D&gt;&lt;D xsi:type="xsd:double"&gt;12.7447909237938&lt;/D&gt;&lt;D xsi:type="xsd:double"&gt;12.1876913137614&lt;/D&gt;&lt;D xsi:type="xsd:double"&gt;13.0169882705956&lt;/D&gt;&lt;D xsi:type="xsd:double"&gt;12.6129594382199&lt;/D&gt;&lt;D xsi:type="xsd:double"&gt;12.3809220234027&lt;/D&gt;&lt;D xsi:type="xsd:double"&gt;13.2456937720325&lt;/D&gt;&lt;D xsi:type="xsd:double"&gt;13.8323194363781&lt;/D&gt;&lt;D xsi:type="xsd:double"&gt;14.4015116919892&lt;/D&gt;&lt;D xsi:type="xsd:double"&gt;14.5196080573663&lt;/D&gt;&lt;D xsi:type="xsd:double"&gt;14.2143773145466&lt;/D&gt;&lt;D xsi:type="xsd:double"&gt;13.0612053019986&lt;/D&gt;&lt;D xsi:type="xsd:double"&gt;11.7108097470109&lt;/D&gt;&lt;D xsi:type="xsd:double"&gt;13.801509708016&lt;/D&gt;&lt;D xsi:type="xsd:double"&gt;16.8140313401358&lt;/D&gt;&lt;D xsi:type="xsd:double"&gt;17.4757354556981&lt;/D&gt;&lt;D xsi:type="xsd:double"&gt;17.0912510092985&lt;/D&gt;&lt;D xsi:type="xsd:double"&gt;18.1947889446207&lt;/D&gt;&lt;D xsi:type="xsd:double"&gt;17.9011669842303&lt;/D&gt;&lt;D xsi:type="xsd:double"&gt;17.3887389169777&lt;/D&gt;&lt;D xsi:type="xsd:double"&gt;18.5972535374752&lt;/D&gt;&lt;D xsi:type="xsd:double"&gt;18.3692009294026&lt;/D&gt;&lt;D xsi:type="xsd:double"&gt;18.3513728814649&lt;/D&gt;&lt;D xsi:type="xsd:double"&gt;17.8128923330922&lt;/D&gt;&lt;D xsi:type="xsd:double"&gt;17.5855019868189&lt;/D&gt;&lt;D xsi:type="xsd:double"&gt;16.6871022605131&lt;/D&gt;&lt;D xsi:type="xsd:double"&gt;16.5708227335739&lt;/D&gt;&lt;D xsi:type="xsd:double"&gt;16.3206789705268&lt;/D&gt;&lt;D xsi:type="xsd:double"&gt;15.8318263139224&lt;/D&gt;&lt;D xsi:type="xsd:double"&gt;15.4891726990373&lt;/D&gt;&lt;D xsi:type="xsd:double"&gt;15.1591458529496&lt;/D&gt;&lt;D xsi:type="xsd:double"&gt;15.3797872351373&lt;/D&gt;&lt;D xsi:type="xsd:double"&gt;14.3047488004452&lt;/D&gt;&lt;D xsi:type="xsd:double"&gt;14.5056304133844&lt;/D&gt;&lt;D xsi:type="xsd:double"&gt;13.8837673278372&lt;/D&gt;&lt;D xsi:type="xsd:double"&gt;12.8809934652374&lt;/D&gt;&lt;D xsi:type="xsd:double"&gt;13.2659040017144&lt;/D&gt;&lt;D xsi:type="xsd:double"&gt;12.823694547106&lt;/D&gt;&lt;D xsi:type="xsd:double"&gt;12.9220733554743&lt;/D&gt;&lt;D xsi:type="xsd:double"&gt;12.1577787398348&lt;/D&gt;&lt;D xsi:type="xsd:double"&gt;12.6263430938617&lt;/D&gt;&lt;D xsi:type="xsd:double"&gt;12.6231581552764&lt;/D&gt;&lt;D xsi:type="xsd:double"&gt;11.8310229073371&lt;/D&gt;&lt;D xsi:type="xsd:double"&gt;12.5647286533704&lt;/D&gt;&lt;D xsi:type="xsd:double"&gt;12.7461016471234&lt;/D&gt;&lt;D xsi:type="xsd:double"&gt;12.203889572336&lt;/D&gt;&lt;D xsi:type="xsd:double"&gt;12.8301250351276&lt;/D&gt;&lt;D xsi:type="xsd:double"&gt;13.1365703098585&lt;/D&gt;&lt;D xsi:type="xsd:double"&gt;13.1594599881793&lt;/D&gt;&lt;D xsi:type="xsd:double"&gt;13.6243465753044&lt;/D&gt;&lt;D xsi:type="xsd:double"&gt;14.3054667241631&lt;/D&gt;&lt;D xsi:type="xsd:double"&gt;14.888731572317&lt;/D&gt;&lt;D xsi:type="xsd:double"&gt;14.6400864565964&lt;/D&gt;&lt;D xsi:type="xsd:double"&gt;14.663533228383&lt;/D&gt;&lt;D xsi:type="xsd:double"&gt;14.30314824499&lt;/D&gt;&lt;D xsi:type="xsd:double"&gt;14.153335620017&lt;/D&gt;&lt;D xsi:type="xsd:double"&gt;14.3069326139798&lt;/D&gt;&lt;D xsi:type="xsd:double"&gt;13.98216030845&lt;/D&gt;&lt;D xsi:type="xsd:double"&gt;14.9405672610223&lt;/D&gt;&lt;D xsi:type="xsd:double"&gt;15.8214733816999&lt;/D&gt;&lt;D xsi:type="xsd:double"&gt;15.5739241175417&lt;/D&gt;&lt;D xsi:type="xsd:double"&gt;15.1918084168481&lt;/D&gt;&lt;/FQL&gt;&lt;FQL&gt;&lt;Q&gt;EWC^FMA_PE(LTMA,-10AY,0,AM,"PORTAGG","MEANR")&lt;/Q&gt;&lt;R&gt;121&lt;/R&gt;&lt;C&gt;1&lt;/C&gt;&lt;D xsi:type="xsd:double"&gt;16.374325786381&lt;/D&gt;&lt;D xsi:type="xsd:double"&gt;16.1545198890747&lt;/D&gt;&lt;D xsi:type="xsd:double"&gt;16.3296899007584&lt;/D&gt;&lt;D xsi:type="xsd:double"&gt;16.2794343638855&lt;/D&gt;&lt;D xsi:type="xsd:double"&gt;16.4838988188231&lt;/D&gt;&lt;D xsi:type="xsd:double"&gt;15.8042400044588&lt;/D&gt;&lt;D xsi:type="xsd:double"&gt;15.6968746345144&lt;/D&gt;&lt;D xsi:type="xsd:double"&gt;15.6531409713052&lt;/D&gt;&lt;D xsi:type="xsd:double"&gt;15.7070156564&lt;/D&gt;&lt;D xsi:type="xsd:double"&gt;16.0656210859238&lt;/D&gt;&lt;D xsi:type="xsd:double"&gt;17.0431996059785&lt;/D&gt;&lt;D xsi:type="xsd:double"&gt;17.095456503967&lt;/D&gt;&lt;D xsi:type="xsd:double"&gt;17.3505916412903&lt;/D&gt;&lt;D xsi:type="xsd:double"&gt;17.2690339425565&lt;/D&gt;&lt;D xsi:type="xsd:double"&gt;17.0842855539427&lt;/D&gt;&lt;D xsi:type="xsd:double"&gt;17.0229383832672&lt;/D&gt;&lt;D xsi:type="xsd:double"&gt;16.3891778052202&lt;/D&gt;&lt;D xsi:type="xsd:double"&gt;16.3797557994676&lt;/D&gt;&lt;D xsi:type="xsd:double"&gt;16.7204964227452&lt;/D&gt;&lt;D xsi:type="xsd:double"&gt;16.711677585629&lt;/D&gt;&lt;D xsi:type="xsd:double"&gt;15.7794491987031&lt;/D&gt;&lt;D xsi:type="xsd:double"&gt;15.0918182881088&lt;/D&gt;&lt;D xsi:type="xsd:double"&gt;15.7619376949901&lt;/D&gt;&lt;D xsi:type="xsd:double"&gt;16.001157655848&lt;/D&gt;&lt;D xsi:type="xsd:double"&gt;16.3938459020248&lt;/D&gt;&lt;D xsi:type="xsd:double"&gt;16.7022115944101&lt;/D&gt;&lt;D xsi:type="xsd:double"&gt;16.7934665316453&lt;/D&gt;&lt;D xsi:type="xsd:double"&gt;17.144798417829&lt;/D&gt;&lt;D xsi:type="xsd:double"&gt;17.6838143347528&lt;/D&gt;&lt;D xsi:type="xsd:double"&gt;17.8787659375175&lt;/D&gt;&lt;D xsi:type="xsd:double"&gt;18.0269674563852&lt;/D&gt;&lt;D xsi:type="xsd:double"&gt;18.7977509765365&lt;/D&gt;&lt;D xsi:type="xsd:double"&gt;19.369708934889&lt;/D&gt;&lt;D xsi:type="xsd:double"&gt;19.5642612866624&lt;/D&gt;&lt;D xsi:type="xsd:double"&gt;19.4052250166207&lt;/D&gt;&lt;D xsi:type="xsd:double"&gt;19.1093046046532&lt;/D&gt;&lt;D xsi:type="xsd:double"&gt;18.7773509587985&lt;/D&gt;&lt;D xsi:type="xsd:double"&gt;18.42952715946&lt;/D&gt;&lt;D xsi:type="xsd:double"&gt;18.0575223370907&lt;/D&gt;&lt;D xsi:type="xsd:double"&gt;18.0545747584181&lt;/D&gt;&lt;D xsi:type="xsd:double"&gt;17.5274265070569&lt;/D&gt;&lt;D xsi:type="xsd:double"&gt;17.693683728384&lt;/D&gt;&lt;D xsi:type="xsd:double"&gt;17.5911880630208&lt;/D&gt;&lt;D xsi:type="xsd:double"&gt;17.315556170384&lt;/D&gt;&lt;D xsi:type="xsd:double"&gt;17.1083318806659&lt;/D&gt;&lt;D xsi:type="xsd:double"&gt;16.3939027219064&lt;/D&gt;&lt;D xsi:type="xsd:double"&gt;15.8114070627831&lt;/D&gt;&lt;D xsi:type="xsd:double"&gt;15.6337795994359&lt;/D&gt;&lt;D xsi:type="xsd:double"&gt;15.5853894779153&lt;/D&gt;&lt;D xsi:type="xsd:double"&gt;15.5170458711105&lt;/D&gt;&lt;D xsi:type="xsd:double"&gt;15.4871849881621&lt;/D&gt;&lt;D xsi:type="xsd:double"&gt;15.4753547728446&lt;/D&gt;&lt;D xsi:type="xsd:double"&gt;15.2389778780504&lt;/D&gt;&lt;D xsi:type="xsd:double"&gt;15.0059873608733&lt;/D&gt;&lt;D xsi:type="xsd:double"&gt;14.2201797377882&lt;/D&gt;&lt;D xsi:type="xsd:double"&gt;14.054323813253&lt;/D&gt;&lt;D xsi:type="xsd:double"&gt;13.1547443447967&lt;/D&gt;&lt;D xsi:type="xsd:double"&gt;14.5170878783775&lt;/D&gt;&lt;D xsi:type="xsd:double"&gt;14.7339208885223&lt;/D&gt;&lt;D xsi:type="xsd:double"&gt;14.7400815223202&lt;/D&gt;&lt;D xsi:type="xsd:double"&gt;14.5791874097022&lt;/D&gt;&lt;D xsi:type="xsd:double"&gt;14.3717500238412&lt;/D&gt;&lt;D xsi:type="xsd:double"&gt;14.4974834768697&lt;/D&gt;&lt;D xsi:type="xsd:double"&gt;14.3726991654181&lt;/D&gt;&lt;D xsi:type="xsd:double"&gt;14.4218130030175&lt;/D&gt;&lt;D xsi:type="xsd:double"&gt;14.430572776475&lt;/D&gt;&lt;D xsi:type="xsd:double"&gt;14.8354397786325&lt;/D&gt;&lt;D xsi:type="xsd:double"&gt;15.0601094635783&lt;/D&gt;&lt;D xsi:type="xsd:double"&gt;15.2966823165893&lt;/D&gt;&lt;D xsi:type="xsd:double"&gt;15.3686742646582&lt;/D&gt;&lt;D xsi:type="xsd:double"&gt;14.4252976888294&lt;/D&gt;&lt;D xsi:type="xsd:double"&gt;14.2117903085774&lt;/D&gt;&lt;D xsi:type="xsd:double"&gt;15.5747218081999&lt;/D&gt;&lt;D xsi:type="xsd:double"&gt;16.9986711324953&lt;/D&gt;&lt;D xsi:type="xsd:double"&gt;17.4247691451461&lt;/D&gt;&lt;D xsi:type="xsd:double"&gt;17.9754654025799&lt;/D&gt;&lt;D xsi:type="xsd:double"&gt;18.461951081953&lt;/D&gt;&lt;D xsi:type="xsd:double"&gt;18.4059117213452&lt;/D&gt;&lt;D xsi:type="xsd:double"&gt;18.1208857842288&lt;/D&gt;&lt;D xsi:type="xsd:double"&gt;19.9225853930427&lt;/D&gt;&lt;D xsi:type="xsd:double"&gt;20.3674881248119&lt;/D&gt;&lt;D xsi:type="xsd:double"&gt;20.7368494371718&lt;/D&gt;&lt;D xsi:type="xsd:double"&gt;19.9953504064655&lt;/D&gt;&lt;D xsi:type="xsd:double"&gt;19.6112449968824&lt;/D&gt;&lt;D xsi:type="xsd:double"&gt;19.2245259404903&lt;/D&gt;&lt;D xsi:type="xsd:double"&gt;18.79155152574&lt;/D&gt;&lt;D xsi:type="xsd:double"&gt;18.4301547295925&lt;/D&gt;&lt;D xsi:type="xsd:double"&gt;17.727067906442&lt;/D&gt;&lt;D xsi:type="xsd:double"&gt;17.234448928166&lt;/D&gt;&lt;D xsi:type="xsd:double"&gt;16.4144424494376&lt;/D&gt;&lt;D xsi:type="xsd:double"&gt;16.6152669489201&lt;/D&gt;&lt;D xsi:type="xsd:double"&gt;15.5810499710477&lt;/D&gt;&lt;D xsi:type="xsd:double"&gt;15.4052054193869&lt;/D&gt;&lt;D xsi:type="xsd:double"&gt;15.4873176303937&lt;/D&gt;&lt;D xsi:type="xsd:double"&gt;15.2478468782994&lt;/D&gt;&lt;D xsi:type="xsd:double"&gt;15.0357474837891&lt;/D&gt;&lt;D xsi:type="xsd:double"&gt;14.5571378858367&lt;/D&gt;&lt;D xsi:type="xsd:double"&gt;14.336086299442&lt;/D&gt;&lt;D xsi:type="xsd:double"&gt;13.4335584086702&lt;/D&gt;&lt;D xsi:type="xsd:double"&gt;13.2553353280936&lt;/D&gt;&lt;D xsi:type="xsd:double"&gt;12.7701419947638&lt;/D&gt;&lt;D xsi:type="xsd:double"&gt;12.1689396395286&lt;/D&gt;&lt;D xsi:type="xsd:double"&gt;12.413533578123&lt;/D&gt;&lt;D xsi:type="xsd:double"&gt;12.8844391541457&lt;/D&gt;&lt;D xsi:type="xsd:double"&gt;12.0433714481908&lt;/D&gt;&lt;D xsi:type="xsd:double"&gt;12.9027190753375&lt;/D&gt;&lt;D xsi:type="xsd:double"&gt;12.6011905879376&lt;/D&gt;&lt;D xsi:type="xsd:double"&gt;12.6409469061466&lt;/D&gt;&lt;D xsi:type="xsd:double"&gt;12.7734437365091&lt;/D&gt;&lt;D xsi:type="xsd:double"&gt;12.8953621101637&lt;/D&gt;&lt;D xsi:type="xsd:double"&gt;13.0392886217726&lt;/D&gt;&lt;D xsi:type="xsd:double"&gt;13.426785909169&lt;/D&gt;&lt;D xsi:type="xsd:double"&gt;13.659225175889&lt;/D&gt;&lt;D xsi:type="xsd:double"&gt;13.1229051632082&lt;/D&gt;&lt;D xsi:type="xsd:double"&gt;13.4085574651321&lt;/D&gt;&lt;D xsi:type="xsd:double"&gt;14.008204465871&lt;/D&gt;&lt;D xsi:type="xsd:double"&gt;14.5437091055149&lt;/D&gt;&lt;D xsi:type="xsd:double"&gt;14.6714893488687&lt;/D&gt;&lt;D xsi:type="xsd:double"&gt;14.8886833317143&lt;/D&gt;&lt;D xsi:type="xsd:double"&gt;14.950468737772&lt;/D&gt;&lt;D xsi:type="xsd:double"&gt;14.8313005754632&lt;/D&gt;&lt;/FQL&gt;&lt;FQL&gt;&lt;Q&gt;WL-FDS^FG_PRICE_CHANGE(0,-3AM)&lt;/Q&gt;&lt;R&gt;1&lt;/R&gt;&lt;C&gt;1&lt;/C&gt;&lt;D xsi:type="xsd:double"&gt;-13.6521870743151&lt;/D&gt;&lt;/FQL&gt;&lt;FQL&gt;&lt;Q&gt;NI-FDS^FG_PRICE_CHANGE(0,-3AM)&lt;/Q&gt;&lt;R&gt;1&lt;/R&gt;&lt;C&gt;1&lt;/C&gt;&lt;D xsi:type="xsd:double"&gt;14.1395348837209&lt;/D&gt;&lt;/FQL&gt;&lt;FQL&gt;&lt;Q&gt;CPALM-FDS^FG_PRICE_CHANGE(0,-3AM)&lt;/Q&gt;&lt;R&gt;1&lt;/R&gt;&lt;C&gt;1&lt;/C&gt;&lt;D xsi:type="xsd:double"&gt;2.82470960929251&lt;/D&gt;&lt;/FQL&gt;&lt;FQL&gt;&lt;Q&gt;BRENT-FDS^FG_PRICE_CHANGE(0,-3AM)&lt;/Q&gt;&lt;R&gt;1&lt;/R&gt;&lt;C&gt;1&lt;/C&gt;&lt;D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xsi:type="xsd:double"&gt;-8.20181917126642&lt;/D&gt;&lt;/FQL&gt;&lt;FQL&gt;&lt;Q&gt;EWN^FG_PRICE_MAVG(0,,,,200)&lt;/Q&gt;&lt;R&gt;1&lt;/R&gt;&lt;C&gt;1&lt;/C&gt;&lt;D xsi:type="xsd:double"&gt;43.574177&lt;/D&gt;&lt;/FQL&gt;&lt;FQL&gt;&lt;Q&gt;EWU^FG_PRICE_MAVG(0,,,,200)&lt;/Q&gt;&lt;R&gt;1&lt;/R&gt;&lt;C&gt;1&lt;/C&gt;&lt;D xsi:type="xsd:double"&gt;32.5389&lt;/D&gt;&lt;/FQL&gt;&lt;FQL&gt;&lt;Q&gt;EWC^FG_PRICE_MAVG(0,,,,200)&lt;/Q&gt;&lt;R&gt;1&lt;/R&gt;&lt;C&gt;1&lt;/C&gt;&lt;D xsi:type="xsd:double"&gt;35.4649&lt;/D&gt;&lt;/FQL&gt;&lt;FQL&gt;&lt;Q&gt;FXI^PERCENT_CHANGE(FMA_EPS(+1,0,,,,"PORTAGG","MEAN"),FMA_EPS(+1,-3AM,,,,"PORTAGG","MEAN"))&lt;/Q&gt;&lt;R&gt;1&lt;/R&gt;&lt;C&gt;1&lt;/C&gt;&lt;D xsi:type="xsd:double"&gt;0.549754316868501&lt;/D&gt;&lt;/FQL&gt;&lt;FQL&gt;&lt;Q&gt;EWI^FG_TOTAL_RETURNC(0,-12AM)&lt;/Q&gt;&lt;R&gt;1&lt;/R&gt;&lt;C&gt;1&lt;/C&gt;&lt;D xsi:type="xsd:double"&gt;23.113155&lt;/D&gt;&lt;/FQL&gt;&lt;FQL&gt;&lt;Q&gt;EWD^PERCENT_CHANGE(FMA_EPS(+1,0,,,,"PORTAGG","MEAN"),FMA_EPS(+1,-1AM,,,,"PORTAGG","MEAN"))&lt;/Q&gt;&lt;R&gt;1&lt;/R&gt;&lt;C&gt;1&lt;/C&gt;&lt;D xsi:type="xsd:double"&gt;0.239070706838559&lt;/D&gt;&lt;/FQL&gt;&lt;FQL&gt;&lt;Q&gt;QQQ^FG_TOTAL_RETURNC(0,-6AM)&lt;/Q&gt;&lt;R&gt;1&lt;/R&gt;&lt;C&gt;1&lt;/C&gt;&lt;D xsi:type="xsd:double"&gt;17.91023&lt;/D&gt;&lt;/FQL&gt;&lt;FQL&gt;&lt;Q&gt;ENZL^FG_TOTAL_RETURNC(0,-3AM)&lt;/Q&gt;&lt;R&gt;1&lt;/R&gt;&lt;C&gt;1&lt;/C&gt;&lt;D xsi:type="xsd:double"&gt;-3.3916593&lt;/D&gt;&lt;/FQL&gt;&lt;FQL&gt;&lt;Q&gt;EWQ^SIZE(FG_CONSTITUENTS)&lt;/Q&gt;&lt;R&gt;1&lt;/R&gt;&lt;C&gt;1&lt;/C&gt;&lt;D xsi:type="xsd:long"&gt;63&lt;/D&gt;&lt;/FQL&gt;&lt;FQL&gt;&lt;Q&gt;QQQ^FMA_RBICS_REV_CURRENT(30, LOC, "PORTAGG")&lt;/Q&gt;&lt;R&gt;1&lt;/R&gt;&lt;C&gt;1&lt;/C&gt;&lt;D xsi:type="xsd:double"&gt;0.907617891806812&lt;/D&gt;&lt;/FQL&gt;&lt;FQL&gt;&lt;Q&gt;EWJ^FG_ROE(0)&lt;/Q&gt;&lt;R&gt;1&lt;/R&gt;&lt;C&gt;1&lt;/C&gt;&lt;D xsi:type="xsd:double"&gt;9.83604323393113&lt;/D&gt;&lt;/FQL&gt;&lt;FQL&gt;&lt;Q&gt;TRYAU10Y-FDS^FG_YIELD_NAME&lt;/Q&gt;&lt;R&gt;1&lt;/R&gt;&lt;C&gt;1&lt;/C&gt;&lt;D xsi:type="xsd:string"&gt;Australia Benchmark Bond - 10 Year&lt;/D&gt;&lt;/FQL&gt;&lt;FQL&gt;&lt;Q&gt;REFAUCASH-FDS^(SUBARRAY(NOT_NA(NO_REPEAT_F(FG_YIELD(NOW,-10AY,D))),0,1)-SUBARRAY(NOT_NA(NO_REPEAT_F(FG_YIELD(NOW,-10AY,D))),1,1))*100&lt;/Q&gt;&lt;R&gt;1&lt;/R&gt;&lt;C&gt;1&lt;/C&gt;&lt;D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xsi:type="xsd:double"&gt;25&lt;/D&gt;&lt;/FQL&gt;&lt;FQL&gt;&lt;Q&gt;EWJ^FMA_DIV_YLD(NTMA,-10AY,0,AM,"PORTAGG","MEANR")&lt;/Q&gt;&lt;R&gt;121&lt;/R&gt;&lt;C&gt;1&lt;/C&gt;&lt;D xsi:type="xsd:double"&gt;2.15781029827312&lt;/D&gt;&lt;D xsi:type="xsd:double"&gt;2.12796942161578&lt;/D&gt;&lt;D xsi:type="xsd:double"&gt;2.04481892885603&lt;/D&gt;&lt;D xsi:type="xsd:double"&gt;2.05814286020646&lt;/D&gt;&lt;D xsi:type="xsd:double"&gt;2.05337575942913&lt;/D&gt;&lt;D xsi:type="xsd:double"&gt;2.09727353444588&lt;/D&gt;&lt;D xsi:type="xsd:double"&gt;2.02193698969938&lt;/D&gt;&lt;D xsi:type="xsd:double"&gt;1.92708717645138&lt;/D&gt;&lt;D xsi:type="xsd:double"&gt;1.98232280512474&lt;/D&gt;&lt;D xsi:type="xsd:double"&gt;2.01562308560486&lt;/D&gt;&lt;D xsi:type="xsd:double"&gt;1.87939509629175&lt;/D&gt;&lt;D xsi:type="xsd:double"&gt;1.87306489716522&lt;/D&gt;&lt;D xsi:type="xsd:double"&gt;1.86203725739815&lt;/D&gt;&lt;D xsi:type="xsd:double"&gt;1.84196235105864&lt;/D&gt;&lt;D xsi:type="xsd:double"&gt;1.90159297065694&lt;/D&gt;&lt;D xsi:type="xsd:double"&gt;1.89755667769649&lt;/D&gt;&lt;D xsi:type="xsd:double"&gt;2.17572692305559&lt;/D&gt;&lt;D xsi:type="xsd:double"&gt;2.21331368535566&lt;/D&gt;&lt;D xsi:type="xsd:double"&gt;2.0979477795004&lt;/D&gt;&lt;D xsi:type="xsd:double"&gt;2.01337553285541&lt;/D&gt;&lt;D xsi:type="xsd:double"&gt;2.09547306420622&lt;/D&gt;&lt;D xsi:type="xsd:double"&gt;2.24754665319185&lt;/D&gt;&lt;D xsi:type="xsd:double"&gt;2.38122949629864&lt;/D&gt;&lt;D xsi:type="xsd:double"&gt;2.48429726034848&lt;/D&gt;&lt;D xsi:type="xsd:double"&gt;2.46842121912504&lt;/D&gt;&lt;D xsi:type="xsd:double"&gt;2.37644655298657&lt;/D&gt;&lt;D xsi:type="xsd:double"&gt;2.5223679725129&lt;/D&gt;&lt;D xsi:type="xsd:double"&gt;2.42283358153506&lt;/D&gt;&lt;D xsi:type="xsd:double"&gt;2.34100500255819&lt;/D&gt;&lt;D xsi:type="xsd:double"&gt;2.40739452323872&lt;/D&gt;&lt;D xsi:type="xsd:double"&gt;2.34816637903659&lt;/D&gt;&lt;D xsi:type="xsd:double"&gt;2.16760263994861&lt;/D&gt;&lt;D xsi:type="xsd:double"&gt;2.12454937200345&lt;/D&gt;&lt;D xsi:type="xsd:double"&gt;2.16941696394025&lt;/D&gt;&lt;D xsi:type="xsd:double"&gt;2.12362674158273&lt;/D&gt;&lt;D xsi:type="xsd:double"&gt;2.21969245043735&lt;/D&gt;&lt;D xsi:type="xsd:double"&gt;2.18843240467022&lt;/D&gt;&lt;D xsi:type="xsd:double"&gt;2.13768306048346&lt;/D&gt;&lt;D xsi:type="xsd:double"&gt;2.17029687936999&lt;/D&gt;&lt;D xsi:type="xsd:double"&gt;2.15487801359475&lt;/D&gt;&lt;D xsi:type="xsd:double"&gt;2.20887719488853&lt;/D&gt;&lt;D xsi:type="xsd:double"&gt;2.16893499799053&lt;/D&gt;&lt;D xsi:type="xsd:double"&gt;2.03535185187293&lt;/D&gt;&lt;D xsi:type="xsd:double"&gt;2.07112668125357&lt;/D&gt;&lt;D xsi:type="xsd:double"&gt;2.06064672154973&lt;/D&gt;&lt;D xsi:type="xsd:double"&gt;2.03511276396523&lt;/D&gt;&lt;D xsi:type="xsd:double"&gt;2.26918251959667&lt;/D&gt;&lt;D xsi:type="xsd:double"&gt;2.28272459326219&lt;/D&gt;&lt;D xsi:type="xsd:double"&gt;2.21527888607235&lt;/D&gt;&lt;D xsi:type="xsd:double"&gt;2.27187897061566&lt;/D&gt;&lt;D xsi:type="xsd:double"&gt;2.3505234441767&lt;/D&gt;&lt;D xsi:type="xsd:double"&gt;2.28235722507073&lt;/D&gt;&lt;D xsi:type="xsd:double"&gt;2.31702072981049&lt;/D&gt;&lt;D xsi:type="xsd:double"&gt;2.21096969809582&lt;/D&gt;&lt;D xsi:type="xsd:double"&gt;2.44503711950436&lt;/D&gt;&lt;D xsi:type="xsd:double"&gt;2.46597273404865&lt;/D&gt;&lt;D xsi:type="xsd:double"&gt;2.75303950615534&lt;/D&gt;&lt;D xsi:type="xsd:double"&gt;2.63492681885579&lt;/D&gt;&lt;D xsi:type="xsd:double"&gt;2.55430607502661&lt;/D&gt;&lt;D xsi:type="xsd:double"&gt;2.5701488907806&lt;/D&gt;&lt;D xsi:type="xsd:double"&gt;2.56745513302219&lt;/D&gt;&lt;D xsi:type="xsd:double"&gt;2.75374577992844&lt;/D&gt;&lt;D xsi:type="xsd:double"&gt;2.62149778825393&lt;/D&gt;&lt;D xsi:type="xsd:double"&gt;2.71605049565848&lt;/D&gt;&lt;D xsi:type="xsd:double"&gt;2.78888077726514&lt;/D&gt;&lt;D xsi:type="xsd:double"&gt;2.61401988127131&lt;/D&gt;&lt;D xsi:type="xsd:double"&gt;2.51621353650941&lt;/D&gt;&lt;D xsi:type="xsd:double"&gt;2.44262072777504&lt;/D&gt;&lt;D xsi:type="xsd:double"&gt;2.44466673483832&lt;/D&gt;&lt;D xsi:type="xsd:double"&gt;2.49707996525406&lt;/D&gt;&lt;D xsi:type="xsd:double"&gt;2.74161382073216&lt;/D&gt;&lt;D xsi:type="xsd:double"&gt;3.13718754297407&lt;/D&gt;&lt;D xsi:type="xsd:double"&gt;2.86541513994335&lt;/D&gt;&lt;D xsi:type="xsd:double"&gt;2.50704438874344&lt;/D&gt;&lt;D xsi:type="xsd:double"&gt;2.53322657952313&lt;/D&gt;&lt;D xsi:type="xsd:double"&gt;2.60440375056209&lt;/D&gt;&lt;D xsi:type="xsd:double"&gt;2.37040177282371&lt;/D&gt;&lt;D xsi:type="xsd:double"&gt;2.41898956481945&lt;/D&gt;&lt;D xsi:type="xsd:double"&gt;2.42154752900404&lt;/D&gt;&lt;D xsi:type="xsd:double"&gt;2.16385646880042&lt;/D&gt;&lt;D xsi:type="xsd:double"&gt;2.13994842979883&lt;/D&gt;&lt;D xsi:type="xsd:double"&gt;2.11524090945442&lt;/D&gt;&lt;D xsi:type="xsd:double"&gt;2.09374857913604&lt;/D&gt;&lt;D xsi:type="xsd:double"&gt;2.06397660072606&lt;/D&gt;&lt;D xsi:type="xsd:double"&gt;2.15617241842331&lt;/D&gt;&lt;D xsi:type="xsd:double"&gt;2.16033750835118&lt;/D&gt;&lt;D xsi:type="xsd:double"&gt;2.18215093748285&lt;/D&gt;&lt;D xsi:type="xsd:double"&gt;2.23060334704175&lt;/D&gt;&lt;D xsi:type="xsd:double"&gt;2.22800716574881&lt;/D&gt;&lt;D xsi:type="xsd:double"&gt;2.2507595718939&lt;/D&gt;&lt;D xsi:type="xsd:double"&gt;2.22251394035459&lt;/D&gt;&lt;D xsi:type="xsd:double"&gt;2.3658347677661&lt;/D&gt;&lt;D xsi:type="xsd:double"&gt;2.31313541960131&lt;/D&gt;&lt;D xsi:type="xsd:double"&gt;2.42160780175459&lt;/D&gt;&lt;D xsi:type="xsd:double"&gt;2.59590811101507&lt;/D&gt;&lt;D xsi:type="xsd:double"&gt;2.51459228397587&lt;/D&gt;&lt;D xsi:type="xsd:double"&gt;2.59202006020883&lt;/D&gt;&lt;D xsi:type="xsd:double"&gt;2.58102262339329&lt;/D&gt;&lt;D xsi:type="xsd:double"&gt;2.74049663994833&lt;/D&gt;&lt;D xsi:type="xsd:double"&gt;2.63636918467006&lt;/D&gt;&lt;D xsi:type="xsd:double"&gt;2.64148448660364&lt;/D&gt;&lt;D xsi:type="xsd:double"&gt;2.81776404802272&lt;/D&gt;&lt;D xsi:type="xsd:double"&gt;2.66760979534948&lt;/D&gt;&lt;D xsi:type="xsd:double"&gt;2.64007891827113&lt;/D&gt;&lt;D xsi:type="xsd:double"&gt;2.76264106600492&lt;/D&gt;&lt;D xsi:type="xsd:double"&gt;2.63746242536367&lt;/D&gt;&lt;D xsi:type="xsd:double"&gt;2.61289632854101&lt;/D&gt;&lt;D xsi:type="xsd:double"&gt;2.62159860842406&lt;/D&gt;&lt;D xsi:type="xsd:double"&gt;2.54015881304376&lt;/D&gt;&lt;D xsi:type="xsd:double"&gt;2.42131985502196&lt;/D&gt;&lt;D xsi:type="xsd:double"&gt;2.32847317529996&lt;/D&gt;&lt;D xsi:type="xsd:double"&gt;2.35605863505993&lt;/D&gt;&lt;D xsi:type="xsd:double"&gt;2.33554917726005&lt;/D&gt;&lt;D xsi:type="xsd:double"&gt;2.39943237530032&lt;/D&gt;&lt;D xsi:type="xsd:double"&gt;2.40981811825042&lt;/D&gt;&lt;D xsi:type="xsd:double"&gt;2.38466347948774&lt;/D&gt;&lt;D xsi:type="xsd:double"&gt;2.43360515919398&lt;/D&gt;&lt;D xsi:type="xsd:double"&gt;2.2780023338949&lt;/D&gt;&lt;D xsi:type="xsd:double"&gt;2.14988039373157&lt;/D&gt;&lt;D xsi:type="xsd:double"&gt;2.19128674303728&lt;/D&gt;&lt;D xsi:type="xsd:double"&gt;2.2497412507125&lt;/D&gt;&lt;/FQL&gt;&lt;FQL&gt;&lt;Q&gt;QQQ^FG_TOTAL_RETURNC(0,-1AM)&lt;/Q&gt;&lt;R&gt;1&lt;/R&gt;&lt;C&gt;1&lt;/C&gt;&lt;D xsi:type="xsd:double"&gt;-3.2214165&lt;/D&gt;&lt;/FQL&gt;&lt;FQL&gt;&lt;Q&gt;EWQ^FMA_COS_UP("EPS","1M",+1,0,,,"PORTAGG","MEANR")&lt;/Q&gt;&lt;R&gt;1&lt;/R&gt;&lt;C&gt;1&lt;/C&gt;&lt;D xsi:type="xsd:double"&gt;27&lt;/D&gt;&lt;/FQL&gt;&lt;FQL&gt;&lt;Q&gt;REFAUCASH-FDS^PROPER_NAME(0,,,"SECURITY","NAME")&lt;/Q&gt;&lt;R&gt;1&lt;/R&gt;&lt;C&gt;1&lt;/C&gt;&lt;D xsi:type="xsd:string"&gt;Australia Target Cash Rate&lt;/D&gt;&lt;/FQL&gt;&lt;FQL&gt;&lt;Q&gt;ENZL^JULIAN(FMA_DIV_YLD(LTMA,-10AY,0,AM,"PORTAGG","MEANR").DATES)&lt;/Q&gt;&lt;R&gt;121&lt;/R&gt;&lt;C&gt;1&lt;/C&gt;&lt;D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xsi:type="xsd:long"&gt;43706&lt;/D&gt;&lt;D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xsi:type="xsd:long"&gt;45411&lt;/D&gt;&lt;/FQL&gt;&lt;FQL&gt;&lt;Q&gt;SPY^FG_TOTAL_RETURNC(0,-12AM)&lt;/Q&gt;&lt;R&gt;1&lt;/R&gt;&lt;C&gt;1&lt;/C&gt;&lt;D xsi:type="xsd:double"&gt;24.71689&lt;/D&gt;&lt;/FQL&gt;&lt;FQL&gt;&lt;Q&gt;EWU^FG_TOTAL_RETURNC(0,-12AM)&lt;/Q&gt;&lt;R&gt;1&lt;/R&gt;&lt;C&gt;1&lt;/C&gt;&lt;D xsi:type="xsd:double"&gt;9.47423&lt;/D&gt;&lt;/FQL&gt;&lt;FQL&gt;&lt;Q&gt;EWU^FMA_ROE(NTMA,-20AY,NOW,FY,"PORTAGG","MEANR")&lt;/Q&gt;&lt;R&gt;20&lt;/R&gt;&lt;C&gt;1&lt;/C&gt;&lt;D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xsi:type="xsd:double"&gt;14.7207289073093&lt;/D&gt;&lt;/FQL&gt;&lt;FQL&gt;&lt;Q&gt;TRYMX10Y-FDS^FG_YIELD(-10AY,0,Y,,"YTM")&lt;/Q&gt;&lt;R&gt;10&lt;/R&gt;&lt;C&gt;1&lt;/C&gt;&lt;D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xsi:type="xsd:double"&gt;6.6087&lt;/D&gt;&lt;/FQL&gt;&lt;FQL&gt;&lt;Q&gt;EWG^FG_ROE(0)&lt;/Q&gt;&lt;R&gt;1&lt;/R&gt;&lt;C&gt;1&lt;/C&gt;&lt;D xsi:type="xsd:double"&gt;12.4539898793825&lt;/D&gt;&lt;/FQL&gt;&lt;FQL&gt;&lt;Q&gt;CC_CH^FG_COMPANY_NAME&lt;/Q&gt;&lt;R&gt;1&lt;/R&gt;&lt;C&gt;1&lt;/C&gt;&lt;D xsi:type="xsd:string"&gt;Switzerland&lt;/D&gt;&lt;/FQL&gt;&lt;FQL&gt;&lt;Q&gt;USDEUR^FG_PRICE_CHANGE(0,-6AM)&lt;/Q&gt;&lt;R&gt;1&lt;/R&gt;&lt;C&gt;1&lt;/C&gt;&lt;D xsi:type="xsd:double"&gt;-0.654912&lt;/D&gt;&lt;/FQL&gt;&lt;FQL&gt;&lt;Q&gt;EWC^FMA_PE(NTMA,-10AY,0,AM,"PORTAGG","MEANR")&lt;/Q&gt;&lt;R&gt;121&lt;/R&gt;&lt;C&gt;1&lt;/C&gt;&lt;D xsi:type="xsd:double"&gt;15.0417313150279&lt;/D&gt;&lt;D xsi:type="xsd:double"&gt;14.6814380898771&lt;/D&gt;&lt;D xsi:type="xsd:double"&gt;15.116140424034&lt;/D&gt;&lt;D xsi:type="xsd:double"&gt;14.9744452914376&lt;/D&gt;&lt;D xsi:type="xsd:double"&gt;15.2184041606117&lt;/D&gt;&lt;D xsi:type="xsd:double"&gt;14.2697098268802&lt;/D&gt;&lt;D xsi:type="xsd:double"&gt;14.3528473978999&lt;/D&gt;&lt;D xsi:type="xsd:double"&gt;14.6805266751838&lt;/D&gt;&lt;D xsi:type="xsd:double"&gt;15.6006677092602&lt;/D&gt;&lt;D xsi:type="xsd:double"&gt;16.7549046132679&lt;/D&gt;&lt;D xsi:type="xsd:double"&gt;17.4932582853572&lt;/D&gt;&lt;D xsi:type="xsd:double"&gt;17.0975978273143&lt;/D&gt;&lt;D xsi:type="xsd:double"&gt;17.3653448047375&lt;/D&gt;&lt;D xsi:type="xsd:double"&gt;16.6452698225959&lt;/D&gt;&lt;D xsi:type="xsd:double"&gt;15.9393195822104&lt;/D&gt;&lt;D xsi:type="xsd:double"&gt;15.6583481174536&lt;/D&gt;&lt;D xsi:type="xsd:double"&gt;14.5717354189962&lt;/D&gt;&lt;D xsi:type="xsd:double"&gt;14.4606031738619&lt;/D&gt;&lt;D xsi:type="xsd:double"&gt;14.8477901651726&lt;/D&gt;&lt;D xsi:type="xsd:double"&gt;14.6439686151731&lt;/D&gt;&lt;D xsi:type="xsd:double"&gt;14.1218582708115&lt;/D&gt;&lt;D xsi:type="xsd:double"&gt;14.0436005095031&lt;/D&gt;&lt;D xsi:type="xsd:double"&gt;15.0680929454423&lt;/D&gt;&lt;D xsi:type="xsd:double"&gt;15.8880851041344&lt;/D&gt;&lt;D xsi:type="xsd:double"&gt;16.5667372692037&lt;/D&gt;&lt;D xsi:type="xsd:double"&gt;16.6434288888791&lt;/D&gt;&lt;D xsi:type="xsd:double"&gt;16.292351603394&lt;/D&gt;&lt;D xsi:type="xsd:double"&gt;16.2667611332622&lt;/D&gt;&lt;D xsi:type="xsd:double"&gt;16.4424361334629&lt;/D&gt;&lt;D xsi:type="xsd:double"&gt;16.1062542230975&lt;/D&gt;&lt;D xsi:type="xsd:double"&gt;15.5923191469439&lt;/D&gt;&lt;D xsi:type="xsd:double"&gt;15.8701628570013&lt;/D&gt;&lt;D xsi:type="xsd:double"&gt;15.7399936479628&lt;/D&gt;&lt;D xsi:type="xsd:double"&gt;15.9468781765618&lt;/D&gt;&lt;D xsi:type="xsd:double"&gt;16.0098934201473&lt;/D&gt;&lt;D xsi:type="xsd:double"&gt;15.8540727266835&lt;/D&gt;&lt;D xsi:type="xsd:double"&gt;15.7074413552833&lt;/D&gt;&lt;D xsi:type="xsd:double"&gt;15.5123585292512&lt;/D&gt;&lt;D xsi:type="xsd:double"&gt;15.231540248212&lt;/D&gt;&lt;D xsi:type="xsd:double"&gt;15.7381849336334&lt;/D&gt;&lt;D xsi:type="xsd:double"&gt;15.3768543989389&lt;/D&gt;&lt;D xsi:type="xsd:double"&gt;15.8486252727532&lt;/D&gt;&lt;D xsi:type="xsd:double"&gt;15.9007674031129&lt;/D&gt;&lt;D xsi:type="xsd:double"&gt;15.9235049953578&lt;/D&gt;&lt;D xsi:type="xsd:double"&gt;15.8462372173361&lt;/D&gt;&lt;D xsi:type="xsd:double"&gt;14.9050084693492&lt;/D&gt;&lt;D xsi:type="xsd:double"&gt;14.2838736765197&lt;/D&gt;&lt;D xsi:type="xsd:double"&gt;14.0004027607605&lt;/D&gt;&lt;D xsi:type="xsd:do</t>
        </r>
      </text>
    </comment>
    <comment ref="A8" authorId="0" shapeId="0" xr:uid="{87764B46-B054-4E3B-BA04-D5911D0B9F4C}">
      <text>
        <r>
          <rPr>
            <b/>
            <sz val="9"/>
            <color indexed="81"/>
            <rFont val="Tahoma"/>
            <charset val="1"/>
          </rPr>
          <t>uble"&gt;14.1107317693331&lt;/D&gt;&lt;D xsi:type="xsd:double"&gt;14.1750368162333&lt;/D&gt;&lt;D xsi:type="xsd:double"&gt;14.2362035326613&lt;/D&gt;&lt;D xsi:type="xsd:double"&gt;14.1355095010533&lt;/D&gt;&lt;D xsi:type="xsd:double"&gt;13.8050323583318&lt;/D&gt;&lt;D xsi:type="xsd:double"&gt;13.5208818502454&lt;/D&gt;&lt;D xsi:type="xsd:double"&gt;12.6295019222956&lt;/D&gt;&lt;D xsi:type="xsd:double"&gt;12.6754421217113&lt;/D&gt;&lt;D xsi:type="xsd:double"&gt;12.1586267630018&lt;/D&gt;&lt;D xsi:type="xsd:double"&gt;13.6454069515695&lt;/D&gt;&lt;D xsi:type="xsd:double"&gt;14.1889227458099&lt;/D&gt;&lt;D xsi:type="xsd:double"&gt;14.2180997649979&lt;/D&gt;&lt;D xsi:type="xsd:double"&gt;13.7503231651869&lt;/D&gt;&lt;D xsi:type="xsd:double"&gt;13.3428339807209&lt;/D&gt;&lt;D xsi:type="xsd:double"&gt;13.693003450729&lt;/D&gt;&lt;D xsi:type="xsd:double"&gt;13.5458192811406&lt;/D&gt;&lt;D xsi:type="xsd:double"&gt;13.644417231601&lt;/D&gt;&lt;D xsi:type="xsd:double"&gt;13.6267661089568&lt;/D&gt;&lt;D xsi:type="xsd:double"&gt;14.0478473496486&lt;/D&gt;&lt;D xsi:type="xsd:double"&gt;14.3236016319232&lt;/D&gt;&lt;D xsi:type="xsd:double"&gt;14.448344889993&lt;/D&gt;&lt;D xsi:type="xsd:double"&gt;14.4576735763296&lt;/D&gt;&lt;D xsi:type="xsd:double"&gt;14.168412592955&lt;/D&gt;&lt;D xsi:type="xsd:double"&gt;13.0841742496762&lt;/D&gt;&lt;D xsi:type="xsd:double"&gt;16.3983591720723&lt;/D&gt;&lt;D xsi:type="xsd:double"&gt;18.1032725480346&lt;/D&gt;&lt;D xsi:type="xsd:double"&gt;17.7111157880514&lt;/D&gt;&lt;D xsi:type="xsd:double"&gt;17.5936137516977&lt;/D&gt;&lt;D xsi:type="xsd:double"&gt;17.3163263816906&lt;/D&gt;&lt;D xsi:type="xsd:double"&gt;16.2219449389062&lt;/D&gt;&lt;D xsi:type="xsd:double"&gt;15.2033216650615&lt;/D&gt;&lt;D xsi:type="xsd:double"&gt;16.1728150711023&lt;/D&gt;&lt;D xsi:type="xsd:double"&gt;15.7520462514364&lt;/D&gt;&lt;D xsi:type="xsd:double"&gt;15.8296194199833&lt;/D&gt;&lt;D xsi:type="xsd:double"&gt;15.4862518360792&lt;/D&gt;&lt;D xsi:type="xsd:double"&gt;15.5223416392423&lt;/D&gt;&lt;D xsi:type="xsd:double"&gt;15.4366133742316&lt;/D&gt;&lt;D xsi:type="xsd:double"&gt;15.5614020577073&lt;/D&gt;&lt;D xsi:type="xsd:double"&gt;15.5841026701326&lt;/D&gt;&lt;D xsi:type="xsd:double"&gt;15.0867881418235&lt;/D&gt;&lt;D xsi:type="xsd:double"&gt;15.0053087272412&lt;/D&gt;&lt;D xsi:type="xsd:double"&gt;14.4003158877321&lt;/D&gt;&lt;D xsi:type="xsd:double"&gt;14.8901362604006&lt;/D&gt;&lt;D xsi:type="xsd:double"&gt;14.1867872077304&lt;/D&gt;&lt;D xsi:type="xsd:double"&gt;14.4230586367119&lt;/D&gt;&lt;D xsi:type="xsd:double"&gt;14.2521972623579&lt;/D&gt;&lt;D xsi:type="xsd:double"&gt;13.9806005946708&lt;/D&gt;&lt;D xsi:type="xsd:double"&gt;13.5781892894371&lt;/D&gt;&lt;D xsi:type="xsd:double"&gt;12.5570184651976&lt;/D&gt;&lt;D xsi:type="xsd:double"&gt;12.5823535589231&lt;/D&gt;&lt;D xsi:type="xsd:double"&gt;11.2255879530961&lt;/D&gt;&lt;D xsi:type="xsd:double"&gt;11.4744923721132&lt;/D&gt;&lt;D xsi:type="xsd:double"&gt;11.2982604285122&lt;/D&gt;&lt;D xsi:type="xsd:double"&gt;10.7655574557414&lt;/D&gt;&lt;D xsi:type="xsd:double"&gt;11.4357900386485&lt;/D&gt;&lt;D xsi:type="xsd:double"&gt;12.4490725801399&lt;/D&gt;&lt;D xsi:type="xsd:double"&gt;11.9052655645163&lt;/D&gt;&lt;D xsi:type="xsd:double"&gt;13.0596073674215&lt;/D&gt;&lt;D xsi:type="xsd:double"&gt;12.8216258748383&lt;/D&gt;&lt;D xsi:type="xsd:double"&gt;12.7462780621249&lt;/D&gt;&lt;D xsi:type="xsd:double"&gt;12.9046997789397&lt;/D&gt;&lt;D xsi:type="xsd:double"&gt;12.9373386500213&lt;/D&gt;&lt;D xsi:type="xsd:double"&gt;13.0104265560103&lt;/D&gt;&lt;D xsi:type="xsd:double"&gt;13.2766289883333&lt;/D&gt;&lt;D xsi:type="xsd:double"&gt;13.3546044338065&lt;/D&gt;&lt;D xsi:type="xsd:double"&gt;12.3596137100295&lt;/D&gt;&lt;D xsi:type="xsd:double"&gt;12.53064201875&lt;/D&gt;&lt;D xsi:type="xsd:double"&gt;13.1174459148558&lt;/D&gt;&lt;D xsi:type="xsd:double"&gt;13.5906420825567&lt;/D&gt;&lt;D xsi:type="xsd:double"&gt;13.860745127714999&lt;/D&gt;&lt;D xsi:type="xsd:double"&gt;14.3280074597405&lt;/D&gt;&lt;D xsi:type="xsd:double"&gt;14.5483874965173&lt;/D&gt;&lt;D xsi:type="xsd:double"&gt;14.0820933937078&lt;/D&gt;&lt;/FQL&gt;&lt;FQL&gt;&lt;Q&gt;CPALM-FDS^FG_PRICE_MAVG(0,,,,30)&lt;/Q&gt;&lt;R&gt;1&lt;/R&gt;&lt;C&gt;1&lt;/C&gt;&lt;D xsi:type="xsd:double"&gt;4254.2334&lt;/D&gt;&lt;/FQL&gt;&lt;FQL&gt;&lt;Q&gt;EWC^FG_PRICE(0)&lt;/Q&gt;&lt;R&gt;1&lt;/R&gt;&lt;C&gt;1&lt;/C&gt;&lt;D xsi:type="xsd:double"&gt;37.34&lt;/D&gt;&lt;/FQL&gt;&lt;FQL&gt;&lt;Q&gt;TRYGB10Y-FDS^PCTCHG(FG_YIELD(0,,,,"YTM"),FG_YIELD(-1AM,,,,"YTM"))&lt;/Q&gt;&lt;R&gt;1&lt;/R&gt;&lt;C&gt;1&lt;/C&gt;&lt;D xsi:type="xsd:double"&gt;5.7725406&lt;/D&gt;&lt;/FQL&gt;&lt;FQL&gt;&lt;Q&gt;SPY^P_PRICE(0)/P_PRICE_HIGH_PR(0,,,,,,"PRICE","INTRA","52W")&lt;/Q&gt;&lt;R&gt;1&lt;/R&gt;&lt;C&gt;1&lt;/C&gt;&lt;D xsi:type="xsd:double"&gt;0.96267706&lt;/D&gt;&lt;/FQL&gt;&lt;FQL&gt;&lt;Q&gt;EWL^PERCENT_CHANGE(FMA_EPS(+1,0,,,,"PORTAGG","MEAN"),FMA_EPS(+1,-1AM,,,,"PORTAGG","MEAN"))&lt;/Q&gt;&lt;R&gt;1&lt;/R&gt;&lt;C&gt;1&lt;/C&gt;&lt;D xsi:type="xsd:double"&gt;1.30044050019333&lt;/D&gt;&lt;/FQL&gt;&lt;FQL&gt;&lt;Q&gt;EWC^FMA_COS_DOWN("EPS","1M",+1,0,,,"PORTAGG","MEANR")&lt;/Q&gt;&lt;R&gt;1&lt;/R&gt;&lt;C&gt;1&lt;/C&gt;&lt;D xsi:type="xsd:double"&gt;32&lt;/D&gt;&lt;/FQL&gt;&lt;FQL&gt;&lt;Q&gt;TRYCA10Y-FDS^FG_YIELD(0,,,,"YTM")&lt;/Q&gt;&lt;R&gt;1&lt;/R&gt;&lt;C&gt;1&lt;/C&gt;&lt;D xsi:type="xsd:double"&gt;3.7223&lt;/D&gt;&lt;/FQL&gt;&lt;FQL&gt;&lt;Q&gt;TRYNL10Y-FDS^FG_YIELD_NAME&lt;/Q&gt;&lt;R&gt;1&lt;/R&gt;&lt;C&gt;1&lt;/C&gt;&lt;D xsi:type="xsd:string"&gt;Netherlands Benchmark Bond - 10 Year&lt;/D&gt;&lt;/FQL&gt;&lt;FQL&gt;&lt;Q&gt;QQQ^FMA_COS_UP("EPS","1M",+1,0,,,"PORTAGG","MEANR")&lt;/Q&gt;&lt;R&gt;1&lt;/R&gt;&lt;C&gt;1&lt;/C&gt;&lt;D xsi:type="xsd:double"&gt;41&lt;/D&gt;&lt;/FQL&gt;&lt;FQL&gt;&lt;Q&gt;EWL^FG_COMPANY_NAME&lt;/Q&gt;&lt;R&gt;1&lt;/R&gt;&lt;C&gt;1&lt;/C&gt;&lt;D xsi:type="xsd:string"&gt;iShares MSCI Switzerland ETF&lt;/D&gt;&lt;/FQL&gt;&lt;FQL&gt;&lt;Q&gt;SPY^FG_PRICE_MAVG(0,,,,30)&lt;/Q&gt;&lt;R&gt;1&lt;/R&gt;&lt;C&gt;1&lt;/C&gt;&lt;D xsi:type="xsd:double"&gt;511.477&lt;/D&gt;&lt;/FQL&gt;&lt;FQL&gt;&lt;Q&gt;URTH^FG_TOTAL_RETURNC(0,-1AM)&lt;/Q&gt;&lt;R&gt;1&lt;/R&gt;&lt;C&gt;1&lt;/C&gt;&lt;D xsi:type="xsd:double"&gt;-2.3832738&lt;/D&gt;&lt;/FQL&gt;&lt;FQL&gt;&lt;Q&gt;CAGDPY@GB^EE_ACTUAL_ANNUAL(MED,+1)&lt;/Q&gt;&lt;R&gt;1&lt;/R&gt;&lt;C&gt;1&lt;/C&gt;&lt;D xsi:type="xsd:double"&gt;-2.9&lt;/D&gt;&lt;/FQL&gt;&lt;FQL&gt;&lt;Q&gt;CC_GB^FG_COMPANY_NAME&lt;/Q&gt;&lt;R&gt;1&lt;/R&gt;&lt;C&gt;1&lt;/C&gt;&lt;D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xsi:type="xsd:double"&gt;2.84954511484589&lt;/D&gt;&lt;/FQL&gt;&lt;FQL&gt;&lt;Q&gt;USDCHF^STD(FG_PRICE_CHANGE(0,-1AY,AM))&lt;/Q&gt;&lt;R&gt;1&lt;/R&gt;&lt;C&gt;1&lt;/C&gt;&lt;D xsi:type="xsd:double"&gt;2.3625094614302&lt;/D&gt;&lt;/FQL&gt;&lt;FQL&gt;&lt;Q&gt;USDUSD^STD(FG_PRICE_CHANGE(0,-1AY,AM))&lt;/Q&gt;&lt;R&gt;1&lt;/R&gt;&lt;C&gt;1&lt;/C&gt;&lt;D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xsi:type="xsd:double"&gt;1.53665722703296&lt;/D&gt;&lt;/FQL&gt;&lt;FQL&gt;&lt;Q&gt;USDAUD^STD(FG_PRICE_CHANGE(0,-1AY,AM))&lt;/Q&gt;&lt;R&gt;1&lt;/R&gt;&lt;C&gt;1&lt;/C&gt;&lt;D xsi:type="xsd:double"&gt;1.75831862420727&lt;/D&gt;&lt;/FQL&gt;&lt;FQL&gt;&lt;Q&gt;EWD^FMA_EPS(NTMA,-20AY,0,CY,,"PORTAGG","MEANR")&lt;/Q&gt;&lt;R&gt;20&lt;/R&gt;&lt;C&gt;1&lt;/C&gt;&lt;D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xsi:type="xsd:double"&gt;2.56419574366016&lt;/D&gt;&lt;D xsi:type="xsd:double"&gt;2.51009258677616&lt;/D&gt;&lt;/FQL&gt;&lt;FQL&gt;&lt;Q&gt;EWQ^P_PRICE_RETURNS_PR('52W',2,-10AY,0,AM)&lt;/Q&gt;&lt;R&gt;121&lt;/R&gt;&lt;C&gt;1&lt;/C&gt;&lt;D xsi:type="xsd:double"&gt;25.71131&lt;/D&gt;&lt;D xsi:type="xsd:double"&gt;24.111546&lt;/D&gt;&lt;D xsi:type="xsd:double"&gt;28.814459&lt;/D&gt;&lt;D xsi:type="xsd:double"&gt;7.883656&lt;/D&gt;&lt;D xsi:type="xsd:double"&gt;13.326502&lt;/D&gt;&lt;D xsi:type="xsd:double"&gt;-2.3215234&lt;/D&gt;&lt;D xsi:type="xsd:double"&gt;-6.071639&lt;/D&gt;&lt;D xsi:type="xsd:double"&gt;-2.8890252&lt;/D&gt;&lt;D xsi:type="xsd:double"&gt;-9.054065&lt;/D&gt;&lt;D xsi:type="xsd:double"&gt;-2.9773414&lt;/D&gt;&lt;D xsi:type="xsd:double"&gt;-6.0409784&lt;/D&gt;&lt;D xsi:type="xsd:double"&gt;-7.0757685&lt;/D&gt;&lt;D xsi:type="xsd:double"&gt;-5.8624687&lt;/D&gt;&lt;D xsi:type="xsd:double"&gt;-6.9376826&lt;/D&gt;&lt;D xsi:type="xsd:double"&gt;-9.478974&lt;/D&gt;&lt;D xsi:type="xsd:double"&gt;0.89969635&lt;/D&gt;&lt;D xsi:type="xsd:double"&gt;-7.8319254&lt;/D&gt;&lt;D xsi:type="xsd:double"&gt;-2.8776407&lt;/D&gt;&lt;D xsi:type="xsd:double"&gt;5.0446033&lt;/D&gt;&lt;D xsi:type="xsd:double"&gt;-2.4466574&lt;/D&gt;&lt;D xsi:type="xsd:double"&gt;0.23943186&lt;/D&gt;&lt;D xsi:type="xsd:double"&gt;-8.943015&lt;/D&gt;&lt;D xsi:type="xsd:double"&gt;-10.455728&lt;/D&gt;&lt;D xsi:type="xsd:double"&gt;-6.839025&lt;/D&gt;&lt;D xsi:type="xsd:double"&gt;-7.213706&lt;/D&gt;&lt;D xsi:type="xsd:double"&gt;-7.33965&lt;/D&gt;&lt;D xsi:type="xsd:double"&gt;-9.083867&lt;/D&gt;&lt;D xsi:type="xsd:double"&gt;-9.620023&lt;/D&gt;&lt;D xsi:type="xsd:double"&gt;1.7862082&lt;/D&gt;&lt;D xsi:type="xsd:double"&gt;3.3358574&lt;/D&gt;&lt;D xsi:type="xsd:double"&gt;-6.376064&lt;/D&gt;&lt;D xsi:type="xsd:double"&gt;-3.5247684&lt;/D&gt;&lt;D xsi:type="xsd:double"&gt;3.4080744&lt;/D&gt;&lt;D xsi:type="xsd:double"&gt;14.385546&lt;/D&gt;&lt;D xsi:type="xsd:double"&gt;11.492693&lt;/D&gt;&lt;D xsi:type="xsd:double"&gt;12.867022&lt;/D&gt;&lt;D xsi:type="xsd:double"&gt;16.85984&lt;/D&gt;&lt;D xsi:type="xsd:double"&gt;24.418545&lt;/D&gt;&lt;D xsi:type="xsd:double"&gt;28.388237&lt;/D&gt;&lt;D xsi:type="xsd:double"&gt;28.758108&lt;/D&gt;&lt;D xsi:type="xsd:double"&gt;26.241386&lt;/D&gt;&lt;D xsi:type="xsd:double"&gt;30.28041&lt;/D&gt;&lt;D xsi:type="xsd:double"&gt;35.05318&lt;/D&gt;&lt;D xsi:type="xsd:double"&gt;35.647358&lt;/D&gt;&lt;D xsi:type="xsd:double"&gt;29.419268&lt;/D&gt;&lt;D xsi:type="xsd:double"&gt;32.40565&lt;/D&gt;&lt;D xsi:type="xsd:double"&gt;27.122175&lt;/D&gt;&lt;D xsi:type="xsd:double"&gt;19.243359&lt;/D&gt;&lt;D xsi:type="xsd:double"&gt;16.98984&lt;/D&gt;&lt;D xsi:type="xsd:double"&gt;10.472465&lt;/D&gt;&lt;D xsi:type="xsd:double"&gt;8.024895&lt;/D&gt;&lt;D xsi:type="xsd:double"&gt;8.270466&lt;/D&gt;&lt;D xsi:type="xsd:double"&gt;6.950426&lt;/D&gt;&lt;D xsi:type="xsd:double"&gt;3.39576&lt;/D&gt;&lt;D xsi:type="xsd:double"&gt;-6.3210306&lt;/D&gt;&lt;D xsi:type="xsd:double"&gt;-8.310795&lt;/D&gt;&lt;D xsi:type="xsd:double"&gt;-13.829875&lt;/D&gt;&lt;D xsi:type="xsd:double"&gt;-13.514101&lt;/D&gt;&lt;D xsi:type="xsd:double"&gt;-3.385961&lt;/D&gt;&lt;D xsi:type="xsd:double"&gt;-1.0830164&lt;/D&gt;&lt;D xsi:type="xsd:double"&gt;-3.8376093&lt;/D&gt;&lt;D xsi:type="xsd:double"&gt;-6.530583&lt;/D&gt;&lt;D xsi:type="xsd:double"&gt;4.1384935&lt;/D&gt;&lt;D xsi:type="xsd:double"&gt;-4.175252&lt;/D&gt;&lt;D xsi:type="xsd:double"&gt;-3.6489785&lt;/D&gt;&lt;D xsi:type="xsd:double"&gt;-4.1594687&lt;/D&gt;&lt;D xsi:type="xsd:double"&gt;12.586821&lt;/D&gt;&lt;D xsi:type="xsd:double"&gt;14.903128&lt;/D&gt;&lt;D xsi:type="xsd:double"&gt;28.674984&lt;/D&gt;&lt;D xsi:type="xsd:double"&gt;14.554572&lt;/D&gt;&lt;D xsi:type="xsd:double"&gt;2.8366804&lt;/D&gt;&lt;D xsi:type="xsd:double"&gt;-22.49546&lt;/D&gt;&lt;D xsi:type="xsd:double"&gt;-19.655449&lt;/D&gt;&lt;D xsi:type="xsd:double"&gt;-4.2785645&lt;/D&gt;&lt;D xsi:type="xsd:double"&gt;-8.499283&lt;/D&gt;&lt;D xsi:type="xsd:double"&gt;-5.362451&lt;/D&gt;&lt;D xsi:type="xsd:double"&gt;1.9622445&lt;/D&gt;&lt;D xsi:type="xsd:double"&gt;-2.1952093&lt;/D&gt;&lt;D xsi:type="xsd:double"&gt;-12.835926&lt;/D&gt;&lt;D xsi:type="xsd:double"&gt;7.5621724&lt;/D&gt;&lt;D xsi:type="xsd:double"&gt;2.8523922&lt;/D&gt;&lt;D xsi:type="xsd:double"&gt;7.111168&lt;/D&gt;&lt;D xsi:type="xsd:double"&gt;17.884981&lt;/D&gt;&lt;D xsi:type="xsd:double"&gt;61.32288&lt;/D&gt;&lt;D xsi:type="xsd:double"&gt;52.801704&lt;/D&gt;&lt;D xsi:type="xsd:double"&gt;47.030926&lt;/D&gt;&lt;D xsi:type="xsd:double"&gt;38.95763&lt;/D&gt;&lt;D xsi:type="xsd:double"&gt;40.228592&lt;/D&gt;&lt;D xsi:type="xsd:double"&gt;34.51288&lt;/D&gt;&lt;D xsi:type="xsd:double"&gt;35.936092&lt;/D&gt;&lt;D xsi:type="xsd:double"&gt;48.797142&lt;/D&gt;&lt;D xsi:type="xsd:double"&gt;15.574015&lt;/D&gt;&lt;D xsi:type="xsd:double"&gt;21.472895&lt;/D&gt;&lt;D xsi:type="xsd:double"&gt;20.571852&lt;/D&gt;&lt;D xsi:type="xsd:double"&gt;4.2755365&lt;/D&gt;&lt;D xsi:type="xsd:double"&gt;4.6483636&lt;/D&gt;&lt;D xsi:type="xsd:double"&gt;-7.747245&lt;/D&gt;&lt;D xsi:type="xsd:double"&gt;-8.040208&lt;/D&gt;&lt;D xsi:type="xsd:double"&gt;-16.32346&lt;/D&gt;&lt;D xsi:type="xsd:double"&gt;-14.198887&lt;/D&gt;&lt;D xsi:type="xsd:double"&gt;-22.38112&lt;/D&gt;&lt;D xsi:type="xsd:double"&gt;-23.862099&lt;/D&gt;&lt;D xsi:type="xsd:double"&gt;-22.00187&lt;/D&gt;&lt;D xsi:type="xsd:double"&gt;-5.1412106&lt;/D&gt;&lt;D xsi:type="xsd:double"&gt;-11.827093&lt;/D&gt;&lt;D xsi:type="xsd:double"&gt;0.16081333&lt;/D&gt;&lt;D xsi:type="xsd:double"&gt;9.823286&lt;/D&gt;&lt;D xsi:type="xsd:double"&gt;10.544372&lt;/D&gt;&lt;D xsi:type="xsd:double"&gt;23.053598&lt;/D&gt;&lt;D xsi:type="xsd:double"&gt;12.324774&lt;/D&gt;&lt;D xsi:type="xsd:double"&gt;31.734324&lt;/D&gt;&lt;D xsi:type="xsd:double"&gt;24.417664&lt;/D&gt;&lt;D xsi:type="xsd:double"&gt;31.38839&lt;/D&gt;&lt;D xsi:type="xsd:double"&gt;33.615433&lt;/D&gt;&lt;D xsi:type="xsd:double"&gt;24.301088&lt;/D&gt;&lt;D xsi:type="xsd:double"&gt;13.988113&lt;/D&gt;&lt;D xsi:type="xsd:double"&gt;19.958555&lt;/D&gt;&lt;D xsi:type="xsd:double"&gt;6.203139&lt;/D&gt;&lt;D xsi:type="xsd:double"&gt;12.643003&lt;/D&gt;&lt;D xsi:type="xsd:double"&gt;11.449396&lt;/D&gt;&lt;D xsi:type="xsd:double"&gt;6.0333014&lt;/D&gt;&lt;/FQL&gt;&lt;FQL&gt;&lt;Q&gt;QQQ^FG_TOTAL_RETURNC(-10AY,0,AM)&lt;/Q&gt;&lt;R&gt;121&lt;/R&gt;&lt;C&gt;1&lt;/C&gt;&lt;D xsi:type="xsd:double"&gt;-2.1802366&lt;/D&gt;&lt;D xsi:type="xsd:double"&gt;4.2633533&lt;/D&gt;&lt;D xsi:type="xsd:double"&gt;4.533386&lt;/D&gt;&lt;D xsi:type="xsd:double"&gt;-0.45215487&lt;/D&gt;&lt;D xsi:type="xsd:double"&gt;5.7040215&lt;/D&gt;&lt;D xsi:type="xsd:double"&gt;-2.6269495&lt;/D&gt;&lt;D xsi:type="xsd:double"&gt;4.310262&lt;/D&gt;&lt;D xsi:type="xsd:double"&gt;3.7771225&lt;/D&gt;&lt;D xsi:type="xsd:double"&gt;-1.8134594&lt;/D&gt;&lt;D xsi:type="xsd:double"&gt;-0.93258023&lt;/D&gt;&lt;D xsi:type="xsd:double"&gt;7.256317&lt;/D&gt;&lt;D xsi:type="xsd:double"&gt;-3.6750138&lt;/D&gt;&lt;D xsi:type="xsd:double"&gt;3.7385821&lt;/D&gt;&lt;D xsi:type="xsd:double"&gt;0.93535185&lt;/D&gt;&lt;D xsi:type="xsd:double"&gt;-1.6992211&lt;/D&gt;&lt;D xsi:type="xsd:double"&gt;3.705418&lt;/D&gt;&lt;D xsi:type="xsd:double"&gt;-7.1907043&lt;/D&gt;&lt;D xsi:type="xsd:double"&gt;0.35295486&lt;/D&gt;&lt;D xsi:type="xsd:double"&gt;10.191321&lt;/D&gt;&lt;D xsi:type="xsd:double"&gt;-0.139606&lt;/D&gt;&lt;D xsi:type="xsd:double"&gt;-1.9583642&lt;/D&gt;&lt;D xsi:type="xsd:double"&gt;-8.680492&lt;/D&gt;&lt;D xsi:type="xsd:double"&gt;3.6025405&lt;/D&gt;&lt;D xsi:type="xsd:double"&gt;4.5891047&lt;/D&gt;&lt;D xsi:type="xsd:double"&gt;-3.2982945&lt;/D&gt;&lt;D xsi:type="xsd:double"&gt;3.616941&lt;/D&gt;&lt;D xsi:type="xsd:double"&gt;-1.9977152&lt;/D&gt;&lt;D xsi:type="xsd:double"&gt;6.365657&lt;/D&gt;&lt;D xsi:type="xsd:double"&gt;1.8789172&lt;/D&gt;&lt;D xsi:type="xsd:double"&gt;1.62009&lt;/D&gt;&lt;D xsi:type="xsd:double"&gt;-2.9818058&lt;/D&gt;&lt;D xsi:type="xsd:double"&gt;0.45146942&lt;/D&gt;&lt;D xsi:type="xsd:double"&gt;2.7066708&lt;/D&gt;&lt;D xsi:type="xsd:double"&gt;5.773127&lt;/D&gt;&lt;D xsi:type="xsd:double"&gt;4.356849&lt;/D&gt;&lt;D xsi:type="xsd:double"&gt;1.4341593&lt;/D&gt;&lt;D xsi:type="xsd:double"&gt;3.8147688&lt;/D&gt;&lt;D xsi:type="xsd:double"&gt;4.3877006&lt;/D&gt;&lt;D xsi:type="xsd:double"&gt;-3.79408&lt;/D&gt;&lt;D xsi:type="xsd:double"&gt;4.5844197&lt;/D&gt;&lt;D xsi:type="xsd:double"&gt;1.4241099&lt;/D&gt;&lt;D xsi:type="xsd:double"&gt;-0.06886721&lt;/D&gt;&lt;D xsi:type="xsd:double"&gt;4.2794347&lt;/D&gt;&lt;D xsi:type="xsd:double"&gt;1.7653704&lt;/D&gt;&lt;D xsi:type="xsd:double"&gt;2.8021812&lt;/D&gt;&lt;D xsi:type="xsd:double"&gt;3.8614392&lt;/D&gt;&lt;D xsi:type="xsd:double"&gt;0.83835125&lt;/D&gt;&lt;D xsi:type="xsd:double"&gt;-6.1585846&lt;/D&gt;&lt;D xsi:type="xsd:double"&gt;4.057622&lt;/D&gt;&lt;D xsi:type="xsd:double"&gt;6.748235&lt;/D&gt;&lt;D xsi:type="xsd:double"&gt;0.24918318&lt;/D&gt;&lt;D xsi:type="xsd:double"&gt;3.8946748&lt;/D&gt;&lt;D xsi:type="xsd:double"&gt;3.9659142&lt;/D&gt;&lt;D xsi:type="xsd:double"&gt;-0.3037274&lt;/D&gt;&lt;D xsi:type="xsd:double"&gt;-8.812916&lt;/D&gt;&lt;D xsi:type="xsd:double"&gt;-0.0059068203&lt;/D&gt;&lt;D xsi:type="xsd:double"&gt;-8.287197&lt;/D&gt;&lt;D xsi:type="xsd:double"&gt;8.115959&lt;/D&gt;&lt;D xsi:type="xsd:double"&gt;4.1445255&lt;/D&gt;&lt;D xsi:type="xsd:double"&gt;4.972744&lt;/D&gt;&lt;D xsi:type="xsd:double"&gt;2.944243&lt;/D&gt;&lt;D xsi:type="xsd:double"&gt;-7.5275126&lt;/D&gt;&lt;D xsi:type="xsd:double"&gt;9.473801&lt;/D&gt;&lt;D xsi:type="xsd:double"&gt;-1.3999224&lt;/D&gt;&lt;D xsi:type="xsd:double"&gt;0.06405115&lt;/D&gt;&lt;D xsi:type="xsd:double"&gt;-1.6263068&lt;/D&gt;&lt;D xsi:type="xsd:double"&gt;8.052158&lt;/D&gt;&lt;D xsi:type="xsd:double"&gt;2.076733&lt;/D&gt;&lt;D xsi:type="xsd:double"&gt;6.71283&lt;/D&gt;&lt;D xsi:type="xsd:double"&gt;1.3462305&lt;/D&gt;&lt;D xsi:type="xsd:double"&gt;-1.2096643&lt;/D&gt;&lt;D xsi:type="xsd:double"&gt;-13.868505&lt;/D&gt;&lt;D xsi:type="xsd:double"&gt;14.370203&lt;/D&gt;&lt;D xsi:type="xsd:double"&gt;10.759616&lt;/D&gt;&lt;D xsi:type="xsd:double"&gt;7.212007&lt;/D&gt;&lt;D xsi:type="xsd:double"&gt;5.392766&lt;/D&gt;&lt;D xsi:type="xsd:double"&gt;13.909483&lt;/D&gt;&lt;D xsi:type="xsd:double"&gt;-9.265393&lt;/D&gt;&lt;D xsi:type="xsd:double"&gt;-1.5785038&lt;/D&gt;&lt;D xsi:type="xsd:double"&gt;12.545371&lt;/D&gt;&lt;D xsi:type="xsd:double"&gt;3.442514&lt;/D&gt;&lt;D xsi:type="xsd:double"&gt;4.4431686&lt;/D&gt;&lt;D xsi:type="xsd:double"&gt;-2.8320313&lt;/D&gt;&lt;D xsi:type="xsd:double"&gt;2.064085&lt;/D&gt;&lt;D xsi:type="xsd:double"&gt;4.1346908&lt;/D&gt;&lt;D xsi:type="xsd:double"&gt;-1.3373137&lt;/D&gt;&lt;D xsi:type="xsd:double"&gt;7.671821&lt;/D&gt;&lt;D xsi:type="xsd:double"&gt;1.6618371&lt;/D&gt;&lt;D xsi:type="xsd:double"&gt;4.333508&lt;/D&gt;&lt;D xsi:type="xsd:double"&gt;-5.2082896&lt;/D&gt;&lt;D xsi:type="xsd:double"&gt;8.01543&lt;/D&gt;&lt;D xsi:type="xsd:double"&gt;0.22104979&lt;/D&gt;&lt;D xsi:type="xsd:double"&gt;2.1680832&lt;/D&gt;&lt;D xsi:type="xsd:double"&gt;-7.379669&lt;/D&gt;&lt;D xsi:type="xsd:double"&gt;-5.7722034&lt;/D&gt;&lt;D xsi:type="xsd:double"&gt;4.342568&lt;/D&gt;&lt;D xsi:type="xsd:double"&gt;-11.98563&lt;/D&gt;&lt;D xsi:type="xsd:double"&gt;-1.287365&lt;/D&gt;&lt;D xsi:type="xsd:double"&gt;-10.089898&lt;/D&gt;&lt;D xsi:type="xsd:double"&gt;11.413169&lt;/D&gt;&lt;D xsi:type="xsd:double"&gt;-6.095499&lt;/D&gt;&lt;D xsi:type="xsd:double"&gt;-9.294248&lt;/D&gt;&lt;D xsi:type="xsd:double"&gt;-0.59118867&lt;/D&gt;&lt;D xsi:type="xsd:double"&gt;10.113668&lt;/D&gt;&lt;D xsi:type="xsd:double"&gt;-8.758503&lt;/D&gt;&lt;D xsi:type="xsd:double"&gt;17.06475&lt;/D&gt;&lt;D xsi:type="xsd:double"&gt;-5.8097067&lt;/D&gt;&lt;D xsi:type="xsd:double"&gt;9.473574&lt;/D&gt;&lt;D xsi:type="xsd:double"&gt;-0.48297048&lt;/D&gt;&lt;D xsi:type="xsd:double"&gt;11.0432625&lt;/D&gt;&lt;D xsi:type="xsd:double"&gt;4.307747&lt;/D&gt;&lt;D xsi:type="xsd:double"&gt;1.3453484&lt;/D&gt;&lt;D xsi:type="xsd:double"&gt;0.8547187&lt;/D&gt;&lt;D xsi:type="xsd:double"&gt;-4.1865587&lt;/D&gt;&lt;D xsi:type="xsd:double"&gt;0.6034374&lt;/D&gt;&lt;D xsi:type="xsd:double"&gt;7.291436&lt;/D&gt;&lt;D xsi:type="xsd:double"&gt;3.5033345&lt;/D&gt;&lt;D xsi:type="xsd:double"&gt;6.562507&lt;/D&gt;&lt;D xsi:type="xsd:double"&gt;3.8693666&lt;/D&gt;&lt;D xsi:type="xsd:double"&gt;-0.88009834&lt;/D&gt;&lt;D xsi:type="xsd:double"&gt;-3.2214165&lt;/D&gt;&lt;/FQL&gt;&lt;FQL&gt;&lt;Q&gt;EWL^FMA_DIV_YLD(NTMA,-10AY,0,AM,"PORTAGG","MEANR")&lt;/Q&gt;&lt;R&gt;121&lt;/R&gt;&lt;C&gt;1&lt;/C&gt;&lt;D xsi:type="xsd:double"&gt;3.19941486500802&lt;/D&gt;&lt;D xsi:type="xsd:double"&gt;3.2074504459517&lt;/D&gt;&lt;D xsi:type="xsd:double"&gt;3.30465888197419&lt;/D&gt;&lt;D xsi:type="xsd:double"&gt;3.39158893225524&lt;/D&gt;&lt;D xsi:type="xsd:double"&gt;3.30031594168138&lt;/D&gt;&lt;D xsi:type="xsd:double"&gt;3.39702889950293&lt;/D&gt;&lt;D xsi:type="xsd:double"&gt;3.32346860354946&lt;/D&gt;&lt;D xsi:type="xsd:double"&gt;3.24230436262945&lt;/D&gt;&lt;D xsi:type="xsd:double"&gt;3.31217177074199&lt;/D&gt;&lt;D xsi:type="xsd:double"&gt;3.36464219955803&lt;/D&gt;&lt;D xsi:type="xsd:double"&gt;3.15745642663098&lt;/D&gt;&lt;D xsi:type="xsd:double"&gt;3.13109479757595&lt;/D&gt;&lt;D xsi:type="xsd:double"&gt;3.09952287960115&lt;/D&gt;&lt;D xsi:type="xsd:double"&gt;3.13021165322845&lt;/D&gt;&lt;D xsi:type="xsd:double"&gt;3.23806260266242&lt;/D&gt;&lt;D xsi:type="xsd:double"&gt;3.1022687086928&lt;/D&gt;&lt;D xsi:type="xsd:double"&gt;3.3962059804098&lt;/D&gt;&lt;D xsi:type="xsd:double"&gt;3.43939997398871&lt;/D&gt;&lt;D xsi:type="xsd:double"&gt;3.2536739575064&lt;/D&gt;&lt;D xsi:type="xsd:double"&gt;3.23732416130063&lt;/D&gt;&lt;D xsi:type="xsd:double"&gt;3.27040945041367&lt;/D&gt;&lt;D xsi:type="xsd:double"&gt;3.47404742487489&lt;/D&gt;&lt;D xsi:type="xsd:double"&gt;3.48194963602096&lt;/D&gt;&lt;D xsi:type="xsd:double"&gt;3.59224856747807&lt;/D&gt;&lt;D xsi:type="xsd:double"&gt;3.49366136081949&lt;/D&gt;&lt;D xsi:type="xsd:double"&gt;3.4623789826214&lt;/D&gt;&lt;D xsi:type="xsd:double"&gt;3.5203014955333&lt;/D&gt;&lt;D xsi:type="xsd:double"&gt;3.53295126621585&lt;/D&gt;&lt;D xsi:type="xsd:double"&gt;3.42822070948567&lt;/D&gt;&lt;D xsi:type="xsd:double"&gt;3.4921843468164&lt;/D&gt;&lt;D xsi:type="xsd:double"&gt;3.67362313289664&lt;/D&gt;&lt;D xsi:type="xsd:double"&gt;3.71630699819162&lt;/D&gt;&lt;D xsi:type="xsd:double"&gt;3.5533111966061&lt;/D&gt;&lt;D xsi:type="xsd:double"&gt;3.47426723636873&lt;/D&gt;&lt;D xsi:type="xsd:double"&gt;3.35155680939305&lt;/D&gt;&lt;D xsi:type="xsd:double"&gt;3.41799191065289&lt;/D&gt;&lt;D xsi:type="xsd:double"&gt;3.36127837038208&lt;/D&gt;&lt;D xsi:type="xsd:double"&gt;3.26916377488315&lt;/D&gt;&lt;D xsi:type="xsd:double"&gt;3.28848308107885&lt;/D&gt;&lt;D xsi:type="xsd:double"&gt;3.25511575425813&lt;/D&gt;&lt;D xsi:type="xsd:double"&gt;3.31966903233124&lt;/D&gt;&lt;D xsi:type="xsd:double"&gt;3.25089560677269&lt;/D&gt;&lt;D xsi:type="xsd:double"&gt;3.23860571003828&lt;/D&gt;&lt;D xsi:type="xsd:double"&gt;3.2504472447529&lt;/D&gt;&lt;D xsi:type="xsd:double"&gt;3.2171321342855&lt;/D&gt;&lt;D xsi:type="xsd:double"&gt;3.23399277619482&lt;/D&gt;&lt;D xsi:type="xsd:double"&gt;3.52843856823392&lt;/D&gt;&lt;D xsi:type="xsd:double"&gt;3.49643103267325&lt;/D&gt;&lt;D xsi:type="xsd:double"&gt;3.47158603274253&lt;/D&gt;&lt;D xsi:type="xsd:double"&gt;3.55352667181163&lt;/D&gt;&lt;D xsi:type="xsd:double"&gt;3.59663077810922&lt;/D&gt;&lt;D xsi:type="xsd:double"&gt;3.38052865566285&lt;/D&gt;&lt;D xsi:type="xsd:double"&gt;3.41830060980553&lt;/D&gt;&lt;D xsi:type="xsd:double"&gt;3.42134638831528&lt;/D&gt;&lt;D xsi:type="xsd:double"&gt;3.50453699075546&lt;/D&gt;&lt;D xsi:type="xsd:double"&gt;3.52407662738803&lt;/D&gt;&lt;D xsi:type="xsd:double"&gt;3.70946874936824&lt;/D&gt;&lt;D xsi:type="xsd:double"&gt;3.46170458346392&lt;/D&gt;&lt;D xsi:type="xsd:double"&gt;3.33694159663307&lt;/D&gt;&lt;D xsi:type="xsd:double"&gt;3.30629940127224&lt;/D&gt;&lt;D xsi:type="xsd:double"&gt;3.26082600009502&lt;/D&gt;&lt;D xsi:type="xsd:double"&gt;3.3445579813945&lt;/D&gt;&lt;D xsi:type="xsd:double"&gt;3.19398024820183&lt;/D&gt;&lt;D xsi:type="xsd:double"&gt;3.25367930914858&lt;/D&gt;&lt;D xsi:type="xsd:double"&gt;3.24884662076499&lt;/D&gt;&lt;D xsi:type="xsd:double"&gt;3.30802387428313&lt;/D&gt;&lt;D xsi:type="xsd:double"&gt;3.14559545770692&lt;/D&gt;&lt;D xsi:type="xsd:double"&gt;3.13343210975277&lt;/D&gt;&lt;D xsi:type="xsd:double"&gt;3.04567133319155&lt;/D&gt;&lt;D xsi:type="xsd:double"&gt;3.02734981477521&lt;/D&gt;&lt;D xsi:type="xsd:double"&gt;3.25405372666615&lt;/D&gt;&lt;D xsi:type="xsd:double"&gt;3.51948831860295&lt;/D&gt;&lt;D xsi:type="xsd:double"&gt;3.26156325188524&lt;/D&gt;&lt;D xsi:type="xsd:double"&gt;3.12622630009245&lt;/D&gt;&lt;D xsi:type="xsd:double"&gt;3.04301857241544&lt;/D&gt;&lt;D xsi:type="xsd:double"&gt;3.02019645615973&lt;/D&gt;&lt;D xsi:type="xsd:double"&gt;2.90449548634251&lt;/D&gt;&lt;D xsi:type="xsd:double"&gt;2.95441049163062&lt;/D&gt;&lt;D xsi:type="xsd:double"&gt;3.09457367334416&lt;/D&gt;&lt;D xsi:type="xsd:double"&gt;2.91000782169327&lt;/D&gt;&lt;D xsi:type="xsd:double"&gt;2.82077523850231&lt;/D&gt;&lt;D xsi:type="xsd:double"&gt;2.83463187702503&lt;/D&gt;&lt;D xsi:type="xsd:double"&gt;2.86385762851473&lt;/D&gt;&lt;D xsi:type="xsd:double"&gt;2.79350069710843&lt;/D&gt;&lt;D xsi:type="xsd:double"&gt;2.77483059944566&lt;/D&gt;&lt;D xsi:type="xsd:double"&gt;2.69254210422027&lt;/D&gt;&lt;D xsi:type="xsd:double"&gt;2.63100633268272&lt;/D&gt;&lt;D xsi:type="xsd:double"&gt;2.57877459523373&lt;/D&gt;&lt;D xsi:type="xsd:double"&gt;2.55858736377618&lt;/D&gt;&lt;D xsi:type="xsd:double"&gt;2.77919579426776&lt;/D&gt;&lt;D xsi:type="xsd:double"&gt;2.61422569406766&lt;/D&gt;&lt;D xsi:type="xsd:double"&gt;2.66682282962263&lt;/D&gt;&lt;D xsi:type="xsd:double"&gt;2.52766057359219&lt;/D&gt;&lt;D xsi:type="xsd:double"&gt;2.70572358176783&lt;/D&gt;&lt;D xsi:type="xsd:double"&gt;2.83089026871517&lt;/D&gt;&lt;D xsi:type="xsd:double"&gt;2.78158936299687&lt;/D&gt;&lt;D xsi:type="xsd:double"&gt;2.88677620695641&lt;/D&gt;&lt;D xsi:type="xsd:double"&gt;2.96460072127151&lt;/D&gt;&lt;D xsi:type="xsd:double"&gt;3.1965228346668&lt;/D&gt;&lt;D xsi:type="xsd:double"&gt;3.07326736864524&lt;/D&gt;&lt;D xsi:type="xsd:double"&gt;3.19651036025271&lt;/D&gt;&lt;D xsi:type="xsd:double"&gt;3.4263138214808&lt;/D&gt;&lt;D xsi:type="xsd:double"&gt;3.29087966748456&lt;/D&gt;&lt;D xsi:type="xsd:double"&gt;3.08467540106566&lt;/D&gt;&lt;D xsi:type="xsd:double"&gt;3.22514247311463&lt;/D&gt;&lt;D xsi:type="xsd:double"&gt;3.04580173789768&lt;/D&gt;&lt;D xsi:type="xsd:double"&gt;3.14509906564423&lt;/D&gt;&lt;D xsi:type="xsd:double"&gt;3.15678083781982&lt;/D&gt;&lt;D xsi:type="xsd:double"&gt;3.080227187388&lt;/D&gt;&lt;D xsi:type="xsd:double"&gt;3.12627979885354&lt;/D&gt;&lt;D xsi:type="xsd:double"&gt;3.16485288239112&lt;/D&gt;&lt;D xsi:type="xsd:double"&gt;3.17976661128649&lt;/D&gt;&lt;D xsi:type="xsd:double"&gt;3.245367403327&lt;/D&gt;&lt;D xsi:type="xsd:double"&gt;3.39177770540251&lt;/D&gt;&lt;D xsi:type="xsd:double"&gt;3.4708137106914&lt;/D&gt;&lt;D xsi:type="xsd:double"&gt;3.3647868004724&lt;/D&gt;&lt;D xsi:type="xsd:double"&gt;3.29033927055632&lt;/D&gt;&lt;D xsi:type="xsd:double"&gt;3.31210706716262&lt;/D&gt;&lt;D xsi:type="xsd:double"&gt;3.29531669009163&lt;/D&gt;&lt;D xsi:type="xsd:double"&gt;3.30474926586447&lt;/D&gt;&lt;D xsi:type="xsd:double"&gt;3.38086815704189&lt;/D&gt;&lt;/FQL&gt;&lt;FQL&gt;&lt;Q&gt;EWG^FMA_PE(NTMA,-10AY,0,AM,"PORTAGG","MEANR")&lt;/Q&gt;&lt;R&gt;121&lt;/R&gt;&lt;C&gt;1&lt;/C&gt;&lt;D xsi:type="xsd:double"&gt;13.0187563084919&lt;/D&gt;&lt;D xsi:type="xsd:double"&gt;13.3517696020626&lt;/D&gt;&lt;D xsi:type="xsd:double"&gt;13.1896637881069&lt;/D&gt;&lt;D xsi:type="xsd:double"&gt;12.3347824705966&lt;/D&gt;&lt;D xsi:type="xsd:double"&gt;12.6041489848115&lt;/D&gt;&lt;D xsi:type="xsd:double"&gt;12.1433761062096&lt;/D&gt;&lt;D xsi:type="xsd:double"&gt;12.2997736717441&lt;/D&gt;&lt;D xsi:type="xsd:double"&gt;13.0930456275818&lt;/D&gt;&lt;D xsi:type="xsd:double"&gt;12.7825272234926&lt;/D&gt;&lt;D xsi:type="xsd:double"&gt;14.1354279086665&lt;/D&gt;&lt;D xsi:type="xsd:double"&gt;14.8489553960263&lt;/D&gt;&lt;D xsi:type="xsd:double"&gt;15.401928977175&lt;/D&gt;&lt;D xsi:type="xsd:double"&gt;14.5569971956958&lt;/D&gt;&lt;D xsi:type="xsd:double"&gt;13.9851197797815&lt;/D&gt;&lt;D xsi:type="xsd:double"&gt;13.5190984789168&lt;/D&gt;&lt;D xsi:type="xsd:double"&gt;13.7553346204986&lt;/D&gt;&lt;D xsi:type="xsd:double"&gt;12.2147332895522&lt;/D&gt;&lt;D xsi:type="xsd:double"&gt;11.7567898125376&lt;/D&gt;&lt;D xsi:type="xsd:double"&gt;13.495827429863&lt;/D&gt;&lt;D xsi:type="xsd:double"&gt;13.9405092363789&lt;/D&gt;&lt;D xsi:type="xsd:double"&gt;13.3509645902165&lt;/D&gt;&lt;D xsi:type="xsd:double"&gt;12.1114296527924&lt;/D&gt;&lt;D xsi:type="xsd:double"&gt;12.4975957926083&lt;/D&gt;&lt;D xsi:type="xsd:double"&gt;12.5186064134994&lt;/D&gt;&lt;D xsi:type="xsd:double"&gt;12.7835193648696&lt;/D&gt;&lt;D xsi:type="xsd:double"&gt;12.6261681515776&lt;/D&gt;&lt;D xsi:type="xsd:double"&gt;12.0769572673331&lt;/D&gt;&lt;D xsi:type="xsd:double"&gt;12.5243317023189&lt;/D&gt;&lt;D xsi:type="xsd:double"&gt;13.0598123735016&lt;/D&gt;&lt;D xsi:type="xsd:double"&gt;12.875623321803&lt;/D&gt;&lt;D xsi:type="xsd:double"&gt;12.5570757971599&lt;/D&gt;&lt;D xsi:type="xsd:double"&gt;12.6282640722403&lt;/D&gt;&lt;D xsi:type="xsd:double"&gt;13.6385817263297&lt;/D&gt;&lt;D xsi:type="xsd:double"&gt;13.6462745393601&lt;/D&gt;&lt;D xsi:type="xsd:double"&gt;13.9458762728349&lt;/D&gt;&lt;D xsi:type="xsd:double"&gt;14.0644180489508&lt;/D&gt;&lt;D xsi:type="xsd:double"&gt;13.9850514592169&lt;/D&gt;&lt;D xsi:type="xsd:double"&gt;13.929161446858&lt;/D&gt;&lt;D xsi:type="xsd:double"&gt;13.2857038333978&lt;/D&gt;&lt;D xsi:type="xsd:double"&gt;13.1130350898072&lt;/D&gt;&lt;D xsi:type="xsd:double"&gt;13.0136614052677&lt;/D&gt;&lt;D xsi:type="xsd:double"&gt;13.7255432536385&lt;/D&gt;&lt;D xsi:type="xsd:double"&gt;14.2606535275374&lt;/D&gt;&lt;D xsi:type="xsd:double"&gt;13.7322685017056&lt;/D&gt;&lt;D xsi:type="xsd:double"&gt;13.6940107552476&lt;/D&gt;&lt;D xsi:type="xsd:double"&gt;13.4818469676368&lt;/D&gt;&lt;D xsi:type="xsd:double"&gt;12.601035925087&lt;/D&gt;&lt;D xsi:type="xsd:double"&gt;12.7571192386101&lt;/D&gt;&lt;D xsi:type="xsd:double"&gt;13.3777548183061&lt;/D&gt;&lt;D xsi:type="xsd:double"&gt;13.1606055802944&lt;/D&gt;&lt;D xsi:type="xsd:double"&gt;12.6551530958979&lt;/D&gt;&lt;D xsi:type="xsd:double"&gt;12.9749138485058&lt;/D&gt;&lt;D xsi:type="xsd:double"&gt;12.8487783933063&lt;/D&gt;&lt;D xsi:type="xsd:double"&gt;12.7006760792686&lt;/D&gt;&lt;D xsi:type="xsd:double"&gt;11.8116826163144&lt;/D&gt;&lt;D xsi:type="xsd:double"&gt;11.5262510132241&lt;/D&gt;&lt;D xsi:type="xsd:double"&gt;10.9421979170739&lt;/D&gt;&lt;D xsi:type="xsd:double"&gt;11.7351785206771&lt;/D&gt;&lt;D xsi:type="xsd:double"&gt;12.2225715604446&lt;/D&gt;&lt;D xsi:type="xsd:double"&gt;12.3752259131307&lt;/D&gt;&lt;D xsi:type="xsd:double"&gt;12.9695704631962&lt;/D&gt;&lt;D xsi:type="xsd:double"&gt;12.1109148274646&lt;/D&gt;&lt;D xsi:type="xsd:double"&gt;12.8783929201644&lt;/D&gt;&lt;D xsi:type="xsd:double"&gt;12.5713738736076&lt;/D&gt;&lt;D xsi:type="xsd:double"&gt;12.5139450991495&lt;/D&gt;&lt;D xsi:type="xsd:double"&gt;12.5660568294411&lt;/D&gt;&lt;D xsi:type="xsd:double"&gt;13.651618672883&lt;/D&gt;&lt;D xsi:type="xsd:double"&gt;13.8126040247162&lt;/D&gt;&lt;D xsi:type="xsd:double"&gt;14.2517850875046&lt;/D&gt;&lt;D xsi:type="xsd:double"&gt;13.8458279539415&lt;/D&gt;&lt;D xsi:type="xsd:double"&gt;12.627498511474&lt;/D&gt;&lt;D xsi:type="xsd:double"&gt;11.8165897695777&lt;/D&gt;&lt;D xsi:type="xsd:double"&gt;15.1729980028329&lt;/D&gt;&lt;D xsi:type="xsd:double"&gt;17.3865933357802&lt;/D&gt;&lt;D xsi:type="xsd:double"&gt;18.1529602694738&lt;/D&gt;&lt;D xsi:type="xsd:double"&gt;17.4132627231127&lt;/D&gt;&lt;D xsi:type="xsd:double"&gt;18.0558107631266&lt;/D&gt;&lt;D xsi:type="xsd:double"&gt;16.7639181988117&lt;/D&gt;&lt;D xsi:type="xsd:double"&gt;14.7444642317716&lt;/D&gt;&lt;D xsi:type="xsd:double"&gt;16.0059424233273&lt;/D&gt;&lt;D xsi:type="xsd:double"&gt;16.0451618403573&lt;/D&gt;&lt;D xsi:type="xsd:double"&gt;15.8078080272776&lt;/D&gt;&lt;D xsi:type="xsd:double"&gt;15.5461249577384&lt;/D&gt;&lt;D xsi:type="xsd:double"&gt;16.234769821099&lt;/D&gt;&lt;D xsi:type="xsd:double"&gt;15.1918256612677&lt;/D&gt;&lt;D xsi:type="xsd:double"&gt;14.9351744121971&lt;/D&gt;&lt;D xsi:type="xsd:double"&gt;14.7443989851861&lt;/D&gt;&lt;D xsi:type="xsd:double"&gt;14.2645369990992&lt;/D&gt;&lt;D xsi:type="xsd:double"&gt;14.2204934389541&lt;/D&gt;&lt;D xsi:type="xsd:double"&gt;13.4514953620421&lt;/D&gt;&lt;D xsi:type="xsd:double"&gt;13.8889294529424&lt;/D&gt;&lt;D xsi:type="xsd:double"&gt;12.9365319455496&lt;/D&gt;&lt;D xsi:type="xsd:double"&gt;13.3826184607391&lt;/D&gt;&lt;D xsi:type="xsd:double"&gt;13.0187739653608&lt;/D&gt;&lt;D xsi:type="xsd:double"&gt;11.4225868609381&lt;/D&gt;&lt;D xsi:type="xsd:double"&gt;11.6374919242097&lt;/D&gt;&lt;D xsi:type="xsd:double"&gt;10.9146167465568&lt;/D&gt;&lt;D xsi:type="xsd:double"&gt;11.0741220253183&lt;/D&gt;&lt;D xsi:type="xsd:double"&gt;9.70409026672145&lt;/D&gt;&lt;D xsi:type="xsd:double"&gt;10.2788968268168&lt;/D&gt;&lt;D xsi:type="xsd:double"&gt;9.7251703741884&lt;/D&gt;&lt;D xsi:type="xsd:double"&gt;8.99432918296975&lt;/D&gt;&lt;D xsi:type="xsd:double"&gt;9.87121225588795&lt;/D&gt;&lt;D xsi:type="xsd:double"&gt;10.8693707765504&lt;/D&gt;&lt;D xsi:type="xsd:double"&gt;10.4616660277966&lt;/D&gt;&lt;D xsi:type="xsd:double"&gt;11.8008252431429&lt;/D&gt;&lt;D xsi:type="xsd:double"&gt;11.4860657511973&lt;/D&gt;&lt;D xsi:type="xsd:double"&gt;11.4300989069475&lt;/D&gt;&lt;D xsi:type="xsd:double"&gt;11.2089646010283&lt;/D&gt;&lt;D xsi:type="xsd:double"&gt;10.86248001111&lt;/D&gt;&lt;D xsi:type="xsd:double"&gt;10.8634249696858&lt;/D&gt;&lt;D xsi:type="xsd:double"&gt;10.7175776995248&lt;/D&gt;&lt;D xsi:type="xsd:double"&gt;10.6473014788077&lt;/D&gt;&lt;D xsi:type="xsd:double"&gt;10.2265531832877&lt;/D&gt;&lt;D xsi:type="xsd:double"&gt;10.1148386907107&lt;/D&gt;&lt;D xsi:type="xsd:double"&gt;11.0356667528311&lt;/D&gt;&lt;D xsi:type="xsd:double"&gt;11.1627221176634&lt;/D&gt;&lt;D xsi:type="xsd:double"&gt;11.5341281181751&lt;/D&gt;&lt;D xsi:type="xsd:double"&gt;12.0543019426157&lt;/D&gt;&lt;D xsi:type="xsd:double"&gt;12.2533790218342&lt;/D&gt;&lt;D xsi:type="xsd:double"&gt;11.9972389296807&lt;/D&gt;&lt;/FQL&gt;&lt;FQL&gt;&lt;Q&gt;EWA^FMA_PE(LTMA,-10AY,0,AM,"PORTAGG","MEANR")&lt;/Q&gt;&lt;R&gt;121&lt;/R&gt;&lt;C&gt;1&lt;/C&gt;&lt;D xsi:type="xsd:double"&gt;15.2316930508121&lt;/D&gt;&lt;D xsi:type="xsd:double"&gt;15.2042507441147&lt;/D&gt;&lt;D xsi:type="xsd:double"&gt;15.1974125289981&lt;/D&gt;&lt;D xsi:type="xsd:double"&gt;15.4155976462339&lt;/D&gt;&lt;D xsi:type="xsd:double"&gt;15.5130631923622&lt;/D&gt;&lt;D xsi:type="xsd:double"&gt;14.692858282172&lt;/D&gt;&lt;D xsi:type="xsd:double"&gt;15.3641044826555&lt;/D&gt;&lt;D xsi:type="xsd:double"&gt;14.413129781421&lt;/D&gt;&lt;D xsi:type="xsd:double"&gt;14.8442549418679&lt;/D&gt;&lt;D xsi:type="xsd:double"&gt;15.3192814996625&lt;/D&gt;&lt;D xsi:type="xsd:double"&gt;16.2323291151295&lt;/D&gt;&lt;D xsi:type="xsd:double"&gt;16.2644675273386&lt;/D&gt;&lt;D xsi:type="xsd:double"&gt;16.3273988245437&lt;/D&gt;&lt;D xsi:type="xsd:double"&gt;16.0775032477246&lt;/D&gt;&lt;D xsi:type="xsd:double"&gt;16.0606296735918&lt;/D&gt;&lt;D xsi:type="xsd:double"&gt;16.1917626947425&lt;/D&gt;&lt;D xsi:type="xsd:double"&gt;15.2459392026459&lt;/D&gt;&lt;D xsi:type="xsd:double"&gt;15.12316260996&lt;/D&gt;&lt;D xsi:type="xsd:double"&gt;15.4412406768356&lt;/D&gt;&lt;D xsi:type="xsd:double"&gt;15.7423354493408&lt;/D&gt;&lt;D xsi:type="xsd:double"&gt;16.060762601513&lt;/D&gt;&lt;D xsi:type="xsd:double"&gt;15.1862790034575&lt;/D&gt;&lt;D xsi:type="xsd:double"&gt;15.0190860365137&lt;/D&gt;&lt;D xsi:type="xsd:double"&gt;15.0999390080493&lt;/D&gt;&lt;D xsi:type="xsd:double"&gt;15.4582140352921&lt;/D&gt;&lt;D xsi:type="xsd:double"&gt;15.6486478166389&lt;/D&gt;&lt;D xsi:type="xsd:double"&gt;15.7835404267062&lt;/D&gt;&lt;D xsi:type="xsd:double"&gt;16.4465914947539&lt;/D&gt;&lt;D xsi:type="xsd:double"&gt;16.3823856602455&lt;/D&gt;&lt;D xsi:type="xsd:double"&gt;16.7199617585058&lt;/D&gt;&lt;D xsi:type="xsd:double"&gt;16.5773199820037&lt;/D&gt;&lt;D xsi:type="xsd:double"&gt;17.0762607591871&lt;/D&gt;&lt;D xsi:type="xsd:double"&gt;17.7086539390355&lt;/D&gt;&lt;D xsi:type="xsd:double"&gt;17.5986562461587&lt;/D&gt;&lt;D xsi:type="xsd:double"&gt;17.531828215507&lt;/D&gt;&lt;D xsi:type="xsd:double"&gt;17.3884455417508&lt;/D&gt;&lt;D xsi:type="xsd:double"&gt;17.3173977907035&lt;/D&gt;&lt;D xsi:type="xsd:double"&gt;16.9218107992119&lt;/D&gt;&lt;D xsi:type="xsd:double"&gt;16.7910295964712&lt;/D&gt;&lt;D xsi:type="xsd:double"&gt;16.8379311708759&lt;/D&gt;&lt;D xsi:type="xsd:double"&gt;16.621429923767&lt;/D&gt;&lt;D xsi:type="xsd:double"&gt;16.4645883282646&lt;/D&gt;&lt;D xsi:type="xsd:double"&gt;16.7211601851634&lt;/D&gt;&lt;D xsi:type="xsd:double"&gt;16.6432391416311&lt;/D&gt;&lt;D xsi:type="xsd:double"&gt;16.8027528424055&lt;/D&gt;&lt;D xsi:type="xsd:double"&gt;16.9208824259969&lt;/D&gt;&lt;D xsi:type="xsd:double"&gt;16.5093584074697&lt;/D&gt;&lt;D xsi:type="xsd:double"&gt;16.2594691712083&lt;/D&gt;&lt;D xsi:type="xsd:double"&gt;16.3255871941649&lt;/D&gt;&lt;D xsi:type="xsd:double"&gt;16.1312538310613&lt;/D&gt;&lt;D xsi:type="xsd:double"&gt;16.2270507520333&lt;/D&gt;&lt;D xsi:type="xsd:double"&gt;16.2888924502358&lt;/D&gt;&lt;D xsi:type="xsd:double"&gt;16.3597947840177&lt;/D&gt;&lt;D xsi:type="xsd:double"&gt;15.8821470517217&lt;/D&gt;&lt;D xsi:type="xsd:double"&gt;15.3092180816754&lt;/D&gt;&lt;D xsi:type="xsd:double"&gt;14.8672537208656&lt;/D&gt;&lt;D xsi:type="xsd:double"&gt;14.3641222807022&lt;/D&gt;&lt;D xsi:type="xsd:double"&gt;15.2545673380389&lt;/D&gt;&lt;D xsi:type="xsd:double"&gt;15.9237833795216&lt;/D&gt;&lt;D xsi:type="xsd:double"&gt;15.8881666854362&lt;/D&gt;&lt;D xsi:type="xsd:double"&gt;15.8643858845174&lt;/D&gt;&lt;D xsi:type="xsd:double"&gt;15.9137931434095&lt;/D&gt;&lt;D xsi:type="xsd:double"&gt;16.2780421292263&lt;/D&gt;&lt;D xsi:type="xsd:double"&gt;16.4440725633018&lt;/D&gt;&lt;D xsi:type="xsd:double"&gt;16.2495305438143&lt;/D&gt;&lt;D xsi:type="xsd:double"&gt;16.7642118473147&lt;/D&gt;&lt;D xsi:type="xsd:double"&gt;17.2934364679023&lt;/D&gt;&lt;D xsi:type="xsd:double"&gt;17.8388642060535&lt;/D&gt;&lt;D xsi:type="xsd:double"&gt;17.7553097842501&lt;/D&gt;&lt;D xsi:type="xsd:double"&gt;18.44603794122&lt;/D&gt;&lt;D xsi:type="xsd:double"&gt;16.924438410767&lt;/D&gt;&lt;D xsi:type="xsd:double"&gt;16.3746024873832&lt;/D&gt;&lt;D xsi:type="xsd:double"&gt;17.0824387493561&lt;/D&gt;&lt;D xsi:type="xsd:double"&gt;18.2282920349428&lt;/D&gt;&lt;D xsi:type="xsd:double"&gt;18.6698985511773&lt;/D&gt;&lt;D xsi:type="xsd:double"&gt;18.9843454772302&lt;/D&gt;&lt;D xsi:type="xsd:double"&gt;19.8330556100697&lt;/D&gt;&lt;D xsi:type="xsd:double"&gt;19.0311669054241&lt;/D&gt;&lt;D xsi:type="xsd:double"&gt;19.6634830199244&lt;/D&gt;&lt;D xsi:type="xsd:double"&gt;22.4524443556263&lt;/D&gt;&lt;D xsi:type="xsd:double"&gt;22.9540612302639&lt;/D&gt;&lt;D xsi:type="xsd:double"&gt;22.8469284619961&lt;/D&gt;&lt;D xsi:type="xsd:double"&gt;21.8110925602063&lt;/D&gt;&lt;D xsi:type="xsd:double"&gt;21.3012038672565&lt;/D&gt;&lt;D xsi:type="xsd:double"&gt;21.0392869257868&lt;/D&gt;&lt;D xsi:type="xsd:double"&gt;20.7165494920171&lt;/D&gt;&lt;D xsi:type="xsd:double"&gt;19.8750088460077&lt;/D&gt;&lt;D xsi:type="xsd:double"&gt;19.3372442014207&lt;/D&gt;&lt;D xsi:type="xsd:double"&gt;19.0691417348471&lt;/D&gt;&lt;D xsi:type="xsd:double"&gt;18.2803166402758&lt;/D&gt;&lt;D xsi:type="xsd:double"&gt;18.4174082949659&lt;/D&gt;&lt;D xsi:type="xsd:double"&gt;17.5404462407139&lt;/D&gt;&lt;D xsi:type="xsd:double"&gt;17.8166424238212&lt;/D&gt;&lt;D xsi:type="xsd:double"&gt;15.9844572655712&lt;/D&gt;&lt;D xsi:type="xsd:double"&gt;15.691815489133&lt;/D&gt;&lt;D xsi:type="xsd:double"&gt;15.796153789094&lt;/D&gt;&lt;D xsi:type="xsd:double"&gt;15.3638432933574&lt;/D&gt;&lt;D xsi:type="xsd:double"&gt;14.9708453202546&lt;/D&gt;&lt;D xsi:type="xsd:double"&gt;13.9861244999995&lt;/D&gt;&lt;D xsi:type="xsd:double"&gt;14.5588573780147&lt;/D&gt;&lt;D xsi:type="xsd:double"&gt;14.130471376196&lt;/D&gt;&lt;D xsi:type="xsd:double"&gt;13.2218391737573&lt;/D&gt;&lt;D xsi:type="xsd:double"&gt;13.7523218410108&lt;/D&gt;&lt;D xsi:type="xsd:double"&gt;14.4123445577826&lt;/D&gt;&lt;D xsi:type="xsd:double"&gt;14.0289358848587&lt;/D&gt;&lt;D xsi:type="xsd:double"&gt;15.034607848316&lt;/D&gt;&lt;D xsi:type="xsd:double"&gt;14.2596371810881&lt;/D&gt;&lt;D xsi:type="xsd:double"&gt;14.2408176993964&lt;/D&gt;&lt;D xsi:type="xsd:double"&gt;14.3311431163889&lt;/D&gt;&lt;D xsi:type="xsd:double"&gt;14.3006014082232&lt;/D&gt;&lt;D xsi:type="xsd:double"&gt;14.6024219137249&lt;/D&gt;&lt;D xsi:type="xsd:double"&gt;14.980180932234&lt;/D&gt;&lt;D xsi:type="xsd:double"&gt;15.1076587386803&lt;/D&gt;&lt;D xsi:type="xsd:double"&gt;14.7524561858506&lt;/D&gt;&lt;D xsi:type="xsd:double"&gt;14.6348433808882&lt;/D&gt;&lt;D xsi:type="xsd:double"&gt;15.2643649937028&lt;/D&gt;&lt;D xsi:type="xsd:double"&gt;16.6188619852636&lt;/D&gt;&lt;D xsi:type="xsd:double"&gt;16.6427168933941&lt;/D&gt;&lt;D xsi:type="xsd:double"&gt;16.6292710635032&lt;/D&gt;&lt;D xsi:type="xsd:double"&gt;16.6801043537464&lt;/D&gt;&lt;D xsi:type="xsd:double"&gt;16.5780157214774&lt;/D&gt;&lt;/FQL&gt;&lt;FQL&gt;&lt;Q&gt;WL-FDS^FG_PRICE_CHANGE(0,-1AM)&lt;/Q&gt;&lt;R&gt;1&lt;/R&gt;&lt;C&gt;1&lt;/C&gt;&lt;D xsi:type="xsd:double"&gt;-11.3992856033546&lt;/D&gt;&lt;/FQL&gt;&lt;FQL&gt;&lt;Q&gt;NI-FDS^FG_PRICE_CHANGE(0,-1AM)&lt;/Q&gt;&lt;R&gt;1&lt;/R&gt;&lt;C&gt;1&lt;/C&gt;&lt;D xsi:type="xsd:double"&gt;8.26470588235295&lt;/D&gt;&lt;/FQL&gt;&lt;FQL&gt;&lt;Q&gt;CPALM-FDS^FG_PRICE_CHANGE(0,-1AM)&lt;/Q&gt;&lt;R&gt;1&lt;/R&gt;&lt;C&gt;1&lt;/C&gt;&lt;D xsi:type="xsd:double"&gt;-12.7464157706093&lt;/D&gt;&lt;/FQL&gt;&lt;FQL&gt;&lt;Q&gt;BRENT-FDS^FG_PRICE_CHANGE(0,-1AM)&lt;/Q&gt;&lt;R&gt;1&lt;/R&gt;&lt;C&gt;1&lt;/C&gt;&lt;D xsi:type="xsd:double"&gt;0&lt;/D&gt;&lt;/FQL&gt;&lt;FQL&gt;&lt;Q&gt;TIOS-FDS^FG_P</t>
        </r>
      </text>
    </comment>
    <comment ref="A9" authorId="0" shapeId="0" xr:uid="{5B7F5DEC-02B4-4990-9494-5E19E8B611DB}">
      <text>
        <r>
          <rPr>
            <b/>
            <sz val="9"/>
            <color indexed="81"/>
            <rFont val="Tahoma"/>
            <charset val="1"/>
          </rPr>
          <t>RICE_CHANGE(0,-1AM)&lt;/Q&gt;&lt;R&gt;1&lt;/R&gt;&lt;C&gt;1&lt;/C&gt;&lt;D xsi:type="xsd:double"&gt;14.7410358565737&lt;/D&gt;&lt;/FQL&gt;&lt;FQL&gt;&lt;Q&gt;EWN^FG_PRICE_MAVG(0,,,,60)&lt;/Q&gt;&lt;R&gt;1&lt;/R&gt;&lt;C&gt;1&lt;/C&gt;&lt;D xsi:type="xsd:double"&gt;48.28225&lt;/D&gt;&lt;/FQL&gt;&lt;FQL&gt;&lt;Q&gt;EWU^FG_PRICE_MAVG(0,,,,60)&lt;/Q&gt;&lt;R&gt;1&lt;/R&gt;&lt;C&gt;1&lt;/C&gt;&lt;D xsi:type="xsd:double"&gt;33.502167&lt;/D&gt;&lt;/FQL&gt;&lt;FQL&gt;&lt;Q&gt;EWC^FG_PRICE_MAVG(0,,,,60)&lt;/Q&gt;&lt;R&gt;1&lt;/R&gt;&lt;C&gt;1&lt;/C&gt;&lt;D xsi:type="xsd:double"&gt;37.3215&lt;/D&gt;&lt;/FQL&gt;&lt;FQL&gt;&lt;Q&gt;FXI^PERCENT_CHANGE(FMA_EPS(+1,0,,,,"PORTAGG","MEAN"),FMA_EPS(+1,-1AM,,,,"PORTAGG","MEAN"))&lt;/Q&gt;&lt;R&gt;1&lt;/R&gt;&lt;C&gt;1&lt;/C&gt;&lt;D xsi:type="xsd:double"&gt;-0.390233936323812&lt;/D&gt;&lt;/FQL&gt;&lt;FQL&gt;&lt;Q&gt;VWO^FG_TOTAL_RETURNC(0,-6AM)&lt;/Q&gt;&lt;R&gt;1&lt;/R&gt;&lt;C&gt;1&lt;/C&gt;&lt;D xsi:type="xsd:double"&gt;13.972712&lt;/D&gt;&lt;/FQL&gt;&lt;FQL&gt;&lt;Q&gt;EWI^P_PRICE(0)/P_PRICE_LOW_PR(0,,,,,,"PRICE","INTRA","52W")-1&lt;/Q&gt;&lt;R&gt;1&lt;/R&gt;&lt;C&gt;1&lt;/C&gt;&lt;D xsi:type="xsd:double"&gt;0.27072203&lt;/D&gt;&lt;/FQL&gt;&lt;FQL&gt;&lt;Q&gt;EWD^FMA_PCT_ABOVE_MAVG(200,0,,,,"PORTAGG")&lt;/Q&gt;&lt;R&gt;1&lt;/R&gt;&lt;C&gt;1&lt;/C&gt;&lt;D xsi:type="xsd:double"&gt;90.6976744186046&lt;/D&gt;&lt;/FQL&gt;&lt;FQL&gt;&lt;Q&gt;EWQ^PERCENT_CHANGE(FMA_EPS(+1,0,,,,"PORTAGG","MEAN"),FMA_EPS(+1,-3AM,,,,"PORTAGG","MEAN"))&lt;/Q&gt;&lt;R&gt;1&lt;/R&gt;&lt;C&gt;1&lt;/C&gt;&lt;D xsi:type="xsd:double"&gt;-3.10157174469755&lt;/D&gt;&lt;/FQL&gt;&lt;FQL&gt;&lt;Q&gt;QQQ^FG_TOTAL_RETURNC(0,-3AM)&lt;/Q&gt;&lt;R&gt;1&lt;/R&gt;&lt;C&gt;1&lt;/C&gt;&lt;D xsi:type="xsd:double"&gt;-0.36140084&lt;/D&gt;&lt;/FQL&gt;&lt;FQL&gt;&lt;Q&gt;EWL^P_PRICE(0)/P_PRICE_HIGH_PR(0,,,,,,"PRICE","INTRA","52W")&lt;/Q&gt;&lt;R&gt;1&lt;/R&gt;&lt;C&gt;1&lt;/C&gt;&lt;D xsi:type="xsd:double"&gt;0.9336875&lt;/D&gt;&lt;/FQL&gt;&lt;FQL&gt;&lt;Q&gt;EWG^FG_TOTAL_RETURNC(0,-12AM)&lt;/Q&gt;&lt;R&gt;1&lt;/R&gt;&lt;C&gt;1&lt;/C&gt;&lt;D xsi:type="xsd:double"&gt;8.660162&lt;/D&gt;&lt;/FQL&gt;&lt;FQL&gt;&lt;Q&gt;EWC^PERCENT_CHANGE(FMA_EPS(+1,0,,,,"PORTAGG","MEAN"),FMA_EPS(+1,-1AM,,,,"PORTAGG","MEAN"))&lt;/Q&gt;&lt;R&gt;1&lt;/R&gt;&lt;C&gt;1&lt;/C&gt;&lt;D xsi:type="xsd:double"&gt;-0.539750563793129&lt;/D&gt;&lt;/FQL&gt;&lt;FQL&gt;&lt;Q&gt;ENZL^FG_TOTAL_RETURNC(0,-1AM)&lt;/Q&gt;&lt;R&gt;1&lt;/R&gt;&lt;C&gt;1&lt;/C&gt;&lt;D xsi:type="xsd:double"&gt;-1.6061604&lt;/D&gt;&lt;/FQL&gt;&lt;FQL&gt;&lt;Q&gt;VWO^SIZE(FG_CONSTITUENTS)&lt;/Q&gt;&lt;R&gt;1&lt;/R&gt;&lt;C&gt;1&lt;/C&gt;&lt;D xsi:type="xsd:long"&gt;1&lt;/D&gt;&lt;/FQL&gt;&lt;FQL&gt;&lt;Q&gt;EWQ^FMA_COS_DOWN("EPS","1M",+1,0,,,"PORTAGG","MEANR")&lt;/Q&gt;&lt;R&gt;1&lt;/R&gt;&lt;C&gt;1&lt;/C&gt;&lt;D xsi:type="xsd:double"&gt;31&lt;/D&gt;&lt;/FQL&gt;&lt;FQL&gt;&lt;Q&gt;EWU^FMA_RBICS_REV_CURRENT(30, LOC, "PORTAGG")&lt;/Q&gt;&lt;R&gt;1&lt;/R&gt;&lt;C&gt;1&lt;/C&gt;&lt;D xsi:type="xsd:double"&gt;17.7139371648032&lt;/D&gt;&lt;/FQL&gt;&lt;FQL&gt;&lt;Q&gt;REFGBBANK-FDS^(SUBARRAY(NOT_NA(NO_REPEAT_F(FG_YIELD(NOW,-10AY,D))),0,1)-SUBARRAY(NOT_NA(NO_REPEAT_F(FG_YIELD(NOW,-10AY,D))),1,1))*100&lt;/Q&gt;&lt;R&gt;1&lt;/R&gt;&lt;C&gt;1&lt;/C&gt;&lt;D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xsi:type="xsd:double"&gt;4.35&lt;/D&gt;&lt;/FQL&gt;&lt;FQL&gt;&lt;Q&gt;NI-FDS^FG_PRICE(0)&lt;/Q&gt;&lt;R&gt;1&lt;/R&gt;&lt;C&gt;1&lt;/C&gt;&lt;D xsi:type="xsd:double"&gt;18405&lt;/D&gt;&lt;/FQL&gt;&lt;FQL&gt;&lt;Q&gt;VWO^FG_TOTAL_RETURNC(0,-1AM)&lt;/Q&gt;&lt;R&gt;1&lt;/R&gt;&lt;C&gt;1&lt;/C&gt;&lt;D xsi:type="xsd:double"&gt;2.7804136&lt;/D&gt;&lt;/FQL&gt;&lt;FQL&gt;&lt;Q&gt;EWD^FG_ROE(0)&lt;/Q&gt;&lt;R&gt;1&lt;/R&gt;&lt;C&gt;1&lt;/C&gt;&lt;D xsi:type="xsd:double"&gt;16.2887686791836&lt;/D&gt;&lt;/FQL&gt;&lt;FQL&gt;&lt;Q&gt;EWL^FMA_ROE(NTMA,-20AY,NOW,FY,"PORTAGG","MEANR")&lt;/Q&gt;&lt;R&gt;20&lt;/R&gt;&lt;C&gt;1&lt;/C&gt;&lt;D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xsi:type="xsd:double"&gt;3.099&lt;/D&gt;&lt;/FQL&gt;&lt;FQL&gt;&lt;Q&gt;EWL^FG_TOTAL_RETURNC(0,-6AM)&lt;/Q&gt;&lt;R&gt;1&lt;/R&gt;&lt;C&gt;1&lt;/C&gt;&lt;D xsi:type="xsd:double"&gt;6.1570525&lt;/D&gt;&lt;/FQL&gt;&lt;FQL&gt;&lt;Q&gt;ENZL^PERCENT_CHANGE(FMA_EPS(+1,0,,,,"PORTAGG","MEAN"),FMA_EPS(+1,-3AM,,,,"PORTAGG","MEAN"))&lt;/Q&gt;&lt;R&gt;1&lt;/R&gt;&lt;C&gt;1&lt;/C&gt;&lt;D xsi:type="xsd:double"&gt;-15.8005606207015&lt;/D&gt;&lt;/FQL&gt;&lt;FQL&gt;&lt;Q&gt;REFSEREPO-FDS^(SUBARRAY(NOT_NA(NO_REPEAT_F(FG_YIELD(NOW,-10AY,D))),0,1)-SUBARRAY(NOT_NA(NO_REPEAT_F(FG_YIELD(NOW,-10AY,D))),1,1))*100&lt;/Q&gt;&lt;R&gt;1&lt;/R&gt;&lt;C&gt;1&lt;/C&gt;&lt;D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xsi:type="xsd:double"&gt;25&lt;/D&gt;&lt;/FQL&gt;&lt;FQL&gt;&lt;Q&gt;BRENT-FDS^FG_PRICE(0)&lt;/Q&gt;&lt;R&gt;1&lt;/R&gt;&lt;C&gt;1&lt;/C&gt;&lt;D xsi:type="xsd:double"&gt;85.86&lt;/D&gt;&lt;/FQL&gt;&lt;FQL&gt;&lt;Q&gt;EWN^FG_PRICE(0)&lt;/Q&gt;&lt;R&gt;1&lt;/R&gt;&lt;C&gt;1&lt;/C&gt;&lt;D xsi:type="xsd:double"&gt;48.37&lt;/D&gt;&lt;/FQL&gt;&lt;FQL&gt;&lt;Q&gt;EWN^P_PRICE(0)/P_PRICE_LOW_PR(0,,,,,,"PRICE","INTRA","52W")-1&lt;/Q&gt;&lt;R&gt;1&lt;/R&gt;&lt;C&gt;1&lt;/C&gt;&lt;D xsi:type="xsd:double"&gt;0.33287406&lt;/D&gt;&lt;/FQL&gt;&lt;FQL&gt;&lt;Q&gt;EWJ^FMA_RBICS_REV_CURRENT(30, LOC, "PORTAGG")&lt;/Q&gt;&lt;R&gt;1&lt;/R&gt;&lt;C&gt;1&lt;/C&gt;&lt;D xsi:type="xsd:double"&gt;17.709190961878&lt;/D&gt;&lt;/FQL&gt;&lt;FQL&gt;&lt;Q&gt;QQQ^SIZE(FG_CONSTITUENTS)&lt;/Q&gt;&lt;R&gt;1&lt;/R&gt;&lt;C&gt;1&lt;/C&gt;&lt;D xsi:type="xsd:long"&gt;102&lt;/D&gt;&lt;/FQL&gt;&lt;FQL&gt;&lt;Q&gt;CAGDPY@GB^EE_ACTUAL_ANNUAL(MED,0)&lt;/Q&gt;&lt;R&gt;1&lt;/R&gt;&lt;C&gt;1&lt;/C&gt;&lt;D xsi:type="xsd:double"&gt;-3.3&lt;/D&gt;&lt;/FQL&gt;&lt;FQL&gt;&lt;Q&gt;EWA^FG_TOTAL_RETURNC(0,-6AM)&lt;/Q&gt;&lt;R&gt;1&lt;/R&gt;&lt;C&gt;1&lt;/C&gt;&lt;D xsi:type="xsd:double"&gt;12.811017&lt;/D&gt;&lt;/FQL&gt;&lt;FQL&gt;&lt;Q&gt;EWA^FMA_RBICS_REV_CURRENT(30, LOC, "PORTAGG")&lt;/Q&gt;&lt;R&gt;1&lt;/R&gt;&lt;C&gt;1&lt;/C&gt;&lt;D xsi:type="xsd:double"&gt;40.7151096463948&lt;/D&gt;&lt;/FQL&gt;&lt;FQL&gt;&lt;Q&gt;TRYNL10Y-FDS^FG_YIELD(0,,,,"YTM")&lt;/Q&gt;&lt;R&gt;1&lt;/R&gt;&lt;C&gt;1&lt;/C&gt;&lt;D xsi:type="xsd:double"&gt;2.848&lt;/D&gt;&lt;/FQL&gt;&lt;FQL&gt;&lt;Q&gt;EWN^FMA_PCT_ABOVE_MAVG(200,0,,,,"PORTAGG")&lt;/Q&gt;&lt;R&gt;1&lt;/R&gt;&lt;C&gt;1&lt;/C&gt;&lt;D xsi:type="xsd:double"&gt;66.6666666666667&lt;/D&gt;&lt;/FQL&gt;&lt;FQL&gt;&lt;Q&gt;EWC^FG_TOTAL_RETURNC(0,-12AM)&lt;/Q&gt;&lt;R&gt;1&lt;/R&gt;&lt;C&gt;1&lt;/C&gt;&lt;D xsi:type="xsd:double"&gt;10.561716&lt;/D&gt;&lt;/FQL&gt;&lt;FQL&gt;&lt;Q&gt;EWU^FMA_COS_DOWN("EPS","1M",+1,0,,,"PORTAGG","MEANR")&lt;/Q&gt;&lt;R&gt;1&lt;/R&gt;&lt;C&gt;1&lt;/C&gt;&lt;D xsi:type="xsd:double"&gt;39&lt;/D&gt;&lt;/FQL&gt;&lt;FQL&gt;&lt;Q&gt;EWN^FG_ROE(0)&lt;/Q&gt;&lt;R&gt;1&lt;/R&gt;&lt;C&gt;1&lt;/C&gt;&lt;D xsi:type="xsd:double"&gt;11.6656316836757&lt;/D&gt;&lt;/FQL&gt;&lt;FQL&gt;&lt;Q&gt;EWJ^FMA_ROE(NTMA,-20AY,NOW,FY,"PORTAGG","MEANR")&lt;/Q&gt;&lt;R&gt;20&lt;/R&gt;&lt;C&gt;1&lt;/C&gt;&lt;D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xsi:type="xsd:double"&gt;7.43859928704762&lt;/D&gt;&lt;D xsi:type="xsd:double"&gt;9.22076567652677&lt;/D&gt;&lt;D xsi:type="xsd:double"&gt;9.22544557398871&lt;/D&gt;&lt;D xsi:type="xsd:double"&gt;9.29901046494658&lt;/D&gt;&lt;/FQL&gt;&lt;FQL&gt;&lt;Q&gt;TRYQA10Y-FDS^FG_YIELD(-10AY,0,Y,,"YTM")&lt;/Q&gt;&lt;R&gt;10&lt;/R&gt;&lt;C&gt;1&lt;/C&gt;&lt;D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xsi:type="xsd:double"&gt;0.703&lt;/D&gt;&lt;/FQL&gt;&lt;FQL&gt;&lt;Q&gt;EWG^FMA_DIV_YLD(NTMA,-10AY,0,AM,"PORTAGG","MEANR")&lt;/Q&gt;&lt;R&gt;121&lt;/R&gt;&lt;C&gt;1&lt;/C&gt;&lt;D xsi:type="xsd:double"&gt;3.00546613367846&lt;/D&gt;&lt;D xsi:type="xsd:double"&gt;2.96067173017027&lt;/D&gt;&lt;D xsi:type="xsd:double"&gt;3.01062462681759&lt;/D&gt;&lt;D xsi:type="xsd:double"&gt;3.25704295751316&lt;/D&gt;&lt;D xsi:type="xsd:double"&gt;3.16808059042703&lt;/D&gt;&lt;D xsi:type="xsd:double"&gt;3.2913963440536&lt;/D&gt;&lt;D xsi:type="xsd:double"&gt;3.26650999320345&lt;/D&gt;&lt;D xsi:type="xsd:double"&gt;3.14196906844901&lt;/D&gt;&lt;D xsi:type="xsd:double"&gt;3.20673972066176&lt;/D&gt;&lt;D xsi:type="xsd:double"&gt;2.9139701237769&lt;/D&gt;&lt;D xsi:type="xsd:double"&gt;2.77986485779826&lt;/D&gt;&lt;D xsi:type="xsd:double"&gt;2.68976864034982&lt;/D&gt;&lt;D xsi:type="xsd:double"&gt;2.85825084742977&lt;/D&gt;&lt;D xsi:type="xsd:double"&gt;2.96093226007882&lt;/D&gt;&lt;D xsi:type="xsd:double"&gt;3.05685616476568&lt;/D&gt;&lt;D xsi:type="xsd:double"&gt;3.01221055817859&lt;/D&gt;&lt;D xsi:type="xsd:double"&gt;3.39763153034843&lt;/D&gt;&lt;D xsi:type="xsd:double"&gt;3.51099814566017&lt;/D&gt;&lt;D xsi:type="xsd:double"&gt;2.96319989122318&lt;/D&gt;&lt;D xsi:type="xsd:double"&gt;2.9099528111378&lt;/D&gt;&lt;D xsi:type="xsd:double"&gt;3.02919339249765&lt;/D&gt;&lt;D xsi:type="xsd:double"&gt;3.41965452614506&lt;/D&gt;&lt;D xsi:type="xsd:double"&gt;3.37086607500098&lt;/D&gt;&lt;D xsi:type="xsd:double"&gt;3.34682933835506&lt;/D&gt;&lt;D xsi:type="xsd:double"&gt;3.28869464106256&lt;/D&gt;&lt;D xsi:type="xsd:double"&gt;3.29297113775347&lt;/D&gt;&lt;D xsi:type="xsd:double"&gt;3.45090564501753&lt;/D&gt;&lt;D xsi:type="xsd:double"&gt;3.32259034391982&lt;/D&gt;&lt;D xsi:type="xsd:double"&gt;3.15759180837066&lt;/D&gt;&lt;D xsi:type="xsd:double"&gt;3.17642683206914&lt;/D&gt;&lt;D xsi:type="xsd:double"&gt;3.23966344735242&lt;/D&gt;&lt;D xsi:type="xsd:double"&gt;3.22706974405052&lt;/D&gt;&lt;D xsi:type="xsd:double"&gt;2.9747084897089&lt;/D&gt;&lt;D xsi:type="xsd:double"&gt;2.97364965230203&lt;/D&gt;&lt;D xsi:type="xsd:double"&gt;2.90353181611246&lt;/D&gt;&lt;D xsi:type="xsd:double"&gt;2.9105466510859&lt;/D&gt;&lt;D xsi:type="xsd:double"&gt;2.89129064255667&lt;/D&gt;&lt;D xsi:type="xsd:double"&gt;2.89345814013456&lt;/D&gt;&lt;D xsi:type="xsd:double"&gt;3.0356339338288&lt;/D&gt;&lt;D xsi:type="xsd:double"&gt;3.07601590159783&lt;/D&gt;&lt;D xsi:type="xsd:double"&gt;3.12476873166622&lt;/D&gt;&lt;D xsi:type="xsd:double"&gt;2.97268550344533&lt;/D&gt;&lt;D xsi:type="xsd:double"&gt;2.86041145902085&lt;/D&gt;&lt;D xsi:type="xsd:double"&gt;2.95149356278972&lt;/D&gt;&lt;D xsi:type="xsd:double"&gt;2.96733264536617&lt;/D&gt;&lt;D xsi:type="xsd:double"&gt;3.03486414155075&lt;/D&gt;&lt;D xsi:type="xsd:double"&gt;3.26415442174342&lt;/D&gt;&lt;D xsi:type="xsd:double"&gt;3.24558233134786&lt;/D&gt;&lt;D xsi:type="xsd:double"&gt;3.11590305732944&lt;/D&gt;&lt;D xsi:type="xsd:double"&gt;3.15662323993141&lt;/D&gt;&lt;D xsi:type="xsd:double"&gt;3.29717055754804&lt;/D&gt;&lt;D xsi:type="xsd:double"&gt;3.21816999851835&lt;/D&gt;&lt;D xsi:type="xsd:double"&gt;3.25711693495655&lt;/D&gt;&lt;D xsi:type="xsd:double"&gt;3.30666492367802&lt;/D&gt;&lt;D xsi:type="xsd:double"&gt;3.58808191674732&lt;/D&gt;&lt;D xsi:type="xsd:double"&gt;3.68426508031226&lt;/D&gt;&lt;D xsi:type="xsd:double"&gt;3.96281223973961&lt;/D&gt;&lt;D xsi:type="xsd:double"&gt;3.71929133890379&lt;/D&gt;&lt;D xsi:type="xsd:double"&gt;3.58126323581273&lt;/D&gt;&lt;D xsi:type="xsd:double"&gt;3.54859513898176&lt;/D&gt;&lt;D xsi:type="xsd:double"&gt;3.39617379525042&lt;/D&gt;&lt;D xsi:type="xsd:double"&gt;3.65168275655261&lt;/D&gt;&lt;D xsi:type="xsd:double"&gt;3.45245348636259&lt;/D&gt;&lt;D xsi:type="xsd:double"&gt;3.53950872042247&lt;/D&gt;&lt;D xsi:type="xsd:double"&gt;3.55231236928533&lt;/D&gt;&lt;D xsi:type="xsd:double"&gt;3.5250196192079&lt;/D&gt;&lt;D xsi:type="xsd:double"&gt;3.25420404312015&lt;/D&gt;&lt;D xsi:type="xsd:double"&gt;3.15773577046805&lt;/D&gt;&lt;D xsi:type="xsd:double"&gt;3.06640720920396&lt;/D&gt;&lt;D xsi:type="xsd:double"&gt;3.16165671485228&lt;/D&gt;&lt;D xsi:type="xsd:double"&gt;3.45313953110378&lt;/D&gt;&lt;D xsi:type="xsd:double"&gt;4.0324730435029&lt;/D&gt;&lt;D xsi:type="xsd:double"&gt;3.34626637373&lt;/D&gt;&lt;D xsi:type="xsd:double"&gt;2.95694587077627&lt;/D&gt;&lt;D xsi:type="xsd:double"&gt;2.86559149083768&lt;/D&gt;&lt;D xsi:type="xsd:double"&gt;2.93759567526176&lt;/D&gt;&lt;D xsi:type="xsd:double"&gt;2.76523103200132&lt;/D&gt;&lt;D xsi:type="xsd:double"&gt;2.87796489297878&lt;/D&gt;&lt;D xsi:type="xsd:double"&gt;3.13979302397433&lt;/D&gt;&lt;D xsi:type="xsd:double"&gt;2.78630572180765&lt;/D&gt;&lt;D xsi:type="xsd:double"&gt;2.72025953204543&lt;/D&gt;&lt;D xsi:type="xsd:double"&gt;2.74054087808739&lt;/D&gt;&lt;D xsi:type="xsd:double"&gt;2.80293657039503&lt;/D&gt;&lt;D xsi:type="xsd:double"&gt;2.68998307807009&lt;/D&gt;&lt;D xsi:type="xsd:double"&gt;2.78465609579738&lt;/D&gt;&lt;D xsi:type="xsd:double"&gt;2.79474812018954&lt;/D&gt;&lt;D xsi:type="xsd:double"&gt;2.80251261657159&lt;/D&gt;&lt;D xsi:type="xsd:double"&gt;2.83590674917567&lt;/D&gt;&lt;D xsi:type="xsd:double"&gt;2.83521372791969&lt;/D&gt;&lt;D xsi:type="xsd:double"&gt;3.0078935552656&lt;/D&gt;&lt;D xsi:type="xsd:double"&gt;2.91607763056545&lt;/D&gt;&lt;D xsi:type="xsd:double"&gt;3.1360169481042&lt;/D&gt;&lt;D xsi:type="xsd:double"&gt;3.04424056811043&lt;/D&gt;&lt;D xsi:type="xsd:double"&gt;3.14584285601047&lt;/D&gt;&lt;D xsi:type="xsd:double"&gt;3.58961897884011&lt;/D&gt;&lt;D xsi:type="xsd:double"&gt;3.53484356274227&lt;/D&gt;&lt;D xsi:type="xsd:double"&gt;3.77728070168677&lt;/D&gt;&lt;D xsi:type="xsd:double"&gt;3.7128305827224&lt;/D&gt;&lt;D xsi:type="xsd:double"&gt;4.21178417068705&lt;/D&gt;&lt;D xsi:type="xsd:double"&gt;4.02319462522363&lt;/D&gt;&lt;D xsi:type="xsd:double"&gt;4.13837661745278&lt;/D&gt;&lt;D xsi:type="xsd:double"&gt;4.48461000593773&lt;/D&gt;&lt;D xsi:type="xsd:double"&gt;4.12716321410185&lt;/D&gt;&lt;D xsi:type="xsd:double"&gt;3.70961527771599&lt;/D&gt;&lt;D xsi:type="xsd:double"&gt;3.84751434283582&lt;/D&gt;&lt;D xsi:type="xsd:double"&gt;3.41971019512436&lt;/D&gt;&lt;D xsi:type="xsd:double"&gt;3.5356182753555&lt;/D&gt;&lt;D xsi:type="xsd:double"&gt;3.52030675913846&lt;/D&gt;&lt;D xsi:type="xsd:double"&gt;3.56324001000205&lt;/D&gt;&lt;D xsi:type="xsd:double"&gt;3.61814953391389&lt;/D&gt;&lt;D xsi:type="xsd:double"&gt;3.62045230888256&lt;/D&gt;&lt;D xsi:type="xsd:double"&gt;3.68369262635518&lt;/D&gt;&lt;D xsi:type="xsd:double"&gt;3.71753673276881&lt;/D&gt;&lt;D xsi:type="xsd:double"&gt;3.89311308253523&lt;/D&gt;&lt;D xsi:type="xsd:double"&gt;3.94726980459641&lt;/D&gt;&lt;D xsi:type="xsd:double"&gt;3.61815876891383&lt;/D&gt;&lt;D xsi:type="xsd:double"&gt;3.55979873798028&lt;/D&gt;&lt;D xsi:type="xsd:double"&gt;3.53326059972162&lt;/D&gt;&lt;D xsi:type="xsd:double"&gt;3.45238990658126&lt;/D&gt;&lt;D xsi:type="xsd:double"&gt;3.28247567725027&lt;/D&gt;&lt;D xsi:type="xsd:double"&gt;3.35223110800484&lt;/D&gt;&lt;/FQL&gt;&lt;FQL&gt;&lt;Q&gt;TIOS-FDS^FG_PRICE(0)&lt;/Q&gt;&lt;R&gt;1&lt;/R&gt;&lt;C&gt;1&lt;/C&gt;&lt;D xsi:type="xsd:double"&gt;118.08&lt;/D&gt;&lt;/FQL&gt;&lt;FQL&gt;&lt;Q&gt;REFSEREPO-FDS^FG_YIELD(NOW,,,0)&lt;/Q&gt;&lt;R&gt;1&lt;/R&gt;&lt;C&gt;1&lt;/C&gt;&lt;D xsi:type="xsd:double"&gt;4&lt;/D&gt;&lt;/FQL&gt;&lt;FQL&gt;&lt;Q&gt;EWI^PERCENT_CHANGE(FMA_EPS(+1,0,,,,"PORTAGG","MEAN"),FMA_EPS(+1,-3AM,,,,"PORTAGG","MEAN"))&lt;/Q&gt;&lt;R&gt;1&lt;/R&gt;&lt;C&gt;1&lt;/C&gt;&lt;D xsi:type="xsd:double"&gt;2.1084649729375&lt;/D&gt;&lt;/FQL&gt;&lt;FQL&gt;&lt;Q&gt;EWJ^FG_COMPANY_NAME&lt;/Q&gt;&lt;R&gt;1&lt;/R&gt;&lt;C&gt;1&lt;/C&gt;&lt;D xsi:type="xsd:string"&gt;iShares MSCI Japan ETF&lt;/D&gt;&lt;/FQL&gt;&lt;FQL&gt;&lt;Q&gt;REFCHMPR-FDS^PROPER_NAME(0,,,"SECURITY","NAME")&lt;/Q&gt;&lt;R&gt;1&lt;/R&gt;&lt;C&gt;1&lt;/C&gt;&lt;D xsi:type="xsd:string"&gt;Swiss Policy Rate - Sight Deposit Rate&lt;/D&gt;&lt;/FQL&gt;&lt;FQL&gt;&lt;Q&gt;EWU^P_PRICE(0)/P_PRICE_HIGH_PR(0,,,,,,"PRICE","INTRA","52W")&lt;/Q&gt;&lt;R&gt;1&lt;/R&gt;&lt;C&gt;1&lt;/C&gt;&lt;D xsi:type="xsd:double"&gt;0.9980068&lt;/D&gt;&lt;/FQL&gt;&lt;FQL&gt;&lt;Q&gt;TRYDE10Y-FDS^PCTCHG(FG_YIELD(0,,,,"YTM"),FG_YIELD(-1AM,,,,"YTM"))&lt;/Q&gt;&lt;R&gt;1&lt;/R&gt;&lt;C&gt;1&lt;/C&gt;&lt;D xsi:type="xsd:double"&gt;6.486492&lt;/D&gt;&lt;/FQL&gt;&lt;FQL&gt;&lt;Q&gt;CAGDPY@CH^EE_ACTUAL_ANNUAL(MED,+1)&lt;/Q&gt;&lt;R&gt;1&lt;/R&gt;&lt;C&gt;1&lt;/C&gt;&lt;D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xsi:type="xsd:double"&gt;4.0822864&lt;/D&gt;&lt;/FQL&gt;&lt;FQL&gt;&lt;Q&gt;USDCHF^FG_PRICE_CHANGE(0,-3AM)&lt;/Q&gt;&lt;R&gt;1&lt;/R&gt;&lt;C&gt;1&lt;/C&gt;&lt;D xsi:type="xsd:double"&gt;5.533731&lt;/D&gt;&lt;/FQL&gt;&lt;FQL&gt;&lt;Q&gt;USDEUR^FG_PRICE_CHANGE(0,-3AM)&lt;/Q&gt;&lt;R&gt;1&lt;/R&gt;&lt;C&gt;1&lt;/C&gt;&lt;D xsi:type="xsd:double"&gt;1.0618925&lt;/D&gt;&lt;/FQL&gt;&lt;FQL&gt;&lt;Q&gt;USDAUD^FG_PRICE_CHANGE(0,-3AM)&lt;/Q&gt;&lt;R&gt;1&lt;/R&gt;&lt;C&gt;1&lt;/C&gt;&lt;D xsi:type="xsd:double"&gt;-0.26772618&lt;/D&gt;&lt;/FQL&gt;&lt;FQL&gt;&lt;Q&gt;EWQ^FMA_EPS(NTMA,-20AY,0,CY,,"PORTAGG","MEANR")&lt;/Q&gt;&lt;R&gt;20&lt;/R&gt;&lt;C&gt;1&lt;/C&gt;&lt;D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xsi:type="xsd:double"&gt;1.85109750880863&lt;/D&gt;&lt;D xsi:type="xsd:double"&gt;2.46081746914008&lt;/D&gt;&lt;D xsi:type="xsd:double"&gt;2.80266518938636&lt;/D&gt;&lt;D xsi:type="xsd:double"&gt;2.92070468127568&lt;/D&gt;&lt;/FQL&gt;&lt;FQL&gt;&lt;Q&gt;QQQ^P_PRICE_RETURNS_PR('52W',2,-10AY,0,AM)&lt;/Q&gt;&lt;R&gt;121&lt;/R&gt;&lt;C&gt;1&lt;/C&gt;&lt;D xsi:type="xsd:double"&gt;24.689663&lt;/D&gt;&lt;D xsi:type="xsd:double"&gt;26.509226&lt;/D&gt;&lt;D xsi:type="xsd:double"&gt;34.60052&lt;/D&gt;&lt;D xsi:type="xsd:double"&gt;25.588966&lt;/D&gt;&lt;D xsi:type="xsd:double"&gt;34.634747&lt;/D&gt;&lt;D xsi:type="xsd:double"&gt;23.84528&lt;/D&gt;&lt;D xsi:type="xsd:double"&gt;24.283768&lt;/D&gt;&lt;D xsi:type="xsd:double"&gt;24.919247&lt;/D&gt;&lt;D xsi:type="xsd:double"&gt;19.760979&lt;/D&gt;&lt;D xsi:type="xsd:double"&gt;20.019377&lt;/D&gt;&lt;D xsi:type="xsd:double"&gt;22.423803&lt;/D&gt;&lt;D xsi:type="xsd:double"&gt;18.8362&lt;/D&gt;&lt;D xsi:type="xsd:double"&gt;25.796616&lt;/D&gt;&lt;D xsi:type="xsd:double"&gt;22.00401&lt;/D&gt;&lt;D xsi:type="xsd:double"&gt;14.72975&lt;/D&gt;&lt;D xsi:type="xsd:double"&gt;19.081152&lt;/D&gt;&lt;D xsi:type="xsd:double"&gt;4.941094&lt;/D&gt;&lt;D xsi:type="xsd:double"&gt;8.152592&lt;/D&gt;&lt;D xsi:type="xsd:double"&gt;14.25029&lt;/D&gt;&lt;D xsi:type="xsd:double"&gt;9.938288&lt;/D&gt;&lt;D xsi:type="xsd:double"&gt;9.446454&lt;/D&gt;&lt;D xsi:type="xsd:double"&gt;1.1906266&lt;/D&gt;&lt;D xsi:type="xsd:double"&gt;-2.2565126&lt;/D&gt;&lt;D xsi:type="xsd:double"&gt;6.2000275&lt;/D&gt;&lt;D xsi:type="xsd:double"&gt;-1.0697544&lt;/D&gt;&lt;D xsi:type="xsd:double"&gt;1.558578&lt;/D&gt;&lt;D xsi:type="xsd:double"&gt;1.2783289&lt;/D&gt;&lt;D xsi:type="xsd:double"&gt;3.847444&lt;/D&gt;&lt;D xsi:type="xsd:double"&gt;13.995767&lt;/D&gt;&lt;D xsi:type="xsd:double"&gt;17.987537&lt;/D&gt;&lt;D xsi:type="xsd:double"&gt;1.6351461&lt;/D&gt;&lt;D xsi:type="xsd:double"&gt;2.236712&lt;/D&gt;&lt;D xsi:type="xsd:double"&gt;5.768156&lt;/D&gt;&lt;D xsi:type="xsd:double"&gt;24.052847&lt;/D&gt;&lt;D xsi:type="xsd:double"&gt;24.956059&lt;/D&gt;&lt;D xsi:type="xsd:double"&gt;22.474062&lt;/D&gt;&lt;D xsi:type="xsd:double"&gt;30.100834&lt;/D&gt;&lt;D xsi:type="xsd:double"&gt;31.068588&lt;/D&gt;&lt;D xsi:type="xsd:double"&gt;29.312193&lt;/D&gt;&lt;D xsi:type="xsd:double"&gt;26.511442&lt;/D&gt;&lt;D xsi:type="xsd:double"&gt;26.356638&lt;/D&gt;&lt;D xsi:type="xsd:double"&gt;23.853386&lt;/D&gt;&lt;D xsi:type="xsd:double"&gt;33.123062&lt;/D&gt;&lt;D xsi:type="xsd:double"&gt;35.132946&lt;/D&gt;&lt;D xsi:type="xsd:double"&gt;34.98974&lt;/D&gt;&lt;D xsi:type="xsd:double"&gt;32.550003&lt;/D&gt;&lt;D xsi:type="xsd:double"&gt;28.080952&lt;/D&gt;&lt;D xsi:type="xsd:double"&gt;18.493593&lt;/D&gt;&lt;D xsi:type="xsd:double"&gt;18.770779&lt;/D&gt;&lt;D xsi:type="xsd:double"&gt;22.843765&lt;/D&gt;&lt;D xsi:type="xsd:double"&gt;26.561033&lt;/D&gt;&lt;D xsi:type="xsd:double"&gt;25.72633&lt;/D&gt;&lt;D xsi:type="xsd:double"&gt;28.700888&lt;/D&gt;&lt;D xsi:type="xsd:double"&gt;28.574299&lt;/D&gt;&lt;D xsi:type="xsd:double"&gt;12.431717&lt;/D&gt;&lt;D xsi:type="xsd:double"&gt;10.00483&lt;/D&gt;&lt;D xsi:type="xsd:double"&gt;-1.4422476&lt;/D&gt;&lt;D xsi:type="xsd:double"&gt;0.5487323&lt;/D&gt;&lt;D xsi:type="xsd:double"&gt;6.9315434&lt;/D&gt;&lt;D xsi:type="xsd:double"&gt;18.527485&lt;/D&gt;&lt;D xsi:type="xsd:double"&gt;17.259264&lt;/D&gt;&lt;D xsi:type="xsd:double"&gt;3.1725526&lt;/D&gt;&lt;D xsi:type="xsd:double"&gt;10.924721&lt;/D&gt;&lt;D xsi:type="xsd:double"&gt;5.271876&lt;/D&gt;&lt;D xsi:type="xsd:double"&gt;1.4514327&lt;/D&gt;&lt;D xsi:type="xsd:double"&gt;-0.023150444&lt;/D&gt;&lt;D xsi:type="xsd:double"&gt;16.622341&lt;/D&gt;&lt;D xsi:type="xsd:double"&gt;20.935&lt;/D&gt;&lt;D xsi:type="xsd:double"&gt;40.71443&lt;/D&gt;&lt;D xsi:type="xsd:double"&gt;31.346619&lt;/D&gt;&lt;D xsi:type="xsd:double"&gt;25.122225&lt;/D&gt;&lt;D xsi:type="xsd:double"&gt;2.6643991&lt;/D&gt;&lt;D xsi:type="xsd:double"&gt;13.564264&lt;/D&gt;&lt;D xsi:type="xsd:double"&gt;36.615383&lt;/D&gt;&lt;D xsi:type="xsd:double"&gt;33.792843&lt;/D&gt;&lt;D xsi:type="xsd:double"&gt;40.203667&lt;/D&gt;&lt;D xsi:type="xsd:double"&gt;62.797665&lt;/D&gt;&lt;D xsi:type="xsd:double"&gt;50.15584&lt;/D&gt;&lt;D xsi:type="xsd:double"&gt;36.77249&lt;/D&gt;&lt;D xsi:type="xsd:double"&gt;50.799404&lt;/D&gt;&lt;D xsi:type="xsd:double"&gt;48.61877&lt;/D&gt;&lt;D xsi:type="xsd:double"&gt;50.644897&lt;/D&gt;&lt;D xsi:type="xsd:double"&gt;48.17096&lt;/D&gt;&lt;D xsi:type="xsd:double"&gt;79.143036&lt;/D&gt;&lt;D xsi:type="xsd:double"&gt;55.36039&lt;/D&gt;&lt;D xsi:type="xsd:double"&gt;42.405987&lt;/D&gt;&lt;D xsi:type="xsd:double"&gt;43.016754&lt;/D&gt;&lt;D xsi:type="xsd:double"&gt;37.953938&lt;/D&gt;&lt;D xsi:type="xsd:double"&gt;26.356625&lt;/D&gt;&lt;D xsi:type="xsd:double"&gt;28.29306&lt;/D&gt;&lt;D xsi:type="xsd:double"&gt;44.874275&lt;/D&gt;&lt;D xsi:type="xsd:double"&gt;29.009783&lt;/D&gt;&lt;D xsi:type="xsd:double"&gt;27.420341&lt;/D&gt;&lt;D xsi:type="xsd:double"&gt;12.996531&lt;/D&gt;&lt;D xsi:type="xsd:double"&gt;9.577394&lt;/D&gt;&lt;D xsi:type="xsd:double"&gt;12.023603&lt;/D&gt;&lt;D xsi:type="xsd:double"&gt;-5.3179383&lt;/D&gt;&lt;D xsi:type="xsd:double"&gt;-5.27001&lt;/D&gt;&lt;D xsi:type="xsd:double"&gt;-19.988829&lt;/D&gt;&lt;D xsi:type="xsd:double"&gt;-13.309306&lt;/D&gt;&lt;D xsi:type="xsd:double"&gt;-21.974766&lt;/D&gt;&lt;D xsi:type="xsd:double"&gt;-24.874979&lt;/D&gt;&lt;D xsi:type="xsd:double"&gt;-31.28705&lt;/D&gt;&lt;D xsi:type="xsd:double"&gt;-24.504536&lt;/D&gt;&lt;D xsi:type="xsd:double"&gt;-32.999577&lt;/D&gt;&lt;D xsi:type="xsd:double"&gt;-14.784658&lt;/D&gt;&lt;D xsi:type="xsd:double"&gt;-14.818579&lt;/D&gt;&lt;D xsi:type="xsd:double"&gt;-10.799914&lt;/D&gt;&lt;D xsi:type="xsd:double"&gt;1.0500312&lt;/D&gt;&lt;D xsi:type="xsd:double"&gt;13.672638&lt;/D&gt;&lt;D xsi:type="xsd:double"&gt;32.74591&lt;/D&gt;&lt;D xsi:type="xsd:double"&gt;19.95858&lt;/D&gt;&lt;D xsi:type="xsd:double"&gt;27.016926&lt;/D&gt;&lt;D xsi:type="xsd:double"&gt;36.09203&lt;/D&gt;&lt;D xsi:type="xsd:double"&gt;37.727512&lt;/D&gt;&lt;D xsi:type="xsd:double"&gt;33.662964&lt;/D&gt;&lt;D xsi:type="xsd:double"&gt;52.232193&lt;/D&gt;&lt;D xsi:type="xsd:double"&gt;38.57497&lt;/D&gt;&lt;D xsi:type="xsd:double"&gt;54.079758&lt;/D&gt;&lt;D xsi:type="xsd:double"&gt;38.3623&lt;/D&gt;&lt;D xsi:type="xsd:double"&gt;34.554935&lt;/D&gt;&lt;/FQL&gt;&lt;FQL&gt;&lt;Q&gt;EWL^FG_TOTAL_RETURNC(-10AY,0,AM)&lt;/Q&gt;&lt;R&gt;121&lt;/R&gt;&lt;C&gt;1&lt;/C&gt;&lt;D xsi:type="xsd:double"&gt;1.4207006&lt;/D&gt;&lt;D xsi:type="xsd:double"&gt;0.600338&lt;/D&gt;&lt;D xsi:type="xsd:double"&gt;0.33590794&lt;/D&gt;&lt;D xsi:type="xsd:double"&gt;-5.4613886&lt;/D&gt;&lt;D xsi:type="xsd:double"&gt;3.8001776&lt;/D&gt;&lt;D xsi:type="xsd:double"&gt;-5.609685&lt;/D&gt;&lt;D xsi:type="xsd:double"&gt;1.251173&lt;/D&gt;&lt;D xsi:type="xsd:double"&gt;2.1625042&lt;/D&gt;&lt;D xsi:type="xsd:double"&gt;-4.656786&lt;/D&gt;&lt;D xsi:type="xsd:double"&gt;1.5223503&lt;/D&gt;&lt;D xsi:type="xsd:double"&gt;4.061246&lt;/D&gt;&lt;D xsi:type="xsd:double"&gt;1.5010476&lt;/D&gt;&lt;D xsi:type="xsd:double"&gt;3.6379695&lt;/D&gt;&lt;D xsi:type="xsd:double"&gt;0.8561611&lt;/D&gt;&lt;D xsi:type="xsd:double"&gt;-3.9275825&lt;/D&gt;&lt;D xsi:type="xsd:double"&gt;2.8347373&lt;/D&gt;&lt;D xsi:type="xsd:double"&gt;-8.269787&lt;/D&gt;&lt;D xsi:type="xsd:double"&gt;-0.9271145&lt;/D&gt;&lt;D xsi:type="xsd:double"&gt;3.646338&lt;/D&gt;&lt;D xsi:type="xsd:double"&gt;-3.3623874&lt;/D&gt;&lt;D xsi:type="xsd:double"&gt;0&lt;/D&gt;&lt;D xsi:type="xsd:double"&gt;-7.8608274&lt;/D&gt;&lt;D xsi:type="xsd:double"&gt;2.0279765&lt;/D&gt;&lt;D xsi:type="xsd:double"&gt;1.3365269&lt;/D&gt;&lt;D xsi:type="xsd:double"&gt;4.5992613&lt;/D&gt;&lt;D xsi:type="xsd:double"&gt;-0.48496723&lt;/D&gt;&lt;D xsi:type="xsd:double"&gt;-0.5731702&lt;/D&gt;&lt;D xsi:type="xsd:double"&gt;0.6373763&lt;/D&gt;&lt;D xsi:type="xsd:double"&gt;2.0666718&lt;/D&gt;&lt;D xsi:type="xsd:double"&gt;-0.22861362&lt;/D&gt;&lt;D xsi:type="xsd:double"&gt;-5.335516&lt;/D&gt;&lt;D xsi:type="xsd:double"&gt;-2.1092713&lt;/D&gt;&lt;D xsi:type="xsd:double"&gt;4.127097&lt;/D&gt;&lt;D xsi:type="xsd:double"&gt;3.9375544&lt;/D&gt;&lt;D xsi:type="xsd:double"&gt;2.0901322&lt;/D&gt;&lt;D xsi:type="xsd:double"&gt;2.3032665&lt;/D&gt;&lt;D xsi:type="xsd:double"&gt;5.128205&lt;/D&gt;&lt;D xsi:type="xsd:double"&gt;5.2349806&lt;/D&gt;&lt;D xsi:type="xsd:double"&gt;-0.9508848&lt;/D&gt;&lt;D xsi:type="xsd:double"&gt;1.1366963&lt;/D&gt;&lt;D xsi:type="xsd:double"&gt;-1.2680173&lt;/D&gt;&lt;D xsi:type="xsd:double"&gt;2.3350954&lt;/D&gt;&lt;D xsi:type="xsd:double"&gt;-1.4546573&lt;/D&gt;&lt;D xsi:type="xsd:double"&gt;1.678729&lt;/D&gt;&lt;D xsi:type="xsd:double"&gt;1.6794801&lt;/D&gt;&lt;D xsi:type="xsd:double"&gt;2.3236275&lt;/D&gt;&lt;D xsi:type="xsd:double"&gt;-5.991787&lt;/D&gt;&lt;D xsi:type="xsd:double"&gt;-1.309663&lt;/D&gt;&lt;D xsi:type="xsd:double"&gt;-0.058978796&lt;/D&gt;&lt;D xsi:type="xsd:double"&gt;-0.531131&lt;/D&gt;&lt;D xsi:type="xsd:double"&gt;-1.3542771&lt;/D&gt;&lt;D xsi:type="xsd:double"&gt;6.720102&lt;/D&gt;&lt;D xsi:type="xsd:double"&gt;0.43327808&lt;/D&gt;&lt;D xsi:type="xsd:double"&gt;-0.48893094&lt;/D&gt;&lt;D xsi:type="xsd:double"&gt;-4.017341&lt;/D&gt;&lt;D xsi:type="xsd:double"&gt;0&lt;/D&gt;&lt;D xsi:type="xsd:double"&gt;-5.8115005&lt;/D&gt;&lt;D xsi:type="xsd:double"&gt;6.1061263&lt;/D&gt;&lt;D xsi:type="xsd:double"&gt;4.9111247&lt;/D&gt;&lt;D xsi:type="xsd:double"&gt;2.1826625&lt;/D&gt;&lt;D xsi:type="xsd:double"&gt;1.4052868&lt;/D&gt;&lt;D xsi:type="xsd:double"&gt;-0.33259988&lt;/D&gt;&lt;D xsi:type="xsd:double"&gt;6.8228483&lt;/D&gt;&lt;D xsi:type="xsd:double"&gt;-1.0361314&lt;/D&gt;&lt;D xsi:type="xsd:double"&gt;0.5906105&lt;/D&gt;&lt;D xsi:type="xsd:double"&gt;-2.9356897&lt;/D&gt;&lt;D xsi:type="xsd:double"&gt;6.4338803&lt;/D&gt;&lt;D xsi:type="xsd:double"&gt;0.15500784&lt;/D&gt;&lt;D xsi:type="xsd:double"&gt;5.6486964&lt;/D&gt;&lt;D xsi:type="xsd:double"&gt;-0.5371034&lt;/D&gt;&lt;D xsi:type="xsd:double"&gt;-5.0564585&lt;/D&gt;&lt;D xsi:type="xsd:double"&gt;-9.126163&lt;/D&gt;&lt;D xsi:type="xsd:double"&gt;3.5277367&lt;/D&gt;&lt;D xsi:type="xsd:double"&gt;7.0623755&lt;/D&gt;&lt;D xsi:type="xsd:double"&gt;3.0346155&lt;/D&gt;&lt;D xsi:type="xsd:double"&gt;2.607596&lt;/D&gt;&lt;D xsi:type="xsd:double"&gt;4.9839616&lt;/D&gt;&lt;D xsi:type="xsd:double"&gt;-2.5146902&lt;/D&gt;&lt;D xsi:type="xsd:double"&gt;-4.508191&lt;/D&gt;&lt;D xsi:type="xsd:double"&gt;9.038115&lt;/D&gt;&lt;D xsi:type="xsd:double"&gt;3.5039306&lt;/D&gt;&lt;D xsi:type="xsd:double"&gt;0.24619102&lt;/D&gt;&lt;D xsi:type="xsd:double"&gt;-1.6521573&lt;/D&gt;&lt;D xsi:type="xsd:double"&gt;2.04314&lt;/D&gt;&lt;D xsi:type="xsd:double"&gt;2.9810905&lt;/D&gt;&lt;D xsi:type="xsd:double"&gt;6.0488224&lt;/D&gt;&lt;D xsi:type="xsd:double"&gt;1.5747786&lt;/D&gt;&lt;D xsi:type="xsd:double"&gt;3.0228734&lt;/D&gt;&lt;D xsi:type="xsd:double"&gt;0.9912729&lt;/D&gt;&lt;D xsi:type="xsd:double"&gt;-7.7738523&lt;/D&gt;&lt;D xsi:type="xsd:double"&gt;7.5776935&lt;/D&gt;&lt;D xsi:type="xsd:double"&gt;-2.0577788&lt;/D&gt;&lt;D xsi:type="xsd:double"&gt;6.5252542&lt;/D&gt;&lt;D xsi:type="xsd:double"&gt;-5.120426&lt;/D&gt;&lt;D xsi:type="xsd:double"&gt;-4.5972404&lt;/D&gt;&lt;D xsi:type="xsd:double"&gt;3.7293077&lt;/D&gt;&lt;D xsi:type="xsd:double"&gt;-6.8672953&lt;/D&gt;&lt;D xsi:type="xsd:double"&gt;-1.1060536&lt;/D&gt;&lt;D xsi:type="xsd:double"&gt;-6.9553733&lt;/D&gt;&lt;D xsi:type="xsd:double"&gt;2.8859973&lt;/D&gt;&lt;D xsi:type="xsd:double"&gt;-6.47499&lt;/D&gt;&lt;D xsi:type="xsd:double"&gt;-6.3983917&lt;/D&gt;&lt;D xsi:type="xsd:double"&gt;3.2843828&lt;/D&gt;&lt;D xsi:type="xsd:double"&gt;12.202692&lt;/D&gt;&lt;D xsi:type="xsd:double"&gt;-3.3870995&lt;/D&gt;&lt;D xsi:type="xsd:double"&gt;7.9418063&lt;/D&gt;&lt;D xsi:type="xsd:double"&gt;-3.3362746&lt;/D&gt;&lt;D xsi:type="xsd:double"&gt;3.5885692&lt;/D&gt;&lt;D xsi:type="xsd:double"&gt;6.0017705&lt;/D&gt;&lt;D xsi:type="xsd:double"&gt;-1.7693639&lt;/D&gt;&lt;D xsi:type="xsd:double"&gt;0.12161732&lt;/D&gt;&lt;D xsi:type="xsd:double"&gt;1.2984276&lt;/D&gt;&lt;D xsi:type="xsd:double"&gt;-1.8799424&lt;/D&gt;&lt;D xsi:type="xsd:double"&gt;-6.096232&lt;/D&gt;&lt;D xsi:type="xsd:double"&gt;-0.2086699&lt;/D&gt;&lt;D xsi:type="xsd:double"&gt;6.482339&lt;/D&gt;&lt;D xsi:type="xsd:double"&gt;4.6257854&lt;/D&gt;&lt;D xsi:type="xsd:double"&gt;-1.2930095&lt;/D&gt;&lt;D xsi:type="xsd:double"&gt;-0.50708055&lt;/D&gt;&lt;D xsi:type="xsd:double"&gt;-0.6583154&lt;/D&gt;&lt;D xsi:type="xsd:double"&gt;-2.3300588&lt;/D&gt;&lt;/FQL&gt;&lt;FQL&gt;&lt;Q&gt;TRYFR10Y-FDS^FG_YIELD(0,,,,"YTM")&lt;/Q&gt;&lt;R&gt;1&lt;/R&gt;&lt;C&gt;1&lt;/C&gt;&lt;D xsi:type="xsd:double"&gt;3.032&lt;/D&gt;&lt;/FQL&gt;&lt;FQL&gt;&lt;Q&gt;TRYSE10Y-FDS^PCTCHG(FG_YIELD(0,,,,"YTM"),FG_YIELD(-1AM,,,,"YTM"))&lt;/Q&gt;&lt;R&gt;1&lt;/R&gt;&lt;C&gt;1&lt;/C&gt;&lt;D xsi:type="xsd:double"&gt;1.4979733&lt;/D&gt;&lt;/FQL&gt;&lt;FQL&gt;&lt;Q&gt;EWG^FMA_ROE(NTMA,-20AY,NOW,FY,"PORTAGG","MEANR")&lt;/Q&gt;&lt;R&gt;20&lt;/R&gt;&lt;C&gt;1&lt;/C&gt;&lt;D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xsi:type="xsd:double"&gt;11.9388620015971&lt;/D&gt;&lt;/FQL&gt;&lt;FQL&gt;&lt;Q&gt;TRYUS10Y-FDS^FG_YIELD(-10AY,0,Y,,"YTM")&lt;/Q&gt;&lt;R&gt;10&lt;/R&gt;&lt;C&gt;1&lt;/C&gt;&lt;D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xsi:type="xsd:double"&gt;2.004&lt;/D&gt;&lt;/FQL&gt;&lt;FQL&gt;&lt;Q&gt;USDCHF^FG_PRICE_CHANGE(0,-1AM)&lt;/Q&gt;&lt;R&gt;1&lt;/R&gt;&lt;C&gt;1&lt;/C&gt;&lt;D xsi:type="xsd:double"&gt;0.8000016&lt;/D&gt;&lt;/FQL&gt;&lt;FQL&gt;&lt;Q&gt;DDR3512M-FDS^MAX(FG_PRICE(0,-5AY))&lt;/Q&gt;&lt;R&gt;1&lt;/R&gt;&lt;C&gt;1&lt;/C&gt;&lt;D xsi:type="xsd:double"&gt;3.3053632&lt;/D&gt;&lt;/FQL&gt;&lt;FQL&gt;&lt;Q&gt;COPP-FDS^MAX(FG_PRICE(0,-5AY))&lt;/Q&gt;&lt;R&gt;1&lt;/R&gt;&lt;C&gt;1&lt;/C&gt;&lt;D xsi:type="xsd:double"&gt;4.929&lt;/D&gt;&lt;/FQL&gt;&lt;FQL&gt;&lt;Q&gt;VWO^PERCENT_CHANGE(FMA_EPS(+1,0,,,,"PORTAGG","MEAN"),FMA_EPS(+1,-3AM,,,,"PORTAGG","MEAN"))&lt;/Q&gt;&lt;R&gt;1&lt;/R&gt;&lt;C&gt;1&lt;/C&gt;&lt;D xsi:type="xsd:double"&gt;-1.94498105551797&lt;/D&gt;&lt;/FQL&gt;&lt;FQL&gt;&lt;Q&gt;EWI^FG_TOTAL_RETURNC(0,-3AM)&lt;/Q&gt;&lt;R&gt;1&lt;/R&gt;&lt;C&gt;1&lt;/C&gt;&lt;D xsi:type="xsd:double"&gt;9.634245&lt;/D&gt;&lt;/FQL&gt;&lt;FQL&gt;&lt;Q&gt;EWN^P_PRICE(0)/P_PRICE_HIGH_PR(0,,,,,,"PRICE","INTRA","52W")&lt;/Q&gt;&lt;R&gt;1&lt;/R&gt;&lt;C&gt;1&lt;/C&gt;&lt;D xsi:type="xsd:double"&gt;0.9616302&lt;/D&gt;&lt;/FQL&gt;&lt;FQL&gt;&lt;Q&gt;QQQ^PERCENT_CHANGE(FMA_EPS(+1,0,,,,"PORTAGG","MEAN"),FMA_EPS(+1,-1AM,,,,"PORTAGG","MEAN"))&lt;/Q&gt;&lt;R&gt;1&lt;/R&gt;&lt;C&gt;1&lt;/C&gt;&lt;D xsi:type="xsd:double"&gt;-0.501911354616245&lt;/D&gt;&lt;/FQL&gt;&lt;FQL&gt;&lt;Q&gt;EWL^FG_TOTAL_RETURNC(0,-1AM)&lt;/Q&gt;&lt;R&gt;1&lt;/R&gt;&lt;C&gt;1&lt;/C&gt;&lt;D xsi:type="xsd:double"&gt;-2.3300588&lt;/D&gt;&lt;/FQL&gt;&lt;FQL&gt;&lt;Q&gt;EWG^FG_TOTAL_RETURNC(0,-6AM)&lt;/Q&gt;&lt;R&gt;1&lt;/R&gt;&lt;C&gt;1&lt;/C&gt;&lt;D xsi:type="xsd:double"&gt;18.531872&lt;/D&gt;&lt;/FQL&gt;&lt;FQL&gt;&lt;Q&gt;EWA^P_PRICE(0)/P_PRICE_LOW_PR(0,,,,,,"PRICE","INTRA","52W")-1&lt;/Q&gt;&lt;R&gt;1&lt;/R&gt;&lt;C&gt;1&lt;/C&gt;&lt;D xsi:type="xsd:double"&gt;0.16422296&lt;/D&gt;&lt;/FQL&gt;&lt;FQL&gt;&lt;Q&gt;ENZL^FMA_PCT_ABOVE_MAVG(200,0,,,,"PORTAGG")&lt;/Q&gt;&lt;R&gt;1&lt;/R&gt;&lt;C&gt;1&lt;/C&gt;&lt;D xsi:type="xsd:double"&gt;35.7142857142857&lt;/D&gt;&lt;/FQL&gt;&lt;FQL&gt;&lt;Q&gt;VGK^SIZE(FG_CONSTITUENTS)&lt;/Q&gt;&lt;R&gt;1&lt;/R&gt;&lt;C&gt;1&lt;/C&gt;&lt;D xsi:type="xsd:long"&gt;1280&lt;/D&gt;&lt;/FQL&gt;&lt;FQL&gt;&lt;Q&gt;EWG^FMA_RBICS_REV_CURRENT(30, LOC, "PORTAGG")&lt;/Q&gt;&lt;R&gt;1&lt;/R&gt;&lt;C&gt;1&lt;/C&gt;&lt;D xsi:type="xsd:double"&gt;22.6656567309621&lt;/D&gt;&lt;/FQL&gt;&lt;FQL&gt;&lt;Q&gt;REFCHMPR-FDS^(SUBARRAY(NOT_NA(NO_REPEAT_F(FG_YIELD(NOW,-10AY,D))),0,1)-SUBARRAY(NOT_NA(NO_REPEAT_F(FG_YIELD(NOW,-10AY,D))),1,1))*100&lt;/Q&gt;&lt;R&gt;1&lt;/R&gt;&lt;C&gt;1&lt;/C&gt;&lt;D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xsi:type="xsd:double"&gt;-25&lt;/D&gt;&lt;/FQL&gt;&lt;FQL&gt;&lt;Q&gt;COPP-FDS^FG_PRICE_CHANGE(0,-1AY)&lt;/Q&gt;&lt;R&gt;1&lt;/R&gt;&lt;C&gt;1&lt;/C&gt;&lt;D xsi:type="xsd:double"&gt;16.7879417879418&lt;/D&gt;&lt;/FQL&gt;&lt;FQL&gt;&lt;Q&gt;EWL^FG_PRICE_MAVG(0,,,,30)&lt;/Q&gt;&lt;R&gt;1&lt;/R&gt;&lt;C&gt;1&lt;/C&gt;&lt;D xsi:type="xsd:double"&gt;46.329334&lt;/D&gt;&lt;/FQL&gt;&lt;FQL&gt;&lt;Q&gt;TRYJP10Y-FDS^PCTCHG(FG_YIELD(0,,,,"YTM"),FG_YIELD(-3AM,,,,"YTM"))&lt;/Q&gt;&lt;R&gt;1&lt;/R&gt;&lt;C&gt;1&lt;/C&gt;&lt;D xsi:type="xsd:double"&gt;32.45004&lt;/D&gt;&lt;/FQL&gt;&lt;FQL&gt;&lt;Q&gt;EWA^SIZE(FG_CONSTITUENTS)&lt;/Q&gt;&lt;R&gt;1&lt;/R&gt;&lt;C&gt;1&lt;/C&gt;&lt;D xsi:type="xsd:long"&gt;59&lt;/D&gt;&lt;/FQL&gt;&lt;FQL&gt;&lt;Q&gt;EWD^P_PRICE(0)/P_PRICE_LOW_PR(0,,,,,,"PRICE","INTRA","52W")-1&lt;/Q&gt;&lt;R&gt;1&lt;/R&gt;&lt;C&gt;1&lt;/C&gt;&lt;D xsi:type="xsd:double"&gt;0.26934993&lt;/D&gt;&lt;/FQL&gt;&lt;FQL&gt;&lt;Q&gt;SPY^FMA_COS_UP("EPS","1M",+1,0,,,"PORTAGG","MEANR")&lt;/Q&gt;&lt;R&gt;1&lt;/R&gt;&lt;C&gt;1&lt;/C&gt;&lt;D xsi:type="xsd:double"&gt;223&lt;/D&gt;&lt;/FQL&gt;&lt;FQL&gt;&lt;Q&gt;TRYZA10Y-FDS^JULIAN(FG_YIELD(-10AY,0,CY,,"YTM").DATES)&lt;/Q&gt;&lt;R&gt;10&lt;/R&gt;&lt;C&gt;1&lt;/C&gt;&lt;D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xsi:type="xsd:double"&gt;7.64151941312264&lt;/D&gt;&lt;/FQL&gt;&lt;FQL&gt;&lt;Q&gt;CC_DE^FG_COMPANY_NAME&lt;/Q&gt;&lt;R&gt;1&lt;/R&gt;&lt;C&gt;1&lt;/C&gt;&lt;D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xsi:type="xsd:double"&gt;1.8491983&lt;/D&gt;&lt;/FQL&gt;&lt;FQL&gt;&lt;Q&gt;USDEUR^FG_PRICE_CHANGE(0,-1AM)&lt;/Q&gt;&lt;R&gt;1&lt;/R&gt;&lt;C&gt;1&lt;/C&gt;&lt;D xsi:type="xsd:double"&gt;0.7250786&lt;/D&gt;&lt;/FQL&gt;&lt;FQL&gt;&lt;Q&gt;USDAUD^FG_PRICE_CHANGE(0,-1AM)&lt;/Q&gt;&lt;R&gt;1&lt;/R&gt;&lt;C&gt;1&lt;/C&gt;&lt;D xsi:type="xsd:double"&gt;-0.3365755&lt;/D&gt;&lt;/FQL&gt;&lt;FQL&gt;&lt;Q&gt;SPY^FMA_EPS(NTMA,-20AY,0,CY,,"PORTAGG","MEANR")&lt;/Q&gt;&lt;R&gt;20&lt;/R&gt;&lt;C&gt;1&lt;/C&gt;&lt;D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xsi:type="xsd:double"&gt;24.3449868014255&lt;/D&gt;&lt;/FQL&gt;&lt;FQL&gt;&lt;Q&gt;EWU^P_PRICE_RETURNS_PR('52W',2,-10AY,0,AM)&lt;/Q&gt;&lt;R&gt;121&lt;/R&gt;&lt;C&gt;1&lt;/C&gt;&lt;D xsi:type="xsd:double"&gt;17.843163&lt;/D&gt;&lt;D xsi:type="xsd:double"&gt;18.922901&lt;/D&gt;&lt;D xsi:type="xsd:double"&gt;26.528145&lt;/D&gt;&lt;D xsi:type="xsd:double"&gt;13.33127&lt;/D&gt;&lt;D xsi:type="xsd:double"&gt;16.288876&lt;/D&gt;&lt;D xsi:type="xsd:double"&gt;2.109301&lt;/D&gt;&lt;D xsi:type="xsd:double"&gt;-0.83319545&lt;/D&gt;&lt;D xsi:type="xsd:double"&gt;0.19840002&lt;/D&gt;&lt;D xsi:type="xsd:double"&gt;-7.331353&lt;/D&gt;&lt;D xsi:type="xsd:double"&gt;-2.1996975&lt;/D&gt;&lt;D xsi:type="xsd:double"&gt;-3.7298322&lt;/D&gt;&lt;D xsi:type="xsd:double"&gt;-5.8742704&lt;/D&gt;&lt;D xsi:type="xsd:double"&gt;-4.7111692&lt;/D&gt;&lt;D xsi:type="xsd:double"&gt;-5.461687&lt;/D&gt;&lt;D xsi:type="xsd:double"&gt;-9.894401&lt;/D&gt;&lt;D xsi:type="xsd:double"&gt;-5.542195&lt;/D&gt;&lt;D xsi:type="xsd:double"&gt;-14.9724245&lt;/D&gt;&lt;D xsi:type="xsd:double"&gt;-7.308316&lt;/D&gt;&lt;D xsi:type="xsd:double"&gt;-3.6506712&lt;/D&gt;&lt;D xsi:type="xsd:double"&gt;-7.379687&lt;/D&gt;&lt;D xsi:type="xsd:double"&gt;-7.0310116&lt;/D&gt;&lt;D xsi:type="xsd:double"&gt;-14.861155&lt;/D&gt;&lt;D xsi:type="xsd:double"&gt;-16.719997&lt;/D&gt;&lt;D xsi:type="xsd:double"&gt;-11.038107&lt;/D&gt;&lt;D xsi:type="xsd:double"&gt;-11.382235&lt;/D&gt;&lt;D xsi:type="xsd:</t>
        </r>
      </text>
    </comment>
    <comment ref="A10" authorId="0" shapeId="0" xr:uid="{86D135FA-93CD-4A87-87CC-81E915956B68}">
      <text>
        <r>
          <rPr>
            <b/>
            <sz val="9"/>
            <color indexed="81"/>
            <rFont val="Tahoma"/>
            <charset val="1"/>
          </rPr>
          <t xml:space="preserve">double"&gt;-12.958002&lt;/D&gt;&lt;D xsi:type="xsd:double"&gt;-12.171942&lt;/D&gt;&lt;D xsi:type="xsd:double"&gt;-12.285173&lt;/D&gt;&lt;D xsi:type="xsd:double"&gt;1.2027383&lt;/D&gt;&lt;D xsi:type="xsd:double"&gt;1.0065198&lt;/D&gt;&lt;D xsi:type="xsd:double"&gt;-11.898041&lt;/D&gt;&lt;D xsi:type="xsd:double"&gt;-7.2517514&lt;/D&gt;&lt;D xsi:type="xsd:double"&gt;-2.2000492&lt;/D&gt;&lt;D xsi:type="xsd:double"&gt;9.561312&lt;/D&gt;&lt;D xsi:type="xsd:double"&gt;8.322382&lt;/D&gt;&lt;D xsi:type="xsd:double"&gt;7.828665&lt;/D&gt;&lt;D xsi:type="xsd:double"&gt;5.691898&lt;/D&gt;&lt;D xsi:type="xsd:double"&gt;12.274897&lt;/D&gt;&lt;D xsi:type="xsd:double"&gt;12.39264&lt;/D&gt;&lt;D xsi:type="xsd:double"&gt;14.517713&lt;/D&gt;&lt;D xsi:type="xsd:double"&gt;11.007082&lt;/D&gt;&lt;D xsi:type="xsd:double"&gt;13.736784&lt;/D&gt;&lt;D xsi:type="xsd:double"&gt;21.434902&lt;/D&gt;&lt;D xsi:type="xsd:double"&gt;20.292473&lt;/D&gt;&lt;D xsi:type="xsd:double"&gt;22.708511&lt;/D&gt;&lt;D xsi:type="xsd:double"&gt;20.064354&lt;/D&gt;&lt;D xsi:type="xsd:double"&gt;11.925364&lt;/D&gt;&lt;D xsi:type="xsd:double"&gt;10.031784&lt;/D&gt;&lt;D xsi:type="xsd:double"&gt;12.010694&lt;/D&gt;&lt;D xsi:type="xsd:double"&gt;8.419668&lt;/D&gt;&lt;D xsi:type="xsd:double"&gt;7.567942&lt;/D&gt;&lt;D xsi:type="xsd:double"&gt;4.039991&lt;/D&gt;&lt;D xsi:type="xsd:double"&gt;3.4807682&lt;/D&gt;&lt;D xsi:type="xsd:double"&gt;1.762259&lt;/D&gt;&lt;D xsi:type="xsd:double"&gt;-3.4116209&lt;/D&gt;&lt;D xsi:type="xsd:double"&gt;-6.380373&lt;/D&gt;&lt;D xsi:type="xsd:double"&gt;-15.120143&lt;/D&gt;&lt;D xsi:type="xsd:double"&gt;-11.036414&lt;/D&gt;&lt;D xsi:type="xsd:double"&gt;-0.44788718&lt;/D&gt;&lt;D xsi:type="xsd:double"&gt;2.3648858&lt;/D&gt;&lt;D xsi:type="xsd:double"&gt;-2.7892947&lt;/D&gt;&lt;D xsi:type="xsd:double"&gt;-7.9849424&lt;/D&gt;&lt;D xsi:type="xsd:double"&gt;-0.58900714&lt;/D&gt;&lt;D xsi:type="xsd:double"&gt;-6.133932&lt;/D&gt;&lt;D xsi:type="xsd:double"&gt;-6.363696&lt;/D&gt;&lt;D xsi:type="xsd:double"&gt;-6.6892505&lt;/D&gt;&lt;D xsi:type="xsd:double"&gt;5.5838704&lt;/D&gt;&lt;D xsi:type="xsd:double"&gt;9.043479&lt;/D&gt;&lt;D xsi:type="xsd:double"&gt;21.512508&lt;/D&gt;&lt;D xsi:type="xsd:double"&gt;8.173239&lt;/D&gt;&lt;D xsi:type="xsd:double"&gt;-5.552882&lt;/D&gt;&lt;D xsi:type="xsd:double"&gt;-27.871101&lt;/D&gt;&lt;D xsi:type="xsd:double"&gt;-23.1198&lt;/D&gt;&lt;D xsi:type="xsd:double"&gt;-11.906492&lt;/D&gt;&lt;D xsi:type="xsd:double"&gt;-17.175371&lt;/D&gt;&lt;D xsi:type="xsd:double"&gt;-15.07954&lt;/D&gt;&lt;D xsi:type="xsd:double"&gt;-8.656716&lt;/D&gt;&lt;D xsi:type="xsd:double"&gt;-11.932241&lt;/D&gt;&lt;D xsi:type="xsd:double"&gt;-22.182453&lt;/D&gt;&lt;D xsi:type="xsd:double"&gt;-7.8258696&lt;/D&gt;&lt;D xsi:type="xsd:double"&gt;-11.804509&lt;/D&gt;&lt;D xsi:type="xsd:double"&gt;-6.349504&lt;/D&gt;&lt;D xsi:type="xsd:double"&gt;7.9989076&lt;/D&gt;&lt;D xsi:type="xsd:double"&gt;43.06388&lt;/D&gt;&lt;D xsi:type="xsd:double"&gt;32.282997&lt;/D&gt;&lt;D xsi:type="xsd:double"&gt;31.2755&lt;/D&gt;&lt;D xsi:type="xsd:double"&gt;30.004692&lt;/D&gt;&lt;D xsi:type="xsd:double"&gt;30.502224&lt;/D&gt;&lt;D xsi:type="xsd:double"&gt;28.194702&lt;/D&gt;&lt;D xsi:type="xsd:double"&gt;30.44113&lt;/D&gt;&lt;D xsi:type="xsd:double"&gt;40.49579&lt;/D&gt;&lt;D xsi:type="xsd:double"&gt;14.486753&lt;/D&gt;&lt;D xsi:type="xsd:double"&gt;18.223583&lt;/D&gt;&lt;D xsi:type="xsd:double"&gt;21.40671&lt;/D&gt;&lt;D xsi:type="xsd:double"&gt;13.471258&lt;/D&gt;&lt;D xsi:type="xsd:double"&gt;11.945545&lt;/D&gt;&lt;D xsi:type="xsd:double"&gt;3.204286&lt;/D&gt;&lt;D xsi:type="xsd:double"&gt;1.8310428&lt;/D&gt;&lt;D xsi:type="xsd:double"&gt;-4.9628735&lt;/D&gt;&lt;D xsi:type="xsd:double"&gt;-2.5803983&lt;/D&gt;&lt;D xsi:type="xsd:double"&gt;-11.10031&lt;/D&gt;&lt;D xsi:type="xsd:double"&gt;-14.958173&lt;/D&gt;&lt;D xsi:type="xsd:double"&gt;-13.3138895&lt;/D&gt;&lt;D xsi:type="xsd:double"&gt;2.7708411&lt;/D&gt;&lt;D xsi:type="xsd:double"&gt;-4.375112&lt;/D&gt;&lt;D xsi:type="xsd:double"&gt;-3.273964&lt;/D&gt;&lt;D xsi:type="xsd:double"&gt;-0.40940642&lt;/D&gt;&lt;D xsi:type="xsd:double"&gt;-0.8803785&lt;/D&gt;&lt;D xsi:type="xsd:double"&gt;7.4130177&lt;/D&gt;&lt;D xsi:type="xsd:double"&gt;1.1889458&lt;/D&gt;&lt;D xsi:type="xsd:double"&gt;11.721849&lt;/D&gt;&lt;D xsi:type="xsd:double"&gt;9.379387&lt;/D&gt;&lt;D xsi:type="xsd:double"&gt;16.719936&lt;/D&gt;&lt;D xsi:type="xsd:double"&gt;22.53505&lt;/D&gt;&lt;D xsi:type="xsd:double"&gt;15.90929&lt;/D&gt;&lt;D xsi:type="xsd:double"&gt;6.9146633&lt;/D&gt;&lt;D xsi:type="xsd:double"&gt;11.364519&lt;/D&gt;&lt;D xsi:type="xsd:double"&gt;4.579401&lt;/D&gt;&lt;D xsi:type="xsd:double"&gt;5.7022095&lt;/D&gt;&lt;D xsi:type="xsd:double"&gt;9.979129&lt;/D&gt;&lt;D xsi:type="xsd:double"&gt;9.47423&lt;/D&gt;&lt;/FQL&gt;&lt;FQL&gt;&lt;Q&gt;EWJ^FG_TOTAL_RETURNC(-10AY,0,AM)&lt;/Q&gt;&lt;R&gt;121&lt;/R&gt;&lt;C&gt;1&lt;/C&gt;&lt;D xsi:type="xsd:double"&gt;-2.2687614&lt;/D&gt;&lt;D xsi:type="xsd:double"&gt;4.642856&lt;/D&gt;&lt;D xsi:type="xsd:double"&gt;4.979837&lt;/D&gt;&lt;D xsi:type="xsd:double"&gt;-1.8821657&lt;/D&gt;&lt;D xsi:type="xsd:double"&gt;-0.5838156&lt;/D&gt;&lt;D xsi:type="xsd:double"&gt;-4.6979904&lt;/D&gt;&lt;D xsi:type="xsd:double"&gt;6.161976&lt;/D&gt;&lt;D xsi:type="xsd:double"&gt;-2.363193&lt;/D&gt;&lt;D xsi:type="xsd:double"&gt;-3.8109303&lt;/D&gt;&lt;D xsi:type="xsd:double"&gt;3.1083465&lt;/D&gt;&lt;D xsi:type="xsd:double"&gt;6.6322207&lt;/D&gt;&lt;D xsi:type="xsd:double"&gt;2.5040388&lt;/D&gt;&lt;D xsi:type="xsd:double"&gt;2.6004791&lt;/D&gt;&lt;D xsi:type="xsd:double"&gt;0.46082735&lt;/D&gt;&lt;D xsi:type="xsd:double"&gt;-0.87857246&lt;/D&gt;&lt;D xsi:type="xsd:double"&gt;0.2325654&lt;/D&gt;&lt;D xsi:type="xsd:double"&gt;-8.894051&lt;/D&gt;&lt;D xsi:type="xsd:double"&gt;-1.1035681&lt;/D&gt;&lt;D xsi:type="xsd:double"&gt;6.523609&lt;/D&gt;&lt;D xsi:type="xsd:double"&gt;0.48348904&lt;/D&gt;&lt;D xsi:type="xsd:double"&gt;-2.0991802&lt;/D&gt;&lt;D xsi:type="xsd:double"&gt;-6.6831646&lt;/D&gt;&lt;D xsi:type="xsd:double"&gt;0.08840561&lt;/D&gt;&lt;D xsi:type="xsd:double"&gt;-1.678443&lt;/D&gt;&lt;D xsi:type="xsd:double"&gt;4.4923663&lt;/D&gt;&lt;D xsi:type="xsd:double"&gt;0.4299283&lt;/D&gt;&lt;D xsi:type="xsd:double"&gt;-0.93241334&lt;/D&gt;&lt;D xsi:type="xsd:double"&gt;4.094076&lt;/D&gt;&lt;D xsi:type="xsd:double"&gt;4.267788&lt;/D&gt;&lt;D xsi:type="xsd:double"&gt;0.6420493&lt;/D&gt;&lt;D xsi:type="xsd:double"&gt;-0.31898022&lt;/D&gt;&lt;D xsi:type="xsd:double"&gt;-0.76000094&lt;/D&gt;&lt;D xsi:type="xsd:double"&gt;-0.37673116&lt;/D&gt;&lt;D xsi:type="xsd:double"&gt;4.011464&lt;/D&gt;&lt;D xsi:type="xsd:double"&gt;1.023221&lt;/D&gt;&lt;D xsi:type="xsd:double"&gt;0.31164885&lt;/D&gt;&lt;D xsi:type="xsd:double"&gt;1.3980627&lt;/D&gt;&lt;D xsi:type="xsd:double"&gt;5.1321387&lt;/D&gt;&lt;D xsi:type="xsd:double"&gt;-1.6473353&lt;/D&gt;&lt;D xsi:type="xsd:double"&gt;2.6095033&lt;/D&gt;&lt;D xsi:type="xsd:double"&gt;-1.0172546&lt;/D&gt;&lt;D xsi:type="xsd:double"&gt;2.2389412&lt;/D&gt;&lt;D xsi:type="xsd:double"&gt;5.995333&lt;/D&gt;&lt;D xsi:type="xsd:double"&gt;0.99915266&lt;/D&gt;&lt;D xsi:type="xsd:double"&gt;1.7672181&lt;/D&gt;&lt;D xsi:type="xsd:double"&gt;3.3670545&lt;/D&gt;&lt;D xsi:type="xsd:double"&gt;-3.770858&lt;/D&gt;&lt;D xsi:type="xsd:double"&gt;-0.85042715&lt;/D&gt;&lt;D xsi:type="xsd:double"&gt;1.2949944&lt;/D&gt;&lt;D xsi:type="xsd:double"&gt;-0.13282299&lt;/D&gt;&lt;D xsi:type="xsd:double"&gt;-4.5115113&lt;/D&gt;&lt;D xsi:type="xsd:double"&gt;2.7899623&lt;/D&gt;&lt;D xsi:type="xsd:double"&gt;-0.6145477&lt;/D&gt;&lt;D xsi:type="xsd:double"&gt;3.9161801&lt;/D&gt;&lt;D xsi:type="xsd:double"&gt;-9.05785&lt;/D&gt;&lt;D xsi:type="xsd:double"&gt;0.5816102&lt;/D&gt;&lt;D xsi:type="xsd:double"&gt;-7.0548296&lt;/D&gt;&lt;D xsi:type="xsd:double"&gt;5.9169292&lt;/D&gt;&lt;D xsi:type="xsd:double"&gt;0.850904&lt;/D&gt;&lt;D xsi:type="xsd:double"&gt;0.9354353&lt;/D&gt;&lt;D xsi:type="xsd:double"&gt;0.39978027&lt;/D&gt;&lt;D xsi:type="xsd:double"&gt;-4.5791807&lt;/D&gt;&lt;D xsi:type="xsd:double"&gt;6.2863827&lt;/D&gt;&lt;D xsi:type="xsd:double"&gt;-2.6472151&lt;/D&gt;&lt;D xsi:type="xsd:double"&gt;-0.25897622&lt;/D&gt;&lt;D xsi:type="xsd:double"&gt;3.4681082&lt;/D&gt;&lt;D xsi:type="xsd:double"&gt;6.2197447&lt;/D&gt;&lt;D xsi:type="xsd:double"&gt;0.084376335&lt;/D&gt;&lt;D xsi:type="xsd:double"&gt;2.1259189&lt;/D&gt;&lt;D xsi:type="xsd:double"&gt;-3.5248935&lt;/D&gt;&lt;D xsi:type="xsd:double"&gt;-7.134199&lt;/D&gt;&lt;D xsi:type="xsd:double"&gt;-11.169124&lt;/D&gt;&lt;D xsi:type="xsd:double"&gt;6.738031&lt;/D&gt;&lt;D xsi:type="xsd:double"&gt;11.111116&lt;/D&gt;&lt;D xsi:type="xsd:double"&gt;-1.5711367&lt;/D&gt;&lt;D xsi:type="xsd:double"&gt;-1.5225589&lt;/D&gt;&lt;D xsi:type="xsd:double"&gt;8.153868&lt;/D&gt;&lt;D xsi:type="xsd:double"&gt;0.05105734&lt;/D&gt;&lt;D xsi:type="xsd:double"&gt;0.10205507&lt;/D&gt;&lt;D xsi:type="xsd:double"&gt;11.469841&lt;/D&gt;&lt;D xsi:type="xsd:double"&gt;3.3913732&lt;/D&gt;&lt;D xsi:type="xsd:double"&gt;0.991714&lt;/D&gt;&lt;D xsi:type="xsd:double"&gt;0.6448746&lt;/D&gt;&lt;D xsi:type="xsd:double"&gt;0.68444014&lt;/D&gt;&lt;D xsi:type="xsd:double"&gt;-2.4877071&lt;/D&gt;&lt;D xsi:type="xsd:double"&gt;2.017212&lt;/D&gt;&lt;D xsi:type="xsd:double"&gt;-0.5401671&lt;/D&gt;&lt;D xsi:type="xsd:double"&gt;-0.2208829&lt;/D&gt;&lt;D xsi:type="xsd:double"&gt;3.054905&lt;/D&gt;&lt;D xsi:type="xsd:double"&gt;0.14320612&lt;/D&gt;&lt;D xsi:type="xsd:double"&gt;-0.8294046&lt;/D&gt;&lt;D xsi:type="xsd:double"&gt;-3.4318626&lt;/D&gt;&lt;D xsi:type="xsd:double"&gt;1.3126254&lt;/D&gt;&lt;D xsi:type="xsd:double"&gt;-2.807641&lt;/D&gt;&lt;D xsi:type="xsd:double"&gt;-4.287034&lt;/D&gt;&lt;D xsi:type="xsd:double"&gt;-0.5779445&lt;/D&gt;&lt;D xsi:type="xsd:double"&gt;-8.606493&lt;/D&gt;&lt;D xsi:type="xsd:double"&gt;2.8621912&lt;/D&gt;&lt;D xsi:type="xsd:double"&gt;-7.988673&lt;/D&gt;&lt;D xsi:type="xsd:double"&gt;5.164945&lt;/D&gt;&lt;D xsi:type="xsd:double"&gt;-6.130135&lt;/D&gt;&lt;D xsi:type="xsd:double"&gt;-6.721407&lt;/D&gt;&lt;D xsi:type="xsd:double"&gt;2.43603&lt;/D&gt;&lt;D xsi:type="xsd:double"&gt;11.770582&lt;/D&gt;&lt;D xsi:type="xsd:double"&gt;-2.4477184&lt;/D&gt;&lt;D xsi:type="xsd:double"&gt;7.8802347&lt;/D&gt;&lt;D xsi:type="xsd:double"&gt;-4.495144&lt;/D&gt;&lt;D xsi:type="xsd:double"&gt;4.6354055&lt;/D&gt;&lt;D xsi:type="xsd:double"&gt;-0.6985843&lt;/D&gt;&lt;D xsi:type="xsd:double"&gt;6.382978&lt;/D&gt;&lt;D xsi:type="xsd:double"&gt;0.5435467&lt;/D&gt;&lt;D xsi:type="xsd:double"&gt;-0.6623566&lt;/D&gt;&lt;D xsi:type="xsd:double"&gt;0.89445114&lt;/D&gt;&lt;D xsi:type="xsd:double"&gt;-3.6589324&lt;/D&gt;&lt;D xsi:type="xsd:double"&gt;1.974237&lt;/D&gt;&lt;D xsi:type="xsd:double"&gt;3.7079573&lt;/D&gt;&lt;D xsi:type="xsd:double"&gt;1.9710183&lt;/D&gt;&lt;D xsi:type="xsd:double"&gt;4.6412826&lt;/D&gt;&lt;D xsi:type="xsd:double"&gt;5.7434916&lt;/D&gt;&lt;D xsi:type="xsd:double"&gt;-0.5829692&lt;/D&gt;&lt;D xsi:type="xsd:double"&gt;-2.0737946&lt;/D&gt;&lt;/FQL&gt;&lt;FQL&gt;&lt;Q&gt;EWC^FMA_DIV_YLD(NTMA,-10AY,0,AM,"PORTAGG","MEANR")&lt;/Q&gt;&lt;R&gt;121&lt;/R&gt;&lt;C&gt;1&lt;/C&gt;&lt;D xsi:type="xsd:double"&gt;2.84969097558561&lt;/D&gt;&lt;D xsi:type="xsd:double"&gt;2.88478154461406&lt;/D&gt;&lt;D xsi:type="xsd:double"&gt;2.79585126648681&lt;/D&gt;&lt;D xsi:type="xsd:double"&gt;2.80101167644883&lt;/D&gt;&lt;D xsi:type="xsd:double"&gt;2.75143910510107&lt;/D&gt;&lt;D xsi:type="xsd:double"&gt;2.92040184126549&lt;/D&gt;&lt;D xsi:type="xsd:double"&gt;2.96281853899497&lt;/D&gt;&lt;D xsi:type="xsd:double"&gt;2.95372085082577&lt;/D&gt;&lt;D xsi:type="xsd:double"&gt;2.90627132915346&lt;/D&gt;&lt;D xsi:type="xsd:double"&gt;2.91054655528061&lt;/D&gt;&lt;D xsi:type="xsd:double"&gt;2.84309607200912&lt;/D&gt;&lt;D xsi:type="xsd:double"&gt;2.88985059263069&lt;/D&gt;&lt;D xsi:type="xsd:double"&gt;2.82023525804275&lt;/D&gt;&lt;D xsi:type="xsd:double"&gt;2.88372091982036&lt;/D&gt;&lt;D xsi:type="xsd:double"&gt;3.0015151753047&lt;/D&gt;&lt;D xsi:type="xsd:double"&gt;3.06299969268628&lt;/D&gt;&lt;D xsi:type="xsd:double"&gt;3.23492646176026&lt;/D&gt;&lt;D xsi:type="xsd:double"&gt;3.30547131549187&lt;/D&gt;&lt;D xsi:type="xsd:double"&gt;3.24429936640123&lt;/D&gt;&lt;D xsi:type="xsd:double"&gt;3.28326743858127&lt;/D&gt;&lt;D xsi:type="xsd:double"&gt;3.3535405693637&lt;/D&gt;&lt;D xsi:type="xsd:double"&gt;3.47083007580482&lt;/D&gt;&lt;D xsi:type="xsd:double"&gt;3.30079009364775&lt;/D&gt;&lt;D xsi:type="xsd:double"&gt;3.16722468171465&lt;/D&gt;&lt;D xsi:type="xsd:double"&gt;3.0724359040935&lt;/D&gt;&lt;D xsi:type="xsd:double"&gt;3.02914062491423&lt;/D&gt;&lt;D xsi:type="xsd:double"&gt;3.0768974137006&lt;/D&gt;&lt;D xsi:type="xsd:double"&gt;3.00146346642825&lt;/D&gt;&lt;D xsi:type="xsd:double"&gt;2.93570045645377&lt;/D&gt;&lt;D xsi:type="xsd:double"&gt;2.93724662923556&lt;/D&gt;&lt;D xsi:type="xsd:double"&gt;2.96872455879563&lt;/D&gt;&lt;D xsi:type="xsd:double"&gt;2.88509080898664&lt;/D&gt;&lt;D xsi:type="xsd:double"&gt;2.84844159413114&lt;/D&gt;&lt;D xsi:type="xsd:double"&gt;2.83830669132128&lt;/D&gt;&lt;D xsi:type="xsd:double"&gt;2.88973114153037&lt;/D&gt;&lt;D xsi:type="xsd:double"&gt;2.91893378364749&lt;/D&gt;&lt;D xsi:type="xsd:double"&gt;2.93076271220366&lt;/D&gt;&lt;D xsi:type="xsd:double"&gt;2.97949800928306&lt;/D&gt;&lt;D xsi:type="xsd:double"&gt;3.04960316508655&lt;/D&gt;&lt;D xsi:type="xsd:double"&gt;3.01976467845428&lt;/D&gt;&lt;D xsi:type="xsd:double"&gt;3.0708359150307&lt;/D&gt;&lt;D xsi:type="xsd:double"&gt;2.9692017387422&lt;/D&gt;&lt;D xsi:type="xsd:double"&gt;2.91756169639179&lt;/D&gt;&lt;D xsi:type="xsd:double"&gt;2.91855330962318&lt;/D&gt;&lt;D xsi:type="xsd:double"&gt;2.90348506612935&lt;/D&gt;&lt;D xsi:type="xsd:double"&gt;3.03444594585367&lt;/D&gt;&lt;D xsi:type="xsd:double"&gt;3.16644044857663&lt;/D&gt;&lt;D xsi:type="xsd:double"&gt;3.22364819204791&lt;/D&gt;&lt;D xsi:type="xsd:double"&gt;3.15250510670303&lt;/D&gt;&lt;D xsi:type="xsd:double"&gt;3.09338401957996&lt;/D&gt;&lt;D xsi:type="xsd:double"&gt;3.06790652248922&lt;/D&gt;&lt;D xsi:type="xsd:double"&gt;3.07186587825701&lt;/D&gt;&lt;D xsi:type="xsd:double"&gt;3.12182649824625&lt;/D&gt;&lt;D xsi:type="xsd:double"&gt;3.18519727030284&lt;/D&gt;&lt;D xsi:type="xsd:double"&gt;3.38607122550708&lt;/D&gt;&lt;D xsi:type="xsd:double"&gt;3.39016347737641&lt;/D&gt;&lt;D xsi:type="xsd:double"&gt;3.58766826398781&lt;/D&gt;&lt;D xsi:type="xsd:double"&gt;3.34214490413316&lt;/D&gt;&lt;D xsi:type="xsd:double"&gt;3.26225225955191&lt;/D&gt;&lt;D xsi:type="xsd:double"&gt;3.24307349729429&lt;/D&gt;&lt;D xsi:type="xsd:double"&gt;3.22363112660497&lt;/D&gt;&lt;D xsi:type="xsd:double"&gt;3.38181444492034&lt;/D&gt;&lt;D xsi:type="xsd:double"&gt;3.30630109666145&lt;/D&gt;&lt;D xsi:type="xsd:double"&gt;3.38638358154247&lt;/D&gt;&lt;D xsi:type="xsd:double"&gt;3.39213479429931&lt;/D&gt;&lt;D xsi:type="xsd:double"&gt;3.41097195136919&lt;/D&gt;&lt;D xsi:type="xsd:double"&gt;3.33781596411931&lt;/D&gt;&lt;D xsi:type="xsd:double"&gt;3.25948031531914&lt;/D&gt;&lt;D xsi:type="xsd:double"&gt;3.25503683539332&lt;/D&gt;&lt;D xsi:type="xsd:double"&gt;3.28104813208702&lt;/D&gt;&lt;D xsi:type="xsd:double"&gt;3.46625774041073&lt;/D&gt;&lt;D xsi:type="xsd:double"&gt;4.39243585729646&lt;/D&gt;&lt;D xsi:type="xsd:double"&gt;3.9094621829445&lt;/D&gt;&lt;D xsi:type="xsd:double"&gt;3.57036127669383&lt;/D&gt;&lt;D xsi:type="xsd:double"&gt;3.52630010189897&lt;/D&gt;&lt;D xsi:type="xsd:double"&gt;3.42456448502804&lt;/D&gt;&lt;D xsi:type="xsd:double"&gt;3.31249130221622&lt;/D&gt;&lt;D xsi:type="xsd:double"&gt;3.4366620525085&lt;/D&gt;&lt;D xsi:type="xsd:double"&gt;3.54017065671096&lt;/D&gt;&lt;D xsi:type="xsd:double"&gt;3.16291877120696&lt;/D&gt;&lt;D xsi:type="xsd:double"&gt;3.13893857768554&lt;/D&gt;&lt;D xsi:type="xsd:double"&gt;3.0482062390617&lt;/D&gt;&lt;D xsi:type="xsd:double"&gt;2.90749496295012&lt;/D&gt;&lt;D xsi:type="xsd:double"&gt;2.80258135035122&lt;/D&gt;&lt;D xsi:type="xsd:double"&gt;2.76250451755712&lt;/D&gt;&lt;D xsi:type="xsd:double"&gt;2.60765425493801&lt;/D&gt;&lt;D xsi:type="xsd:double"&gt;2.70419184812494&lt;/D&gt;&lt;D xsi:type="xsd:double"&gt;2.7140736131751&lt;/D&gt;&lt;D xsi:type="xsd:double"&gt;2.71535956306352&lt;/D&gt;&lt;D xsi:type="xsd:double"&gt;2.82619889777818&lt;/D&gt;&lt;D xsi:type="xsd:double"&gt;2.72821861784772&lt;/D&gt;&lt;D xsi:type="xsd:double"&gt;2.84293091226789&lt;/D&gt;&lt;D xsi:type="xsd:double"&gt;2.78733273169164&lt;/D&gt;&lt;D xsi:type="xsd:double"&gt;2.78976243651954&lt;/D&gt;&lt;D xsi:type="xsd:double"&gt;2.85401595147704&lt;/D&gt;&lt;D xsi:type="xsd:double"&gt;2.8310748335118&lt;/D&gt;&lt;D xsi:type="xsd:double"&gt;3.07526024983556&lt;/D&gt;&lt;D xsi:type="xsd:double"&gt;3.06515971773465&lt;/D&gt;&lt;D xsi:type="xsd:double"&gt;3.42241268976922&lt;/D&gt;&lt;D xsi:type="xsd:double"&gt;3.35240848627012&lt;/D&gt;&lt;D xsi:type="xsd:double"&gt;3.47749931269678&lt;/D&gt;&lt;D xsi:type="xsd:double"&gt;3.63468459642186&lt;/D&gt;&lt;D xsi:type="xsd:double"&gt;3.47106714757236&lt;/D&gt;&lt;D xsi:type="xsd:double"&gt;3.28170113423955&lt;/D&gt;&lt;D xsi:type="xsd:double"&gt;3.4707922433344&lt;/D&gt;&lt;D xsi:type="xsd:double"&gt;3.2582071849942&lt;/D&gt;&lt;D xsi:type="xsd:double"&gt;3.30669735738589&lt;/D&gt;&lt;D xsi:type="xsd:double"&gt;3.34635251017124&lt;/D&gt;&lt;D xsi:type="xsd:double"&gt;3.26811214152363&lt;/D&gt;&lt;D xsi:type="xsd:double"&gt;3.31108210263712&lt;/D&gt;&lt;D xsi:type="xsd:double"&gt;3.2521051096131&lt;/D&gt;&lt;D xsi:type="xsd:double"&gt;3.19994267465117&lt;/D&gt;&lt;D xsi:type="xsd:double"&gt;3.44666746952653&lt;/D&gt;&lt;D xsi:type="xsd:double"&gt;3.70262330092435&lt;/D&gt;&lt;D xsi:type="xsd:double"&gt;3.64832886421616&lt;/D&gt;&lt;D xsi:type="xsd:double"&gt;3.43959637829699&lt;/D&gt;&lt;D xsi:type="xsd:double"&gt;3.37097239367231&lt;/D&gt;&lt;D xsi:type="xsd:double"&gt;3.32573525324996&lt;/D&gt;&lt;D xsi:type="xsd:double"&gt;3.22405680013889&lt;/D&gt;&lt;D xsi:type="xsd:double"&gt;3.11123453239427&lt;/D&gt;&lt;D xsi:type="xsd:double"&gt;3.14188973242987&lt;/D&gt;&lt;/FQL&gt;&lt;FQL&gt;&lt;Q&gt;ENZL^FMA_PE(NTMA,-10AY,0,AM,"PORTAGG","MEANR")&lt;/Q&gt;&lt;R&gt;121&lt;/R&gt;&lt;C&gt;1&lt;/C&gt;&lt;D xsi:type="xsd:double"&gt;17.7327766438296&lt;/D&gt;&lt;D xsi:type="xsd:double"&gt;17.2318324254707&lt;/D&gt;&lt;D xsi:type="xsd:double"&gt;17.2629819052731&lt;/D&gt;&lt;D xsi:type="xsd:double"&gt;17.0318048653562&lt;/D&gt;&lt;D xsi:type="xsd:double"&gt;17.2683823358289&lt;/D&gt;&lt;D xsi:type="xsd:double"&gt;17.1030976426569&lt;/D&gt;&lt;D xsi:type="xsd:double"&gt;17.6075494605871&lt;/D&gt;&lt;D xsi:type="xsd:double"&gt;17.8298016138622&lt;/D&gt;&lt;D xsi:type="xsd:double"&gt;18.3613013678912&lt;/D&gt;&lt;D xsi:type="xsd:double"&gt;19.0301964707759&lt;/D&gt;&lt;D xsi:type="xsd:double"&gt;19.3327779272723&lt;/D&gt;&lt;D xsi:type="xsd:double"&gt;18.4899205739579&lt;/D&gt;&lt;D xsi:type="xsd:double"&gt;18.319896868662&lt;/D&gt;&lt;D xsi:type="xsd:double"&gt;18.4427739911964&lt;/D&gt;&lt;D xsi:type="xsd:double"&gt;18.2289772582524&lt;/D&gt;&lt;D xsi:type="xsd:double"&gt;18.3374247523085&lt;/D&gt;&lt;D xsi:type="xsd:double"&gt;17.3698472958226&lt;/D&gt;&lt;D xsi:type="xsd:double"&gt;16.9700635398646&lt;/D&gt;&lt;D xsi:type="xsd:double"&gt;18.0225050684037&lt;/D&gt;&lt;D xsi:type="xsd:double"&gt;18.2413498091375&lt;/D&gt;&lt;D xsi:type="xsd:double"&gt;18.2879518587097&lt;/D&gt;&lt;D xsi:type="xsd:double"&gt;17.4588365002923&lt;/D&gt;&lt;D xsi:type="xsd:double"&gt;17.7172957154342&lt;/D&gt;&lt;D xsi:type="xsd:double"&gt;18.4156126192307&lt;/D&gt;&lt;D xsi:type="xsd:double"&gt;18.6496840455409&lt;/D&gt;&lt;D xsi:type="xsd:double"&gt;19.4661065923048&lt;/D&gt;&lt;D xsi:type="xsd:double"&gt;19.059687665176&lt;/D&gt;&lt;D xsi:type="xsd:double"&gt;20.1758045538972&lt;/D&gt;&lt;D xsi:type="xsd:double"&gt;20.6958794495932&lt;/D&gt;&lt;D xsi:type="xsd:double"&gt;20.2681896418316&lt;/D&gt;&lt;D xsi:type="xsd:double"&gt;18.6356985797006&lt;/D&gt;&lt;D xsi:type="xsd:double"&gt;18.7150183102484&lt;/D&gt;&lt;D xsi:type="xsd:double"&gt;18.4825680079845&lt;/D&gt;&lt;D xsi:type="xsd:double"&gt;18.950504977051&lt;/D&gt;&lt;D xsi:type="xsd:double"&gt;18.3471831750548&lt;/D&gt;&lt;D xsi:type="xsd:double"&gt;19.0001722152101&lt;/D&gt;&lt;D xsi:type="xsd:double"&gt;19.5751964291431&lt;/D&gt;&lt;D xsi:type="xsd:double"&gt;19.4809545927608&lt;/D&gt;&lt;D xsi:type="xsd:double"&gt;19.5189489585176&lt;/D&gt;&lt;D xsi:type="xsd:double"&gt;19.8345537839035&lt;/D&gt;&lt;D xsi:type="xsd:double"&gt;19.9205763536595&lt;/D&gt;&lt;D xsi:type="xsd:double"&gt;19.7701624227718&lt;/D&gt;&lt;D xsi:type="xsd:double"&gt;20.3137661841577&lt;/D&gt;&lt;D xsi:type="xsd:double"&gt;20.2190870835144&lt;/D&gt;&lt;D xsi:type="xsd:double"&gt;20.9136233466115&lt;/D&gt;&lt;D xsi:type="xsd:double"&gt;20.9643662464545&lt;/D&gt;&lt;D xsi:type="xsd:double"&gt;20.254594308011&lt;/D&gt;&lt;D xsi:type="xsd:double"&gt;19.9390523176394&lt;/D&gt;&lt;D xsi:type="xsd:double"&gt;20.1937804807335&lt;/D&gt;&lt;D xsi:type="xsd:double"&gt;20.4909780057569&lt;/D&gt;&lt;D xsi:type="xsd:double"&gt;21.1095518812073&lt;/D&gt;&lt;D xsi:type="xsd:double"&gt;20.8547442618736&lt;/D&gt;&lt;D xsi:type="xsd:double"&gt;22.0706051942858&lt;/D&gt;&lt;D xsi:type="xsd:double"&gt;21.6086287726553&lt;/D&gt;&lt;D xsi:type="xsd:double"&gt;20.3149253120883&lt;/D&gt;&lt;D xsi:type="xsd:double"&gt;19.9671800715046&lt;/D&gt;&lt;D xsi:type="xsd:double"&gt;20.0279971038676&lt;/D&gt;&lt;D xsi:type="xsd:double"&gt;20.4586874128021&lt;/D&gt;&lt;D xsi:type="xsd:double"&gt;21.6303992254278&lt;/D&gt;&lt;D xsi:type="xsd:double"&gt;22.5353401369456&lt;/D&gt;&lt;D xsi:type="xsd:double"&gt;22.9531056356772&lt;/D&gt;&lt;D xsi:type="xsd:double"&gt;22.9748409037613&lt;/D&gt;&lt;D xsi:type="xsd:double"&gt;23.8773395308794&lt;/D&gt;&lt;D xsi:type="xsd:double"&gt;24.7241187918701&lt;/D&gt;&lt;D xsi:type="xsd:double"&gt;25.2753786879671&lt;/D&gt;&lt;D xsi:type="xsd:double"&gt;25.5146371836455&lt;/D&gt;&lt;D xsi:type="xsd:double"&gt;24.8057520303655&lt;/D&gt;&lt;D xsi:type="xsd:double"&gt;25.9187920712761&lt;/D&gt;&lt;D xsi:type="xsd:double"&gt;25.6708109996685&lt;/D&gt;&lt;D xsi:type="xsd:double"&gt;26.1755926613488&lt;/D&gt;&lt;D xsi:type="xsd:double"&gt;25.2709246185429&lt;/D&gt;&lt;D xsi:type="xsd:double"&gt;25.2227218050165&lt;/D&gt;&lt;D xsi:type="xsd:double"&gt;28.8627775748999&lt;/D&gt;&lt;D xsi:type="xsd:double"&gt;30.0767687154568&lt;/D&gt;&lt;D xsi:type="xsd:double"&gt;31.1429880652595&lt;/D&gt;&lt;D xsi:type="xsd:double"&gt;31.9189685382122&lt;/D&gt;&lt;D xsi:type="xsd:double"&gt;32.6812272103391&lt;/D&gt;&lt;D xsi:type="xsd:double"&gt;31.9539882573779&lt;/D&gt;&lt;D xsi:type="xsd:double"&gt;32.4499820379399&lt;/D&gt;&lt;D xsi:type="xsd:double"&gt;33.0099543213906&lt;/D&gt;&lt;D xsi:type="xsd:double"&gt;34.2882844266682&lt;/D&gt;&lt;D xsi:type="xsd:double"&gt;33.1045216937494&lt;/D&gt;&lt;D xsi:type="xsd:double"&gt;32.2361648737912&lt;/D&gt;&lt;D xsi:type="xsd:double"&gt;32.1646560824619&lt;/D&gt;&lt;D xsi:type="xsd:double"&gt;32.4086247751355&lt;/D&gt;&lt;D xsi:type="xsd:double"&gt;32.8829320749395&lt;/D&gt;&lt;D xsi:type="xsd:double"&gt;34.2994539736844&lt;/D&gt;&lt;D xsi:type="xsd:double"&gt;33.8717702337698&lt;/D&gt;&lt;D xsi:type="xsd:double"&gt;35.0927217879808&lt;/D&gt;&lt;D xsi:type="xsd:double"&gt;34.5365152662787&lt;/D&gt;&lt;D xsi:type="xsd:double"&gt;33.4978311028024&lt;/D&gt;&lt;D xsi:type="xsd:double"&gt;31.5417853037102&lt;/D&gt;&lt;D xsi:type="xsd:double"&gt;32.3350031307077&lt;/D&gt;&lt;D xsi:type="xsd:double"&gt;30.2686006900306&lt;/D&gt;&lt;D xsi:type="xsd:double"&gt;29.159376613503&lt;/D&gt;&lt;D xsi:type="xsd:double"&gt;29.4533379080064&lt;/D&gt;&lt;D xsi:type="xsd:double"&gt;28.6022013733864&lt;/D&gt;&lt;D xsi:type="xsd:double"&gt;26.8645630444818&lt;/D&gt;&lt;D xsi:type="xsd:double"&gt;25.335570939777&lt;/D&gt;&lt;D xsi:type="xsd:double"&gt;26.3154642707003&lt;/D&gt;&lt;D xsi:type="xsd:double"&gt;27.0887216417372&lt;/D&gt;&lt;D xsi:type="xsd:double"&gt;24.0408495534085&lt;/D&gt;&lt;D xsi:type="xsd:double"&gt;23.6397489457317&lt;/D&gt;&lt;D xsi:type="xsd:double"&gt;23.4701979612872&lt;/D&gt;&lt;D xsi:type="xsd:double"&gt;23.0087732743656&lt;/D&gt;&lt;D xsi:type="xsd:double"&gt;24.3882408183024&lt;/D&gt;&lt;D xsi:type="xsd:double"&gt;23.8027661420065&lt;/D&gt;&lt;D xsi:type="xsd:double"&gt;23.3553361619522&lt;/D&gt;&lt;D xsi:type="xsd:double"&gt;23.7424149656182&lt;/D&gt;&lt;D xsi:type="xsd:double"&gt;21.1567770376368&lt;/D&gt;&lt;D xsi:type="xsd:double"&gt;20.9845942104727&lt;/D&gt;&lt;D xsi:type="xsd:double"&gt;21.00612948063&lt;/D&gt;&lt;D xsi:type="xsd:double"&gt;20.8795334368409&lt;/D&gt;&lt;D xsi:type="xsd:double"&gt;20.1054258780416&lt;/D&gt;&lt;D xsi:type="xsd:double"&gt;19.9523822157301&lt;/D&gt;&lt;D xsi:type="xsd:double"&gt;21.6678504109475&lt;/D&gt;&lt;D xsi:type="xsd:double"&gt;22.9528219771152&lt;/D&gt;&lt;D xsi:type="xsd:double"&gt;22.4469699971523&lt;/D&gt;&lt;D xsi:type="xsd:double"&gt;24.6802411030537&lt;/D&gt;&lt;D xsi:type="xsd:double"&gt;25.3580546153602&lt;/D&gt;&lt;D xsi:type="xsd:double"&gt;25.2619078556493&lt;/D&gt;&lt;/FQL&gt;&lt;FQL&gt;&lt;Q&gt;PASP-FDS^MAX(FG_PRICE(0,-5AY))&lt;/Q&gt;&lt;R&gt;1&lt;/R&gt;&lt;C&gt;1&lt;/C&gt;&lt;D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xsi:type="xsd:double"&gt;14.2525&lt;/D&gt;&lt;/FQL&gt;&lt;FQL&gt;&lt;Q&gt;FC0000JP^FG_PRICE(0)&lt;/Q&gt;&lt;R&gt;1&lt;/R&gt;&lt;C&gt;1&lt;/C&gt;&lt;D xsi:type="xsd:double"&gt;174.45685&lt;/D&gt;&lt;/FQL&gt;&lt;FQL&gt;&lt;Q&gt;FC0000NZ^FG_PRICE(0)&lt;/Q&gt;&lt;R&gt;1&lt;/R&gt;&lt;C&gt;1&lt;/C&gt;&lt;D xsi:type="xsd:double"&gt;377.7309&lt;/D&gt;&lt;/FQL&gt;&lt;FQL&gt;&lt;Q&gt;EWQ^FG_PRICE_MAVG(0,,,,200)&lt;/Q&gt;&lt;R&gt;1&lt;/R&gt;&lt;C&gt;1&lt;/C&gt;&lt;D xsi:type="xsd:double"&gt;38.176075&lt;/D&gt;&lt;/FQL&gt;&lt;FQL&gt;&lt;Q&gt;EWL^FG_PRICE_MAVG(0,,,,200)&lt;/Q&gt;&lt;R&gt;1&lt;/R&gt;&lt;C&gt;1&lt;/C&gt;&lt;D xsi:type="xsd:double"&gt;45.93245&lt;/D&gt;&lt;/FQL&gt;&lt;FQL&gt;&lt;Q&gt;EWA^FG_PRICE_MAVG(0,,,,200)&lt;/Q&gt;&lt;R&gt;1&lt;/R&gt;&lt;C&gt;1&lt;/C&gt;&lt;D xsi:type="xsd:double"&gt;22.89575&lt;/D&gt;&lt;/FQL&gt;&lt;FQL&gt;&lt;Q&gt;SPY^P_PRICE(0)/P_PRICE_LOW_PR(0,,,,,,"PRICE","INTRA","52W")-1&lt;/Q&gt;&lt;R&gt;1&lt;/R&gt;&lt;C&gt;1&lt;/C&gt;&lt;D xsi:type="xsd:double"&gt;0.2508793&lt;/D&gt;&lt;/FQL&gt;&lt;FQL&gt;&lt;Q&gt;SPY^FMA_COS_DOWN("EPS","1M",+1,0,,,"PORTAGG","MEANR")&lt;/Q&gt;&lt;R&gt;1&lt;/R&gt;&lt;C&gt;1&lt;/C&gt;&lt;D xsi:type="xsd:double"&gt;201&lt;/D&gt;&lt;/FQL&gt;&lt;FQL&gt;&lt;Q&gt;EWG^FMA_COS_UP("EPS","1M",+1,0,,,"PORTAGG","MEANR")&lt;/Q&gt;&lt;R&gt;1&lt;/R&gt;&lt;C&gt;1&lt;/C&gt;&lt;D xsi:type="xsd:double"&gt;28&lt;/D&gt;&lt;/FQL&gt;&lt;FQL&gt;&lt;Q&gt;ENZL^FG_ROE(0)&lt;/Q&gt;&lt;R&gt;1&lt;/R&gt;&lt;C&gt;1&lt;/C&gt;&lt;D xsi:type="xsd:double"&gt;5.61512618281636&lt;/D&gt;&lt;/FQL&gt;&lt;FQL&gt;&lt;Q&gt;REFSEREPO-FDS^PROPER_NAME(0,,,"SECURITY","NAME")&lt;/Q&gt;&lt;R&gt;1&lt;/R&gt;&lt;C&gt;1&lt;/C&gt;&lt;D xsi:type="xsd:string"&gt;Sweden Repo Rate&lt;/D&gt;&lt;/FQL&gt;&lt;FQL&gt;&lt;Q&gt;REFNZOCR-FDS^FG_YIELD(NOW,,,0)&lt;/Q&gt;&lt;R&gt;1&lt;/R&gt;&lt;C&gt;1&lt;/C&gt;&lt;D xsi:type="xsd:double"&gt;5.5&lt;/D&gt;&lt;/FQL&gt;&lt;FQL&gt;&lt;Q&gt;TRYCH10Y-FDS^PCTCHG(FG_YIELD(0,,,,"YTM"),FG_YIELD(-3AM,,,,"YTM"))&lt;/Q&gt;&lt;R&gt;1&lt;/R&gt;&lt;C&gt;1&lt;/C&gt;&lt;D xsi:type="xsd:double"&gt;-13.434581&lt;/D&gt;&lt;/FQL&gt;&lt;FQL&gt;&lt;Q&gt;TRYSE10Y-FDS^FG_YIELD(0,,,,"YTM")&lt;/Q&gt;&lt;R&gt;1&lt;/R&gt;&lt;C&gt;1&lt;/C&gt;&lt;D xsi:type="xsd:double"&gt;2.507&lt;/D&gt;&lt;/FQL&gt;&lt;FQL&gt;&lt;Q&gt;TRYDE10Y-FDS^FG_YIELD(0,,,,"YTM")&lt;/Q&gt;&lt;R&gt;1&lt;/R&gt;&lt;C&gt;1&lt;/C&gt;&lt;D xsi:type="xsd:double"&gt;2.561&lt;/D&gt;&lt;/FQL&gt;&lt;FQL&gt;&lt;Q&gt;REFNZOCR-FDS^PROPER_NAME(0,,,"SECURITY","NAME")&lt;/Q&gt;&lt;R&gt;1&lt;/R&gt;&lt;C&gt;1&lt;/C&gt;&lt;D xsi:type="xsd:string"&gt;New Zealand Official Cash Rate&lt;/D&gt;&lt;/FQL&gt;&lt;FQL&gt;&lt;Q&gt;TRYCH10Y-FDS^PCTCHG(FG_YIELD(0,,,,"YTM"),FG_YIELD(-1AM,,,,"YTM"))&lt;/Q&gt;&lt;R&gt;1&lt;/R&gt;&lt;C&gt;1&lt;/C&gt;&lt;D xsi:type="xsd:double"&gt;1.6460938&lt;/D&gt;&lt;/FQL&gt;&lt;FQL&gt;&lt;Q&gt;W-FDS^FG_PRICE_CHANGE(0,-1AY)&lt;/Q&gt;&lt;R&gt;1&lt;/R&gt;&lt;C&gt;1&lt;/C&gt;&lt;D xsi:type="xsd:double"&gt;-1.51133501259446&lt;/D&gt;&lt;/FQL&gt;&lt;FQL&gt;&lt;Q&gt;SPY^FG_TOTAL_RETURNC(0,-6AM)&lt;/Q&gt;&lt;R&gt;1&lt;/R&gt;&lt;C&gt;1&lt;/C&gt;&lt;D xsi:type="xsd:double"&gt;18.08604&lt;/D&gt;&lt;/FQL&gt;&lt;FQL&gt;&lt;Q&gt;EWC^FMA_ROE(NTMA,-20AY,NOW,FY,"PORTAGG","MEANR")&lt;/Q&gt;&lt;R&gt;20&lt;/R&gt;&lt;C&gt;1&lt;/C&gt;&lt;D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xsi:type="xsd:string"&gt;@NA&lt;/D&gt;&lt;/FQL&gt;&lt;FQL&gt;&lt;Q&gt;REFCHMPR-FDS^FG_YIELD(NOW,,,0)&lt;/Q&gt;&lt;R&gt;1&lt;/R&gt;&lt;C&gt;1&lt;/C&gt;&lt;D xsi:type="xsd:double"&gt;1.5&lt;/D&gt;&lt;/FQL&gt;&lt;FQL&gt;&lt;Q&gt;CAGDPY@IT^EE_ACTUAL_ANNUAL(MED,+1)&lt;/Q&gt;&lt;R&gt;1&lt;/R&gt;&lt;C&gt;1&lt;/C&gt;&lt;D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xsi:type="xsd:double"&gt;5.698681&lt;/D&gt;&lt;/FQL&gt;&lt;FQL&gt;&lt;Q&gt;USDCHF^FG_PRICE_CHANGE(0,-1AY)&lt;/Q&gt;&lt;R&gt;1&lt;/R&gt;&lt;C&gt;1&lt;/C&gt;&lt;D xsi:type="xsd:double"&gt;2.129805&lt;/D&gt;&lt;/FQL&gt;&lt;FQL&gt;&lt;Q&gt;USDEUR^FG_PRICE_CHANGE(0,-1AY)&lt;/Q&gt;&lt;R&gt;1&lt;/R&gt;&lt;C&gt;1&lt;/C&gt;&lt;D xsi:type="xsd:double"&gt;2.7178764&lt;/D&gt;&lt;/FQL&gt;&lt;FQL&gt;&lt;Q&gt;USDAUD^FG_PRICE_CHANGE(0,-1AY)&lt;/Q&gt;&lt;R&gt;1&lt;/R&gt;&lt;C&gt;1&lt;/C&gt;&lt;D xsi:type="xsd:double"&gt;1.9123435&lt;/D&gt;&lt;/FQL&gt;&lt;FQL&gt;&lt;Q&gt;QQQ^FMA_EPS(NTMA,-20AY,0,CY,,"PORTAGG","MEANR")&lt;/Q&gt;&lt;R&gt;20&lt;/R&gt;&lt;C&gt;1&lt;/C&gt;&lt;D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xsi:type="xsd:double"&gt;16.3242218931405&lt;/D&gt;&lt;/FQL&gt;&lt;FQL&gt;&lt;Q&gt;EWL^P_PRICE_RETURNS_PR('52W',2,-10AY,0,AM)&lt;/Q&gt;&lt;R&gt;121&lt;/R&gt;&lt;C&gt;1&lt;/C&gt;&lt;D xsi:type="xsd:double"&gt;17.651249&lt;/D&gt;&lt;D xsi:type="xsd:double"&gt;20.865643&lt;/D&gt;&lt;D xsi:type="xsd:double"&gt;23.153841&lt;/D&gt;&lt;D xsi:type="xsd:double"&gt;11.044205&lt;/D&gt;&lt;D xsi:type="xsd:double"&gt;18.05241&lt;/D&gt;&lt;D xsi:type="xsd:double"&gt;4.5213103&lt;/D&gt;&lt;D xsi:type="xsd:double"&gt;2.822256&lt;/D&gt;&lt;D xsi:type="xsd:double"&gt;5.356574&lt;/D&gt;&lt;D xsi:type="xsd:double"&gt;0.13849735&lt;/D&gt;&lt;D xsi:type="xsd:double"&gt;2.3301125&lt;/D&gt;&lt;D xsi:type="xsd:double"&gt;-0.42222142&lt;/D&gt;&lt;D xsi:type="xsd:double"&gt;0.28125048&lt;/D&gt;&lt;D xsi:type="xsd:double"&gt;2.2106528&lt;/D&gt;&lt;D xsi:type="xsd:double"&gt;2.734208&lt;/D&gt;&lt;D xsi:type="xsd:double"&gt;-1.6312003&lt;/D&gt;&lt;D xsi:type="xsd:double"&gt;6.446469&lt;/D&gt;&lt;D xsi:type="xsd:double"&gt;-5.441123&lt;/D&gt;&lt;D xsi:type="xsd:double"&gt;-0.750196&lt;/D&gt;&lt;D xsi:type="xsd:double"&gt;1.597619&lt;/D&gt;&lt;D xsi:type="xsd:double"&gt;-3.8967073&lt;/D&gt;&lt;D xsi:type="xsd:double"&gt;0.28828382&lt;/D&gt;&lt;D xsi:type="xsd:double"&gt;-8.518952&lt;/D&gt;&lt;D xsi:type="xsd:double"&gt;-10.306417&lt;/D&gt;&lt;D xsi:type="xsd:double"&gt;-9.892124&lt;/D&gt;&lt;D xsi:type="xsd:double"&gt;-9.621215&lt;/D&gt;&lt;D xsi:type="xsd:double"&gt;-10.823011&lt;/D&gt;&lt;D xsi:type="xsd:double"&gt;-7.0082664&lt;/D&gt;&lt;D xsi:type="xsd:double"&gt;-9.68141&lt;/D&gt;&lt;D xsi:type="xsd:double"&gt;0.49598217&lt;/D&gt;&lt;D xsi:type="xsd:double"&gt;2.5278926&lt;/D&gt;&lt;D xsi:type="xsd:double"&gt;-7.565725&lt;/D&gt;&lt;D xsi:type="xsd:double"&gt;-6.367117&lt;/D&gt;&lt;D xsi:type="xsd:double"&gt;-4.4724345&lt;/D&gt;&lt;D xsi:type="xsd:double"&gt;9.981668&lt;/D&gt;&lt;D xsi:type="xsd:double"&gt;10.048676&lt;/D&gt;&lt;D xsi:type="xsd:double"&gt;10.500622&lt;/D&gt;&lt;D xsi:type="xsd:double"&gt;11.660337&lt;/D&gt;&lt;D xsi:type="xsd:double"&gt;18.078375&lt;/D&gt;&lt;D xsi:type="xsd:double"&gt;18.264568&lt;/D&gt;&lt;D xsi:type="xsd:double"&gt;18.21344&lt;/D&gt;&lt;D xsi:type="xsd:double"&gt;15.711641&lt;/D&gt;&lt;D xsi:type="xsd:double"&gt;17.289566&lt;/D&gt;&lt;D xsi:type="xsd:double"&gt;22.097958&lt;/D&gt;&lt;D xsi:type="xsd:double"&gt;27.407742&lt;/D&gt;&lt;D xsi:type="xsd:double"&gt;23.841583&lt;/D&gt;&lt;D xsi:type="xsd:double"&gt;21.918571&lt;/D&gt;&lt;D xsi:type="xsd:double"&gt;12.266958&lt;/D&gt;&lt;D xsi:type="xsd:double"&gt;8.302153&lt;/D&gt;&lt;D xsi:type="xsd:double"&gt;2.9583573&lt;/D&gt;&lt;D xsi:type="xsd:double"&gt;-1.8227816&lt;/D&gt;&lt;D xsi:type="xsd:double"&gt;-3.0793607&lt;/D&gt;&lt;D xsi:type="xsd:double"&gt;2.2712946&lt;/D&gt;&lt;D xsi:type="xsd:double"&gt;3.881967&lt;/D&gt;&lt;D xsi:type="xsd:double"&gt;1.162684&lt;/D&gt;&lt;D xsi:type="xsd:double"&gt;-1.4680624&lt;/D&gt;&lt;D xsi:type="xsd:double"&gt;-2.6792884&lt;/D&gt;&lt;D xsi:type="xsd:double"&gt;-10.234081&lt;/D&gt;&lt;D xsi:type="xsd:double"&gt;-8.714026&lt;/D&gt;&lt;D xsi:type="xsd:double"&gt;4.061687&lt;/D&gt;&lt;D xsi:type="xsd:double"&gt;7.555938&lt;/D&gt;&lt;D xsi:type="xsd:double"&gt;9.131765&lt;/D&gt;&lt;D xsi:type="xsd:double"&gt;10.795748&lt;/D&gt;&lt;D xsi:type="xsd:double"&gt;18.413984&lt;/D&gt;&lt;D xsi:type="xsd:double"&gt;9.807861&lt;/D&gt;&lt;D xsi:type="xsd:double"&gt;9.4134445&lt;/D&gt;&lt;D xsi:type="xsd:double"&gt;7.2757006&lt;/D&gt;&lt;D xsi:type="xsd:double"&gt;18.315304&lt;/D&gt;&lt;D xsi:type="xsd:double"&gt;19.14097&lt;/D&gt;&lt;D xsi:type="xsd:double"&gt;33.637203&lt;/D&gt;&lt;D xsi:type="xsd:double"&gt;24.781502&lt;/D&gt;&lt;D xsi:type="xsd:double"&gt;13.368368&lt;/D&gt;&lt;D xsi:type="xsd:double"&gt;0.8215904&lt;/D&gt;&lt;D xsi:type="xsd:double"&gt;2.9318213&lt;/D&gt;&lt;D xsi:type="xsd:double"&gt;10.569012&lt;/D&gt;&lt;D xsi:type="xsd:double"&gt;6.6479445&lt;/D&gt;&lt;D xsi:type="xsd:double"&gt;10.81258&lt;/D&gt;&lt;D xsi:type="xsd:double"&gt;15.40401&lt;/D&gt;&lt;D xsi:type="xsd:double"&gt;15.904558&lt;/D&gt;&lt;D xsi:type="xsd:double"&gt;3.9888263&lt;/D&gt;&lt;D xsi:type="xsd:double"&gt;13.211977&lt;/D&gt;&lt;D xsi:type="xsd:double"&gt;11.787022&lt;/D&gt;&lt;D xsi:type="xsd:double"&gt;11.787165&lt;/D&gt;&lt;D xsi:type="xsd:double"&gt;15.795398&lt;/D&gt;&lt;D xsi:type="xsd:double"&gt;32.477615&lt;/D&gt;&lt;D xsi:type="xsd:double"&gt;27.622772&lt;/D&gt;&lt;D xsi:type="xsd:double"&gt;28.116776&lt;/D&gt;&lt;D xsi:type="xsd:double"&gt;26.301552&lt;/D&gt;&lt;D xsi:type="xsd:double"&gt;26.812721&lt;/D&gt;&lt;D xsi:type="xsd:double"&gt;21.989859&lt;/D&gt;&lt;D xsi:type="xsd:double"&gt;15.659666&lt;/D&gt;&lt;D xsi:type="xsd:double"&gt;30.015396&lt;/D&gt;&lt;D xsi:type="xsd:double"&gt;16.784811&lt;/D&gt;&lt;D xsi:type="xsd:double"&gt;20.193804&lt;/D&gt;&lt;D xsi:type="xsd:double"&gt;13.759291&lt;/D&gt;&lt;D xsi:type="xsd:double"&gt;10.352707&lt;/D&gt;&lt;D xsi:type="xsd:double"&gt;12.176191&lt;/D&gt;&lt;D xsi:type="xsd:double"&gt;1.4484525&lt;/D&gt;&lt;D xsi:type="xsd:double"&gt;-5.3960443&lt;/D&gt;&lt;D xsi:type="xsd:double"&gt;-13.02101&lt;/D&gt;&lt;D xsi:type="xsd:double"&gt;-13.455927&lt;/D&gt;&lt;D xsi:type="xsd:double"&gt;-19.85411&lt;/D&gt;&lt;D xsi:type="xsd:double"&gt;-17.960316&lt;/D&gt;&lt;D xsi:type="xsd:double"&gt;-21.905064&lt;/D&gt;&lt;D xsi:type="xsd:double"&gt;-10.534376&lt;/D&gt;&lt;D xsi:type="xsd:double"&gt;-18.951529&lt;/D&gt;&lt;D xsi:type="xsd:double"&gt;-7.688528&lt;/D&gt;&lt;D xsi:type="xsd:double"&gt;-6.468421&lt;/D&gt;&lt;D xsi:type="xsd:double"&gt;-5.8153687&lt;/D&gt;&lt;D xsi:type="xsd:double"&gt;6.3113213&lt;/D&gt;&lt;D xsi:type="xsd:double"&gt;5.598259&lt;/D&gt;&lt;D xsi:type="xsd:double"&gt;13.766885&lt;/D&gt;&lt;D xsi:type="xsd:double"&gt;11.876715&lt;/D&gt;&lt;D xsi:type="xsd:double"&gt;17.080784&lt;/D&gt;&lt;D xsi:type="xsd:double"&gt;17.752325&lt;/D&gt;&lt;D xsi:type="xsd:double"&gt;13.769972&lt;/D&gt;&lt;D xsi:type="xsd:double"&gt;7.7215195&lt;/D&gt;&lt;D xsi:type="xsd:double"&gt;16.924513&lt;/D&gt;&lt;D xsi:type="xsd:double"&gt;6.921208&lt;/D&gt;&lt;D xsi:type="xsd:double"&gt;10.989261&lt;/D&gt;&lt;D xsi:type="xsd:double"&gt;5.5388093&lt;/D&gt;&lt;D xsi:type="xsd:double"&gt;-2.7566314&lt;/D&gt;&lt;/FQL&gt;&lt;FQL&gt;&lt;Q&gt;EWG^FG_TOTAL_RETURNC(-10AY,0,AM)&lt;/Q&gt;&lt;R&gt;121&lt;/R&gt;&lt;C&gt;1&lt;/C&gt;&lt;D xsi:type="xsd:double"&gt;-0.28526187&lt;/D&gt;&lt;D xsi:type="xsd:double"&gt;2.0025492&lt;/D&gt;&lt;D xsi:type="xsd:double"&gt;-0.14449358&lt;/D&gt;&lt;D xsi:type="xsd:double"&gt;-8.723336&lt;/D&gt;&lt;D xsi:type="xsd:double"&gt;1.0115027&lt;/D&gt;&lt;D xsi:type="xsd:double"&gt;-6.353587&lt;/D&gt;&lt;D xsi:type="xsd:double"&gt;0.4055977&lt;/D&gt;&lt;D xsi:type="xsd:double"&gt;5.306649&lt;/D&gt;&lt;D xsi:type="xsd:double"&gt;-4.8648596&lt;/D&gt;&lt;D xsi:type="xsd:double"&gt;5.095303&lt;/D&gt;&lt;D xsi:type="xsd:double"&gt;4.011166&lt;/D&gt;&lt;D xsi:type="xsd:double"&gt;1.7102599&lt;/D&gt;&lt;D xsi:type="xsd:double"&gt;-1.0880291&lt;/D&gt;&lt;D xsi:type="xsd:double"&gt;-2.399999&lt;/D&gt;&lt;D xsi:type="xsd:double"&gt;-2.6077569&lt;/D&gt;&lt;D xsi:type="xsd:double"&gt;1.0702848&lt;/D&gt;&lt;D xsi:type="xsd:double"&gt;-8.04801&lt;/D&gt;&lt;D xsi:type="xsd:double"&gt;-4.5681357&lt;/D&gt;&lt;D xsi:type="xsd:double"&gt;10.699916&lt;/D&gt;&lt;D xsi:type="xsd:double"&gt;-2.5072694&lt;/D&gt;&lt;D xsi:type="xsd:double"&gt;-2.3853898&lt;/D&gt;&lt;D xsi:type="xsd:double"&gt;-9.507447&lt;/D&gt;&lt;D xsi:type="xsd:double"&gt;2.1940827&lt;/D&gt;&lt;D xsi:type="xsd:double"&gt;5.36747&lt;/D&gt;&lt;D xsi:type="xsd:double"&gt;3.957677&lt;/D&gt;&lt;D xsi:type="xsd:double"&gt;-1.9977391&lt;/D&gt;&lt;D xsi:type="xsd:double"&gt;-4.9765053&lt;/D&gt;&lt;D xsi:type="xsd:double"&gt;4.9336553&lt;/D&gt;&lt;D xsi:type="xsd:double"&gt;4.8597455&lt;/D&gt;&lt;D xsi:type="xsd:double"&gt;-1.0173321&lt;/D&gt;&lt;D xsi:type="xsd:double"&gt;-2.8930366&lt;/D&gt;&lt;D xsi:type="xsd:double"&gt;-3.018427&lt;/D&gt;&lt;D xsi:type="xsd:double"&gt;7.0699334&lt;/D&gt;&lt;D xsi:type="xsd:double"&gt;4.1918397&lt;/D&gt;&lt;D xsi:type="xsd:double"&gt;0.616169&lt;/D&gt;&lt;D xsi:type="xsd:double"&gt;3.566277&lt;/D&gt;&lt;D xsi:type="xsd:double"&gt;4.243481&lt;/D&gt;&lt;D xsi:type="xsd:double"&gt;5.739081&lt;/D&gt;&lt;D xsi:type="xsd:double"&gt;-2.6206672&lt;/D&gt;&lt;D xsi:type="xsd:double"&gt;2.4116278&lt;/D&gt;&lt;D xsi:type="xsd:double"&gt;-0.4838705&lt;/D&gt;&lt;D xsi:type="xsd:double"&gt;4.862225&lt;/D&gt;&lt;D xsi:type="xsd:double"&gt;3.5548687&lt;/D&gt;&lt;D xsi:type="xsd:double"&gt;-1.6417861&lt;/D&gt;&lt;D xsi:type="xsd:double"&gt;1.1955857&lt;/D&gt;&lt;D xsi:type="xsd:double"&gt;1.8039703&lt;/D&gt;&lt;D xsi:type="xsd:double"&gt;-6.054342&lt;/D&gt;&lt;D xsi:type="xsd:double"&gt;-0.78591704&lt;/D&gt;&lt;D xsi:type="xsd:double"&gt;3.4537435&lt;/D&gt;&lt;D xsi:type="xsd:double"&gt;-2.572745&lt;/D&gt;&lt;D xsi:type="xsd:double"&gt;-3.9602935&lt;/D&gt;&lt;D xsi:type="xsd:double"&gt;2.61482&lt;/D&gt;&lt;D xsi:type="xsd:double"&gt;-1.2414277&lt;/D&gt;&lt;D xsi:type="xsd:double"&gt;-1.7201483&lt;/D&gt;&lt;D xsi:type="xsd:double"&gt;-6.496125&lt;/D&gt;&lt;D xsi:type="xsd:double"&gt;-3.3837318&lt;/D&gt;&lt;D xsi:type="xsd:double"&gt;-6.2593164&lt;/D&gt;&lt;D xsi:type="xsd:double"&gt;6.558025&lt;/D&gt;&lt;D xsi:type="xsd:double"&gt;2.946663&lt;/D&gt;&lt;D xsi:type="xsd:double"&gt;-0.5072534&lt;/D&gt;&lt;D xsi:type="xsd:double"&gt;4.0786624&lt;/D&gt;&lt;D xsi:type="xsd:double"&gt;-5.808258&lt;/D&gt;&lt;D xsi:type="xsd:double"&gt;7.396877&lt;/D&gt;&lt;D xsi:type="xsd:double"&gt;-5.7569265&lt;/D&gt;&lt;D xsi:type="xsd:double"&gt;-1.018101&lt;/D&gt;&lt;D xsi:type="xsd:double"&gt;-0.7619083&lt;/D&gt;&lt;D xsi:type="xsd:double"&gt;10.479856&lt;/D&gt;&lt;D xsi:type="xsd:double"&gt;-0.38221478&lt;/D&gt;&lt;D xsi:type="xsd:double"&gt;4.220438&lt;/D&gt;&lt;D xsi:type="xsd:double"&gt;-4.518068&lt;/D&gt;&lt;D xsi:type="xsd:double"&gt;-6.6596627&lt;/D&gt;&lt;D xsi:type="xsd:double"&gt;-22.155464&lt;/D&gt;&lt;D xsi:type="xsd:double"&gt;11.287987&lt;/D&gt;&lt;D xsi:type="xsd:double"&gt;16.298222&lt;/D&gt;&lt;D xsi:type="xsd:double"&gt;3.8297296&lt;/D&gt;&lt;D xsi:type="xsd:double"&gt;2.4664521&lt;/D&gt;&lt;D xsi:type="xsd:double"&gt;8.743358&lt;/D&gt;&lt;D xsi:type="xsd:double"&gt;-5.045569&lt;/D&gt;&lt;D xsi:type="xsd:double"&gt;-8.673298&lt;/D&gt;&lt;D xsi:type="xsd:double"&gt;16.666676&lt;/D&gt;&lt;D xsi:type="xsd:double"&gt;3.507924&lt;/D&gt;&lt;D xsi:type="xsd:double"&gt;1.4164329&lt;/D&gt;&lt;D xsi:type="xsd:double"&gt;1.1173248&lt;/D&gt;&lt;D xsi:type="xsd:double"&gt;4.205036&lt;/D&gt;&lt;D </t>
        </r>
      </text>
    </comment>
    <comment ref="A11" authorId="0" shapeId="0" xr:uid="{12AF083A-F43B-4612-B4F1-CFA433777156}">
      <text>
        <r>
          <rPr>
            <b/>
            <sz val="9"/>
            <color indexed="81"/>
            <rFont val="Tahoma"/>
            <charset val="1"/>
          </rPr>
          <t>xsi:type="xsd:double"&gt;1.973486&lt;/D&gt;&lt;D xsi:type="xsd:double"&gt;4.332757&lt;/D&gt;&lt;D xsi:type="xsd:double"&gt;-2.0174563&lt;/D&gt;&lt;D xsi:type="xsd:double"&gt;-0.6034434&lt;/D&gt;&lt;D xsi:type="xsd:double"&gt;1.7346025&lt;/D&gt;&lt;D xsi:type="xsd:double"&gt;-6.393862&lt;/D&gt;&lt;D xsi:type="xsd:double"&gt;4.250157&lt;/D&gt;&lt;D xsi:type="xsd:double"&gt;-6.6977262&lt;/D&gt;&lt;D xsi:type="xsd:double"&gt;3.1947613&lt;/D&gt;&lt;D xsi:type="xsd:double"&gt;-1.2812614&lt;/D&gt;&lt;D xsi:type="xsd:double"&gt;-12.731772&lt;/D&gt;&lt;D xsi:type="xsd:double"&gt;1.3102055&lt;/D&gt;&lt;D xsi:type="xsd:double"&gt;-9.262503&lt;/D&gt;&lt;D xsi:type="xsd:double"&gt;6.664109&lt;/D&gt;&lt;D xsi:type="xsd:double"&gt;-14.257508&lt;/D&gt;&lt;D xsi:type="xsd:double"&gt;0.9118557&lt;/D&gt;&lt;D xsi:type="xsd:double"&gt;-8.132529&lt;/D&gt;&lt;D xsi:type="xsd:double"&gt;-7.540989&lt;/D&gt;&lt;D xsi:type="xsd:double"&gt;8.86525&lt;/D&gt;&lt;D xsi:type="xsd:double"&gt;19.776642&lt;/D&gt;&lt;D xsi:type="xsd:double"&gt;-3.8915694&lt;/D&gt;&lt;D xsi:type="xsd:double"&gt;16.74081&lt;/D&gt;&lt;D xsi:type="xsd:double"&gt;-5.1264343&lt;/D&gt;&lt;D xsi:type="xsd:double"&gt;3.906536&lt;/D&gt;&lt;D xsi:type="xsd:double"&gt;2.0379543&lt;/D&gt;&lt;D xsi:type="xsd:double"&gt;-1.4807165&lt;/D&gt;&lt;D xsi:type="xsd:double"&gt;2.6022315&lt;/D&gt;&lt;D xsi:type="xsd:double"&gt;-0.87504387&lt;/D&gt;&lt;D xsi:type="xsd:double"&gt;-2.5070608&lt;/D&gt;&lt;D xsi:type="xsd:double"&gt;-6.7729115&lt;/D&gt;&lt;D xsi:type="xsd:double"&gt;0.6604552&lt;/D&gt;&lt;D xsi:type="xsd:double"&gt;10.883832&lt;/D&gt;&lt;D xsi:type="xsd:double"&gt;2.1285653&lt;/D&gt;&lt;D xsi:type="xsd:double"&gt;-0.37491918&lt;/D&gt;&lt;D xsi:type="xsd:double"&gt;5.302775&lt;/D&gt;&lt;D xsi:type="xsd:double"&gt;1.8518567&lt;/D&gt;&lt;D xsi:type="xsd:double"&gt;-2.041471&lt;/D&gt;&lt;/FQL&gt;&lt;FQL&gt;&lt;Q&gt;EWA^FMA_DIV_YLD(NTMA,-10AY,0,AM,"PORTAGG","MEANR")&lt;/Q&gt;&lt;R&gt;121&lt;/R&gt;&lt;C&gt;1&lt;/C&gt;&lt;D xsi:type="xsd:double"&gt;4.78607173275801&lt;/D&gt;&lt;D xsi:type="xsd:double"&gt;4.75592950029302&lt;/D&gt;&lt;D xsi:type="xsd:double"&gt;4.81109286328628&lt;/D&gt;&lt;D xsi:type="xsd:double"&gt;4.71044497431136&lt;/D&gt;&lt;D xsi:type="xsd:double"&gt;4.6671230861649&lt;/D&gt;&lt;D xsi:type="xsd:double"&gt;5.06020117761409&lt;/D&gt;&lt;D xsi:type="xsd:double"&gt;4.82442256969284&lt;/D&gt;&lt;D xsi:type="xsd:double"&gt;5.06619038195458&lt;/D&gt;&lt;D xsi:type="xsd:double"&gt;4.95610550061048&lt;/D&gt;&lt;D xsi:type="xsd:double"&gt;4.81592129429739&lt;/D&gt;&lt;D xsi:type="xsd:double"&gt;4.53011693290039&lt;/D&gt;&lt;D xsi:type="xsd:double"&gt;4.61054270870761&lt;/D&gt;&lt;D xsi:type="xsd:double"&gt;4.65774731007215&lt;/D&gt;&lt;D xsi:type="xsd:double"&gt;4.81446837875472&lt;/D&gt;&lt;D xsi:type="xsd:double"&gt;4.85649458853878&lt;/D&gt;&lt;D xsi:type="xsd:double"&gt;4.80219644739101&lt;/D&gt;&lt;D xsi:type="xsd:double"&gt;5.43136449232939&lt;/D&gt;&lt;D xsi:type="xsd:double"&gt;5.45496103020028&lt;/D&gt;&lt;D xsi:type="xsd:double"&gt;5.31485225111782&lt;/D&gt;&lt;D xsi:type="xsd:double"&gt;5.17027182233629&lt;/D&gt;&lt;D xsi:type="xsd:double"&gt;5.09625601977213&lt;/D&gt;&lt;D xsi:type="xsd:double"&gt;5.17956832145028&lt;/D&gt;&lt;D xsi:type="xsd:double"&gt;4.88837963263002&lt;/D&gt;&lt;D xsi:type="xsd:double"&gt;4.92816711059488&lt;/D&gt;&lt;D xsi:type="xsd:double"&gt;4.68869872841796&lt;/D&gt;&lt;D xsi:type="xsd:double"&gt;4.65021755859497&lt;/D&gt;&lt;D xsi:type="xsd:double"&gt;4.67110150724477&lt;/D&gt;&lt;D xsi:type="xsd:double"&gt;4.44458509870179&lt;/D&gt;&lt;D xsi:type="xsd:double"&gt;4.58236082419872&lt;/D&gt;&lt;D xsi:type="xsd:double"&gt;4.54194004314948&lt;/D&gt;&lt;D xsi:type="xsd:double"&gt;4.7258727980457&lt;/D&gt;&lt;D xsi:type="xsd:double"&gt;4.59212589379812&lt;/D&gt;&lt;D xsi:type="xsd:double"&gt;4.5298092555234&lt;/D&gt;&lt;D xsi:type="xsd:double"&gt;4.55453806919956&lt;/D&gt;&lt;D xsi:type="xsd:double"&gt;4.52669613200515&lt;/D&gt;&lt;D xsi:type="xsd:double"&gt;4.50467500361871&lt;/D&gt;&lt;D xsi:type="xsd:double"&gt;4.44574673330957&lt;/D&gt;&lt;D xsi:type="xsd:double"&gt;4.61124187305626&lt;/D&gt;&lt;D xsi:type="xsd:double"&gt;4.6242746098921&lt;/D&gt;&lt;D xsi:type="xsd:double"&gt;4.57442448935465&lt;/D&gt;&lt;D xsi:type="xsd:double"&gt;4.57391715057525&lt;/D&gt;&lt;D xsi:type="xsd:double"&gt;4.58089859248312&lt;/D&gt;&lt;D xsi:type="xsd:double"&gt;4.48411319077228&lt;/D&gt;&lt;D xsi:type="xsd:double"&gt;4.49724618115489&lt;/D&gt;&lt;D xsi:type="xsd:double"&gt;4.45257812788818&lt;/D&gt;&lt;D xsi:type="xsd:double"&gt;4.47306088124523&lt;/D&gt;&lt;D xsi:type="xsd:double"&gt;4.66559465320391&lt;/D&gt;&lt;D xsi:type="xsd:double"&gt;4.84902846993286&lt;/D&gt;&lt;D xsi:type="xsd:double"&gt;4.67543651874244&lt;/D&gt;&lt;D xsi:type="xsd:double"&gt;4.7643423411268&lt;/D&gt;&lt;D xsi:type="xsd:double"&gt;4.62531135125136&lt;/D&gt;&lt;D xsi:type="xsd:double"&gt;4.62032241813123&lt;/D&gt;&lt;D xsi:type="xsd:double"&gt;4.61443164962547&lt;/D&gt;&lt;D xsi:type="xsd:double"&gt;4.81531214710918&lt;/D&gt;&lt;D xsi:type="xsd:double"&gt;5.07323443284335&lt;/D&gt;&lt;D xsi:type="xsd:double"&gt;5.32008527872189&lt;/D&gt;&lt;D xsi:type="xsd:double"&gt;5.45596684936931&lt;/D&gt;&lt;D xsi:type="xsd:double"&gt;5.12153635098732&lt;/D&gt;&lt;D xsi:type="xsd:double"&gt;4.93178777880528&lt;/D&gt;&lt;D xsi:type="xsd:double"&gt;4.91050119917208&lt;/D&gt;&lt;D xsi:type="xsd:double"&gt;4.88521793767339&lt;/D&gt;&lt;D xsi:type="xsd:double"&gt;4.84599235793604&lt;/D&gt;&lt;D xsi:type="xsd:double"&gt;4.6401897080609&lt;/D&gt;&lt;D xsi:type="xsd:double"&gt;4.56425079486326&lt;/D&gt;&lt;D xsi:type="xsd:double"&gt;4.67175098058672&lt;/D&gt;&lt;D xsi:type="xsd:double"&gt;4.47592848296078&lt;/D&gt;&lt;D xsi:type="xsd:double"&gt;4.40768446618338&lt;/D&gt;&lt;D xsi:type="xsd:double"&gt;4.25673679253991&lt;/D&gt;&lt;D xsi:type="xsd:double"&gt;4.31003796445163&lt;/D&gt;&lt;D xsi:type="xsd:double"&gt;4.17110828458869&lt;/D&gt;&lt;D xsi:type="xsd:double"&gt;4.52053737841289&lt;/D&gt;&lt;D xsi:type="xsd:double"&gt;5.12138299163459&lt;/D&gt;&lt;D xsi:type="xsd:double"&gt;4.07821543113563&lt;/D&gt;&lt;D xsi:type="xsd:double"&gt;3.45548211757745&lt;/D&gt;&lt;D xsi:type="xsd:double"&gt;3.38867077170893&lt;/D&gt;&lt;D xsi:type="xsd:double"&gt;3.42710956751036&lt;/D&gt;&lt;D xsi:type="xsd:double"&gt;3.41333715355654&lt;/D&gt;&lt;D xsi:type="xsd:double"&gt;3.72496845568349&lt;/D&gt;&lt;D xsi:type="xsd:double"&gt;3.77372243639313&lt;/D&gt;&lt;D xsi:type="xsd:double"&gt;3.45392217959086&lt;/D&gt;&lt;D xsi:type="xsd:double"&gt;3.58444483548155&lt;/D&gt;&lt;D xsi:type="xsd:double"&gt;3.61169391963808&lt;/D&gt;&lt;D xsi:type="xsd:double"&gt;3.85679833414238&lt;/D&gt;&lt;D xsi:type="xsd:double"&gt;3.97163701521748&lt;/D&gt;&lt;D xsi:type="xsd:double"&gt;3.93143691502429&lt;/D&gt;&lt;D xsi:type="xsd:double"&gt;3.85036759194042&lt;/D&gt;&lt;D xsi:type="xsd:double"&gt;4.05887340357472&lt;/D&gt;&lt;D xsi:type="xsd:double"&gt;4.05508738772716&lt;/D&gt;&lt;D xsi:type="xsd:double"&gt;4.03952312126006&lt;/D&gt;&lt;D xsi:type="xsd:double"&gt;4.15358137887748&lt;/D&gt;&lt;D xsi:type="xsd:double"&gt;3.98528527496247&lt;/D&gt;&lt;D xsi:type="xsd:double"&gt;4.07392915474144&lt;/D&gt;&lt;D xsi:type="xsd:double"&gt;3.87524385841504&lt;/D&gt;&lt;D xsi:type="xsd:double"&gt;4.35354911559231&lt;/D&gt;&lt;D xsi:type="xsd:double"&gt;4.33434453352567&lt;/D&gt;&lt;D xsi:type="xsd:double"&gt;4.24076049710472&lt;/D&gt;&lt;D xsi:type="xsd:double"&gt;4.51635158970303&lt;/D&gt;&lt;D xsi:type="xsd:double"&gt;4.70835848461473&lt;/D&gt;&lt;D xsi:type="xsd:double"&gt;5.31604037070342&lt;/D&gt;&lt;D xsi:type="xsd:double"&gt;4.79156354662496&lt;/D&gt;&lt;D xsi:type="xsd:double"&gt;4.87310864328757&lt;/D&gt;&lt;D xsi:type="xsd:double"&gt;5.2635282249166&lt;/D&gt;&lt;D xsi:type="xsd:double"&gt;4.85362296816974&lt;/D&gt;&lt;D xsi:type="xsd:double"&gt;4.43365855536458&lt;/D&gt;&lt;D xsi:type="xsd:double"&gt;4.54721408181031&lt;/D&gt;&lt;D xsi:type="xsd:double"&gt;4.24137503702736&lt;/D&gt;&lt;D xsi:type="xsd:double"&gt;4.47885722746835&lt;/D&gt;&lt;D xsi:type="xsd:double"&gt;4.54282694819021&lt;/D&gt;&lt;D xsi:type="xsd:double"&gt;4.43671538079257&lt;/D&gt;&lt;D xsi:type="xsd:double"&gt;4.47915140953114&lt;/D&gt;&lt;D xsi:type="xsd:double"&gt;4.2992331256683&lt;/D&gt;&lt;D xsi:type="xsd:double"&gt;4.15483800882763&lt;/D&gt;&lt;D xsi:type="xsd:double"&gt;4.15464262820757&lt;/D&gt;&lt;D xsi:type="xsd:double"&gt;4.32148858035086&lt;/D&gt;&lt;D xsi:type="xsd:double"&gt;4.43720329311373&lt;/D&gt;&lt;D xsi:type="xsd:double"&gt;4.29064807029694&lt;/D&gt;&lt;D xsi:type="xsd:double"&gt;3.96513279907874&lt;/D&gt;&lt;D xsi:type="xsd:double"&gt;3.9590217454451&lt;/D&gt;&lt;D xsi:type="xsd:double"&gt;3.95046016704912&lt;/D&gt;&lt;D xsi:type="xsd:double"&gt;3.90307869215625&lt;/D&gt;&lt;D xsi:type="xsd:double"&gt;4.01792604397345&lt;/D&gt;&lt;/FQL&gt;&lt;FQL&gt;&lt;Q&gt;ENZL^JULIAN(FMA_DIV_YLD(NTMA,-10AY,0,AM,"PORTAGG","MEANR").DATES)&lt;/Q&gt;&lt;R&gt;121&lt;/R&gt;&lt;C&gt;1&lt;/C&gt;&lt;D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xsi:type="xsd:long"&gt;43706&lt;/D&gt;&lt;D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xsi:type="xsd:long"&gt;45411&lt;/D&gt;&lt;/FQL&gt;&lt;FQL&gt;&lt;Q&gt;DDR3512M-FDS^FG_PRICE(0)/MAX(FG_PRICE(0,-1AY))&lt;/Q&gt;&lt;R&gt;1&lt;/R&gt;&lt;C&gt;1&lt;/C&gt;&lt;D xsi:type="xsd:double"&gt;0.904222670345086&lt;/D&gt;&lt;/FQL&gt;&lt;FQL&gt;&lt;Q&gt;PASP-FDS^FG_PRICE(0)/MAX(FG_PRICE(0,-1AY))&lt;/Q&gt;&lt;R&gt;1&lt;/R&gt;&lt;C&gt;1&lt;/C&gt;&lt;D xsi:type="xsd:double"&gt;0.579301898346601&lt;/D&gt;&lt;/FQL&gt;&lt;FQL&gt;&lt;Q&gt;PLATI-FDS^FG_PRICE(0)/MAX(FG_PRICE(0,-1AY))&lt;/Q&gt;&lt;R&gt;1&lt;/R&gt;&lt;C&gt;1&lt;/C&gt;&lt;D xsi:type="xsd:double"&gt;0.842477876106195&lt;/D&gt;&lt;/FQL&gt;&lt;FQL&gt;&lt;Q&gt;W-FDS^FG_PRICE(0)/MAX(FG_PRICE(0,-1AY))&lt;/Q&gt;&lt;R&gt;1&lt;/R&gt;&lt;C&gt;1&lt;/C&gt;&lt;D xsi:type="xsd:double"&gt;0.771456757645511&lt;/D&gt;&lt;/FQL&gt;&lt;FQL&gt;&lt;Q&gt;COPP-FDS^FG_PRICE(0)/MAX(FG_PRICE(0,-1AY))&lt;/Q&gt;&lt;R&gt;1&lt;/R&gt;&lt;C&gt;1&lt;/C&gt;&lt;D xsi:type="xsd:double"&gt;0.964584674822923&lt;/D&gt;&lt;/FQL&gt;&lt;FQL&gt;&lt;Q&gt;EWQ^FG_PRICE_MAVG(0,,,,60)&lt;/Q&gt;&lt;R&gt;1&lt;/R&gt;&lt;C&gt;1&lt;/C&gt;&lt;D xsi:type="xsd:double"&gt;40.379&lt;/D&gt;&lt;/FQL&gt;&lt;FQL&gt;&lt;Q&gt;EWL^FG_PRICE_MAVG(0,,,,60)&lt;/Q&gt;&lt;R&gt;1&lt;/R&gt;&lt;C&gt;1&lt;/C&gt;&lt;D xsi:type="xsd:double"&gt;46.81283&lt;/D&gt;&lt;/FQL&gt;&lt;FQL&gt;&lt;Q&gt;EWA^FG_PRICE_MAVG(0,,,,60)&lt;/Q&gt;&lt;R&gt;1&lt;/R&gt;&lt;C&gt;1&lt;/C&gt;&lt;D xsi:type="xsd:double"&gt;24.009167&lt;/D&gt;&lt;/FQL&gt;&lt;FQL&gt;&lt;Q&gt;URTH^FG_TOTAL_RETURNC(0,-12AM)&lt;/Q&gt;&lt;R&gt;1&lt;/R&gt;&lt;C&gt;1&lt;/C&gt;&lt;D xsi:type="xsd:double"&gt;20.489275&lt;/D&gt;&lt;/FQL&gt;&lt;FQL&gt;&lt;Q&gt;VWO^PERCENT_CHANGE(FMA_EPS(+1,0,,,,"PORTAGG","MEAN"),FMA_EPS(+1,-1AM,,,,"PORTAGG","MEAN"))&lt;/Q&gt;&lt;R&gt;1&lt;/R&gt;&lt;C&gt;1&lt;/C&gt;&lt;D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xsi:type="xsd:double"&gt;-0.94035864&lt;/D&gt;&lt;/FQL&gt;&lt;FQL&gt;&lt;Q&gt;EWN^FG_TOTAL_RETURNC(0,-6AM)&lt;/Q&gt;&lt;R&gt;1&lt;/R&gt;&lt;C&gt;1&lt;/C&gt;&lt;D xsi:type="xsd:double"&gt;26.027763&lt;/D&gt;&lt;/FQL&gt;&lt;FQL&gt;&lt;Q&gt;QQQ^FMA_PCT_ABOVE_MAVG(200,0,,,,"PORTAGG")&lt;/Q&gt;&lt;R&gt;1&lt;/R&gt;&lt;C&gt;1&lt;/C&gt;&lt;D xsi:type="xsd:double"&gt;59.8039215686275&lt;/D&gt;&lt;/FQL&gt;&lt;FQL&gt;&lt;Q&gt;EWL^PERCENT_CHANGE(FMA_EPS(+1,0,,,,"PORTAGG","MEAN"),FMA_EPS(+1,-3AM,,,,"PORTAGG","MEAN"))&lt;/Q&gt;&lt;R&gt;1&lt;/R&gt;&lt;C&gt;1&lt;/C&gt;&lt;D xsi:type="xsd:double"&gt;-3.57451082017021&lt;/D&gt;&lt;/FQL&gt;&lt;FQL&gt;&lt;Q&gt;EWG^FG_TOTAL_RETURNC(0,-3AM)&lt;/Q&gt;&lt;R&gt;1&lt;/R&gt;&lt;C&gt;1&lt;/C&gt;&lt;D xsi:type="xsd:double"&gt;5.0632954&lt;/D&gt;&lt;/FQL&gt;&lt;FQL&gt;&lt;Q&gt;EWA^P_PRICE(0)/P_PRICE_HIGH_PR(0,,,,,,"PRICE","INTRA","52W")&lt;/Q&gt;&lt;R&gt;1&lt;/R&gt;&lt;C&gt;1&lt;/C&gt;&lt;D xsi:type="xsd:double"&gt;0.9512779&lt;/D&gt;&lt;/FQL&gt;&lt;FQL&gt;&lt;Q&gt;FXI^SIZE(FG_CONSTITUENTS)&lt;/Q&gt;&lt;R&gt;1&lt;/R&gt;&lt;C&gt;1&lt;/C&gt;&lt;D xsi:type="xsd:long"&gt;53&lt;/D&gt;&lt;/FQL&gt;&lt;FQL&gt;&lt;Q&gt;VGK^FMA_COS_DOWN("EPS","1M",+1,0,,,"PORTAGG","MEANR")&lt;/Q&gt;&lt;R&gt;1&lt;/R&gt;&lt;C&gt;1&lt;/C&gt;&lt;D xsi:type="xsd:double"&gt;548&lt;/D&gt;&lt;/FQL&gt;&lt;FQL&gt;&lt;Q&gt;EWC^SIZE(FG_CONSTITUENTS)&lt;/Q&gt;&lt;R&gt;1&lt;/R&gt;&lt;C&gt;1&lt;/C&gt;&lt;D xsi:type="xsd:long"&gt;88&lt;/D&gt;&lt;/FQL&gt;&lt;FQL&gt;&lt;Q&gt;EWC^FMA_RBICS_REV_CURRENT(30, LOC, "PORTAGG")&lt;/Q&gt;&lt;R&gt;1&lt;/R&gt;&lt;C&gt;1&lt;/C&gt;&lt;D xsi:type="xsd:double"&gt;40.0308181746704&lt;/D&gt;&lt;/FQL&gt;&lt;FQL&gt;&lt;Q&gt;EWA^FG_PRICE_MAVG(0,,,,30)&lt;/Q&gt;&lt;R&gt;1&lt;/R&gt;&lt;C&gt;1&lt;/C&gt;&lt;D xsi:type="xsd:double"&gt;24.051&lt;/D&gt;&lt;/FQL&gt;&lt;FQL&gt;&lt;Q&gt;EWA^FG_TOTAL_RETURNC(0,-1AM)&lt;/Q&gt;&lt;R&gt;1&lt;/R&gt;&lt;C&gt;1&lt;/C&gt;&lt;D xsi:type="xsd:double"&gt;-2.854818&lt;/D&gt;&lt;/FQL&gt;&lt;FQL&gt;&lt;Q&gt;TRYDE10Y-FDS^PCTCHG(FG_YIELD(0,,,,"YTM"),FG_YIELD(-3AM,,,,"YTM"))&lt;/Q&gt;&lt;R&gt;1&lt;/R&gt;&lt;C&gt;1&lt;/C&gt;&lt;D xsi:type="xsd:double"&gt;14.946149&lt;/D&gt;&lt;/FQL&gt;&lt;FQL&gt;&lt;Q&gt;EWA^FMA_ROE(NTMA,-20AY,NOW,FY,"PORTAGG","MEANR")&lt;/Q&gt;&lt;R&gt;20&lt;/R&gt;&lt;C&gt;1&lt;/C&gt;&lt;D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xsi:type="xsd:double"&gt;2.534&lt;/D&gt;&lt;/FQL&gt;&lt;FQL&gt;&lt;Q&gt;CAGDPY@JP^EE_ACTUAL_ANNUAL(MED,0)&lt;/Q&gt;&lt;R&gt;1&lt;/R&gt;&lt;C&gt;1&lt;/C&gt;&lt;D xsi:type="xsd:double"&gt;3.67564716252459&lt;/D&gt;&lt;/FQL&gt;&lt;FQL&gt;&lt;Q&gt;USDEUR^FG_PRICE(0)&lt;/Q&gt;&lt;R&gt;1&lt;/R&gt;&lt;C&gt;1&lt;/C&gt;&lt;D xsi:type="xsd:double"&gt;0.93558496&lt;/D&gt;&lt;/FQL&gt;&lt;FQL&gt;&lt;Q&gt;USDAUD^FG_PRICE(0)&lt;/Q&gt;&lt;R&gt;1&lt;/R&gt;&lt;C&gt;1&lt;/C&gt;&lt;D xsi:type="xsd:double"&gt;1.5298707&lt;/D&gt;&lt;/FQL&gt;&lt;FQL&gt;&lt;Q&gt;EWU^FMA_EPS(NTMA,-20AY,0,CY,,"PORTAGG","MEANR")&lt;/Q&gt;&lt;R&gt;20&lt;/R&gt;&lt;C&gt;1&lt;/C&gt;&lt;D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xsi:type="xsd:double"&gt;3.00280442513288&lt;/D&gt;&lt;/FQL&gt;&lt;FQL&gt;&lt;Q&gt;EWJ^P_PRICE_RETURNS_PR('52W',2,-10AY,0,AM)&lt;/Q&gt;&lt;R&gt;121&lt;/R&gt;&lt;C&gt;1&lt;/C&gt;&lt;D xsi:type="xsd:double"&gt;-2.4479508&lt;/D&gt;&lt;D xsi:type="xsd:double"&gt;9.379494&lt;/D&gt;&lt;D xsi:type="xsd:double"&gt;8.344137&lt;/D&gt;&lt;D xsi:type="xsd:double"&gt;5.4751277&lt;/D&gt;&lt;D xsi:type="xsd:double"&gt;11.226153&lt;/D&gt;&lt;D xsi:type="xsd:double"&gt;-2.4362326&lt;/D&gt;&lt;D xsi:type="xsd:double"&gt;2.7491212&lt;/D&gt;&lt;D xsi:type="xsd:double"&gt;-0.72143674&lt;/D&gt;&lt;D xsi:type="xsd:double"&gt;-4.490942&lt;/D&gt;&lt;D xsi:type="xsd:double"&gt;3.7797928&lt;/D&gt;&lt;D xsi:type="xsd:double"&gt;7.9938293&lt;/D&gt;&lt;D xsi:type="xsd:double"&gt;12.14695&lt;/D&gt;&lt;D xsi:type="xsd:double"&gt;17.524565&lt;/D&gt;&lt;D xsi:type="xsd:double"&gt;13.029182&lt;/D&gt;&lt;D xsi:type="xsd:double"&gt;6.721592&lt;/D&gt;&lt;D xsi:type="xsd:double"&gt;8.93091&lt;/D&gt;&lt;D xsi:type="xsd:double"&gt;-0.09140372&lt;/D&gt;&lt;D xsi:type="xsd:double"&gt;3.6767602&lt;/D&gt;&lt;D xsi:type="xsd:double"&gt;4.0299296&lt;/D&gt;&lt;D xsi:type="xsd:double"&gt;7.0629954&lt;/D&gt;&lt;D xsi:type="xsd:double"&gt;9.162164&lt;/D&gt;&lt;D xsi:type="xsd:double"&gt;-1.3797224&lt;/D&gt;&lt;D xsi:type="xsd:double"&gt;-7.431853&lt;/D&gt;&lt;D xsi:type="xsd:double"&gt;-10.432518&lt;/D&gt;&lt;D xsi:type="xsd:double"&gt;-9.571666&lt;/D&gt;&lt;D xsi:type="xsd:double"&gt;-9.5994835&lt;/D&gt;&lt;D xsi:type="xsd:double"&gt;-9.648591&lt;/D&gt;&lt;D xsi:type="xsd:double"&gt;-6.1677513&lt;/D&gt;&lt;D xsi:type="xsd:double"&gt;7.387948&lt;/D&gt;&lt;D xsi:type="xsd:double"&gt;11.386883&lt;/D&gt;&lt;D xsi:type="xsd:double"&gt;2.2635818&lt;/D&gt;&lt;D xsi:type="xsd:double"&gt;0.99806786&lt;/D&gt;&lt;D xsi:type="xsd:double"&gt;1.7673969&lt;/D&gt;&lt;D xsi:type="xsd:double"&gt;14.553583&lt;/D&gt;&lt;D xsi:type="xsd:double"&gt;15.623498&lt;/D&gt;&lt;D xsi:type="xsd:double"&gt;15.068984&lt;/D&gt;&lt;D xsi:type="xsd:double"&gt;14.470566&lt;/D&gt;&lt;D xsi:type="xsd:double"&gt;19.830168&lt;/D&gt;&lt;D xsi:type="xsd:double"&gt;18.7585&lt;/D&gt;&lt;D xsi:type="xsd:double"&gt;17.26873&lt;/D&gt;&lt;D xsi:type="xsd:double"&gt;12.134684&lt;/D&gt;&lt;D xsi:type="xsd:double"&gt;13.091111&lt;/D&gt;&lt;D xsi:type="xsd:double"&gt;20.254875&lt;/D&gt;&lt;D xsi:type="xsd:double"&gt;22.757626&lt;/D&gt;&lt;D xsi:type="xsd:double"&gt;25.020386&lt;/D&gt;&lt;D xsi:type="xsd:double"&gt;24.245811&lt;/D&gt;&lt;D xsi:type="xsd:double"&gt;18.349707&lt;/D&gt;&lt;D xsi:type="xsd:double"&gt;16.978657&lt;/D&gt;&lt;D xsi:type="xsd:double"&gt;16.859745&lt;/D&gt;&lt;D xsi:type="xsd:double"&gt;13.340366&lt;/D&gt;&lt;D xsi:type="xsd:double"&gt;7.774782&lt;/D&gt;&lt;D xsi:type="xsd:double"&gt;7.964313&lt;/D&gt;&lt;D xsi:type="xsd:double"&gt;7.967663&lt;/D&gt;&lt;D xsi:type="xsd:double"&gt;10.18194&lt;/D&gt;&lt;D xsi:type="xsd:double"&gt;-5.4658175&lt;/D&gt;&lt;D xsi:type="xsd:double"&gt;-6.280917&lt;/D&gt;&lt;D xsi:type="xsd:double"&gt;-14.017778&lt;/D&gt;&lt;D xsi:type="xsd:double"&gt;-13.192195&lt;/D&gt;&lt;D xsi:type="xsd:double"&gt;-6.6220284&lt;/D&gt;&lt;D xsi:type="xsd:double"&gt;-6.002158&lt;/D&gt;&lt;D xsi:type="xsd:double"&gt;-6.8328676&lt;/D&gt;&lt;D xsi:type="xsd:double"&gt;-10.369987&lt;/D&gt;&lt;D xsi:type="xsd:double"&gt;-0.9145975&lt;/D&gt;&lt;D xsi:type="xsd:double"&gt;-6.1558247&lt;/D&gt;&lt;D xsi:type="xsd:double"&gt;-5.625552&lt;/D&gt;&lt;D xsi:type="xsd:double"&gt;-6.22617&lt;/D&gt;&lt;D xsi:type="xsd:double"&gt;10.147738&lt;/D&gt;&lt;D xsi:type="xsd:double"&gt;8.985674&lt;/D&gt;&lt;D xsi:type="xsd:double"&gt;19.750858&lt;/D&gt;&lt;D xsi:type="xsd:double"&gt;8.633733&lt;/D&gt;&lt;D xsi:type="xsd:double"&gt;0.4394889&lt;/D&gt;&lt;D xsi:type="xsd:double"&gt;-11.605597&lt;/D&gt;&lt;D xsi:type="xsd:double"&gt;-5.9912148&lt;/D&gt;&lt;D xsi:type="xsd:double"&gt;9.427273&lt;/D&gt;&lt;D xsi:type="xsd:double"&gt;1.337564&lt;/D&gt;&lt;D xsi:type="xsd:double"&gt;1.9612908&lt;/D&gt;&lt;D xsi:type="xsd:double"&gt;11.154509&lt;/D&gt;&lt;D xsi:type="xsd:double"&gt;7.4836135&lt;/D&gt;&lt;D xsi:type="xsd:double"&gt;1.2931347&lt;/D&gt;&lt;D xsi:type="xsd:double"&gt;12.816095&lt;/D&gt;&lt;D xsi:type="xsd:double"&gt;15.40935&lt;/D&gt;&lt;D xsi:type="xsd:double"&gt;19.561077&lt;/D&gt;&lt;D xsi:type="xsd:double"&gt;29.576338&lt;/D&gt;&lt;D xsi:type="xsd:double"&gt;48.74023&lt;/D&gt;&lt;D xsi:type="xsd:double"&gt;31.813824&lt;/D&gt;&lt;D xsi:type="xsd:double"&gt;23.191334&lt;/D&gt;&lt;D xsi:type="xsd:double"&gt;24.481678&lt;/D&gt;&lt;D xsi:type="xsd:double"&gt;26.127075&lt;/D&gt;&lt;D xsi:type="xsd:double"&gt;20.180738&lt;/D&gt;&lt;D xsi:type="xsd:double"&gt;19.700968&lt;/D&gt;&lt;D xsi:type="xsd:double"&gt;19.17212&lt;/D&gt;&lt;D xsi:type="xsd:double"&gt;3.2407403&lt;/D&gt;&lt;D xsi:type="xsd:double"&gt;1.1650205&lt;/D&gt;&lt;D xsi:type="xsd:double"&gt;-2.6408613&lt;/D&gt;&lt;D xsi:type="xsd:double"&gt;-7.4117603&lt;/D&gt;&lt;D xsi:type="xsd:double"&gt;-8.57262&lt;/D&gt;&lt;D xsi:type="xsd:double"&gt;-14.309579&lt;/D&gt;&lt;D xsi:type="xsd:double"&gt;-13.599831&lt;/D&gt;&lt;D xsi:type="xsd:double"&gt;-19.572884&lt;/D&gt;&lt;D xsi:type="xsd:double"&gt;-15.755903&lt;/D&gt;&lt;D xsi:type="xsd:double"&gt;-23.264378&lt;/D&gt;&lt;D xsi:type="xsd:double"&gt;-28.85003&lt;/D&gt;&lt;D xsi:type="xsd:double"&gt;-26.170933&lt;/D&gt;&lt;D xsi:type="xsd:double"&gt;-14.54823&lt;/D&gt;&lt;D xsi:type="xsd:double"&gt;-17.658394&lt;/D&gt;&lt;D xsi:type="xsd:double"&gt;-8.671832&lt;/D&gt;&lt;D xsi:type="xsd:double"&gt;-8.870422&lt;/D&gt;&lt;D xsi:type="xsd:double"&gt;-3.5937607&lt;/D&gt;&lt;D xsi:type="xsd:double"&gt;4.2066336&lt;/D&gt;&lt;D xsi:type="xsd:double"&gt;7.773435&lt;/D&gt;&lt;D xsi:type="xsd:double"&gt;18.257702&lt;/D&gt;&lt;D xsi:type="xsd:double"&gt;11.241674&lt;/D&gt;&lt;D xsi:type="xsd:double"&gt;18.256546&lt;/D&gt;&lt;D xsi:type="xsd:double"&gt;23.491787&lt;/D&gt;&lt;D xsi:type="xsd:double"&gt;22.935068&lt;/D&gt;&lt;D xsi:type="xsd:double"&gt;13.559496&lt;/D&gt;&lt;D xsi:type="xsd:double"&gt;19.233871&lt;/D&gt;&lt;D xsi:type="xsd:double"&gt;15.654051&lt;/D&gt;&lt;D xsi:type="xsd:double"&gt;28.189934&lt;/D&gt;&lt;D xsi:type="xsd:double"&gt;21.666538&lt;/D&gt;&lt;D xsi:type="xsd:double"&gt;19.981598&lt;/D&gt;&lt;/FQL&gt;&lt;FQL&gt;&lt;Q&gt;EWC^FG_TOTAL_RETURNC(-10AY,0,AM)&lt;/Q&gt;&lt;R&gt;121&lt;/R&gt;&lt;C&gt;1&lt;/C&gt;&lt;D xsi:type="xsd:double"&gt;2.6474476&lt;/D&gt;&lt;D xsi:type="xsd:double"&gt;0.13059378&lt;/D&gt;&lt;D xsi:type="xsd:double"&gt;6.3914895&lt;/D&gt;&lt;D xsi:type="xsd:double"&gt;-1.6671777&lt;/D&gt;&lt;D xsi:type="xsd:double"&gt;2.7629495&lt;/D&gt;&lt;D xsi:type="xsd:double"&gt;-7.1799574&lt;/D&gt;&lt;D xsi:type="xsd:double"&gt;-1.5141487&lt;/D&gt;&lt;D xsi:type="xsd:double"&gt;-0.7018745&lt;/D&gt;&lt;D xsi:type="xsd:double"&gt;-2.099675&lt;/D&gt;&lt;D xsi:type="xsd:double"&gt;-5.402583&lt;/D&gt;&lt;D xsi:type="xsd:double"&gt;3.2792926&lt;/D&gt;&lt;D xsi:type="xsd:double"&gt;-1.4270484&lt;/D&gt;&lt;D xsi:type="xsd:double"&gt;5.4650784&lt;/D&gt;&lt;D xsi:type="xsd:double"&gt;-3.9807796&lt;/D&gt;&lt;D xsi:type="xsd:double"&gt;-3.840083&lt;/D&gt;&lt;D xsi:type="xsd:double"&gt;-4.3071213&lt;/D&gt;&lt;D xsi:type="xsd:double"&gt;-7.8277884&lt;/D&gt;&lt;D xsi:type="xsd:double"&gt;-0.84925294&lt;/D&gt;&lt;D xsi:type="xsd:double"&gt;2.6552439&lt;/D&gt;&lt;D xsi:type="xsd:double"&gt;-2.8785944&lt;/D&gt;&lt;D xsi:type="xsd:double"&gt;-6.391752&lt;/D&gt;&lt;D xsi:type="xsd:double"&gt;-5.581397&lt;/D&gt;&lt;D xsi:type="xsd:double"&gt;9.1133&lt;/D&gt;&lt;D xsi:type="xsd:double"&gt;6.5914273&lt;/D&gt;&lt;D xsi:type="xsd:double"&gt;6.946206&lt;/D&gt;&lt;D xsi:type="xsd:double"&gt;-2.5346518&lt;/D&gt;&lt;D xsi:type="xsd:double"&gt;1.6951561&lt;/D&gt;&lt;D xsi:type="xsd:double"&gt;0.28191805&lt;/D&gt;&lt;D xsi:type="xsd:double"&gt;3.855431&lt;/D&gt;&lt;D xsi:type="xsd:double"&gt;-0.6573856&lt;/D&gt;&lt;D xsi:type="xsd:double"&gt;-2.2966146&lt;/D&gt;&lt;D xsi:type="xsd:double"&gt;4.5019865&lt;/D&gt;&lt;D xsi:type="xsd:double"&gt;0.6911397&lt;/D&gt;&lt;D xsi:type="xsd:double"&gt;3.9005756&lt;/D&gt;&lt;D xsi:type="xsd:double"&gt;-1.8034577&lt;/D&gt;&lt;D xsi:type="xsd:double"&gt;0.7496238&lt;/D&gt;&lt;D xsi:type="xsd:double"&gt;-2.4553537&lt;/D&gt;&lt;D xsi:type="xsd:double"&gt;0.45766829999999997&lt;/D&gt;&lt;D xsi:type="xsd:double"&gt;2.4324417&lt;/D&gt;&lt;D xsi:type="xsd:double"&gt;4.260087&lt;/D&gt;&lt;D xsi:type="xsd:double"&gt;0.75268745&lt;/D&gt;&lt;D xsi:type="xsd:double"&gt;3.023827&lt;/D&gt;&lt;D xsi:type="xsd:double"&gt;0.03453493&lt;/D&gt;&lt;D xsi:type="xsd:double"&gt;1.3807416&lt;/D&gt;&lt;D xsi:type="xsd:double"&gt;3.1428933&lt;/D&gt;&lt;D xsi:type="xsd:double"&gt;-3.1762004&lt;/D&gt;&lt;D xsi:type="xsd:double"&gt;-5.1104965&lt;/D&gt;&lt;D xsi:type="xsd:double"&gt;-1.1280894&lt;/D&gt;&lt;D xsi:type="xsd:double"&gt;3.3860922&lt;/D&gt;&lt;D xsi:type="xsd:double"&gt;2.171588&lt;/D&gt;&lt;D xsi:type="xsd:double"&gt;-0.40011406&lt;/D&gt;&lt;D xsi:type="xsd:double"&gt;2.9619217&lt;/D&gt;&lt;D xsi:type="xsd:double"&gt;-1.3698697&lt;/D&gt;&lt;D xsi:type="xsd:double"&gt;0.2777815&lt;/D&gt;&lt;D xsi:type="xsd:double"&gt;-7.409972&lt;/D&gt;&lt;D xsi:type="xsd:double"&gt;-0.37397146&lt;/D&gt;&lt;D xsi:type="xsd:double"&gt;-7.7144804&lt;/D&gt;&lt;D xsi:type="xsd:double"&gt;12.200165&lt;/D&gt;&lt;D xsi:type="xsd:double"&gt;2.1747112&lt;/D&gt;&lt;D xsi:type="xsd:double"&gt;1.010108&lt;/D&gt;&lt;D xsi:type="xsd:double"&gt;0.60714483&lt;/D&gt;&lt;D xsi:type="xsd:double"&gt;-2.9818952&lt;/D&gt;&lt;D xsi:type="xsd:double"&gt;6.151569&lt;/D&gt;&lt;D xsi:type="xsd:double"&gt;-2.399999&lt;/D&gt;&lt;D xsi:type="xsd:double"&gt;0.46329498&lt;/D&gt;&lt;D xsi:type="xsd:double"&gt;-0.39021373&lt;/D&gt;&lt;D xsi:type="xsd:double"&gt;3.3831954&lt;/D&gt;&lt;D xsi:type="xsd:double"&gt;1.412332&lt;/D&gt;&lt;D xsi:type="xsd:double"&gt;3.193581&lt;/D&gt;&lt;D xsi:type="xsd:double"&gt;-1.0340214&lt;/D&gt;&lt;D xsi:type="xsd:double"&gt;-5.0556126&lt;/D&gt;&lt;D xsi:type="xsd:double"&gt;-24.849129&lt;/D&gt;&lt;D xsi:type="xsd:double"&gt;12.139821&lt;/D&gt;&lt;D xsi:type="xsd:double"&gt;9.983158&lt;/D&gt;&lt;D xsi:type="xsd:double"&gt;0.77444315&lt;/D&gt;&lt;D xsi:type="xsd:double"&gt;4.8368573&lt;/D&gt;&lt;D xsi:type="xsd:double"&gt;6.188214&lt;/D&gt;&lt;D xsi:type="xsd:double"&gt;-5.0344825&lt;/D&gt;&lt;D xsi:type="xsd:double"&gt;-2.650696&lt;/D&gt;&lt;D xsi:type="xsd:double"&gt;14.360321&lt;/D&gt;&lt;D xsi:type="xsd:double"&gt;1.8459558&lt;/D&gt;&lt;D xsi:type="xsd:double"&gt;2.107656&lt;/D&gt;&lt;D xsi:type="xsd:double"&gt;5.5573225&lt;/D&gt;&lt;D xsi:type="xsd:double"&gt;4.2117834&lt;/D&gt;&lt;D xsi:type="xsd:double"&gt;2.8002381&lt;/D&gt;&lt;D xsi:type="xsd:double"&gt;7.3294044&lt;/D&gt;&lt;D xsi:type="xsd:double"&gt;-0.93767047&lt;/D&gt;&lt;D xsi:type="xsd:double"&gt;-1.0098338&lt;/D&gt;&lt;D xsi:type="xsd:double"&gt;2.067113&lt;/D&gt;&lt;D xsi:type="xsd:double"&gt;-3.65597&lt;/D&gt;&lt;D xsi:type="xsd:double"&gt;7.3710084&lt;/D&gt;&lt;D xsi:type="xsd:double"&gt;-4.6020865&lt;/D&gt;&lt;D xsi:type="xsd:double"&gt;3.7511706&lt;/D&gt;&lt;D xsi:type="xsd:double"&gt;1.0668755&lt;/D&gt;&lt;D xsi:type="xsd:double"&gt;-0.66940784&lt;/D&gt;&lt;D xsi:type="xsd:double"&gt;4.250908&lt;/D&gt;&lt;D xsi:type="xsd:double"&gt;-8.105427&lt;/D&gt;&lt;D xsi:type="xsd:double"&gt;4.383123&lt;/D&gt;&lt;D xsi:type="xsd:double"&gt;-11.110049&lt;/D&gt;&lt;D xsi:type="xsd:double"&gt;2.1151543&lt;/D&gt;&lt;D xsi:type="xsd:double"&gt;-3.1645536&lt;/D&gt;&lt;D xsi:type="xsd:double"&gt;-8.615565&lt;/D&gt;&lt;D xsi:type="xsd:double"&gt;5.819237&lt;/D&gt;&lt;D xsi:type="xsd:double"&gt;8.141327&lt;/D&gt;&lt;D xsi:type="xsd:double"&gt;-5.662155&lt;/D&gt;&lt;D xsi:type="xsd:double"&gt;9.165907&lt;/D&gt;&lt;D xsi:type="xsd:double"&gt;-3.7783325&lt;/D&gt;&lt;D xsi:type="xsd:double"&gt;-0.5817354&lt;/D&gt;&lt;D xsi:type="xsd:double"&gt;1.1702776&lt;/D&gt;&lt;D xsi:type="xsd:double"&gt;-0.4048705&lt;/D&gt;&lt;D xsi:type="xsd:double"&gt;2.6263714&lt;/D&gt;&lt;D xsi:type="xsd:double"&gt;-0.22864342&lt;/D&gt;&lt;D xsi:type="xsd:double"&gt;0.057291985&lt;/D&gt;&lt;D xsi:type="xsd:double"&gt;-6.412828&lt;/D&gt;&lt;D xsi:type="xsd:double"&gt;1.957798&lt;/D&gt;&lt;D xsi:type="xsd:double"&gt;6.480646&lt;/D&gt;&lt;D xsi:type="xsd:double"&gt;3.6759496&lt;/D&gt;&lt;D xsi:type="xsd:double"&gt;0.24793148&lt;/D&gt;&lt;D xsi:type="xsd:double"&gt;1.9785643&lt;/D&gt;&lt;D xsi:type="xsd:double"&gt;2.5060654&lt;/D&gt;&lt;D xsi:type="xsd:double"&gt;-1.8401682&lt;/D&gt;&lt;/FQL&gt;&lt;FQL&gt;&lt;Q&gt;ENZL^FMA_DIV_YLD(NTMA,-10AY,0,AM,"PORTAGG","MEANR")&lt;/Q&gt;&lt;R&gt;121&lt;/R&gt;&lt;C&gt;1&lt;/C&gt;&lt;D xsi:type="xsd:double"&gt;4.02334072565347&lt;/D&gt;&lt;D xsi:type="xsd:double"&gt;4.21652535089343&lt;/D&gt;&lt;D xsi:type="xsd:double"&gt;4.43884777312299&lt;/D&gt;&lt;D xsi:type="xsd:double"&gt;4.50732319290417&lt;/D&gt;&lt;D xsi:type="xsd:double"&gt;4.55040808246503&lt;/D&gt;&lt;D xsi:type="xsd:double"&gt;4.59232159578594&lt;/D&gt;&lt;D xsi:type="xsd:double"&gt;4.50483954106414&lt;/D&gt;&lt;D xsi:type="xsd:double"&gt;4.57758351424337&lt;/D&gt;&lt;D xsi:type="xsd:double"&gt;4.43586796347832&lt;/D&gt;&lt;D xsi:type="xsd:double"&gt;4.31359414479585&lt;/D&gt;&lt;D xsi:type="xsd:double"&gt;4.25449670336067&lt;/D&gt;&lt;D xsi:type="xsd:double"&gt;4.4138014957123&lt;/D&gt;&lt;D xsi:type="xsd:double"&gt;4.45989456357006&lt;/D&gt;&lt;D xsi:type="xsd:double"&gt;4.40549949994819&lt;/D&gt;&lt;D xsi:type="xsd:double"&gt;4.61186719416915&lt;/D&gt;&lt;D xsi:type="xsd:double"&gt;4.55337120119166&lt;/D&gt;&lt;D xsi:type="xsd:double"&gt;5.1675239644058&lt;/D&gt;&lt;D xsi:type="xsd:double"&gt;5.29837676602734&lt;/D&gt;&lt;D xsi:type="xsd:double"&gt;4.92400438482643&lt;/D&gt;&lt;D xsi:type="xsd:double"&gt;4.75539613817842&lt;/D&gt;&lt;D xsi:type="xsd:double"&gt;4.72515980905889&lt;/D&gt;&lt;D xsi:type="xsd:double"&gt;4.83835130478712&lt;/D&gt;&lt;D xsi:type="xsd:double"&gt;4.81460569798833&lt;/D&gt;&lt;D xsi:type="xsd:double"&gt;4.57794648713835&lt;/D&gt;&lt;D xsi:type="xsd:double"&gt;4.59546039825855&lt;/D&gt;&lt;D xsi:type="xsd:double"&gt;4.33468707529586&lt;/D&gt;&lt;D xsi:type="xsd:double"&gt;4.39813902459698&lt;/D&gt;&lt;D xsi:type="xsd:double"&gt;4.1555008395942&lt;/D&gt;&lt;D xsi:type="xsd:double"&gt;4.19990245517957&lt;/D&gt;&lt;D xsi:type="xsd:double"&gt;4.32040439452407&lt;/D&gt;&lt;D xsi:type="xsd:double"&gt;4.64897558530992&lt;/D&gt;&lt;D xsi:type="xsd:double"&gt;4.57716127993359&lt;/D&gt;&lt;D xsi:type="xsd:double"&gt;4.6345425267273&lt;/D&gt;&lt;D xsi:type="xsd:double"&gt;4.5228878674751&lt;/D&gt;&lt;D xsi:type="xsd:double"&gt;4.64778072982536&lt;/D&gt;&lt;D xsi:type="xsd:double"&gt;4.57882710059766&lt;/D&gt;&lt;D xsi:type="xsd:double"&gt;4.45068870232262&lt;/D&gt;&lt;D xsi:type="xsd:double"&gt;4.41186765273181&lt;/D&gt;&lt;D xsi:type="xsd:double"&gt;4.39307428705327&lt;/D&gt;&lt;D xsi:type="xsd:double"&gt;4.35943734422663&lt;/D&gt;&lt;D xsi:type="xsd:double"&gt;4.38776912924581&lt;/D&gt;&lt;D xsi:type="xsd:double"&gt;4.42199180644384&lt;/D&gt;&lt;D xsi:type="xsd:double"&gt;4.3760359419841&lt;/D&gt;&lt;D xsi:type="xsd:double"&gt;4.31485409915926&lt;/D&gt;&lt;D xsi:type="xsd:double"&gt;4.20508988280844&lt;/D&gt;&lt;D xsi:type="xsd:double"&gt;4.19229139119894&lt;/D&gt;&lt;D xsi:type="xsd:double"&gt;4.28903646170116&lt;/D&gt;&lt;D xsi:type="xsd:double"&gt;4.32083085671261&lt;/D&gt;&lt;D xsi:type="xsd:double"&gt;4.24851336414313&lt;/D&gt;&lt;D xsi:type="xsd:double"&gt;4.16799857437243&lt;/D&gt;&lt;D xsi:type="xsd:double"&gt;4.06136096123869&lt;/D&gt;&lt;D xsi:type="xsd:double"&gt;4.14160364978268&lt;/D&gt;&lt;D xsi:type="xsd:double"&gt;3.89557331235409&lt;/D&gt;&lt;D xsi:type="xsd:double"&gt;3.98940503922552&lt;/D&gt;&lt;D xsi:type="xsd:double"&gt;4.2119740238095&lt;/D&gt;&lt;D xsi:type="xsd:double"&gt;4.25832976064396&lt;/D&gt;&lt;D xsi:type="xsd:double"&gt;4.18110431728983&lt;/D&gt;&lt;D xsi:type="xsd:double"&gt;4.0989739418008&lt;/D&gt;&lt;D xsi:type="xsd:double"&gt;3.92348559420387&lt;/D&gt;&lt;D xsi:type="xsd:double"&gt;3.71793475597435&lt;/D&gt;&lt;D xsi:type="xsd:double"&gt;3.67996311086673&lt;/D&gt;&lt;D xsi:type="xsd:double"&gt;3.70790683248854&lt;/D&gt;&lt;D xsi:type="xsd:double"&gt;3.55080282879832&lt;/D&gt;&lt;D xsi:type="xsd:double"&gt;3.4045182177879&lt;/D&gt;&lt;D xsi:type="xsd:double"&gt;3.43300478864385&lt;/D&gt;&lt;D xsi:type="xsd:double"&gt;3.32148199287451&lt;/D&gt;&lt;D xsi:type="xsd:double"&gt;3.37994590382817&lt;/D&gt;&lt;D xsi:type="xsd:double"&gt;3.228099395364&lt;/D&gt;&lt;D xsi:type="xsd:double"&gt;3.18158487015295&lt;/D&gt;&lt;D xsi:type="xsd:double"&gt;3.10302790525696&lt;/D&gt;&lt;D xsi:type="xsd:double"&gt;3.22536391361514&lt;/D&gt;&lt;D xsi:type="xsd:double"&gt;3.26361324018935&lt;/D&gt;&lt;D xsi:type="xsd:double"&gt;2.71491786574694&lt;/D&gt;&lt;D xsi:type="xsd:double"&gt;2.57759086901416&lt;/D&gt;&lt;D xsi:type="xsd:double"&gt;2.46940634729309&lt;/D&gt;&lt;D xsi:type="xsd:double"&gt;2.39843697141942&lt;/D&gt;&lt;D xsi:type="xsd:double"&gt;2.36485177861648&lt;/D&gt;&lt;D xsi:type="xsd:double"&gt;2.45015190458803&lt;/D&gt;&lt;D xsi:type="xsd:double"&gt;2.43731182098679&lt;/D&gt;&lt;D xsi:type="xsd:double"&gt;2.37863753220467&lt;/D&gt;&lt;D xsi:type="xsd:double"&gt;2.40539263641599&lt;/D&gt;&lt;D xsi:type="xsd:double"&gt;2.49135678888809&lt;/D&gt;&lt;D xsi:type="xsd:double"&gt;2.57696973478638&lt;/D&gt;&lt;D xsi:type="xsd:double"&gt;2.59513839586018&lt;/D&gt;&lt;D xsi:type="xsd:double"&gt;2.58809487322422&lt;/D&gt;&lt;D xsi:type="xsd:double"&gt;2.69154357224649&lt;/D&gt;&lt;D xsi:type="xsd:double"&gt;2.62515177601402&lt;/D&gt;&lt;D xsi:type="xsd:double"&gt;2.63853030411504&lt;/D&gt;&lt;D xsi:type="xsd:double"&gt;2.56596813110993&lt;/D&gt;&lt;D xsi:type="xsd:double"&gt;2.61871249573644&lt;/D&gt;&lt;D xsi:type="xsd:double"&gt;2.68408617896531&lt;/D&gt;&lt;D xsi:type="xsd:double"&gt;2.7873913521222&lt;/D&gt;&lt;D xsi:type="xsd:double"&gt;2.76511566800919&lt;/D&gt;&lt;D xsi:type="xsd:double"&gt;2.95426598433936&lt;/D&gt;&lt;D xsi:type="xsd:double"&gt;3.00988789678015&lt;/D&gt;&lt;D xsi:type="xsd:double"&gt;3.06349188681102&lt;/D&gt;&lt;D xsi:type="xsd:double"&gt;3.08218148107593&lt;/D&gt;&lt;D xsi:type="xsd:double"&gt;3.2176421068525&lt;/D&gt;&lt;D xsi:type="xsd:double"&gt;3.40633923200343&lt;/D&gt;&lt;D xsi:type="xsd:double"&gt;3.24581234231116&lt;/D&gt;&lt;D xsi:type="xsd:double"&gt;3.19455867029734&lt;/D&gt;&lt;D xsi:type="xsd:double"&gt;3.42620608411407&lt;/D&gt;&lt;D xsi:type="xsd:double"&gt;3.38987433464708&lt;/D&gt;&lt;D xsi:type="xsd:double"&gt;3.38567091972028&lt;/D&gt;&lt;D xsi:type="xsd:double"&gt;3.48175951513012&lt;/D&gt;&lt;D xsi:type="xsd:double"&gt;3.26417718532104&lt;/D&gt;&lt;D xsi:type="xsd:double"&gt;3.36978952100331&lt;/D&gt;&lt;D xsi:type="xsd:double"&gt;3.3968483428021&lt;/D&gt;&lt;D xsi:type="xsd:double"&gt;3.3854035922504&lt;/D&gt;&lt;D xsi:type="xsd:double"&gt;3.41498057686381&lt;/D&gt;&lt;D xsi:type="xsd:double"&gt;3.41941461587257&lt;/D&gt;&lt;D xsi:type="xsd:double"&gt;3.41082347953451&lt;/D&gt;&lt;D xsi:type="xsd:double"&gt;3.30573007834377&lt;/D&gt;&lt;D xsi:type="xsd:double"&gt;3.43375512263682&lt;/D&gt;&lt;D xsi:type="xsd:double"&gt;3.48940299847291&lt;/D&gt;&lt;D xsi:type="xsd:double"&gt;3.10567909452213&lt;/D&gt;&lt;D xsi:type="xsd:double"&gt;2.97117772883368&lt;/D&gt;&lt;D xsi:type="xsd:double"&gt;2.98016780582514&lt;/D&gt;&lt;D xsi:type="xsd:double"&gt;2.76223651203116&lt;/D&gt;&lt;D xsi:type="xsd:double"&gt;2.73648411829369&lt;/D&gt;&lt;D xsi:type="xsd:double"&gt;2.75033600678367&lt;/D&gt;&lt;/FQL&gt;&lt;FQL&gt;&lt;Q&gt;EWI^FMA_PE(LTMA,-10AY,0,AM,"PORTAGG","MEANR")&lt;/Q&gt;&lt;R&gt;121&lt;/R&gt;&lt;C&gt;1&lt;/C&gt;&lt;D xsi:type="xsd:double"&gt;17.1929215138145&lt;/D&gt;&lt;D xsi:type="xsd:double"&gt;17.139794166848&lt;/D&gt;&lt;D xsi:type="xsd:double"&gt;17.5592076226811&lt;/D&gt;&lt;D xsi:type="xsd:double"&gt;17.014809151495&lt;/D&gt;&lt;D xsi:type="xsd:double"&gt;17.6013722125609&lt;/D&gt;&lt;D xsi:type="xsd:double"&gt;17.0003573237253&lt;/D&gt;&lt;D xsi:type="xsd:double"&gt;17.2201366552846&lt;/D&gt;&lt;D xsi:type="xsd:double"&gt;18.8764897816107&lt;/D&gt;&lt;D xsi:type="xsd:double"&gt;18.3466638170294&lt;/D&gt;&lt;D xsi:type="xsd:double"&gt;23.7028701352368&lt;/D&gt;&lt;D xsi:type="xsd:double"&gt;45.0675813410951&lt;/D&gt;&lt;D xsi:type="xsd:double"&gt;42.2802481730877&lt;/D&gt;&lt;D xsi:type="xsd:double"&gt;39.584429081175&lt;/D&gt;&lt;D xsi:type="xsd:double"&gt;36.6154361071937&lt;/D&gt;&lt;D xsi:type="xsd:double"&gt;33.483948253963&lt;/D&gt;&lt;D xsi:type="xsd:double"&gt;31.3328382271907&lt;/D&gt;&lt;D xsi:type="xsd:double"&gt;27.5092212034034&lt;/D&gt;&lt;D xsi:type="xsd:double"&gt;24.8459512457413&lt;/D&gt;&lt;D xsi:type="xsd:double"&gt;23.1884376672775&lt;/D&gt;&lt;D xsi:type="xsd:double"&gt;21.1969702675863&lt;/D&gt;&lt;D xsi:type="xsd:double"&gt;17.9614432089949&lt;/D&gt;&lt;D xsi:type="xsd:double"&gt;14.641912605873&lt;/D&gt;&lt;D xsi:type="xsd:double"&gt;15.4156096953203&lt;/D&gt;&lt;D xsi:type="xsd:double"&gt;15.206613016826&lt;/D&gt;&lt;D xsi:type="xsd:double"&gt;15.2194388114672&lt;/D&gt;&lt;D xsi:type="xsd:double"&gt;15.0544460899201&lt;/D&gt;&lt;D xsi:type="xsd:double"&gt;14.4259968433632&lt;/D&gt;&lt;D xsi:type="xsd:double"&gt;14.4105887636741&lt;/D&gt;&lt;D xsi:type="xsd:double"&gt;15.1038076396175&lt;/D&gt;&lt;D xsi:type="xsd:double"&gt;14.6807457855707&lt;/D&gt;&lt;D xsi:type="xsd:double"&gt;14.3865363647128&lt;/D&gt;&lt;D xsi:type="xsd:double"&gt;14.4867861339462&lt;/D&gt;&lt;D xsi:type="xsd:double"&gt;27.6594648643477&lt;/D&gt;&lt;D xsi:type="xsd:double"&gt;19.8595363780715&lt;/D&gt;&lt;D xsi:type="xsd:double"&gt;85.569365789149&lt;/D&gt;&lt;D xsi:</t>
        </r>
      </text>
    </comment>
    <comment ref="A12" authorId="0" shapeId="0" xr:uid="{4C9E7929-CD1D-4C42-89AE-37FB60B87EB9}">
      <text>
        <r>
          <rPr>
            <b/>
            <sz val="9"/>
            <color indexed="81"/>
            <rFont val="Tahoma"/>
            <charset val="1"/>
          </rPr>
          <t>type="xsd:double"&gt;78.8542286422471&lt;/D&gt;&lt;D xsi:type="xsd:double"&gt;71.3145907690207&lt;/D&gt;&lt;D xsi:type="xsd:double"&gt;64.0285620945993&lt;/D&gt;&lt;D xsi:type="xsd:double"&gt;57.3506552325927&lt;/D&gt;&lt;D xsi:type="xsd:double"&gt;49.9880683941776&lt;/D&gt;&lt;D xsi:type="xsd:double"&gt;42.9328744031754&lt;/D&gt;&lt;D xsi:type="xsd:double"&gt;36.1232998201625&lt;/D&gt;&lt;D xsi:type="xsd:double"&gt;29.0674072890416&lt;/D&gt;&lt;D xsi:type="xsd:double"&gt;22.2411344838242&lt;/D&gt;&lt;D xsi:type="xsd:double"&gt;15.0071226062268&lt;/D&gt;&lt;D xsi:type="xsd:double"&gt;15.4206696166956&lt;/D&gt;&lt;D xsi:type="xsd:double"&gt;14.1696212278114&lt;/D&gt;&lt;D xsi:type="xsd:double"&gt;14.0587293457525&lt;/D&gt;&lt;D xsi:type="xsd:double"&gt;14.2203411644906&lt;/D&gt;&lt;D xsi:type="xsd:double"&gt;13.5979394796518&lt;/D&gt;&lt;D xsi:type="xsd:double"&gt;13.2081324378876&lt;/D&gt;&lt;D xsi:type="xsd:double"&gt;13.0906841400674&lt;/D&gt;&lt;D xsi:type="xsd:double"&gt;12.4458594415345&lt;/D&gt;&lt;D xsi:type="xsd:double"&gt;12.2205977720998&lt;/D&gt;&lt;D xsi:type="xsd:double"&gt;11.5501657389104&lt;/D&gt;&lt;D xsi:type="xsd:double"&gt;11.2217000747596&lt;/D&gt;&lt;D xsi:type="xsd:double"&gt;10.3882536252733&lt;/D&gt;&lt;D xsi:type="xsd:double"&gt;11.0367709734709&lt;/D&gt;&lt;D xsi:type="xsd:double"&gt;11.2968756302449&lt;/D&gt;&lt;D xsi:type="xsd:double"&gt;11.3412781659857&lt;/D&gt;&lt;D xsi:type="xsd:double"&gt;11.3282508370533&lt;/D&gt;&lt;D xsi:type="xsd:double"&gt;10.836667034931&lt;/D&gt;&lt;D xsi:type="xsd:double"&gt;11.1493964323218&lt;/D&gt;&lt;D xsi:type="xsd:double"&gt;11.0615612962911&lt;/D&gt;&lt;D xsi:type="xsd:double"&gt;11.1152851854124&lt;/D&gt;&lt;D xsi:type="xsd:double"&gt;11.0188515657925&lt;/D&gt;&lt;D xsi:type="xsd:double"&gt;11.7720322730905&lt;/D&gt;&lt;D xsi:type="xsd:double"&gt;11.6599722863528&lt;/D&gt;&lt;D xsi:type="xsd:double"&gt;12.2610093228592&lt;/D&gt;&lt;D xsi:type="xsd:double"&gt;11.9865593742223&lt;/D&gt;&lt;D xsi:type="xsd:double"&gt;11.3083638426219&lt;/D&gt;&lt;D xsi:type="xsd:double"&gt;11.1124847902777&lt;/D&gt;&lt;D xsi:type="xsd:double"&gt;12.6078208976612&lt;/D&gt;&lt;D xsi:type="xsd:double"&gt;15.0662585657087&lt;/D&gt;&lt;D xsi:type="xsd:double"&gt;17.0037692368536&lt;/D&gt;&lt;D xsi:type="xsd:double"&gt;17.0026583394091&lt;/D&gt;&lt;D xsi:type="xsd:double"&gt;17.9170072197883&lt;/D&gt;&lt;D xsi:type="xsd:double"&gt;18.115127925755&lt;/D&gt;&lt;D xsi:type="xsd:double"&gt;18.4290993675852&lt;/D&gt;&lt;D xsi:type="xsd:double"&gt;22.4806884673098&lt;/D&gt;&lt;D xsi:type="xsd:double"&gt;23.3237130000973&lt;/D&gt;&lt;D xsi:type="xsd:double"&gt;20.5485047683835&lt;/D&gt;&lt;D xsi:type="xsd:double"&gt;20.2682487878898&lt;/D&gt;&lt;D xsi:type="xsd:double"&gt;19.7895671723476&lt;/D&gt;&lt;D xsi:type="xsd:double"&gt;19.1070181825205&lt;/D&gt;&lt;D xsi:type="xsd:double"&gt;18.5771681045715&lt;/D&gt;&lt;D xsi:type="xsd:double"&gt;17.9766484038761&lt;/D&gt;&lt;D xsi:type="xsd:double"&gt;17.0765361175438&lt;/D&gt;&lt;D xsi:type="xsd:double"&gt;15.6634613519193&lt;/D&gt;&lt;D xsi:type="xsd:double"&gt;14.6199042510871&lt;/D&gt;&lt;D xsi:type="xsd:double"&gt;14.1076786940882&lt;/D&gt;&lt;D xsi:type="xsd:double"&gt;12.3603015696677&lt;/D&gt;&lt;D xsi:type="xsd:double"&gt;12.0674553868396&lt;/D&gt;&lt;D xsi:type="xsd:double"&gt;12.0741594935383&lt;/D&gt;&lt;D xsi:type="xsd:double"&gt;10.6162195837854&lt;/D&gt;&lt;D xsi:type="xsd:double"&gt;10.582352330359&lt;/D&gt;&lt;D xsi:type="xsd:double"&gt;10.316189274652&lt;/D&gt;&lt;D xsi:type="xsd:double"&gt;10.0136719423804&lt;/D&gt;&lt;D xsi:type="xsd:double"&gt;9.32052182494765&lt;/D&gt;&lt;D xsi:type="xsd:double"&gt;8.95476990246281&lt;/D&gt;&lt;D xsi:type="xsd:double"&gt;8.51641207644438&lt;/D&gt;&lt;D xsi:type="xsd:double"&gt;8.02900297750191&lt;/D&gt;&lt;D xsi:type="xsd:double"&gt;8.13041433985022&lt;/D&gt;&lt;D xsi:type="xsd:double"&gt;7.88335706991698&lt;/D&gt;&lt;D xsi:type="xsd:double"&gt;7.3748312726829&lt;/D&gt;&lt;D xsi:type="xsd:double"&gt;8.25616363827509&lt;/D&gt;&lt;D xsi:type="xsd:double"&gt;8.29634666434956&lt;/D&gt;&lt;D xsi:type="xsd:double"&gt;8.29933443405495&lt;/D&gt;&lt;D xsi:type="xsd:double"&gt;8.31994807874522&lt;/D&gt;&lt;D xsi:type="xsd:double"&gt;8.41175433140411&lt;/D&gt;&lt;D xsi:type="xsd:double"&gt;8.59929106788544&lt;/D&gt;&lt;D xsi:type="xsd:double"&gt;8.39762286442425&lt;/D&gt;&lt;D xsi:type="xsd:double"&gt;8.38806422040202&lt;/D&gt;&lt;D xsi:type="xsd:double"&gt;8.15490815424265&lt;/D&gt;&lt;D xsi:type="xsd:double"&gt;8.16060367864137&lt;/D&gt;&lt;D xsi:type="xsd:double"&gt;8.63230951448981&lt;/D&gt;&lt;D xsi:type="xsd:double"&gt;8.91633057128831&lt;/D&gt;&lt;D xsi:type="xsd:double"&gt;9.08446825995505&lt;/D&gt;&lt;D xsi:type="xsd:double"&gt;9.35945744645653&lt;/D&gt;&lt;D xsi:type="xsd:double"&gt;9.4569744424315&lt;/D&gt;&lt;D xsi:type="xsd:double"&gt;9.43560939764699&lt;/D&gt;&lt;/FQL&gt;&lt;FQL&gt;&lt;Q&gt;DDR3512M-FDS^FG_PRICE_CHANGE(0,-1AY)&lt;/Q&gt;&lt;R&gt;1&lt;/R&gt;&lt;C&gt;1&lt;/C&gt;&lt;D xsi:type="xsd:double"&gt;-9.57773296549136&lt;/D&gt;&lt;/FQL&gt;&lt;FQL&gt;&lt;Q&gt;PASP-FDS^FG_PRICE_CHANGE(0,-1AY)&lt;/Q&gt;&lt;R&gt;1&lt;/R&gt;&lt;C&gt;1&lt;/C&gt;&lt;D xsi:type="xsd:double"&gt;-35.4266211604096&lt;/D&gt;&lt;/FQL&gt;&lt;FQL&gt;&lt;Q&gt;PLATI-FDS^FG_PRICE_CHANGE(0,-1AY)&lt;/Q&gt;&lt;R&gt;1&lt;/R&gt;&lt;C&gt;1&lt;/C&gt;&lt;D xsi:type="xsd:double"&gt;-9.76303317535545&lt;/D&gt;&lt;/FQL&gt;&lt;FQL&gt;&lt;Q&gt;VWO^FMA_PCT_ABOVE_MAVG(200,0,,,,"PORTAGG")&lt;/Q&gt;&lt;R&gt;1&lt;/R&gt;&lt;C&gt;1&lt;/C&gt;&lt;D xsi:type="xsd:double"&gt;41.5520206362855&lt;/D&gt;&lt;/FQL&gt;&lt;FQL&gt;&lt;Q&gt;REFJPTON-FDS^PROPER_NAME(0,,,"SECURITY","NAME")&lt;/Q&gt;&lt;R&gt;1&lt;/R&gt;&lt;C&gt;1&lt;/C&gt;&lt;D xsi:type="xsd:string"&gt;Japan Policy Rate&lt;/D&gt;&lt;/FQL&gt;&lt;FQL&gt;&lt;Q&gt;TRYNL10Y-FDS^PCTCHG(FG_YIELD(0,,,,"YTM"),FG_YIELD(-3AM,,,,"YTM"))&lt;/Q&gt;&lt;R&gt;1&lt;/R&gt;&lt;C&gt;1&lt;/C&gt;&lt;D xsi:type="xsd:double"&gt;13.375796&lt;/D&gt;&lt;/FQL&gt;&lt;FQL&gt;&lt;Q&gt;CAGDPY@IT^EE_ACTUAL_ANNUAL(MED,0)&lt;/Q&gt;&lt;R&gt;1&lt;/R&gt;&lt;C&gt;1&lt;/C&gt;&lt;D xsi:type="xsd:double"&gt;0.508205836311015&lt;/D&gt;&lt;/FQL&gt;&lt;FQL&gt;&lt;Q&gt;CC_AU^FG_COMPANY_NAME&lt;/Q&gt;&lt;R&gt;1&lt;/R&gt;&lt;C&gt;1&lt;/C&gt;&lt;D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xsi:type="xsd:double"&gt;10.9136&lt;/D&gt;&lt;/FQL&gt;&lt;FQL&gt;&lt;Q&gt;USDCHF^FG_PRICE(0)&lt;/Q&gt;&lt;R&gt;1&lt;/R&gt;&lt;C&gt;1&lt;/C&gt;&lt;D xsi:type="xsd:double"&gt;0.9135&lt;/D&gt;&lt;/FQL&gt;&lt;FQL&gt;&lt;Q&gt;EWQ^FG_PRICE_MAVG(0,,,,30)&lt;/Q&gt;&lt;R&gt;1&lt;/R&gt;&lt;C&gt;1&lt;/C&gt;&lt;D xsi:type="xsd:double"&gt;40.575&lt;/D&gt;&lt;/FQL&gt;&lt;FQL&gt;&lt;Q&gt;EWN^FG_TOTAL_RETURNC(0,-3AM)&lt;/Q&gt;&lt;R&gt;1&lt;/R&gt;&lt;C&gt;1&lt;/C&gt;&lt;D xsi:type="xsd:double"&gt;5.56525&lt;/D&gt;&lt;/FQL&gt;&lt;FQL&gt;&lt;Q&gt;VGK^FMA_COS_UP("EPS","1M",+1,0,,,"PORTAGG","MEANR")&lt;/Q&gt;&lt;R&gt;1&lt;/R&gt;&lt;C&gt;1&lt;/C&gt;&lt;D xsi:type="xsd:double"&gt;424&lt;/D&gt;&lt;/FQL&gt;&lt;FQL&gt;&lt;Q&gt;REFJPTON-FDS^FG_YIELD(NOW,,,0)&lt;/Q&gt;&lt;R&gt;1&lt;/R&gt;&lt;C&gt;1&lt;/C&gt;&lt;D xsi:type="xsd:double"&gt;0.1&lt;/D&gt;&lt;/FQL&gt;&lt;FQL&gt;&lt;Q&gt;ENZL^FG_PRICE_MAVG(0,,,,30)&lt;/Q&gt;&lt;R&gt;1&lt;/R&gt;&lt;C&gt;1&lt;/C&gt;&lt;D xsi:type="xsd:double"&gt;44.89376&lt;/D&gt;&lt;/FQL&gt;&lt;FQL&gt;&lt;Q&gt;ENZL^FMA_ROE(NTMA,-20AY,NOW,FY,"PORTAGG","MEANR")&lt;/Q&gt;&lt;R&gt;20&lt;/R&gt;&lt;C&gt;1&lt;/C&gt;&lt;D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xsi:type="xsd:double"&gt;2.574&lt;/D&gt;&lt;/FQL&gt;&lt;FQL&gt;&lt;Q&gt;EWN^FG_TOTAL_RETURNC(0,-1AM)&lt;/Q&gt;&lt;R&gt;1&lt;/R&gt;&lt;C&gt;1&lt;/C&gt;&lt;D xsi:type="xsd:double"&gt;-1.7868042&lt;/D&gt;&lt;/FQL&gt;&lt;FQL&gt;&lt;Q&gt;EWU^P_PRICE(0)/P_PRICE_LOW_PR(0,,,,,,"PRICE","INTRA","52W")-1&lt;/Q&gt;&lt;R&gt;1&lt;/R&gt;&lt;C&gt;1&lt;/C&gt;&lt;D xsi:type="xsd:double"&gt;0.16290641&lt;/D&gt;&lt;/FQL&gt;&lt;FQL&gt;&lt;Q&gt;EWL^FMA_PCT_ABOVE_MAVG(200,0,,,,"PORTAGG")&lt;/Q&gt;&lt;R&gt;1&lt;/R&gt;&lt;C&gt;1&lt;/C&gt;&lt;D xsi:type="xsd:double"&gt;57.7777777777778&lt;/D&gt;&lt;/FQL&gt;&lt;FQL&gt;&lt;Q&gt;EWG^PERCENT_CHANGE(FMA_EPS(+1,0,,,,"PORTAGG","MEAN"),FMA_EPS(+1,-3AM,,,,"PORTAGG","MEAN"))&lt;/Q&gt;&lt;R&gt;1&lt;/R&gt;&lt;C&gt;1&lt;/C&gt;&lt;D xsi:type="xsd:double"&gt;-0.782324593252817&lt;/D&gt;&lt;/FQL&gt;&lt;FQL&gt;&lt;Q&gt;EWA^FG_TOTAL_RETURNC(0,-3AM)&lt;/Q&gt;&lt;R&gt;1&lt;/R&gt;&lt;C&gt;1&lt;/C&gt;&lt;D xsi:type="xsd:double"&gt;0.9322047&lt;/D&gt;&lt;/FQL&gt;&lt;FQL&gt;&lt;Q&gt;FXI^FMA_COS_UP("EPS","1M",+1,0,,,"PORTAGG","MEANR")&lt;/Q&gt;&lt;R&gt;1&lt;/R&gt;&lt;C&gt;1&lt;/C&gt;&lt;D xsi:type="xsd:double"&gt;20&lt;/D&gt;&lt;/FQL&gt;&lt;FQL&gt;&lt;Q&gt;EWI^SIZE(FG_CONSTITUENTS)&lt;/Q&gt;&lt;R&gt;1&lt;/R&gt;&lt;C&gt;1&lt;/C&gt;&lt;D xsi:type="xsd:long"&gt;26&lt;/D&gt;&lt;/FQL&gt;&lt;FQL&gt;&lt;Q&gt;QQQ^FMA_COS_DOWN("EPS","1M",+1,0,,,"PORTAGG","MEANR")&lt;/Q&gt;&lt;R&gt;1&lt;/R&gt;&lt;C&gt;1&lt;/C&gt;&lt;D xsi:type="xsd:double"&gt;39&lt;/D&gt;&lt;/FQL&gt;&lt;FQL&gt;&lt;Q&gt;EWC^FMA_COS_UP("EPS","1M",+1,0,,,"PORTAGG","MEANR")&lt;/Q&gt;&lt;R&gt;1&lt;/R&gt;&lt;C&gt;1&lt;/C&gt;&lt;D xsi:type="xsd:double"&gt;40&lt;/D&gt;&lt;/FQL&gt;&lt;FQL&gt;&lt;Q&gt;ENZL^FMA_RBICS_REV_CURRENT(30, LOC, "PORTAGG")&lt;/Q&gt;&lt;R&gt;1&lt;/R&gt;&lt;C&gt;1&lt;/C&gt;&lt;D xsi:type="xsd:double"&gt;13.7517044499309&lt;/D&gt;&lt;/FQL&gt;&lt;FQL&gt;&lt;Q&gt;TRYIT10Y-FDS^PCTCHG(FG_YIELD(0,,,,"YTM"),FG_YIELD(-1AM,,,,"YTM"))&lt;/Q&gt;&lt;R&gt;1&lt;/R&gt;&lt;C&gt;1&lt;/C&gt;&lt;D xsi:type="xsd:double"&gt;1.6141802&lt;/D&gt;&lt;/FQL&gt;&lt;FQL&gt;&lt;Q&gt;EWG^PERCENT_CHANGE(FMA_EPS(+1,0,,,,"PORTAGG","MEAN"),FMA_EPS(+1,-1AM,,,,"PORTAGG","MEAN"))&lt;/Q&gt;&lt;R&gt;1&lt;/R&gt;&lt;C&gt;1&lt;/C&gt;&lt;D xsi:type="xsd:double"&gt;0.175233652588625&lt;/D&gt;&lt;/FQL&gt;&lt;FQL&gt;&lt;Q&gt;CAGDPY@SE^EE_ACTUAL_ANNUAL(MED,+1)&lt;/Q&gt;&lt;R&gt;1&lt;/R&gt;&lt;C&gt;1&lt;/C&gt;&lt;D xsi:type="xsd:double"&gt;5.4&lt;/D&gt;&lt;/FQL&gt;&lt;FQL&gt;&lt;Q&gt;CAGDPY@DE^EE_ACTUAL_ANNUAL(MED,+1)&lt;/Q&gt;&lt;R&gt;1&lt;/R&gt;&lt;C&gt;1&lt;/C&gt;&lt;D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xsi:type="xsd:double"&gt;2.86429657487096&lt;/D&gt;&lt;/FQL&gt;&lt;FQL&gt;&lt;Q&gt;EWG^P_PRICE_RETURNS_PR('52W',2,-10AY,0,AM)&lt;/Q&gt;&lt;R&gt;121&lt;/R&gt;&lt;C&gt;1&lt;/C&gt;&lt;D xsi:type="xsd:double"&gt;26.32345&lt;/D&gt;&lt;D xsi:type="xsd:double"&gt;24.861872&lt;/D&gt;&lt;D xsi:type="xsd:double"&gt;31.004227&lt;/D&gt;&lt;D xsi:type="xsd:double"&gt;9.54442&lt;/D&gt;&lt;D xsi:type="xsd:double"&gt;15.137207&lt;/D&gt;&lt;D xsi:type="xsd:double"&gt;-1.5406072&lt;/D&gt;&lt;D xsi:type="xsd:double"&gt;-5.319333&lt;/D&gt;&lt;D xsi:type="xsd:double"&gt;-3.897971&lt;/D&gt;&lt;D xsi:type="xsd:double"&gt;-9.494901&lt;/D&gt;&lt;D xsi:type="xsd:double"&gt;-1.9498587&lt;/D&gt;&lt;D xsi:type="xsd:double"&gt;-4.0632067&lt;/D&gt;&lt;D xsi:type="xsd:double"&gt;-1.9275844&lt;/D&gt;&lt;D xsi:type="xsd:double"&gt;-3.5145342&lt;/D&gt;&lt;D xsi:type="xsd:double"&gt;-6.9159746&lt;/D&gt;&lt;D xsi:type="xsd:double"&gt;-9.212196&lt;/D&gt;&lt;D xsi:type="xsd:double"&gt;-1.1263967&lt;/D&gt;&lt;D xsi:type="xsd:double"&gt;-8.487272&lt;/D&gt;&lt;D xsi:type="xsd:double"&gt;-6.742507&lt;/D&gt;&lt;D xsi:type="xsd:double"&gt;2.818942&lt;/D&gt;&lt;D xsi:type="xsd:double"&gt;-4.810375&lt;/D&gt;&lt;D xsi:type="xsd:double"&gt;-2.79271&lt;/D&gt;&lt;D xsi:type="xsd:double"&gt;-15.900576&lt;/D&gt;&lt;D xsi:type="xsd:double"&gt;-17.36979&lt;/D&gt;&lt;D xsi:type="xsd:double"&gt;-13.744556&lt;/D&gt;&lt;D xsi:type="xsd:double"&gt;-10.031944&lt;/D&gt;&lt;D xsi:type="xsd:double"&gt;-9.661139&lt;/D&gt;&lt;D xsi:type="xsd:double"&gt;-12.140441&lt;/D&gt;&lt;D xsi:type="xsd:double"&gt;-8.489143&lt;/D&gt;&lt;D xsi:type="xsd:double"&gt;4.3566823&lt;/D&gt;&lt;D xsi:type="xsd:double"&gt;8.764577&lt;/D&gt;&lt;D xsi:type="xsd:double"&gt;-5.051291&lt;/D&gt;&lt;D xsi:type="xsd:double"&gt;-5.549103&lt;/D&gt;&lt;D xsi:type="xsd:double"&gt;1.9262791&lt;/D&gt;&lt;D xsi:type="xsd:double"&gt;19.283283&lt;/D&gt;&lt;D xsi:type="xsd:double"&gt;17.441486&lt;/D&gt;&lt;D xsi:type="xsd:double"&gt;14.491785&lt;/D&gt;&lt;D xsi:type="xsd:double"&gt;15.751255&lt;/D&gt;&lt;D xsi:type="xsd:double"&gt;24.889278&lt;/D&gt;&lt;D xsi:type="xsd:double"&gt;28.358067&lt;/D&gt;&lt;D xsi:type="xsd:double"&gt;24.90946&lt;/D&gt;&lt;D xsi:type="xsd:double"&gt;19.625902&lt;/D&gt;&lt;D xsi:type="xsd:double"&gt;25.58564&lt;/D&gt;&lt;D xsi:type="xsd:double"&gt;33.92452&lt;/D&gt;&lt;D xsi:type="xsd:double"&gt;36.155773&lt;/D&gt;&lt;D xsi:type="xsd:double"&gt;28.373575&lt;/D&gt;&lt;D xsi:type="xsd:double"&gt;25.431501&lt;/D&gt;&lt;D xsi:type="xsd:double"&gt;17.11582&lt;/D&gt;&lt;D xsi:type="xsd:double"&gt;12.194228&lt;/D&gt;&lt;D xsi:type="xsd:double"&gt;11.344266&lt;/D&gt;&lt;D xsi:type="xsd:double"&gt;4.370308&lt;/D&gt;&lt;D xsi:type="xsd:double"&gt;1.1805058&lt;/D&gt;&lt;D xsi:type="xsd:double"&gt;1.3812661&lt;/D&gt;&lt;D xsi:type="xsd:double"&gt;0.9038806&lt;/D&gt;&lt;D xsi:type="xsd:double"&gt;-5.705923&lt;/D&gt;&lt;D xsi:type="xsd:double"&gt;-14.858067&lt;/D&gt;&lt;D xsi:type="xsd:double"&gt;-17.095613&lt;/D&gt;&lt;D xsi:type="xsd:double"&gt;-22.527128&lt;/D&gt;&lt;D xsi:type="xsd:double"&gt;-20.872295&lt;/D&gt;&lt;D xsi:type="xsd:double"&gt;-11.139929&lt;/D&gt;&lt;D xsi:type="xsd:double"&gt;-10.890347&lt;/D&gt;&lt;D xsi:type="xsd:double"&gt;-10.352069&lt;/D&gt;&lt;D xsi:type="xsd:double"&gt;-12.863559&lt;/D&gt;&lt;D xsi:type="xsd:double"&gt;-3.0799925&lt;/D&gt;&lt;D xsi:type="xsd:double"&gt;-10.987127&lt;/D&gt;&lt;D xsi:type="xsd:double"&gt;-12.065733&lt;/D&gt;&lt;D xsi:type="xsd:double"&gt;-9.915996&lt;/D&gt;&lt;D xsi:type="xsd:double"&gt;7.1332574&lt;/D&gt;&lt;D xsi:type="xsd:double"&gt;9.745765&lt;/D&gt;&lt;D xsi:type="xsd:double"&gt;22.014809&lt;/D&gt;&lt;D xsi:type="xsd:double"&gt;9.413683&lt;/D&gt;&lt;D xsi:type="xsd:double"&gt;-0.87010264&lt;/D&gt;&lt;D xsi:type="xsd:double"&gt;-22.439362&lt;/D&gt;&lt;D xsi:type="xsd:double"&gt;-17.153847&lt;/D&gt;&lt;D xsi:type="xsd:double"&gt;2.3972273&lt;/D&gt;&lt;D xsi:type="xsd:double"&gt;-1.0038435&lt;/D&gt;&lt;D xsi:type="xsd:double"&gt;6.430316&lt;/D&gt;&lt;D xsi:type="xsd:double"&gt;18.249023&lt;/D&gt;&lt;D xsi:type="xsd:double"&gt;13.1447315&lt;/D&gt;&lt;D xsi:type="xsd:double"&gt;-6.4704&lt;/D&gt;&lt;D xsi:type="xsd:double"&gt;9.536529&lt;/D&gt;&lt;D xsi:type="xsd:double"&gt;10.563791&lt;/D&gt;&lt;D xsi:type="xsd:double"&gt;15.549171&lt;/D&gt;&lt;D xsi:type="xsd:double"&gt;25.176548&lt;/D&gt;&lt;D xsi:type="xsd:double"&gt;70.44282&lt;/D&gt;&lt;D xsi:type="xsd:double"&gt;50.21949&lt;/D&gt;&lt;D xsi:type="xsd:double"&gt;37.743176&lt;/D&gt;&lt;D xsi:type="xsd:double"&gt;29.986143&lt;/D&gt;&lt;D xsi:type="xsd:double"&gt;26.091755&lt;/D&gt;&lt;D xsi:type="xsd:double"&gt;17.964851&lt;/D&gt;&lt;D xsi:type="xsd:double"&gt;15.694893&lt;/D&gt;&lt;D xsi:type="xsd:double"&gt;32.745766&lt;/D&gt;&lt;D xsi:type="xsd:double"&gt;6.1612725&lt;/D&gt;&lt;D xsi:type="xsd:double"&gt;5.840075&lt;/D&gt;&lt;D xsi:type="xsd:double"&gt;3.0247092&lt;/D&gt;&lt;D xsi:type="xsd:double"&gt;-11.085624&lt;/D&gt;&lt;D xsi:type="xsd:double"&gt;-13.5556755&lt;/D&gt;&lt;D xsi:type="xsd:double"&gt;-23.08057&lt;/D&gt;&lt;D xsi:type="xsd:double"&gt;-21.36178&lt;/D&gt;&lt;D xsi:type="xsd:double"&gt;-30.947208&lt;/D&gt;&lt;D xsi:type="xsd:double"&gt;-30.136246&lt;/D&gt;&lt;D xsi:type="xsd:double"&gt;-36.91226&lt;/D&gt;&lt;D xsi:type="xsd:double"&gt;-37.647526&lt;/D&gt;&lt;D xsi:type="xsd:double"&gt;-34.92675&lt;/D&gt;&lt;D xsi:type="xsd:double"&gt;-16.462332&lt;/D&gt;&lt;D xsi:type="xsd:double"&gt;-22.198814&lt;/D&gt;&lt;D xsi:type="xsd:double"&gt;-7.9954505&lt;/D&gt;&lt;D xsi:type="xsd:double"&gt;0.022649765&lt;/D&gt;&lt;D xsi:type="xsd:double"&gt;3.3809423&lt;/D&gt;&lt;D xsi:type="xsd:double"&gt;15.362061&lt;/D&gt;&lt;D xsi:type="xsd:double"&gt;6.553054&lt;/D&gt;&lt;D xsi:type="xsd:double"&gt;27.615654&lt;/D&gt;&lt;D xsi:type="xsd:double"&gt;25.247038&lt;/D&gt;&lt;D xsi:type="xsd:double"&gt;31.744062&lt;/D&gt;&lt;D xsi:type="xsd:double"&gt;34.02065&lt;/D&gt;&lt;D xsi:type="xsd:double"&gt;23.919975&lt;/D&gt;&lt;D xsi:type="xsd:double"&gt;15.437115&lt;/D&gt;&lt;D xsi:type="xsd:double"&gt;21.905445&lt;/D&gt;&lt;D xsi:type="xsd:double"&gt;4.0325284&lt;/D&gt;&lt;D xsi:type="xsd:double"&gt;15.048528&lt;/D&gt;&lt;D xsi:type="xsd:double"&gt;13.185251&lt;/D&gt;&lt;D xsi:type="xsd:double"&gt;8.660162&lt;/D&gt;&lt;/FQL&gt;&lt;FQL&gt;&lt;Q&gt;EWA^FG_TOTAL_RETURNC(-10AY,0,AM)&lt;/Q&gt;&lt;R&gt;121&lt;/R&gt;&lt;C&gt;1&lt;/C&gt;&lt;D xsi:type="xsd:double"&gt;1.3112187&lt;/D&gt;&lt;D xsi:type="xsd:double"&gt;1.0277867&lt;/D&gt;&lt;D xsi:type="xsd:double"&gt;1.3528705&lt;/D&gt;&lt;D xsi:type="xsd:double"&gt;-0.3018856&lt;/D&gt;&lt;D xsi:type="xsd:double"&gt;2.8009057&lt;/D&gt;&lt;D xsi:type="xsd:double"&gt;-11.340207&lt;/D&gt;&lt;D xsi:type="xsd:double"&gt;5.6063175&lt;/D&gt;&lt;D xsi:type="xsd:double"&gt;-8.06135&lt;/D&gt;&lt;D xsi:type="xsd:double"&gt;-2.4032176&lt;/D&gt;&lt;D xsi:type="xsd:double"&gt;1.2217164&lt;/D&gt;&lt;D xsi:type="xsd:double"&gt;5.945468&lt;/D&gt;&lt;D xsi:type="xsd:double"&gt;-3.0379772&lt;/D&gt;&lt;D xsi:type="xsd:double"&gt;2.0452619&lt;/D&gt;&lt;D xsi:type="xsd:double"&gt;-4.221755&lt;/D&gt;&lt;D xsi:type="xsd:double"&gt;-2.456075&lt;/D&gt;&lt;D xsi:type="xsd:double"&gt;-2.1972835&lt;/D&gt;&lt;D xsi:type="xsd:double"&gt;-13.049709&lt;/D&gt;&lt;D xsi:type="xsd:double"&gt;0.3298521&lt;/D&gt;&lt;D xsi:type="xsd:double"&gt;3.397262&lt;/D&gt;&lt;D xsi:type="xsd:double"&gt;2.9676676&lt;/D&gt;&lt;D xsi:type="xsd:double"&gt;0.30611753&lt;/D&gt;&lt;D xsi:type="xsd:double"&gt;-9.757376&lt;/D&gt;&lt;D xsi:type="xsd:double"&gt;7.30567&lt;/D&gt;&lt;D xsi:type="xsd:double"&gt;4.575169&lt;/D&gt;&lt;D xsi:type="xsd:double"&gt;4.583323&lt;/D&gt;&lt;D xsi:type="xsd:double"&gt;-4.0338635&lt;/D&gt;&lt;D xsi:type="xsd:double"&gt;2.83885&lt;/D&gt;&lt;D xsi:type="xsd:double"&gt;5.629468&lt;/D&gt;&lt;D xsi:type="xsd:double"&gt;-1.4534831&lt;/D&gt;&lt;D xsi:type="xsd:double"&gt;2.7531981&lt;/D&gt;&lt;D xsi:type="xsd:double"&gt;-4.354066&lt;/D&gt;&lt;D xsi:type="xsd:double"&gt;3.5017489999999998&lt;/D&gt;&lt;D xsi:type="xsd:double"&gt;0.39114952&lt;/D&gt;&lt;D xsi:type="xsd:double"&gt;6.6238284&lt;/D&gt;&lt;D xsi:type="xsd:double"&gt;1.7617106&lt;/D&gt;&lt;D xsi:type="xsd:double"&gt;3.0068278&lt;/D&gt;&lt;D xsi:type="xsd:double"&gt;0.22113323&lt;/D&gt;&lt;D xsi:type="xsd:double"&gt;-4.1482806&lt;/D&gt;&lt;D xsi:type="xsd:double"&gt;2.0105243&lt;/D&gt;&lt;D xsi:type="xsd:double"&gt;4.7509193&lt;/D&gt;&lt;D xsi:type="xsd:double"&gt;0.4843712&lt;/D&gt;&lt;D xsi:type="xsd:double"&gt;-1.2269914&lt;/D&gt;&lt;D xsi:type="xsd:double"&gt;1.952076&lt;/D&gt;&lt;D xsi:type="xsd:double"&gt;-0.5657077&lt;/D&gt;&lt;D xsi:type="xsd:double"&gt;4.5698285&lt;/D&gt;&lt;D xsi:type="xsd:double"&gt;0.8576393&lt;/D&gt;&lt;D xsi:type="xsd:double"&gt;-3.316331&lt;/D&gt;&lt;D xsi:type="xsd:double"&gt;-4.8372927&lt;/D&gt;&lt;D xsi:type="xsd:double"&gt;3.9279103&lt;/D&gt;&lt;D xsi:type="xsd:double"&gt;1.0226727&lt;/D&gt;&lt;D xsi:type="xsd:double"&gt;0.116062164&lt;/D&gt;&lt;D xsi:type="xsd:double"&gt;1.5688062&lt;/D&gt;&lt;D xsi:type="xsd:double"&gt;-0.7502198&lt;/D&gt;&lt;D xsi:type="xsd:double"&gt;-2.9346347&lt;/D&gt;&lt;D xsi:type="xsd:double"&gt;-4.3518124&lt;/D&gt;&lt;D xsi:type="xsd:double"&gt;-0.38313866&lt;/D&gt;&lt;D xsi:type="xsd:double"&gt;-4.6291113&lt;/D&gt;&lt;D xsi:type="xsd:double"&gt;7.643974&lt;/D&gt;&lt;D xsi:type="xsd:double"&gt;4.2315245&lt;/D&gt;&lt;D xsi:type="xsd:double"&gt;1.0265946&lt;/D&gt;&lt;D xsi:type="xsd:double"&gt;0.0461936&lt;/D&gt;&lt;D xsi:type="xsd:double"&gt;0.64635277&lt;/D&gt;&lt;D xsi:type="xsd:double"&gt;5.272627&lt;/D&gt;&lt;D xsi:type="xsd:double"&gt;-1.2894571&lt;/D&gt;&lt;D xsi:type="xsd:double"&gt;-2.3423433&lt;/D&gt;&lt;D xsi:type="xsd:double"&gt;-1.0608852&lt;/D&gt;&lt;D xsi:type="xsd:double"&gt;6.107223&lt;/D&gt;&lt;D xsi:type="xsd:double"&gt;-0.13181567&lt;/D&gt;&lt;D xsi:type="xsd:double"&gt;2.0441055&lt;/D&gt;&lt;D xsi:type="xsd:double"&gt;-2.110815&lt;/D&gt;&lt;D xsi:type="xsd:double"&gt;-8.265948&lt;/D&gt;&lt;D xsi:type="xsd:double"&gt;-24.04505&lt;/D&gt;&lt;D xsi:type="xsd:double"&gt;4.3842673&lt;/D&gt;&lt;D xsi:type="xsd:double"&gt;18.900549&lt;/D&gt;&lt;D xsi:type="xsd:double"&gt;4.5401216&lt;/D&gt;&lt;D xsi:type="xsd:double"&gt;0.40342808&lt;/D&gt;&lt;D xsi:type="xsd:double"&gt;6.077349&lt;/D&gt;&lt;D xsi:type="xsd:double"&gt;-6.0132623&lt;/D&gt;&lt;D xsi:type="xsd:double"&gt;0.15112162&lt;/D&gt;&lt;D xsi:type="xsd:double"&gt;17.002022&lt;/D&gt;&lt;D xsi:type="xsd:double"&gt;3.8402557&lt;/D&gt;&lt;D xsi:type="xsd:double"&gt;2.1294236&lt;/D&gt;&lt;D xsi:type="xsd:double"&gt;3.5568357&lt;/D&gt;&lt;D xsi:type="xsd:double"&gt;-0.7895827&lt;/D&gt;&lt;D xsi:type="xsd:double"&gt;2.984476&lt;/D&gt;&lt;D xsi:type="xsd:double"&gt;4.791355&lt;/D&gt;&lt;D xsi:type="xsd:double"&gt;-2.2327662&lt;/D&gt;&lt;D xsi:type="xsd:double"&gt;-0.7265806&lt;/D&gt;&lt;D xsi:type="xsd:double"&gt;1.6949177&lt;/D&gt;&lt;D xsi:type="xsd:double"&gt;-5.5302978&lt;/D&gt;&lt;D xsi:type="xsd:double"&gt;4.9318314&lt;/D&gt;&lt;D xsi:type="xsd:double"&gt;-5.769968&lt;/D&gt;&lt;D xsi:type="xsd:double"&gt;4.358971&lt;/D&gt;&lt;D xsi:type="xsd:double"&gt;-6.242448&lt;/D&gt;&lt;D xsi:type="xsd:double"&gt;5.7130575&lt;/D&gt;&lt;D xsi:type="xsd:double"&gt;8.451843&lt;/D&gt;&lt;D xsi:type="xsd:double"&gt;-8.167857&lt;/D&gt;&lt;D xsi:type="xsd:double"&gt;3.3863783&lt;/D&gt;&lt;D xsi:type="xsd:double"&gt;-14.083057&lt;/D&gt;&lt;D xsi:type="xsd:double"&gt;6.4011455&lt;/D&gt;&lt;D xsi:type="xsd:double"&gt;-2.9857397&lt;/D&gt;&lt;D xsi:type="xsd:double"&gt;-9.875977&lt;/D&gt;&lt;D xsi:type="xsd:double"&gt;5.147803&lt;/D&gt;&lt;D xsi:type="xsd:double"&gt;14.590406&lt;/D&gt;&lt;D xsi:type="xsd:double"&gt;-4.2133865&lt;/D&gt;&lt;D xsi:type="xsd:double"&gt;12.190735&lt;/D&gt;&lt;D xsi:type="xsd:double"&gt;-7.377708&lt;/D&gt;&lt;D xsi:type="xsd:double"&gt;-0.69264174&lt;/D&gt;&lt;D xsi:type="xsd:double"&gt;-0.3923297&lt;/D&gt;&lt;D xsi:type="xsd:double"&gt;-0.6127&lt;/D&gt;&lt;D xsi:type="xsd:double"&gt;1.1723161&lt;/D&gt;&lt;D xsi:type="xsd:double"&gt;-0.931257&lt;/D&gt;&lt;D xsi:type="xsd:double"&gt;-0.4028678&lt;/D&gt;&lt;D xsi:type="xsd:double"&gt;-5.303371&lt;/D&gt;&lt;D xsi:type="xsd:double"&gt;2.2781134&lt;/D&gt;&lt;D xsi:type="xsd:double"&gt;6.4037204&lt;/D&gt;&lt;D xsi:type="xsd:double"&gt;7.490492&lt;/D&gt;&lt;D xsi:type="xsd:double"&gt;-2.277428&lt;/D&gt;&lt;D xsi:type="xsd:double"&gt;2.4999976&lt;/D&gt;&lt;D xsi:type="xsd:double"&gt;1.3641953&lt;/D&gt;&lt;D xsi:type="xsd:double"&gt;-2.854818&lt;/D&gt;&lt;/FQL&gt;&lt;FQL&gt;&lt;Q&gt;EWD^FMA_PE(LTMA,-10AY,0,AM,"PORTAGG","MEANR")&lt;/Q&gt;&lt;R&gt;121&lt;/R&gt;&lt;C&gt;1&lt;/C&gt;&lt;D xsi:type="xsd:double"&gt;15.4457277166589&lt;/D&gt;&lt;D xsi:type="xsd:double"&gt;15.7004483448681&lt;/D&gt;&lt;D xsi:type="xsd:double"&gt;15.8202288697401&lt;/D&gt;&lt;D xsi:type="xsd:double"&gt;15.8265445072361&lt;/D&gt;&lt;D xsi:type="xsd:double"&gt;15.837432735271&lt;/D&gt;&lt;D xsi:type="xsd:double"&gt;15.6583682915239&lt;/D&gt;&lt;D xsi:type="xsd:double"&gt;16.3360450818904&lt;/D&gt;&lt;D xsi:type="xsd:double"&gt;17.276734481544&lt;/D&gt;&lt;D xsi:type="xsd:double"&gt;17.5611304283267&lt;/D&gt;&lt;D xsi:type="xsd:double"&gt;18.6957667778568&lt;/D&gt;&lt;D xsi:type="xsd:double"&gt;20.2676436690787&lt;/D&gt;&lt;D xsi:type="xsd:double"&gt;19.9577239367745&lt;/D&gt;&lt;D xsi:type="xsd:double"&gt;19.2562506036483&lt;/D&gt;&lt;D xsi:type="xsd:double"&gt;19.2351606466027&lt;/D&gt;&lt;D xsi:type="xsd:double"&gt;18.5594823200711&lt;/D&gt;&lt;D xsi:type="xsd:double"&gt;18.4990183364309&lt;/D&gt;&lt;D xsi:type="xsd:double"&gt;17.2628706460922&lt;/D&gt;&lt;D xsi:type="xsd:double"&gt;16.4681325303132&lt;/D&gt;&lt;D xsi:type="xsd:double"&gt;17.1878150684434&lt;/D&gt;&lt;D xsi:type="xsd:double"&gt;16.9850084282074&lt;/D&gt;&lt;D xsi:type="xsd:double"&gt;16.0162580656525&lt;/D&gt;&lt;D xsi:type="xsd:double"&gt;14.4039914412014&lt;/D&gt;&lt;D xsi:type="xsd:double"&gt;15.601495082396&lt;/D&gt;&lt;D xsi:type="xsd:double"&gt;15.5496259742074&lt;/D&gt;&lt;D xsi:type="xsd:double"&gt;15.6363720432732&lt;/D&gt;&lt;D xsi:type="xsd:double"&gt;15.5413188431315&lt;/D&gt;&lt;D xsi:type="xsd:double"&gt;15.4538294040505&lt;/D&gt;&lt;D xsi:type="xsd:double"&gt;15.6454935671329&lt;/D&gt;&lt;D xsi:type="xsd:double"&gt;16.2003736307799&lt;/D&gt;&lt;D xsi:type="xsd:double"&gt;16.4554693449696&lt;/D&gt;&lt;D xsi:type="xsd:double"&gt;17.0437142550816&lt;/D&gt;&lt;D xsi:type="xsd:double"&gt;17.3004395096195&lt;/D&gt;&lt;D xsi:type="xsd:double"&gt;18.1859107293486&lt;/D&gt;&lt;D xsi:type="xsd:double"&gt;18.4027659804201&lt;/D&gt;&lt;D xsi:type="xsd:double"&gt;17.4532626241643&lt;/D&gt;&lt;D xsi:type="xsd:double"&gt;17.6049334019684&lt;/D&gt;&lt;D xsi:type="xsd:double"&gt;17.6763912601133&lt;/D&gt;&lt;D xsi:type="xsd:double"&gt;18.1528829143027&lt;/D&gt;&lt;D xsi:type="xsd:double"&gt;17.4990003834848&lt;/D&gt;&lt;D xsi:type="xsd:double"&gt;17.1355687300556&lt;/D&gt;&lt;D xsi:type="xsd:double"&gt;16.9755886646677&lt;/D&gt;&lt;D xsi:type="xsd:double"&gt;17.7321950467678&lt;/D&gt;&lt;D xsi:type="xsd:double"&gt;18.5314882946621&lt;/D&gt;&lt;D xsi:type="xsd:double"&gt;17.8216889028726&lt;/D&gt;&lt;D xsi:type="xsd:double"&gt;17.9093361988877&lt;/D&gt;&lt;D xsi:type="xsd:double"&gt;18.7371641814784&lt;/D&gt;&lt;D xsi:type="xsd:double"&gt;16.8815747774007&lt;/D&gt;&lt;D xsi:type="xsd:double"&gt;16.8231027164668&lt;/D&gt;&lt;D xsi:type="xsd:double"&gt;16.8231405768389&lt;/D&gt;&lt;D xsi:type="xsd:double"&gt;16.6276635043872&lt;/D&gt;&lt;D xsi:type="xsd:double"&gt;16.3834164936069&lt;/D&gt;&lt;D xsi:type="xsd:double"&gt;16.5196103953069&lt;/D&gt;&lt;D xsi:type="xsd:double"&gt;16.8131756196541&lt;/D&gt;&lt;D xsi:type="xsd:double"&gt;16.8650697893525&lt;/D&gt;&lt;D xsi:type="xsd:double"&gt;15.4743853477997&lt;/D&gt;&lt;D xsi:type="xsd:double"&gt;14.8233032959828&lt;/D&gt;&lt;D xsi:type="xsd:double"&gt;13.7750259824138&lt;/D&gt;&lt;D xsi:type="xsd:double"&gt;16.2348727994808&lt;/D&gt;&lt;D xsi:type="xsd:double"&gt;18.1610367121294&lt;/D&gt;&lt;D xsi:type="xsd:double"&gt;17.8742479435979&lt;/D&gt;&lt;D xsi:type="xsd:double"&gt;17.827335966058&lt;/D&gt;&lt;D xsi:type="xsd:double"&gt;16.9717151312444&lt;/D&gt;&lt;D xsi:type="xsd:double"&gt;17.2117714392315&lt;/D&gt;&lt;D xsi:type="xsd:double"&gt;16.602151412974&lt;/D&gt;&lt;D xsi:type="xsd:double"&gt;15.7954335685399&lt;/D&gt;&lt;D xsi:type="xsd:double"&gt;16.0815529167927&lt;/D&gt;&lt;D xsi:type="xsd:double"&gt;16.8330184694823&lt;/D&gt;&lt;D xsi:type="xsd:double"&gt;15.6867913285685&lt;/D&gt;&lt;D xsi:type="xsd:double"&gt;16.5374195138212&lt;/D&gt;&lt;D xsi:type="xsd:double"&gt;13.8178467867798&lt;/D&gt;&lt;D xsi:type="xsd:double"&gt;12.9183329692365&lt;/D&gt;&lt;D xsi:type="xsd:double"&gt;13.0133642732712&lt;/D&gt;&lt;D xsi:type="xsd:double"&gt;14.6082507336295&lt;/D&gt;&lt;D xsi:type="xsd:double"&gt;16.1648903402559&lt;/D&gt;&lt;D xsi:type="xsd:double"&gt;17.5640069723943&lt;/D&gt;&lt;D xsi:type="xsd:double"&gt;16.8692196325316&lt;/D&gt;&lt;D xsi:type="xsd:double"&gt;17.3667046659214&lt;/D&gt;&lt;D xsi:type="xsd:double"&gt;18.0136853420958&lt;/D&gt;&lt;D xsi:type="xsd:double"&gt;15.287679474203&lt;/D&gt;&lt;D xsi:type="xsd:double"&gt;16.9979228231887&lt;/D&gt;&lt;D xsi:type="xsd:double"&gt;17.9105294586652&lt;/D&gt;&lt;D xsi:type="xsd:double"&gt;18.2452449030203&lt;/D&gt;&lt;D xsi:type="xsd:double"&gt;17.6844553333924&lt;/D&gt;&lt;D xsi:type="xsd:double"&gt;18.1673704623605&lt;/D&gt;&lt;D xsi:type="xsd:double"&gt;17.8401180626314&lt;/D&gt;&lt;D xsi:type="xsd:double"&gt;17.8603813833199&lt;/D&gt;&lt;D xsi:type="xsd:double"&gt;18.0061697759588&lt;/D&gt;&lt;D xsi:type="xsd:double"&gt;17.5621950059019&lt;/D&gt;&lt;D xsi:type="xsd:double"&gt;17.6648984563937&lt;/D&gt;&lt;D xsi:type="xsd:double"&gt;16.9584364347388&lt;/D&gt;&lt;D xsi:type="xsd:double"&gt;16.510405614529&lt;/D&gt;&lt;D xsi:type="xsd:double"&gt;16.3018392672552&lt;/D&gt;&lt;D xsi:type="xsd:double"&gt;16.8898189173051&lt;/D&gt;&lt;D xsi:type="xsd:double"&gt;12.4573617813152&lt;/D&gt;&lt;D xsi:type="xsd:double"&gt;11.6244451677279&lt;/D&gt;&lt;D xsi:type="xsd:double"&gt;12.1005327502383&lt;/D&gt;&lt;D xsi:type="xsd:double"&gt;12.1815908050144&lt;/D&gt;&lt;D xsi:type="xsd:double"&gt;13.8787952344636&lt;/D&gt;&lt;D xsi:type="xsd:double"&gt;13.3069347106171&lt;/D&gt;&lt;D xsi:type="xsd:double"&gt;14.5849857580114&lt;/D&gt;&lt;D xsi:type="xsd:double"&gt;14.4771349967777&lt;/D&gt;&lt;D xsi:type="xsd:double"&gt;14.3106335372338&lt;/D&gt;&lt;D xsi:type="xsd:double"&gt;13.4713106697508&lt;/D&gt;&lt;D xsi:type="xsd:double"&gt;14.5317646569025&lt;/D&gt;&lt;D xsi:type="xsd:double"&gt;15.4425697148485&lt;/D&gt;&lt;D xsi:type="xsd:double"&gt;28.3538568535524&lt;/D&gt;&lt;D xsi:type="xsd:double"&gt;25.5828715822603&lt;/D&gt;&lt;D xsi:type="xsd:double"&gt;24.4401119167084&lt;/D&gt;&lt;D xsi:type="xsd:double"&gt;23.2606290647167&lt;/D&gt;&lt;D xsi:type="xsd:double"&gt;22.0082611340725&lt;/D&gt;&lt;D xsi:type="xsd:double"&gt;20.9179852300841&lt;/D&gt;&lt;D xsi:type="xsd:double"&gt;19.3435083382931&lt;/D&gt;&lt;D xsi:type="xsd:double"&gt;17.9375657964208&lt;/D&gt;&lt;D xsi:type="xsd:double"&gt;16.5641488501895&lt;/D&gt;&lt;D xsi:type="xsd:double"&gt;15.8416971314378&lt;/D&gt;&lt;D xsi:type="xsd:double"&gt;17.5544726039315&lt;/D&gt;&lt;D xsi:type="xsd:double"&gt;17.8204230955399&lt;/D&gt;&lt;D xsi:type="xsd:double"&gt;15.2414895535651&lt;/D&gt;&lt;D xsi:type="xsd:double"&gt;15.9463011205657&lt;/D&gt;&lt;D xsi:type="xsd:double"&gt;16.0402770983994&lt;/D&gt;&lt;D xsi:type="xsd:double"&gt;16.0481199184105&lt;/D&gt;&lt;/FQL&gt;&lt;FQL&gt;&lt;Q&gt;DDR3512M-FDS^FG_PRICE_CHANGE(0,-6AM)&lt;/Q&gt;&lt;R&gt;1&lt;/R&gt;&lt;C&gt;1&lt;/C&gt;&lt;D xsi:type="xsd:double"&gt;-5.57779297052416&lt;/D&gt;&lt;/FQL&gt;&lt;FQL&gt;&lt;Q&gt;PASP-FDS^FG_PRICE_CHANGE(0,-6AM)&lt;/Q&gt;&lt;R&gt;1&lt;/R&gt;&lt;C&gt;1&lt;/C&gt;&lt;D xsi:type="xsd:double"&gt;-16.2090345438441&lt;/D&gt;&lt;/FQL&gt;&lt;FQL&gt;&lt;Q&gt;PLATI-FDS^FG_PRICE_CHANGE(0,-6AM)&lt;/Q&gt;&lt;R&gt;1&lt;/R&gt;&lt;C&gt;1&lt;/C&gt;&lt;D xsi:type="xsd:double"&gt;2.69687162891046&lt;/D&gt;&lt;/FQL&gt;&lt;FQL&gt;&lt;Q&gt;W-FDS^FG_PRICE_CHANGE(0,-6AM)&lt;/Q&gt;&lt;R&gt;1&lt;/R&gt;&lt;C&gt;1&lt;/C&gt;&lt;D xsi:type="xsd:double"&gt;3.71352785145889&lt;/D&gt;&lt;/FQL&gt;&lt;FQL&gt;&lt;Q&gt;COPP-FDS^FG_PRICE_CHANGE(0,-6AM)&lt;/Q&gt;&lt;R&gt;1&lt;/R&gt;&lt;C&gt;1&lt;/C&gt;&lt;D xsi:type="xsd:double"&gt;22.5524952277066&lt;/D&gt;&lt;/FQL&gt;&lt;FQL&gt;&lt;Q&gt;EWQ^FG_PRICE(0)&lt;/Q&gt;&lt;R&gt;1&lt;/R&gt;&lt;C&gt;1&lt;/C&gt;&lt;D xsi:type="xsd:double"&gt;40.29&lt;/D&gt;&lt;/FQL&gt;&lt;FQL&gt;&lt;Q&gt;EWL^FG_PRICE(0)&lt;/Q&gt;&lt;R&gt;1&lt;/R&gt;&lt;C&gt;1&lt;/C&gt;&lt;D xsi:type="xsd:double"&gt;45.69&lt;/D&gt;&lt;/FQL&gt;&lt;FQL&gt;&lt;Q&gt;EWA^FG_PRICE(0)&lt;/Q&gt;&lt;R&gt;1&lt;/R&gt;&lt;C&gt;1&lt;/C&gt;&lt;D xsi:type="xsd:double"&gt;23.82&lt;/D&gt;&lt;/FQL&gt;&lt;FQL&gt;&lt;Q&gt;SPY^FG_TOTAL_RETURNC(0,-3AM)&lt;/Q&gt;&lt;R&gt;1&lt;/R&gt;&lt;C&gt;1&lt;/C&gt;&lt;D xsi:type="xsd:double"&gt;2.4800062&lt;/D&gt;&lt;/FQL&gt;&lt;FQL&gt;&lt;Q&gt;URTH^P_PRICE(0)/P_PRICE_HIGH_PR(0,,,,,,"PRICE","INTRA","52W")&lt;/Q&gt;&lt;R&gt;1&lt;/R&gt;&lt;C&gt;1&lt;/C&gt;&lt;D xsi:type="xsd:double"&gt;0.9648047&lt;/D&gt;&lt;/FQL&gt;&lt;FQL&gt;&lt;Q&gt;VGK^FG_TOTAL_RETURNC(0,-12AM)&lt;/Q&gt;&lt;R&gt;1&lt;/R&gt;&lt;C&gt;1&lt;/C&gt;&lt;D xsi:type="xsd:double"&gt;9.243954&lt;/D&gt;&lt;/FQL&gt;&lt;FQL&gt;&lt;Q&gt;EWI^PERCENT_CHANGE(FMA_EPS(+1,0,,,,"PORTAGG","MEAN"),FMA_EPS(+1,-1AM,,,,"PORTAGG","MEAN"))&lt;/Q&gt;&lt;R&gt;1&lt;/R&gt;&lt;C&gt;1&lt;/C&gt;&lt;D xsi:type="xsd:double"&gt;-0.142981277240605&lt;/D&gt;&lt;/FQL&gt;&lt;FQL&gt;&lt;Q&gt;REFJPTON-FDS^(SUBARRAY(NOT_NA(NO_REPEAT_F(FG_YIELD(NOW,-10AY,D))),0,1)-SUBARRAY(NOT_NA(NO_REPEAT_F(FG_YIELD(NOW,-10AY,D))),1,1))*100&lt;/Q&gt;&lt;R&gt;1&lt;/R&gt;&lt;C&gt;1&lt;/C&gt;&lt;D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xsi:type="xsd:double"&gt;21.984322&lt;/D&gt;&lt;/FQL&gt;&lt;FQL&gt;&lt;Q&gt;DDR3512M-FDS^FG_PRICE_CHANGE(0,-3AM)&lt;/Q&gt;&lt;R&gt;1&lt;/R&gt;&lt;C&gt;1&lt;/C&gt;&lt;D xsi:type="xsd:double"&gt;-0.551384704678681&lt;/D&gt;&lt;/FQL&gt;&lt;FQL&gt;&lt;Q&gt;COPP-FDS^FG_PRICE_CHANGE(0,-3AM)&lt;/Q&gt;&lt;R&gt;1&lt;/R&gt;&lt;C&gt;1&lt;/C&gt;&lt;D xsi:type="xsd:double"&gt;17.5978019102447&lt;/D&gt;&lt;/FQL&gt;&lt;FQL&gt;&lt;Q&gt;EWI^FMA_PCT_ABOVE_MAVG(200,0,,,,"PORTAGG")&lt;/Q&gt;&lt;R&gt;1&lt;/R&gt;&lt;C&gt;1&lt;/C&gt;&lt;D xsi:type="xsd:double"&gt;72&lt;/D&gt;&lt;/FQL&gt;&lt;FQL&gt;&lt;Q&gt;VGK^FG_TOTAL_RETURNC(0,-6AM)&lt;/Q&gt;&lt;R&gt;1&lt;/R&gt;&lt;C&gt;1&lt;/C&gt;&lt;D xsi:type="xsd:double"&gt;16.064644&lt;/D&gt;&lt;/FQL&gt;&lt;FQL&gt;&lt;Q&gt;SPY^PERCENT_CHANGE(FMA_EPS(+1,0,,,,"PORTAGG","MEAN"),FMA_EPS(+1,-3AM,,,,"PORTAGG","MEAN"))&lt;/Q&gt;&lt;R&gt;1&lt;/R&gt;&lt;C&gt;1&lt;/C&gt;&lt;D xsi:type="xsd:double"&gt;0.286489776429247&lt;/D&gt;&lt;/FQL&gt;&lt;FQL&gt;&lt;Q&gt;EWA^FMA_COS_UP("EPS","1M",+1,0,,,"PORTAGG","MEANR")&lt;/Q&gt;&lt;R&gt;1&lt;/R&gt;&lt;C&gt;1&lt;/C&gt;&lt;D xsi:type="xsd:double"&gt;20&lt;/D&gt;&lt;/FQL&gt;&lt;FQL&gt;&lt;Q&gt;CAGDPY@SE^EE_ACTUAL_ANNUAL(MED,0)&lt;/Q&gt;&lt;R&gt;1&lt;/R&gt;&lt;C&gt;1&lt;/C&gt;&lt;D xsi:type="xsd:double"&gt;6.76905401199225&lt;/D&gt;&lt;/FQL&gt;&lt;FQL&gt;&lt;Q&gt;CAGDPY@DE^EE_ACTUAL_ANNUAL(MED,0)&lt;/Q&gt;&lt;R&gt;1&lt;/R&gt;&lt;C&gt;1&lt;/C&gt;&lt;D xsi:type="xsd:double"&gt;6.11650885437241&lt;/D&gt;&lt;/FQL&gt;&lt;FQL&gt;&lt;Q&gt;USDITL^STD(FG_PRICE_CHANGE(0,-3AY,M))&lt;/Q&gt;&lt;R&gt;1&lt;/R&gt;&lt;C&gt;1&lt;/C&gt;&lt;D xsi:type="xsd:double"&gt;2.17952831157567&lt;/D&gt;&lt;/FQL&gt;&lt;FQL&gt;&lt;Q&gt;USDANG^STD(FG_PRICE_CHANGE(0,-3AY,M))&lt;/Q&gt;&lt;R&gt;1&lt;/R&gt;&lt;C&gt;1&lt;/C&gt;&lt;D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xsi:type="xsd:double"&gt;2.40581568682052&lt;/D&gt;&lt;/FQL&gt;&lt;FQL&gt;&lt;Q&gt;USDJPY^STD(FG_PRICE_CHANGE(0,-3AY,M))&lt;/Q&gt;&lt;R&gt;1&lt;/R&gt;&lt;C&gt;1&lt;/C&gt;&lt;D xsi:type="xsd:double"&gt;3.04123201183011&lt;/D&gt;&lt;/FQL&gt;&lt;FQL&gt;&lt;Q&gt;USDCAD^STD(FG_PRICE_CHANGE(0,-3AY,M))&lt;/Q&gt;&lt;R&gt;1&lt;/R&gt;&lt;C&gt;1&lt;/C&gt;&lt;D xsi:type="xsd:double"&gt;1.84677137832339&lt;/D&gt;&lt;/FQL&gt;&lt;FQL&gt;&lt;Q&gt;USDNZD^STD(FG_PRICE_CHANGE(0,-3AY,M))&lt;/Q&gt;&lt;R&gt;1&lt;/R&gt;&lt;C&gt;1&lt;/C&gt;&lt;D xsi:type="xsd:double"&gt;3.46010374894999&lt;/D&gt;&lt;/FQL&gt;&lt;FQL&gt;&lt;Q&gt;EWJ^FMA_EPS(NTMA,-20AY,0,CY,,"PORTAGG","MEANR")&lt;/Q&gt;&lt;R&gt;20&lt;/R&gt;&lt;C&gt;1&lt;/C&gt;&lt;D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xsi:type="xsd:double"&gt;3.67789542177964&lt;/D&gt;&lt;D xsi:type="xsd:double"&gt;4.61613856769821&lt;/D&gt;&lt;D xsi:type="xsd:double"&gt;4.46089543101883&lt;/D&gt;&lt;D xsi:type="xsd:double"&gt;4.56547559046599&lt;/D&gt;&lt;/FQL&gt;&lt;FQL&gt;&lt;Q&gt;EWC^P_PRICE_RETURNS_PR('52W',2,-10AY,0,AM)&lt;/Q&gt;&lt;R&gt;121&lt;/R&gt;&lt;C&gt;1&lt;/C&gt;&lt;D xsi:type="xsd:double"&gt;12.745869&lt;/D&gt;&lt;D xsi:type="xsd:double"&gt;13.422358&lt;/D&gt;&lt;D xsi:type="xsd:double"&gt;26.346802&lt;/D&gt;&lt;D xsi:type="xsd:double"&gt;17.422855&lt;/D&gt;&lt;D xsi:type="xsd:double"&gt;22.032917&lt;/D&gt;&lt;D xsi:type="xsd:double"&gt;9.319687&lt;/D&gt;&lt;D xsi:type="xsd:double"&gt;4.0884495&lt;/D&gt;&lt;D xsi:type="xsd:double"&gt;4.69532&lt;/D&gt;&lt;D xsi:type="xsd:double"&gt;1.180768&lt;/D&gt;&lt;D xsi:type="xsd:double"&gt;-0.75587034&lt;/D&gt;&lt;D xsi:type="xsd:double"&gt;-1.8921435&lt;/D&gt;&lt;D xsi:type="xsd:double"&gt;-5.4311695&lt;/D&gt;&lt;D xsi:type="xsd:double"&gt;-2.3891568&lt;/D&gt;&lt;D xsi:type="xsd:double"&gt;-6.824893&lt;/D&gt;&lt;D xsi:type="xsd:double"&gt;-15.785461&lt;/D&gt;&lt;D xsi:type="xsd:double"&gt;-18.836344&lt;/D&gt;&lt;D xsi:type="xsd:double"&gt;-26.4925&lt;/D&gt;&lt;D xsi:type="xsd:double"&gt;-21.478992&lt;/D&gt;&lt;D xsi:type="xsd:double"&gt;-18.154806&lt;/D&gt;&lt;D xsi:type="xsd:double"&gt;-19.948942&lt;/D&gt;&lt;D xsi:type="xsd:double"&gt;-23.909348&lt;/D&gt;&lt;D xsi:type="xsd:double"&gt;-23.603165&lt;/D&gt;&lt;D xsi:type="xsd:double"&gt;-19.287693&lt;/D&gt;&lt;D xsi:type="xsd:double"&gt;-11.667085&lt;/D&gt;&lt;D xsi:type="xsd:double"&gt;-11.496377&lt;/D&gt;&lt;D xsi:type="xsd:double"&gt;-10.1634445&lt;/D&gt;&lt;D xsi:type="xsd:double"&gt;-4.4914007&lt;/D&gt;&lt;D xsi:type="xsd:double"&gt;-0.4360199&lt;/D&gt;&lt;D xsi:type="xsd:double"&gt;12.184143&lt;/D&gt;&lt;D xsi:type="xsd:double"&gt;14.111673&lt;/D&gt;&lt;D xsi:type="xsd:double"&gt;6.979239&lt;/D&gt;&lt;D xsi:type="xsd:double"&gt;15.108955&lt;/D&gt;&lt;D xsi:type="xsd:double"&gt;22.90405&lt;/D&gt;&lt;D xsi:type="xsd:double"&gt;36.253155&lt;/D&gt;&lt;D xsi:type="xsd:double"&gt;22.62107&lt;/D&gt;&lt;D xsi:type="xsd:double"&gt;15.411925&lt;/D&gt;&lt;D xsi:type="xsd:double"&gt;5.7119966&lt;/D&gt;&lt;D xsi:type="xsd:double"&gt;8.957493&lt;/D&gt;&lt;D xsi:type="xsd:double"&gt;11.180282&lt;/D&gt;&lt;D xsi:type="xsd:double"&gt;14.101088&lt;/D&gt;&lt;D xsi:type="xsd:double"&gt;12.299013&lt;/D&gt;&lt;D xsi:type="xsd:double"&gt;14.794052&lt;/D&gt;&lt;D xsi:type="xsd:double"&gt;17.532969&lt;/D&gt;&lt;D xsi:type="xsd:double"&gt;14.546561&lt;/D&gt;&lt;D xsi:type="xsd:double"&gt;16.79889&lt;/D&gt;&lt;D xsi:type="xsd:double"&gt;8.843601&lt;/D&gt;&lt;D xsi:type="xsd:double"&gt;5.1779985&lt;/D&gt;&lt;D xsi:type="xsd:double"&gt;3.2177448&lt;/D&gt;&lt;D xsi:type="xsd:double"&gt;9.398926&lt;/D&gt;&lt;D xsi:type="xsd:double"&gt;11.223173&lt;/D&gt;&lt;D xsi:type="xsd:double"&gt;8.188605&lt;/D&gt;&lt;D xsi:type="xsd:double"&gt;6.8415165&lt;/D&gt;&lt;D xsi:type="xsd:</t>
        </r>
      </text>
    </comment>
    <comment ref="A13" authorId="0" shapeId="0" xr:uid="{6AEE70D8-5B9E-445B-B0E5-42C0869D7C56}">
      <text>
        <r>
          <rPr>
            <b/>
            <sz val="9"/>
            <color indexed="81"/>
            <rFont val="Tahoma"/>
            <charset val="1"/>
          </rPr>
          <t>double"&gt;5.491352&lt;/D&gt;&lt;D xsi:type="xsd:double"&gt;1.8028617&lt;/D&gt;&lt;D xsi:type="xsd:double"&gt;-5.7732344&lt;/D&gt;&lt;D xsi:type="xsd:double"&gt;-6.0283127&lt;/D&gt;&lt;D xsi:type="xsd:double"&gt;-17.151266&lt;/D&gt;&lt;D xsi:type="xsd:double"&gt;-6.637806&lt;/D&gt;&lt;D xsi:type="xsd:double"&gt;2.8898954&lt;/D&gt;&lt;D xsi:type="xsd:double"&gt;5.612266&lt;/D&gt;&lt;D xsi:type="xsd:double"&gt;2.7734876&lt;/D&gt;&lt;D xsi:type="xsd:double"&gt;-2.5461853&lt;/D&gt;&lt;D xsi:type="xsd:double"&gt;4.00908&lt;/D&gt;&lt;D xsi:type="xsd:double"&gt;-1.407367&lt;/D&gt;&lt;D xsi:type="xsd:double"&gt;-0.84872246&lt;/D&gt;&lt;D xsi:type="xsd:double"&gt;-0.24387836&lt;/D&gt;&lt;D xsi:type="xsd:double"&gt;11.176753&lt;/D&gt;&lt;D xsi:type="xsd:double"&gt;13.381779&lt;/D&gt;&lt;D xsi:type="xsd:double"&gt;26.783382&lt;/D&gt;&lt;D xsi:type="xsd:double"&gt;12.159813&lt;/D&gt;&lt;D xsi:type="xsd:double"&gt;3.9155722&lt;/D&gt;&lt;D xsi:type="xsd:double"&gt;-22.687483&lt;/D&gt;&lt;D xsi:type="xsd:double"&gt;-14.37223&lt;/D&gt;&lt;D xsi:type="xsd:double"&gt;-2.309066&lt;/D&gt;&lt;D xsi:type="xsd:double"&gt;-7.2576103&lt;/D&gt;&lt;D xsi:type="xsd:double"&gt;-1.5388966&lt;/D&gt;&lt;D xsi:type="xsd:double"&gt;5.295861&lt;/D&gt;&lt;D xsi:type="xsd:double"&gt;0.38648844&lt;/D&gt;&lt;D xsi:type="xsd:double"&gt;-5.472499&lt;/D&gt;&lt;D xsi:type="xsd:double"&gt;6.596458&lt;/D&gt;&lt;D xsi:type="xsd:double"&gt;5.5211782&lt;/D&gt;&lt;D xsi:type="xsd:double"&gt;8.544123&lt;/D&gt;&lt;D xsi:type="xsd:double"&gt;20.677258&lt;/D&gt;&lt;D xsi:type="xsd:double"&gt;70.401955&lt;/D&gt;&lt;D xsi:type="xsd:double"&gt;49.994205&lt;/D&gt;&lt;D xsi:type="xsd:double"&gt;49.70455&lt;/D&gt;&lt;D xsi:type="xsd:double"&gt;47.161137&lt;/D&gt;&lt;D xsi:type="xsd:double"&gt;38.954044&lt;/D&gt;&lt;D xsi:type="xsd:double"&gt;33.561337&lt;/D&gt;&lt;D xsi:type="xsd:double"&gt;35.35266&lt;/D&gt;&lt;D xsi:type="xsd:double"&gt;49.449265&lt;/D&gt;&lt;D xsi:type="xsd:double"&gt;24.668657&lt;/D&gt;&lt;D xsi:type="xsd:double"&gt;27.000809&lt;/D&gt;&lt;D xsi:type="xsd:double"&gt;25.706291&lt;/D&gt;&lt;D xsi:type="xsd:double"&gt;18.290997&lt;/D&gt;&lt;D xsi:type="xsd:double"&gt;18.33539&lt;/D&gt;&lt;D xsi:type="xsd:double"&gt;5.7816625&lt;/D&gt;&lt;D xsi:type="xsd:double"&gt;2.8778791&lt;/D&gt;&lt;D xsi:type="xsd:double"&gt;-7.686311&lt;/D&gt;&lt;D xsi:type="xsd:double"&gt;-4.772091&lt;/D&gt;&lt;D xsi:type="xsd:double"&gt;-9.653205&lt;/D&gt;&lt;D xsi:type="xsd:double"&gt;-13.525009&lt;/D&gt;&lt;D xsi:type="xsd:double"&gt;-15.542584&lt;/D&gt;&lt;D xsi:type="xsd:double"&gt;-4.2606235&lt;/D&gt;&lt;D xsi:type="xsd:double"&gt;-12.537366&lt;/D&gt;&lt;D xsi:type="xsd:double"&gt;-5.9710207&lt;/D&gt;&lt;D xsi:type="xsd:double"&gt;-8.914&lt;/D&gt;&lt;D xsi:type="xsd:double"&gt;-13.114768&lt;/D&gt;&lt;D xsi:type="xsd:double"&gt;-4.368496&lt;/D&gt;&lt;D xsi:type="xsd:double"&gt;-8.755046&lt;/D&gt;&lt;D xsi:type="xsd:double"&gt;6.471312&lt;/D&gt;&lt;D xsi:type="xsd:double"&gt;2.927351&lt;/D&gt;&lt;D xsi:type="xsd:double"&gt;7.3082805&lt;/D&gt;&lt;D xsi:type="xsd:double"&gt;8.9154005&lt;/D&gt;&lt;D xsi:type="xsd:double"&gt;4.940963&lt;/D&gt;&lt;D xsi:type="xsd:double"&gt;2.7166486&lt;/D&gt;&lt;D xsi:type="xsd:double"&gt;13.557589&lt;/D&gt;&lt;D xsi:type="xsd:double"&gt;4.2808414&lt;/D&gt;&lt;D xsi:type="xsd:double"&gt;10.971808&lt;/D&gt;&lt;D xsi:type="xsd:double"&gt;13.9525175&lt;/D&gt;&lt;D xsi:type="xsd:double"&gt;10.561716&lt;/D&gt;&lt;/FQL&gt;&lt;FQL&gt;&lt;Q&gt;ENZL^FG_TOTAL_RETURNC(-10AY,0,AM)&lt;/Q&gt;&lt;R&gt;121&lt;/R&gt;&lt;C&gt;1&lt;/C&gt;&lt;D xsi:type="xsd:double"&gt;3.672111&lt;/D&gt;&lt;D xsi:type="xsd:double"&gt;-4.136193&lt;/D&gt;&lt;D xsi:type="xsd:double"&gt;3.034699&lt;/D&gt;&lt;D xsi:type="xsd:double"&gt;-4.644245&lt;/D&gt;&lt;D xsi:type="xsd:double"&gt;0.8935213&lt;/D&gt;&lt;D xsi:type="xsd:double"&gt;-4.6248493&lt;/D&gt;&lt;D xsi:type="xsd:double"&gt;2.6048422&lt;/D&gt;&lt;D xsi:type="xsd:double"&gt;0.7041335&lt;/D&gt;&lt;D xsi:type="xsd:double"&gt;1.7017603&lt;/D&gt;&lt;D xsi:type="xsd:double"&gt;-2.3971736&lt;/D&gt;&lt;D xsi:type="xsd:double"&gt;6.049633&lt;/D&gt;&lt;D xsi:type="xsd:double"&gt;-1.877135&lt;/D&gt;&lt;D xsi:type="xsd:double"&gt;0.32298565&lt;/D&gt;&lt;D xsi:type="xsd:double"&gt;-4.1852474&lt;/D&gt;&lt;D xsi:type="xsd:double"&gt;-7.408839&lt;/D&gt;&lt;D xsi:type="xsd:double"&gt;-0.17181635&lt;/D&gt;&lt;D xsi:type="xsd:double"&gt;-8.978772&lt;/D&gt;&lt;D xsi:type="xsd:double"&gt;1.7018676&lt;/D&gt;&lt;D xsi:type="xsd:double"&gt;12.70529&lt;/D&gt;&lt;D xsi:type="xsd:double"&gt;-0.38493276&lt;/D&gt;&lt;D xsi:type="xsd:double"&gt;5.428195&lt;/D&gt;&lt;D xsi:type="xsd:double"&gt;-6.9274306&lt;/D&gt;&lt;D xsi:type="xsd:double"&gt;6.2677026&lt;/D&gt;&lt;D xsi:type="xsd:double"&gt;10.439706&lt;/D&gt;&lt;D xsi:type="xsd:double"&gt;3.028822&lt;/D&gt;&lt;D xsi:type="xsd:double"&gt;0.047421455&lt;/D&gt;&lt;D xsi:type="xsd:double"&gt;4.1550875&lt;/D&gt;&lt;D xsi:type="xsd:double"&gt;6.6820264&lt;/D&gt;&lt;D xsi:type="xsd:double"&gt;2.742982&lt;/D&gt;&lt;D xsi:type="xsd:double"&gt;-1.5114546&lt;/D&gt;&lt;D xsi:type="xsd:double"&gt;-7.96355&lt;/D&gt;&lt;D xsi:type="xsd:double"&gt;-1.1363566&lt;/D&gt;&lt;D xsi:type="xsd:double"&gt;-3.5830855&lt;/D&gt;&lt;D xsi:type="xsd:double"&gt;8.683622&lt;/D&gt;&lt;D xsi:type="xsd:double"&gt;-2.0611405&lt;/D&gt;&lt;D xsi:type="xsd:double"&gt;-0.1655221&lt;/D&gt;&lt;D xsi:type="xsd:double"&gt;2.1790624&lt;/D&gt;&lt;D xsi:type="xsd:double"&gt;4.717195&lt;/D&gt;&lt;D xsi:type="xsd:double"&gt;4.314184&lt;/D&gt;&lt;D xsi:type="xsd:double"&gt;2.8534412&lt;/D&gt;&lt;D xsi:type="xsd:double"&gt;-2.7532578&lt;/D&gt;&lt;D xsi:type="xsd:double"&gt;1.3831854&lt;/D&gt;&lt;D xsi:type="xsd:double"&gt;-2.4301827&lt;/D&gt;&lt;D xsi:type="xsd:double"&gt;0.6117463&lt;/D&gt;&lt;D xsi:type="xsd:double"&gt;6.0154557&lt;/D&gt;&lt;D xsi:type="xsd:double"&gt;2.3173213&lt;/D&gt;&lt;D xsi:type="xsd:double"&gt;-0.67332983&lt;/D&gt;&lt;D xsi:type="xsd:double"&gt;-0.636816&lt;/D&gt;&lt;D xsi:type="xsd:double"&gt;-1.5712202&lt;/D&gt;&lt;D xsi:type="xsd:double"&gt;2.3524404&lt;/D&gt;&lt;D xsi:type="xsd:double"&gt;-0.27816296&lt;/D&gt;&lt;D xsi:type="xsd:double"&gt;-0.3766477&lt;/D&gt;&lt;D xsi:type="xsd:double"&gt;3.0245662&lt;/D&gt;&lt;D xsi:type="xsd:double"&gt;-1.0601461&lt;/D&gt;&lt;D xsi:type="xsd:double"&gt;-5.048418&lt;/D&gt;&lt;D xsi:type="xsd:double"&gt;4.7851563&lt;/D&gt;&lt;D xsi:type="xsd:double"&gt;-3.503722&lt;/D&gt;&lt;D xsi:type="xsd:double"&gt;5.680573&lt;/D&gt;&lt;D xsi:type="xsd:double"&gt;3.1631231&lt;/D&gt;&lt;D xsi:type="xsd:double"&gt;4.569137&lt;/D&gt;&lt;D xsi:type="xsd:double"&gt;-1.0923743&lt;/D&gt;&lt;D xsi:type="xsd:double"&gt;-0.9881854&lt;/D&gt;&lt;D xsi:type="xsd:double"&gt;5.6438565&lt;/D&gt;&lt;D xsi:type="xsd:double"&gt;1.8051863&lt;/D&gt;&lt;D xsi:type="xsd:double"&gt;-4.7469497&lt;/D&gt;&lt;D xsi:type="xsd:double"&gt;0.1745224&lt;/D&gt;&lt;D xsi:type="xsd:double"&gt;2.0712376&lt;/D&gt;&lt;D xsi:type="xsd:double"&gt;6.6755176&lt;/D&gt;&lt;D xsi:type="xsd:double"&gt;4.4007063&lt;/D&gt;&lt;D xsi:type="xsd:double"&gt;-2.3304343&lt;/D&gt;&lt;D xsi:type="xsd:double"&gt;-5.9650955&lt;/D&gt;&lt;D xsi:type="xsd:double"&gt;-14.541567&lt;/D&gt;&lt;D xsi:type="xsd:double"&gt;5.981314&lt;/D&gt;&lt;D xsi:type="xsd:double"&gt;12.460793&lt;/D&gt;&lt;D xsi:type="xsd:double"&gt;7.1169376&lt;/D&gt;&lt;D xsi:type="xsd:double"&gt;2.638483&lt;/D&gt;&lt;D xsi:type="xsd:double"&gt;3.6516786&lt;/D&gt;&lt;D xsi:type="xsd:double"&gt;-4.141575&lt;/D&gt;&lt;D xsi:type="xsd:double"&gt;2.4191499&lt;/D&gt;&lt;D xsi:type="xsd:double"&gt;12.270451&lt;/D&gt;&lt;D xsi:type="xsd:double"&gt;2.601862&lt;/D&gt;&lt;D xsi:type="xsd:double"&gt;-0.6463945&lt;/D&gt;&lt;D xsi:type="xsd:double"&gt;-5.2639303&lt;/D&gt;&lt;D xsi:type="xsd:double"&gt;-2.6845634&lt;/D&gt;&lt;D xsi:type="xsd:double"&gt;3.560543&lt;/D&gt;&lt;D xsi:type="xsd:double"&gt;-3.205824&lt;/D&gt;&lt;D xsi:type="xsd:double"&gt;-0.4834473&lt;/D&gt;&lt;D xsi:type="xsd:double"&gt;-1.6709924&lt;/D&gt;&lt;D xsi:type="xsd:double"&gt;6.2860847&lt;/D&gt;&lt;D xsi:type="xsd:double"&gt;-2.7320683&lt;/D&gt;&lt;D xsi:type="xsd:double"&gt;0.84536076&lt;/D&gt;&lt;D xsi:type="xsd:double"&gt;-6.503749&lt;/D&gt;&lt;D xsi:type="xsd:double"&gt;1.1879325&lt;/D&gt;&lt;D xsi:type="xsd:double"&gt;-8.423919&lt;/D&gt;&lt;D xsi:type="xsd:double"&gt;2.410984&lt;/D&gt;&lt;D xsi:type="xsd:double"&gt;0.18109083&lt;/D&gt;&lt;D xsi:type="xsd:double"&gt;-10.4302225&lt;/D&gt;&lt;D xsi:type="xsd:double"&gt;-0.64581037&lt;/D&gt;&lt;D xsi:type="xsd:double"&gt;-8.855635&lt;/D&gt;&lt;D xsi:type="xsd:double"&gt;8.3201885&lt;/D&gt;&lt;D xsi:type="xsd:double"&gt;-2.4354756&lt;/D&gt;&lt;D xsi:type="xsd:double"&gt;-12.139958&lt;/D&gt;&lt;D xsi:type="xsd:double"&gt;4.978144&lt;/D&gt;&lt;D xsi:type="xsd:double"&gt;15.521622&lt;/D&gt;&lt;D xsi:type="xsd:double"&gt;-2.3119628&lt;/D&gt;&lt;D xsi:type="xsd:double"&gt;9.351182&lt;/D&gt;&lt;D xsi:type="xsd:double"&gt;-6.686759&lt;/D&gt;&lt;D xsi:type="xsd:double"&gt;0.7872462&lt;/D&gt;&lt;D xsi:type="xsd:double"&gt;-0.1602292&lt;/D&gt;&lt;D xsi:type="xsd:double"&gt;-2.0060182&lt;/D&gt;&lt;D xsi:type="xsd:double"&gt;1.2698054&lt;/D&gt;&lt;D xsi:type="xsd:double"&gt;-1.2249887&lt;/D&gt;&lt;D xsi:type="xsd:double"&gt;-5.952877&lt;/D&gt;&lt;D xsi:type="xsd:double"&gt;-3.692311&lt;/D&gt;&lt;D xsi:type="xsd:double"&gt;-0.27384758&lt;/D&gt;&lt;D xsi:type="xsd:double"&gt;8.032036&lt;/D&gt;&lt;D xsi:type="xsd:double"&gt;3.2702565&lt;/D&gt;&lt;D xsi:type="xsd:double"&gt;-3.0778825&lt;/D&gt;&lt;D xsi:type="xsd:double"&gt;-1.555413&lt;/D&gt;&lt;D xsi:type="xsd:double"&gt;-0.26332736&lt;/D&gt;&lt;D xsi:type="xsd:double"&gt;-1.6061604&lt;/D&gt;&lt;/FQL&gt;&lt;FQL&gt;&lt;Q&gt;EWI^FMA_PE(NTMA,-10AY,0,AM,"PORTAGG","MEANR")&lt;/Q&gt;&lt;R&gt;121&lt;/R&gt;&lt;C&gt;1&lt;/C&gt;&lt;D xsi:type="xsd:double"&gt;14.0708482211635&lt;/D&gt;&lt;D xsi:type="xsd:double"&gt;14.1787715491187&lt;/D&gt;&lt;D xsi:type="xsd:double"&gt;14.6440192324189&lt;/D&gt;&lt;D xsi:type="xsd:double"&gt;13.6500259638654&lt;/D&gt;&lt;D xsi:type="xsd:double"&gt;13.7654354728954&lt;/D&gt;&lt;D xsi:type="xsd:double"&gt;13.015833105756&lt;/D&gt;&lt;D xsi:type="xsd:double"&gt;12.859005925144&lt;/D&gt;&lt;D xsi:type="xsd:double"&gt;13.0475231517668&lt;/D&gt;&lt;D xsi:type="xsd:double"&gt;12.3465411669524&lt;/D&gt;&lt;D xsi:type="xsd:double"&gt;13.9398739777679&lt;/D&gt;&lt;D xsi:type="xsd:double"&gt;15.4686494592019&lt;/D&gt;&lt;D xsi:type="xsd:double"&gt;15.9388310177707&lt;/D&gt;&lt;D xsi:type="xsd:double"&gt;15.78845062378&lt;/D&gt;&lt;D xsi:type="xsd:double"&gt;15.6846195934283&lt;/D&gt;&lt;D xsi:type="xsd:double"&gt;14.8304003267738&lt;/D&gt;&lt;D xsi:type="xsd:double"&gt;15.4666177640748&lt;/D&gt;&lt;D xsi:type="xsd:double"&gt;14.1812911102444&lt;/D&gt;&lt;D xsi:type="xsd:double"&gt;13.9538705482463&lt;/D&gt;&lt;D xsi:type="xsd:double"&gt;14.8078367870539&lt;/D&gt;&lt;D xsi:type="xsd:double"&gt;14.9516794743883&lt;/D&gt;&lt;D xsi:type="xsd:double"&gt;14.0570435212574&lt;/D&gt;&lt;D xsi:type="xsd:double"&gt;12.6448694813719&lt;/D&gt;&lt;D xsi:type="xsd:double"&gt;13.1318587823222&lt;/D&gt;&lt;D xsi:type="xsd:double"&gt;12.8388132228063&lt;/D&gt;&lt;D xsi:type="xsd:double"&gt;13.2585854472278&lt;/D&gt;&lt;D xsi:type="xsd:double"&gt;13.0012940514263&lt;/D&gt;&lt;D xsi:type="xsd:double"&gt;11.8557083830139&lt;/D&gt;&lt;D xsi:type="xsd:double"&gt;11.9270074380262&lt;/D&gt;&lt;D xsi:type="xsd:double"&gt;12.5206266110849&lt;/D&gt;&lt;D xsi:type="xsd:double"&gt;11.7803348217568&lt;/D&gt;&lt;D xsi:type="xsd:double"&gt;11.5622685063906&lt;/D&gt;&lt;D xsi:type="xsd:double"&gt;12.014925970761&lt;/D&gt;&lt;D xsi:type="xsd:double"&gt;13.5567131574021&lt;/D&gt;&lt;D xsi:type="xsd:double"&gt;12.8118639170438&lt;/D&gt;&lt;D xsi:type="xsd:double"&gt;13.2374212070535&lt;/D&gt;&lt;D xsi:type="xsd:double"&gt;13.682327478082&lt;/D&gt;&lt;D xsi:type="xsd:double"&gt;13.4532173712084&lt;/D&gt;&lt;D xsi:type="xsd:double"&gt;13.3007485007019&lt;/D&gt;&lt;D xsi:type="xsd:double"&gt;12.9922537854392&lt;/D&gt;&lt;D xsi:type="xsd:double"&gt;13.4698141552726&lt;/D&gt;&lt;D xsi:type="xsd:double"&gt;13.3394042700422&lt;/D&gt;&lt;D xsi:type="xsd:double"&gt;13.7935170514119&lt;/D&gt;&lt;D xsi:type="xsd:double"&gt;13.7380907313988&lt;/D&gt;&lt;D xsi:type="xsd:double"&gt;13.2668277987846&lt;/D&gt;&lt;D xsi:type="xsd:double"&gt;12.9098230633379&lt;/D&gt;&lt;D xsi:type="xsd:double"&gt;13.0654642426309&lt;/D&gt;&lt;D xsi:type="xsd:double"&gt;12.3046923683967&lt;/D&gt;&lt;D xsi:type="xsd:double"&gt;12.4245778462623&lt;/D&gt;&lt;D xsi:type="xsd:double"&gt;13.1617917573454&lt;/D&gt;&lt;D xsi:type="xsd:double"&gt;11.7420446539254&lt;/D&gt;&lt;D xsi:type="xsd:double"&gt;11.2610184652365&lt;/D&gt;&lt;D xsi:type="xsd:double"&gt;11.3062303026601&lt;/D&gt;&lt;D xsi:type="xsd:double"&gt;10.5885717201615&lt;/D&gt;&lt;D xsi:type="xsd:double"&gt;10.5105541138501&lt;/D&gt;&lt;D xsi:type="xsd:double"&gt;9.94002956158159&lt;/D&gt;&lt;D xsi:type="xsd:double"&gt;9.6810525954439&lt;/D&gt;&lt;D xsi:type="xsd:double"&gt;9.15309727874026&lt;/D&gt;&lt;D xsi:type="xsd:double"&gt;9.89504201309672&lt;/D&gt;&lt;D xsi:type="xsd:double"&gt;10.4911479274243&lt;/D&gt;&lt;D xsi:type="xsd:double"&gt;10.8729236673167&lt;/D&gt;&lt;D xsi:type="xsd:double"&gt;10.8503349599861&lt;/D&gt;&lt;D xsi:type="xsd:double"&gt;9.74880618893185&lt;/D&gt;&lt;D xsi:type="xsd:double"&gt;10.5465957016108&lt;/D&gt;&lt;D xsi:type="xsd:double"&gt;10.3747233306414&lt;/D&gt;&lt;D xsi:type="xsd:double"&gt;10.5133520374046&lt;/D&gt;&lt;D xsi:type="xsd:double"&gt;10.4034490994205&lt;/D&gt;&lt;D xsi:type="xsd:double"&gt;11.1590078572378&lt;/D&gt;&lt;D xsi:type="xsd:double"&gt;11.0096460775393&lt;/D&gt;&lt;D xsi:type="xsd:double"&gt;11.510054322043&lt;/D&gt;&lt;D xsi:type="xsd:double"&gt;11.240492013789&lt;/D&gt;&lt;D xsi:type="xsd:double"&gt;10.288239754883&lt;/D&gt;&lt;D xsi:type="xsd:double"&gt;9.68835623811342&lt;/D&gt;&lt;D xsi:type="xsd:double"&gt;13.3841180198839&lt;/D&gt;&lt;D xsi:type="xsd:double"&gt;17.0179843835219&lt;/D&gt;&lt;D xsi:type="xsd:double"&gt;17.9760991754632&lt;/D&gt;&lt;D xsi:type="xsd:double"&gt;16.4093384617975&lt;/D&gt;&lt;D xsi:type="xsd:double"&gt;15.8478122473414&lt;/D&gt;&lt;D xsi:type="xsd:double"&gt;14.5590336185972&lt;/D&gt;&lt;D xsi:type="xsd:double"&gt;13.3813099654107&lt;/D&gt;&lt;D xsi:type="xsd:double"&gt;15.2059416171855&lt;/D&gt;&lt;D xsi:type="xsd:double"&gt;14.7412461357557&lt;/D&gt;&lt;D xsi:type="xsd:double"&gt;13.596308362295&lt;/D&gt;&lt;D xsi:type="xsd:double"&gt;13.6534183704427&lt;/D&gt;&lt;D xsi:type="xsd:double"&gt;14.0471705125076&lt;/D&gt;&lt;D xsi:type="xsd:double"&gt;13.4412207407004&lt;/D&gt;&lt;D xsi:type="xsd:double"&gt;13.6650670497407&lt;/D&gt;&lt;D xsi:type="xsd:double"&gt;13.4337090345574&lt;/D&gt;&lt;D xsi:type="xsd:double"&gt;12.8511878989897&lt;/D&gt;&lt;D xsi:type="xsd:double"&gt;12.0023757893806&lt;/D&gt;&lt;D xsi:type="xsd:double"&gt;11.5581456791629&lt;/D&gt;&lt;D xsi:type="xsd:double"&gt;11.7514456897696&lt;/D&gt;&lt;D xsi:type="xsd:double"&gt;10.7438913511664&lt;/D&gt;&lt;D xsi:type="xsd:double"&gt;11.069489560574&lt;/D&gt;&lt;D xsi:type="xsd:double"&gt;10.923731325192&lt;/D&gt;&lt;D xsi:type="xsd:double"&gt;9.69050998433968&lt;/D&gt;&lt;D xsi:type="xsd:double"&gt;9.81421282883604&lt;/D&gt;&lt;D xsi:type="xsd:double"&gt;9.22144969575623&lt;/D&gt;&lt;D xsi:type="xsd:double"&gt;8.84486089700579&lt;/D&gt;&lt;D xsi:type="xsd:double"&gt;7.70345533018875&lt;/D&gt;&lt;D xsi:type="xsd:double"&gt;7.69785247861026&lt;/D&gt;&lt;D xsi:type="xsd:double"&gt;7.64077774858364&lt;/D&gt;&lt;D xsi:type="xsd:double"&gt;7.21126707199346&lt;/D&gt;&lt;D xsi:type="xsd:double"&gt;7.9061581623202&lt;/D&gt;&lt;D xsi:type="xsd:double"&gt;7.88857804052585&lt;/D&gt;&lt;D xsi:type="xsd:double"&gt;7.59438441254583&lt;/D&gt;&lt;D xsi:type="xsd:double"&gt;8.50789637146045&lt;/D&gt;&lt;D xsi:type="xsd:double"&gt;8.64197743477776&lt;/D&gt;&lt;D xsi:type="xsd:double"&gt;8.4771354117954&lt;/D&gt;&lt;D xsi:type="xsd:double"&gt;8.41044346920074&lt;/D&gt;&lt;D xsi:type="xsd:double"&gt;8.54537760711135&lt;/D&gt;&lt;D xsi:type="xsd:double"&gt;8.79260716527944&lt;/D&gt;&lt;D xsi:type="xsd:double"&gt;8.52358151439278&lt;/D&gt;&lt;D xsi:type="xsd:double"&gt;8.48261079696335&lt;/D&gt;&lt;D xsi:type="xsd:double"&gt;8.14011670570309&lt;/D&gt;&lt;D xsi:type="xsd:double"&gt;8.12743538789502&lt;/D&gt;&lt;D xsi:type="xsd:double"&gt;8.64684142677665&lt;/D&gt;&lt;D xsi:type="xsd:double"&gt;8.96982113038129&lt;/D&gt;&lt;D xsi:type="xsd:double"&gt;9.00388375619441&lt;/D&gt;&lt;D xsi:type="xsd:double"&gt;9.33721289905997&lt;/D&gt;&lt;D xsi:type="xsd:double"&gt;9.68380951885355&lt;/D&gt;&lt;D xsi:type="xsd:double"&gt;9.48820717355478&lt;/D&gt;&lt;/FQL&gt;&lt;FQL&gt;&lt;Q&gt;EWN^FMA_PE(LTMA,-10AY,0,AM,"PORTAGG","MEANR")&lt;/Q&gt;&lt;R&gt;121&lt;/R&gt;&lt;C&gt;1&lt;/C&gt;&lt;D xsi:type="xsd:double"&gt;16.8838582527278&lt;/D&gt;&lt;D xsi:type="xsd:double"&gt;16.8363518063489&lt;/D&gt;&lt;D xsi:type="xsd:double"&gt;16.8121554460714&lt;/D&gt;&lt;D xsi:type="xsd:double"&gt;16.3065554889084&lt;/D&gt;&lt;D xsi:type="xsd:double"&gt;16.6631913996123&lt;/D&gt;&lt;D xsi:type="xsd:double"&gt;16.4112081034208&lt;/D&gt;&lt;D xsi:type="xsd:double"&gt;16.9559362554403&lt;/D&gt;&lt;D xsi:type="xsd:double"&gt;17.9953422513959&lt;/D&gt;&lt;D xsi:type="xsd:double"&gt;17.5290952437531&lt;/D&gt;&lt;D xsi:type="xsd:double"&gt;18.6672314298095&lt;/D&gt;&lt;D xsi:type="xsd:double"&gt;20.1216495271339&lt;/D&gt;&lt;D xsi:type="xsd:double"&gt;19.935824790479&lt;/D&gt;&lt;D xsi:type="xsd:double"&gt;19.6264132950042&lt;/D&gt;&lt;D xsi:type="xsd:double"&gt;19.3405401970592&lt;/D&gt;&lt;D xsi:type="xsd:double"&gt;18.9265659133696&lt;/D&gt;&lt;D xsi:type="xsd:double"&gt;19.0096127556024&lt;/D&gt;&lt;D xsi:type="xsd:double"&gt;17.2815494756593&lt;/D&gt;&lt;D xsi:type="xsd:double"&gt;16.6411710548961&lt;/D&gt;&lt;D xsi:type="xsd:double"&gt;17.5381283282994&lt;/D&gt;&lt;D xsi:type="xsd:double"&gt;18.0497439270832&lt;/D&gt;&lt;D xsi:type="xsd:double"&gt;16.8706386495531&lt;/D&gt;&lt;D xsi:type="xsd:double"&gt;16.1100824424955&lt;/D&gt;&lt;D xsi:type="xsd:double"&gt;16.4196167662267&lt;/D&gt;&lt;D xsi:type="xsd:double"&gt;16.3502918095853&lt;/D&gt;&lt;D xsi:type="xsd:double"&gt;16.2399772605848&lt;/D&gt;&lt;D xsi:type="xsd:double"&gt;16.3142780026217&lt;/D&gt;&lt;D xsi:type="xsd:double"&gt;15.8183783091024&lt;/D&gt;&lt;D xsi:type="xsd:double"&gt;15.9295296018543&lt;/D&gt;&lt;D xsi:type="xsd:double"&gt;16.4169863010332&lt;/D&gt;&lt;D xsi:type="xsd:double"&gt;16.156385409687&lt;/D&gt;&lt;D xsi:type="xsd:double"&gt;15.5426729398966&lt;/D&gt;&lt;D xsi:type="xsd:double"&gt;15.2558604741705&lt;/D&gt;&lt;D xsi:type="xsd:double"&gt;16.2999348215531&lt;/D&gt;&lt;D xsi:type="xsd:double"&gt;16.0789968509557&lt;/D&gt;&lt;D xsi:type="xsd:double"&gt;16.4344944810755&lt;/D&gt;&lt;D xsi:type="xsd:double"&gt;16.5201736815972&lt;/D&gt;&lt;D xsi:type="xsd:double"&gt;16.7152850193805&lt;/D&gt;&lt;D xsi:type="xsd:double"&gt;16.7707809086025&lt;/D&gt;&lt;D xsi:type="xsd:double"&gt;16.4737540777456&lt;/D&gt;&lt;D xsi:type="xsd:double"&gt;16.6910072811845&lt;/D&gt;&lt;D xsi:type="xsd:double"&gt;16.6016722981034&lt;/D&gt;&lt;D xsi:type="xsd:double"&gt;17.1140217298837&lt;/D&gt;&lt;D xsi:type="xsd:double"&gt;17.3471096425331&lt;/D&gt;&lt;D xsi:type="xsd:double"&gt;16.9747585624299&lt;/D&gt;&lt;D xsi:type="xsd:double"&gt;17.2046806832801&lt;/D&gt;&lt;D xsi:type="xsd:double"&gt;17.2807800920778&lt;/D&gt;&lt;D xsi:type="xsd:double"&gt;16.5897048139151&lt;/D&gt;&lt;D xsi:type="xsd:double"&gt;16.5455400126194&lt;/D&gt;&lt;D xsi:type="xsd:double"&gt;16.5752744646016&lt;/D&gt;&lt;D xsi:type="xsd:double"&gt;16.6365813063737&lt;/D&gt;&lt;D xsi:type="xsd:double"&gt;16.4515314392364&lt;/D&gt;&lt;D xsi:type="xsd:double"&gt;16.7623906011179&lt;/D&gt;&lt;D xsi:type="xsd:double"&gt;16.6007329052535&lt;/D&gt;&lt;D xsi:type="xsd:double"&gt;16.2688089210677&lt;/D&gt;&lt;D xsi:type="xsd:double"&gt;15.666116999648&lt;/D&gt;&lt;D xsi:type="xsd:double"&gt;15.412775614075&lt;/D&gt;&lt;D xsi:type="xsd:double"&gt;14.22483265197&lt;/D&gt;&lt;D xsi:type="xsd:double"&gt;15.2677384156241&lt;/D&gt;&lt;D xsi:type="xsd:double"&gt;16.1603659396246&lt;/D&gt;&lt;D xsi:type="xsd:double"&gt;16.1978162729385&lt;/D&gt;&lt;D xsi:type="xsd:double"&gt;16.340435405765&lt;/D&gt;&lt;D xsi:type="xsd:double"&gt;16.0237908636588&lt;/D&gt;&lt;D xsi:type="xsd:double"&gt;16.4446350310776&lt;/D&gt;&lt;D xsi:type="xsd:double"&gt;16.3989457147716&lt;/D&gt;&lt;D xsi:type="xsd:double"&gt;16.5260796189774&lt;/D&gt;&lt;D xsi:type="xsd:double"&gt;16.6650590908637&lt;/D&gt;&lt;D xsi:type="xsd:double"&gt;17.4597494307274&lt;/D&gt;&lt;D xsi:type="xsd:double"&gt;17.8200144659564&lt;/D&gt;&lt;D xsi:type="xsd:double"&gt;18.892177719228&lt;/D&gt;&lt;D xsi:type="xsd:double"&gt;18.421976303677&lt;/D&gt;&lt;D xsi:type="xsd:double"&gt;17.3459888995716&lt;/D&gt;&lt;D xsi:type="xsd:double"&gt;16.850811532628&lt;/D&gt;&lt;D xsi:type="xsd:double"&gt;17.8263059835798&lt;/D&gt;&lt;D xsi:type="xsd:double"&gt;18.7372446178283&lt;/D&gt;&lt;D xsi:type="xsd:double"&gt;19.7521423634253&lt;/D&gt;&lt;D xsi:type="xsd:double"&gt;20.1049729277738&lt;/D&gt;&lt;D xsi:type="xsd:double"&gt;21.6405057753544&lt;/D&gt;&lt;D xsi:type="xsd:double"&gt;22.1076455289848&lt;/D&gt;&lt;D xsi:type="xsd:double"&gt;21.9285396761599&lt;/D&gt;&lt;D xsi:type="xsd:double"&gt;25.7656020435399&lt;/D&gt;&lt;D xsi:type="xsd:double"&gt;27.3483404065677&lt;/D&gt;&lt;D xsi:type="xsd:double"&gt;28.0122267189257&lt;/D&gt;&lt;D xsi:type="xsd:double"&gt;28.8735834418528&lt;/D&gt;&lt;D xsi:type="xsd:double"&gt;28.6410002005665&lt;/D&gt;&lt;D xsi:type="xsd:double"&gt;27.8915237561897&lt;/D&gt;&lt;D xsi:type="xsd:double"&gt;27.0791605446551&lt;/D&gt;&lt;D xsi:type="xsd:double"&gt;26.5711067603107&lt;/D&gt;&lt;D xsi:type="xsd:double"&gt;26.3180046825947&lt;/D&gt;&lt;D xsi:type="xsd:double"&gt;26.0121858234175&lt;/D&gt;&lt;D xsi:type="xsd:double"&gt;24.1534486772699&lt;/D&gt;&lt;D xsi:type="xsd:double"&gt;24.679727500743&lt;/D&gt;&lt;D xsi:type="xsd:double"&gt;22.6731407832657&lt;/D&gt;&lt;D xsi:type="xsd:double"&gt;22.689109706604&lt;/D&gt;&lt;D xsi:type="xsd:double"&gt;20.5042075416703&lt;/D&gt;&lt;D xsi:type="xsd:double"&gt;18.3293552595811&lt;/D&gt;&lt;D xsi:type="xsd:double"&gt;18.5764891831276&lt;/D&gt;&lt;D xsi:type="xsd:double"&gt;18.1741293565603&lt;/D&gt;&lt;D xsi:type="xsd:double"&gt;18.6111937823619&lt;/D&gt;&lt;D xsi:type="xsd:double"&gt;18.0143758074229&lt;/D&gt;&lt;D xsi:type="xsd:double"&gt;19.6049252927894&lt;/D&gt;&lt;D xsi:type="xsd:double"&gt;18.4443194389549&lt;/D&gt;&lt;D xsi:type="xsd:double"&gt;17.0934099382482&lt;/D&gt;&lt;D xsi:type="xsd:double"&gt;18.1507602333817&lt;/D&gt;&lt;D xsi:type="xsd:double"&gt;18.4499237314036&lt;/D&gt;&lt;D xsi:type="xsd:double"&gt;17.6566343846657&lt;/D&gt;&lt;D xsi:type="xsd:double"&gt;19.8959959636716&lt;/D&gt;&lt;D xsi:type="xsd:double"&gt;20.6362907505789&lt;/D&gt;&lt;D xsi:type="xsd:double"&gt;20.3592854426143&lt;/D&gt;&lt;D xsi:type="xsd:double"&gt;19.7548291543059&lt;/D&gt;&lt;D xsi:type="xsd:double"&gt;19.4460044066019&lt;/D&gt;&lt;D xsi:type="xsd:double"&gt;19.2358257724436&lt;/D&gt;&lt;D xsi:type="xsd:double"&gt;18.9088031707244&lt;/D&gt;&lt;D xsi:type="xsd:double"&gt;17.8169818108069&lt;/D&gt;&lt;D xsi:type="xsd:double"&gt;16.5672142721115&lt;/D&gt;&lt;D xsi:type="xsd:double"&gt;16.0430350800142&lt;/D&gt;&lt;D xsi:type="xsd:double"&gt;16.3995440503203&lt;/D&gt;&lt;D xsi:type="xsd:double"&gt;16.4124883144659&lt;/D&gt;&lt;D xsi:type="xsd:double"&gt;17.4294383647354&lt;/D&gt;&lt;D xsi:type="xsd:double"&gt;18.4996766559607&lt;/D&gt;&lt;D xsi:type="xsd:double"&gt;18.3990315772252&lt;/D&gt;&lt;D xsi:type="xsd:double"&gt;18.1265010127981&lt;/D&gt;&lt;/FQL&gt;&lt;FQL&gt;&lt;Q&gt;PASP-FDS^FG_PRICE_CHANGE(0,-3AM)&lt;/Q&gt;&lt;R&gt;1&lt;/R&gt;&lt;C&gt;1&lt;/C&gt;&lt;D xsi:type="xsd:double"&gt;-2.27272727272727&lt;/D&gt;&lt;/FQL&gt;&lt;FQL&gt;&lt;Q&gt;PLATI-FDS^FG_PRICE_CHANGE(0,-3AM)&lt;/Q&gt;&lt;R&gt;1&lt;/R&gt;&lt;C&gt;1&lt;/C&gt;&lt;D xsi:type="xsd:double"&gt;4.61538461538462&lt;/D&gt;&lt;/FQL&gt;&lt;FQL&gt;&lt;Q&gt;W-FDS^FG_PRICE_CHANGE(0,-3AM)&lt;/Q&gt;&lt;R&gt;1&lt;/R&gt;&lt;C&gt;1&lt;/C&gt;&lt;D xsi:type="xsd:double"&gt;-2.20925385577323&lt;/D&gt;&lt;/FQL&gt;&lt;FQL&gt;&lt;Q&gt;EWI^FG_PRICE_MAVG(0,,,,200)&lt;/Q&gt;&lt;R&gt;1&lt;/R&gt;&lt;C&gt;1&lt;/C&gt;&lt;D xsi:type="xsd:double"&gt;33.36155&lt;/D&gt;&lt;/FQL&gt;&lt;FQL&gt;&lt;Q&gt;SPY^FG_PRICE_MAVG(0,,,,200)&lt;/Q&gt;&lt;R&gt;1&lt;/R&gt;&lt;C&gt;1&lt;/C&gt;&lt;D xsi:type="xsd:double"&gt;468.86395&lt;/D&gt;&lt;/FQL&gt;&lt;FQL&gt;&lt;Q&gt;EWJ^FG_PRICE_MAVG(0,,,,200)&lt;/Q&gt;&lt;R&gt;1&lt;/R&gt;&lt;C&gt;1&lt;/C&gt;&lt;D xsi:type="xsd:double"&gt;64.17685&lt;/D&gt;&lt;/FQL&gt;&lt;FQL&gt;&lt;Q&gt;ENZL^FG_PRICE_MAVG(0,,,,200)&lt;/Q&gt;&lt;R&gt;1&lt;/R&gt;&lt;C&gt;1&lt;/C&gt;&lt;D xsi:type="xsd:double"&gt;45.62354&lt;/D&gt;&lt;/FQL&gt;&lt;FQL&gt;&lt;Q&gt;SPY^FG_TOTAL_RETURNC(0,-1AM)&lt;/Q&gt;&lt;R&gt;1&lt;/R&gt;&lt;C&gt;1&lt;/C&gt;&lt;D xsi:type="xsd:double"&gt;-2.661711&lt;/D&gt;&lt;/FQL&gt;&lt;FQL&gt;&lt;Q&gt;URTH^FG_TOTAL_RETURNC(0,-6AM)&lt;/Q&gt;&lt;R&gt;1&lt;/R&gt;&lt;C&gt;1&lt;/C&gt;&lt;D xsi:type="xsd:double"&gt;17.004776&lt;/D&gt;&lt;/FQL&gt;&lt;FQL&gt;&lt;Q&gt;VGK^P_PRICE(0)/P_PRICE_LOW_PR(0,,,,,,"PRICE","INTRA","52W")-1&lt;/Q&gt;&lt;R&gt;1&lt;/R&gt;&lt;C&gt;1&lt;/C&gt;&lt;D xsi:type="xsd:double"&gt;0.20214307&lt;/D&gt;&lt;/FQL&gt;&lt;FQL&gt;&lt;Q&gt;EWN^PERCENT_CHANGE(FMA_EPS(+1,0,,,,"PORTAGG","MEAN"),FMA_EPS(+1,-3AM,,,,"PORTAGG","MEAN"))&lt;/Q&gt;&lt;R&gt;1&lt;/R&gt;&lt;C&gt;1&lt;/C&gt;&lt;D xsi:type="xsd:double"&gt;0.888141554942336&lt;/D&gt;&lt;/FQL&gt;&lt;FQL&gt;&lt;Q&gt;TRYAU10Y-FDS^FG_YIELD(0,,,,"YTM")&lt;/Q&gt;&lt;R&gt;1&lt;/R&gt;&lt;C&gt;1&lt;/C&gt;&lt;D xsi:type="xsd:double"&gt;4.446&lt;/D&gt;&lt;/FQL&gt;&lt;FQL&gt;&lt;Q&gt;DDR3512M-FDS^FG_PRICE_CHANGE(0,-1AM)&lt;/Q&gt;&lt;R&gt;1&lt;/R&gt;&lt;C&gt;1&lt;/C&gt;&lt;D xsi:type="xsd:double"&gt;0.907102931709258&lt;/D&gt;&lt;/FQL&gt;&lt;FQL&gt;&lt;Q&gt;PASP-FDS^FG_PRICE_CHANGE(0,-1AM)&lt;/Q&gt;&lt;R&gt;1&lt;/R&gt;&lt;C&gt;1&lt;/C&gt;&lt;D xsi:type="xsd:double"&gt;-7.79727095516569&lt;/D&gt;&lt;/FQL&gt;&lt;FQL&gt;&lt;Q&gt;PLATI-FDS^FG_PRICE_CHANGE(0,-1AM)&lt;/Q&gt;&lt;R&gt;1&lt;/R&gt;&lt;C&gt;1&lt;/C&gt;&lt;D xsi:type="xsd:double"&gt;2.36559139784946&lt;/D&gt;&lt;/FQL&gt;&lt;FQL&gt;&lt;Q&gt;W-FDS^FG_PRICE_CHANGE(0,-1AM)&lt;/Q&gt;&lt;R&gt;1&lt;/R&gt;&lt;C&gt;1&lt;/C&gt;&lt;D xsi:type="xsd:double"&gt;7.56533700137552&lt;/D&gt;&lt;/FQL&gt;&lt;FQL&gt;&lt;Q&gt;COPP-FDS^FG_PRICE_CHANGE(0,-1AM)&lt;/Q&gt;&lt;R&gt;1&lt;/R&gt;&lt;C&gt;1&lt;/C&gt;&lt;D xsi:type="xsd:double"&gt;10.4176904176904&lt;/D&gt;&lt;/FQL&gt;&lt;FQL&gt;&lt;Q&gt;EWI^FG_PRICE_MAVG(0,,,,60)&lt;/Q&gt;&lt;R&gt;1&lt;/R&gt;&lt;C&gt;1&lt;/C&gt;&lt;D xsi:type="xsd:double"&gt;36.347668&lt;/D&gt;&lt;/FQL&gt;&lt;FQL&gt;&lt;Q&gt;SPY^FG_PRICE_MAVG(0,,,,60)&lt;/Q&gt;&lt;R&gt;1&lt;/R&gt;&lt;C&gt;1&lt;/C&gt;&lt;D xsi:type="xsd:double"&gt;509.3355&lt;/D&gt;&lt;/FQL&gt;&lt;FQL&gt;&lt;Q&gt;EWJ^FG_PRICE_MAVG(0,,,,60)&lt;/Q&gt;&lt;R&gt;1&lt;/R&gt;&lt;C&gt;1&lt;/C&gt;&lt;D xsi:type="xsd:double"&gt;69.030334&lt;/D&gt;&lt;/FQL&gt;&lt;FQL&gt;&lt;Q&gt;ENZL^FG_PRICE_MAVG(0,,,,60)&lt;/Q&gt;&lt;R&gt;1&lt;/R&gt;&lt;C&gt;1&lt;/C&gt;&lt;D xsi:type="xsd:double"&gt;45.19763&lt;/D&gt;&lt;/FQL&gt;&lt;FQL&gt;&lt;Q&gt;URTH^FG_TOTAL_RETURNC(0,-3AM)&lt;/Q&gt;&lt;R&gt;1&lt;/R&gt;&lt;C&gt;1&lt;/C&gt;&lt;D xsi:type="xsd:double"&gt;2.6603222&lt;/D&gt;&lt;/FQL&gt;&lt;FQL&gt;&lt;Q&gt;VGK^P_PRICE(0)/P_PRICE_HIGH_PR(0,,,,,,"PRICE","INTRA","52W")&lt;/Q&gt;&lt;R&gt;1&lt;/R&gt;&lt;C&gt;1&lt;/C&gt;&lt;D xsi:type="xsd:double"&gt;0.9765418&lt;/D&gt;&lt;/FQL&gt;&lt;FQL&gt;&lt;Q&gt;CAGDPY@NL^EE_ACTUAL_ANNUAL(MED,+1)&lt;/Q&gt;&lt;R&gt;1&lt;/R&gt;&lt;C&gt;1&lt;/C&gt;&lt;D xsi:type="xsd:double"&gt;7.6&lt;/D&gt;&lt;/FQL&gt;&lt;FQL&gt;&lt;Q&gt;CAGDPY@CA^EE_ACTUAL_ANNUAL(MED,+1)&lt;/Q&gt;&lt;R&gt;1&lt;/R&gt;&lt;C&gt;1&lt;/C&gt;&lt;D xsi:type="xsd:double"&gt;-0.6&lt;/D&gt;&lt;/FQL&gt;&lt;FQL&gt;&lt;Q&gt;USDITL^STD(FG_PRICE_CHANGE(0,-1AY,AM))&lt;/Q&gt;&lt;R&gt;1&lt;/R&gt;&lt;C&gt;1&lt;/C&gt;&lt;D xsi:type="xsd:double"&gt;1.53665594618569&lt;/D&gt;&lt;/FQL&gt;&lt;FQL&gt;&lt;Q&gt;USDANG^STD(FG_PRICE_CHANGE(0,-1AY,AM))&lt;/Q&gt;&lt;R&gt;1&lt;/R&gt;&lt;C&gt;1&lt;/C&gt;&lt;D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xsi:type="xsd:double"&gt;1.72010582787177&lt;/D&gt;&lt;/FQL&gt;&lt;FQL&gt;&lt;Q&gt;USDJPY^STD(FG_PRICE_CHANGE(0,-1AY,AM))&lt;/Q&gt;&lt;R&gt;1&lt;/R&gt;&lt;C&gt;1&lt;/C&gt;&lt;D xsi:type="xsd:double"&gt;2.26269722774326&lt;/D&gt;&lt;/FQL&gt;&lt;FQL&gt;&lt;Q&gt;USDCAD^STD(FG_PRICE_CHANGE(0,-1AY,AM))&lt;/Q&gt;&lt;R&gt;1&lt;/R&gt;&lt;C&gt;1&lt;/C&gt;&lt;D xsi:type="xsd:double"&gt;1.23718688222485&lt;/D&gt;&lt;/FQL&gt;&lt;FQL&gt;&lt;Q&gt;USDNZD^STD(FG_PRICE_CHANGE(0,-1AY,AM))&lt;/Q&gt;&lt;R&gt;1&lt;/R&gt;&lt;C&gt;1&lt;/C&gt;&lt;D xsi:type="xsd:double"&gt;2.05184338346361&lt;/D&gt;&lt;/FQL&gt;&lt;FQL&gt;&lt;Q&gt;EWG^FMA_EPS(NTMA,-20AY,0,CY,,"PORTAGG","MEANR")&lt;/Q&gt;&lt;R&gt;20&lt;/R&gt;&lt;C&gt;1&lt;/C&gt;&lt;D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xsi:type="xsd:double"&gt;2.65636105548499&lt;/D&gt;&lt;/FQL&gt;&lt;FQL&gt;&lt;Q&gt;EWA^P_PRICE_RETURNS_PR('52W',2,-10AY,0,AM)&lt;/Q&gt;&lt;R&gt;121&lt;/R&gt;&lt;C&gt;1&lt;/C&gt;&lt;D xsi:type="xsd:double"&gt;-0.17859936&lt;/D&gt;&lt;D xsi:type="xsd:double"&gt;14.15044&lt;/D&gt;&lt;D xsi:type="xsd:double"&gt;22.308731&lt;/D&gt;&lt;D xsi:type="xsd:double"&gt;18.218935&lt;/D&gt;&lt;D xsi:type="xsd:double"&gt;20.443213&lt;/D&gt;&lt;D xsi:type="xsd:double"&gt;-1.5585065&lt;/D&gt;&lt;D xsi:type="xsd:double"&gt;-0.71719885&lt;/D&gt;&lt;D xsi:type="xsd:double"&gt;-2.8951705&lt;/D&gt;&lt;D xsi:type="xsd:double"&gt;-4.2111754&lt;/D&gt;&lt;D xsi:type="xsd:double"&gt;1.7565489&lt;/D&gt;&lt;D xsi:type="xsd:double"&gt;-0.4464686&lt;/D&gt;&lt;D xsi:type="xsd:double"&gt;-7.1191072&lt;/D&gt;&lt;D xsi:type="xsd:double"&gt;-6.2319813&lt;/D&gt;&lt;D xsi:type="xsd:double"&gt;-11.307341&lt;/D&gt;&lt;D xsi:type="xsd:double"&gt;-14.640504&lt;/D&gt;&lt;D xsi:type="xsd:double"&gt;-16.79867&lt;/D&gt;&lt;D xsi:type="xsd:double"&gt;-29.17446&lt;/D&gt;&lt;D xsi:type="xsd:double"&gt;-19.851887&lt;/D&gt;&lt;D xsi:type="xsd:double"&gt;-21.528404&lt;/D&gt;&lt;D xsi:type="xsd:double"&gt;-12.114906&lt;/D&gt;&lt;D xsi:type="xsd:double"&gt;-9.960371&lt;/D&gt;&lt;D xsi:type="xsd:double"&gt;-19.47233&lt;/D&gt;&lt;D xsi:type="xsd:double"&gt;-18.438452&lt;/D&gt;&lt;D xsi:type="xsd:double"&gt;-11.727208&lt;/D&gt;&lt;D xsi:type="xsd:double"&gt;-9.846634&lt;/D&gt;&lt;D xsi:type="xsd:double"&gt;-9.669775&lt;/D&gt;&lt;D xsi:type="xsd:double"&gt;-4.1840973&lt;/D&gt;&lt;D xsi:type="xsd:double"&gt;2.8547406&lt;/D&gt;&lt;D xsi:type="xsd:double"&gt;16.572071&lt;/D&gt;&lt;D xsi:type="xsd:double"&gt;21.586275&lt;/D&gt;&lt;D xsi:type="xsd:double"&gt;10.437643&lt;/D&gt;&lt;D xsi:type="xsd:double"&gt;11.01048&lt;/D&gt;&lt;D xsi:type="xsd:double"&gt;9.94482&lt;/D&gt;&lt;D xsi:type="xsd:double"&gt;31.272745&lt;/D&gt;&lt;D xsi:type="xsd:double"&gt;24.490524&lt;/D&gt;&lt;D xsi:type="xsd:double"&gt;21.861887&lt;/D&gt;&lt;D xsi:type="xsd:double"&gt;17.508865&lt;/D&gt;&lt;D xsi:type="xsd:double"&gt;17.368757&lt;/D&gt;&lt;D xsi:type="xsd:double"&gt;16.96211&lt;/D&gt;&lt;D xsi:type="xsd:double"&gt;15.455067&lt;/D&gt;&lt;D xsi:type="xsd:double"&gt;17.78332&lt;/D&gt;&lt;D xsi:type="xsd:double"&gt;13.165272&lt;/D&gt;&lt;D xsi:type="xsd:double"&gt;20.626509&lt;/D&gt;&lt;D xsi:type="xsd:double"&gt;16.054344&lt;/D&gt;&lt;D xsi:type="xsd:double"&gt;20.709717&lt;/D&gt;&lt;D xsi:type="xsd:double"&gt;14.181746&lt;/D&gt;&lt;D xsi:type="xsd:double"&gt;8.483934&lt;/D&gt;&lt;D xsi:type="xsd:double"&gt;0.22273064&lt;/D&gt;&lt;D xsi:type="xsd:double"&gt;3.9295673&lt;/D&gt;&lt;D xsi:type="xsd:double"&gt;10.915065&lt;/D&gt;&lt;D xsi:type="xsd:double"&gt;7.502067&lt;/D&gt;&lt;D xsi:type="xsd:double"&gt;4.236388&lt;/D&gt;&lt;D xsi:type="xsd:double"&gt;3.7284255&lt;/D&gt;&lt;D xsi:type="xsd:double"&gt;1.1757255&lt;/D&gt;&lt;D xsi:type="xsd:double"&gt;-5.0801573&lt;/D&gt;&lt;D xsi:type="xsd:double"&gt;-4.5717773&lt;/D&gt;&lt;D xsi:type="xsd:double"&gt;-13.271242&lt;/D&gt;&lt;D xsi:type="xsd:double"&gt;-8.83103&lt;/D&gt;&lt;D xsi:type="xsd:double"&gt;0.09881258&lt;/D&gt;&lt;D xsi:type="xsd:double"&gt;5.939746&lt;/D&gt;&lt;D xsi:type="xsd:double"&gt;1.9828796&lt;/D&gt;&lt;D xsi:type="xsd:double"&gt;2.2782207&lt;/D&gt;&lt;D xsi:type="xsd:double"&gt;6.836128&lt;/D&gt;&lt;D xsi:type="xsd:double"&gt;3.8296342&lt;/D&gt;&lt;D xsi:type="xsd:double"&gt;1.1743426&lt;/D&gt;&lt;D xsi:type="xsd:double"&gt;4.1362286&lt;/D&gt;&lt;D xsi:type="xsd:double"&gt;15.24744&lt;/D&gt;&lt;D xsi:type="xsd:double"&gt;15.814888&lt;/D&gt;&lt;D xsi:type="xsd:double"&gt;23.918581&lt;/D&gt;&lt;D xsi:type="xsd:double"&gt;12.524784&lt;/D&gt;&lt;D xsi:type="xsd:double"&gt;-0.82255006&lt;/D&gt;&lt;D xsi:type="xsd:double"&gt;-25.435299&lt;/D&gt;&lt;D xsi:type="xsd:double"&gt;-22.309727&lt;/D&gt;&lt;D xsi:type="xsd:double"&gt;-8.091932&lt;/D&gt;&lt;D xsi:type="xsd:double"&gt;-8.731431&lt;/D&gt;&lt;D xsi:type="xsd:double"&gt;-8.036107&lt;/D&gt;&lt;D xsi:type="xsd:double"&gt;0.8376241&lt;/D&gt;&lt;D xsi:type="xsd:double"&gt;-4.2097807&lt;/D&gt;&lt;D xsi:type="xsd:double"&gt;-9.586752&lt;/D&gt;&lt;D xsi:type="xsd:double"&gt;5.924952&lt;/D&gt;&lt;D xsi:type="xsd:double"&gt;8.265495&lt;/D&gt;&lt;D xsi:type="xsd:double"&gt;12.458491&lt;/D&gt;&lt;D xsi:type="xsd:double"&gt;26.952255&lt;/D&gt;&lt;D xsi:type="xsd:double"&gt;71.34552&lt;/D&gt;&lt;D xsi:type="xsd:double"&gt;55.437447&lt;/D&gt;&lt;D xsi:type="xsd:double"&gt;44.18496&lt;/D&gt;&lt;D xsi:type="xsd:double"&gt;34.843563&lt;/D&gt;&lt;D xsi:type="xsd:double"&gt;33.325947&lt;/D&gt;&lt;D xsi:type="xsd:double"&gt;27.817774&lt;/D&gt;&lt;D xsi:type="xsd:double"&gt;28.280699&lt;/D&gt;&lt;D xsi:type="xsd:double"&gt;34.607292&lt;/D&gt;&lt;D xsi:type="xsd:double"&gt;8.408821&lt;/D&gt;&lt;D xsi:type="xsd:double"&gt;8.950353&lt;/D&gt;&lt;D xsi:type="xsd:double"&gt;0.019347668&lt;/D&gt;&lt;D xsi:type="xsd:double"&gt;2.10191&lt;/D&gt;&lt;D xsi:type="xsd:double"&gt;11.61269&lt;/D&gt;&lt;D xsi:type="xsd:double"&gt;-0.47399998&lt;/D&gt;&lt;D xsi:type="xsd:double"&gt;-1.808393&lt;/D&gt;&lt;D xsi:type="xsd:double"&gt;-12.843555&lt;/D&gt;&lt;D xsi:type="xsd:double"&gt;-7.5146017&lt;/D&gt;&lt;D xsi:type="xsd:double"&gt;-11.771387&lt;/D&gt;&lt;D xsi:type="xsd:double"&gt;-15.423012&lt;/D&gt;&lt;D xsi:type="xsd:double"&gt;-15.656728&lt;/D&gt;&lt;D xsi:type="xsd:double"&gt;2.5674105&lt;/D&gt;&lt;D xsi:type="xsd:double"&gt;-6.4979553&lt;/D&gt;&lt;D xsi:type="xsd:double"&gt;12.651038&lt;/D&gt;&lt;D xsi:type="xsd:double"&gt;-1.2988925&lt;/D&gt;&lt;D xsi:type="xsd:double"&gt;-8.732128&lt;/D&gt;&lt;D xsi:type="xsd:double"&gt;-1.9687414&lt;/D&gt;&lt;D xsi:type="xsd:double"&gt;-5.7606754&lt;/D&gt;&lt;D xsi:type="xsd:double"&gt;10.292578&lt;/D&gt;&lt;D xsi:type="xsd:double"&gt;3.3250093&lt;/D&gt;&lt;D xsi:type="xsd:double"&gt;6.2711596&lt;/D&gt;&lt;D xsi:type="xsd:double"&gt;11.457836&lt;/D&gt;&lt;D xsi:type="xsd:double"&gt;8.415937&lt;/D&gt;&lt;D xsi:type="xsd:double"&gt;0.28856993&lt;/D&gt;&lt;D xsi:type="xsd:double"&gt;12.971008&lt;/D&gt;&lt;D xsi:type="xsd:double"&gt;-1.597786&lt;/D&gt;&lt;D xsi:type="xsd:double"&gt;8.943474&lt;/D&gt;&lt;D xsi:type="xsd:double"&gt;11.151767&lt;/D&gt;&lt;D xsi:type="xsd:double"&gt;8.403897&lt;/D&gt;&lt;/FQL&gt;&lt;FQL&gt;&lt;Q&gt;ENZL^JULIAN(FG_TOTAL_RETURNC(-10AY,0,AM).DATES)&lt;/Q&gt;&lt;R&gt;121&lt;/R&gt;&lt;C&gt;1&lt;/C&gt;&lt;D xsi:type="xsd:long"&gt;41761&lt;/D&gt;&lt;D xsi:type="xsd:long"&gt;41792&lt;/D&gt;&lt;D xsi:type="xsd:long"&gt;41822&lt;/D&gt;&lt;D xsi:type="xsd:long"&gt;41852&lt;/D&gt;&lt;D xsi:type="xsd:long"&gt;41884&lt;/D&gt;&lt;D xsi:type="xsd:long"&gt;41914&lt;/D&gt;&lt;D xsi:type="xsd:long"&gt;41943&lt;/D&gt;&lt;D xsi:type="xsd:long"&gt;41975&lt;/D&gt;&lt;D xsi:type="xsd:long"&gt;42006&lt;/D&gt;&lt;D xsi:type="xsd:long"&gt;42037&lt;/D&gt;&lt;D xsi:type="xsd:long"&gt;42065&lt;/D&gt;&lt;D xsi:type="xsd:long"&gt;42096&lt;/D&gt;&lt;D xsi:type="xsd:long"&gt;42125&lt;/D&gt;&lt;D xsi:type="xsd:long"&gt;42157&lt;/D&gt;&lt;D xsi:type="xsd:long"&gt;42187&lt;/D&gt;&lt;D xsi:type="xsd:long"&gt;42216&lt;/D&gt;&lt;D xsi:type="xsd:long"&gt;42249&lt;/D&gt;&lt;D xsi:type="xsd:long"&gt;42279&lt;/D&gt;&lt;D xsi:type="xsd:long"&gt;42310&lt;/D&gt;&lt;D xsi:type="xsd:long"&gt;42340&lt;/D&gt;&lt;D xsi:type="xsd:long"&gt;42369&lt;/D&gt;&lt;D xsi:type="xsd:long"&gt;42402&lt;/D&gt;&lt;D xsi:type="xsd:long"&gt;42431&lt;/D&gt;&lt;D xsi:type="xsd:long"&gt;42461&lt;/D&gt;&lt;D xsi:type="xsd:long"&gt;42492&lt;/D&gt;&lt;D xsi:type="xsd:long"&gt;42523&lt;/D&gt;&lt;D xsi:type="xsd:long"&gt;42552&lt;/D&gt;&lt;D xsi:type="xsd:long"&gt;42584&lt;/D&gt;&lt;D xsi:type="xsd:long"&gt;42615&lt;/D&gt;&lt;D xsi:type="xsd:long"&gt;42643&lt;/D&gt;&lt;D xsi:type="xsd:long"&gt;42676&lt;/D&gt;&lt;D xsi:type="xsd:long"&gt;42706&lt;/D&gt;&lt;D xsi:type="xsd:long"&gt;42734&lt;/D&gt;&lt;D xsi:type="xsd:long"&gt;42768&lt;/D&gt;&lt;D xsi:type="xsd:long"&gt;42796&lt;/D&gt;&lt;D xsi:type="xsd:long"&gt;42825&lt;/D&gt;&lt;D xsi:type="xsd:long"&gt;42857&lt;/D&gt;&lt;D xsi:type="xsd:long"&gt;42888&lt;/D&gt;&lt;D xsi:type="xsd:long"&gt;42916&lt;/D&gt;&lt;D xsi:type="xsd:long"&gt;42949&lt;/D&gt;&lt;D xsi:type="xsd:long"&gt;42979&lt;/D&gt;&lt;D xsi:type="xsd:long"&gt;43010&lt;/D&gt;&lt;D xsi:type="xsd:long"&gt;43041&lt;/D&gt;&lt;D xsi:type="xsd:long"&gt;43070&lt;/D&gt;&lt;D xsi:type="xsd:long"&gt;43102&lt;/D&gt;&lt;D xsi:type="xsd:long"&gt;43133&lt;/D&gt;&lt;D xsi:type="xsd:long"&gt;43161&lt;/D&gt;&lt;D xsi:type="xsd:long"&gt;43192&lt;/D&gt;&lt;D xsi:type="xsd:long"&gt;43222&lt;/D&gt;&lt;D xsi:type="xsd:long"&gt;43252&lt;/D&gt;&lt;D xsi:type="xsd:long"&gt;43283&lt;/D&gt;&lt;D xsi:type="xsd:long"&gt;43314&lt;/D&gt;&lt;D xsi:type="xsd:long"&gt;43343&lt;/D&gt;&lt;D xsi:type="xsd:long"&gt;43375&lt;/D&gt;&lt;D xsi:type="xsd:long"&gt;43406&lt;/D&gt;&lt;D xsi:type="xsd:long"&gt;43434&lt;/D&gt;&lt;D xsi:type="xsd:long"&gt;43467&lt;/D&gt;&lt;D xsi:type="xsd:long"&gt;43497&lt;/D&gt;&lt;D xsi:type="xsd:long"&gt;43525&lt;/D&gt;&lt;D xsi:type="xsd:long"&gt;43557&lt;/D&gt;&lt;D xsi:type="xsd:long"&gt;43587&lt;/D&gt;&lt;D xsi:type="xsd:long"&gt;43616&lt;/D&gt;&lt;D xsi:type="xsd:long"&gt;43648&lt;/D&gt;&lt;D xsi:type="xsd:long"&gt;43679&lt;/D&gt;&lt;D xsi:type="xsd:long"&gt;43707&lt;/D&gt;&lt;D xsi:type="xsd:long"&gt;43740&lt;/D&gt;&lt;D xsi:type="xsd:long"&gt;43770&lt;/D&gt;&lt;D xsi:type="xsd:long"&gt;43801&lt;/D&gt;&lt;D xsi:type="xsd:long"&gt;43832&lt;/D&gt;&lt;D xsi:type="xsd:long"&gt;43861&lt;/D&gt;&lt;D xsi:type="xsd:long"&gt;43892&lt;/D&gt;&lt;D xsi:type="xsd:long"&gt;43923&lt;/D&gt;&lt;D xsi:type="xsd:long"&gt;43952&lt;/D&gt;&lt;D xsi:type="xsd:long"&gt;43984&lt;/D&gt;&lt;D xsi:type="xsd:long"&gt;44014&lt;/D&gt;&lt;D xsi:type="xsd:long"&gt;44043&lt;/D&gt;&lt;D xsi:type="xsd:long"&gt;44076&lt;/D&gt;&lt;D xsi:type="xsd:long"&gt;44106&lt;/D&gt;&lt;D xsi:type="xsd:long"&gt;44137&lt;/D&gt;&lt;D xsi:type="xsd:long"&gt;44167&lt;/D&gt;&lt;D xsi:type="xsd:long"&gt;44196&lt;/D&gt;&lt;D xsi:type="xsd:long"&gt;44229&lt;/D&gt;&lt;D xsi:type="xsd:long"&gt;44257&lt;/D&gt;&lt;D xsi:type="xsd:long"&gt;44287&lt;/D&gt;&lt;D xsi:type="xsd:long"&gt;44316&lt;/D&gt;&lt;D xsi:type="xsd:long"&gt;44349&lt;/D&gt;&lt;D xsi:type="xsd:long"&gt;44379&lt;/D&gt;&lt;D xsi:type="xsd:long"&gt;44410&lt;/D&gt;&lt;D xsi:type="xsd:long"&gt;44441&lt;/D&gt;&lt;D xsi:type="xsd:long"&gt;44470&lt;/D&gt;&lt;D xsi:type="xsd:long"&gt;44502&lt;/D&gt;&lt;D xsi:type="xsd:long"&gt;44532&lt;/D&gt;&lt;D xsi:type="xsd:long"&gt;44561&lt;/D&gt;&lt;D xsi:type="xsd:long"&gt;44594&lt;/D&gt;&lt;D xsi:type="xsd:long"&gt;44622&lt;/D&gt;&lt;D xsi:type="xsd:long"&gt;44652&lt;/D&gt;&lt;D xsi:type="xsd:long"&gt;44683&lt;/D&gt;&lt;D xsi:type="xsd:long"&gt;44714&lt;/D&gt;&lt;D xsi:type="xsd:long"&gt;44743&lt;/D&gt;&lt;D xsi:type="xsd:long"&gt;44775&lt;/D&gt;&lt;D xsi:type="xsd:long"&gt;44806&lt;/D&gt;&lt;D xsi:type="xsd:long"&gt;44834&lt;/D&gt;&lt;D xsi:type="xsd:long"&gt;44867&lt;/D&gt;&lt;D xsi:type="xsd:long"&gt;44897&lt;/D&gt;&lt;D xsi:type="xsd:long"&gt;44925&lt;/D&gt;&lt;D xsi:type="xsd:long"&gt;44959&lt;/D&gt;&lt;D xsi:type="xsd:long"&gt;44987&lt;/D&gt;&lt;D xsi:type="xsd:long"&gt;45016&lt;/D&gt;&lt;D xsi:type="xsd:long"&gt;45048&lt;/D&gt;&lt;D xsi:type="xsd:long"&gt;45079&lt;/D&gt;&lt;D xsi:type="xsd:long"&gt;45107&lt;/D&gt;&lt;D xsi:type="xsd:long"&gt;45140&lt;/D&gt;&lt;D xsi:type="xsd:long"&gt;45170&lt;/D&gt;&lt;D xsi:type="xsd:long"&gt;45201&lt;/D&gt;&lt;D xsi:type="xsd:long"&gt;45232&lt;/D&gt;&lt;D xsi:type="xsd:long"&gt;45261&lt;/D&gt;&lt;D xsi:type="xsd:long"&gt;45293&lt;/D&gt;&lt;D xsi:type="xsd:long"&gt;45324&lt;/D&gt;&lt;D xsi:type="xsd:long"&gt;45352&lt;/D&gt;&lt;D xsi:type="xsd:long"&gt;45384&lt;/D&gt;&lt;D xsi:type="xsd:long"&gt;45414&lt;/D&gt;&lt;/FQL&gt;&lt;FQL&gt;&lt;Q&gt;EWD^FMA_PE(NTMA,-10AY,0,AM,"PORTAGG","MEANR")&lt;/Q&gt;&lt;R&gt;121&lt;/R&gt;&lt;C&gt;1&lt;/C&gt;&lt;D xsi:type="xsd:double"&gt;15.6444081505704&lt;/D&gt;&lt;D xsi:type="xsd:double"&gt;15.795132021905&lt;/D&gt;&lt;D xsi:type="xsd:double"&gt;15.6091426227437&lt;/D&gt;&lt;D xsi:type="xsd:double"&gt;15.1825336425474&lt;/D&gt;&lt;D xsi:type="xsd:double"&gt;14.70130714263&lt;/D&gt;&lt;D xsi:type="xsd:double"&gt;14.1609398125215&lt;/D&gt;&lt;D xsi:type="xsd:double"&gt;14.6907340445612&lt;/D&gt;&lt;D xsi:type="xsd:double"&gt;15.6010117186958&lt;/D&gt;&lt;D xsi:type="xsd:double"&gt;15.580527381065&lt;/D&gt;&lt;D xsi:type="xsd:double"&gt;16.1874705395003&lt;/D&gt;&lt;D xsi:type="xsd:double"&gt;17.3272944996524&lt;/D&gt;&lt;D xsi:type="xsd:double"&gt;17.0216798453716&lt;/D&gt;&lt;D xsi:type="xsd:double"&gt;15.84340237342&lt;/D&gt;&lt;D xsi:type="xsd:double"&gt;16.3979136966945&lt;/D&gt;&lt;D xsi:type="xsd:double"&gt;15.5856786497829&lt;/D&gt;&lt;D xsi:type="xsd:double"&gt;15.9682175913571&lt;/D&gt;&lt;D xsi:type="xsd:double"&gt;14.6261777878221&lt;/D&gt;&lt;D xsi:type="xsd:double"&gt;14.1462302046591&lt;/D&gt;&lt;D xsi:type="xsd:double"&gt;15.4742613183456&lt;/D&gt;&lt;D xsi:type="xsd:double"&gt;15.7283948526117&lt;/D&gt;&lt;D xsi:type="xsd:double"&gt;14.9750159777383&lt;/D&gt;&lt;D xsi:type="xsd:double"&gt;14.2028329502654&lt;/D&gt;&lt;D xsi:type="xsd:double"&gt;15.2940450005614&lt;/D&gt;&lt;D xsi:type="xsd:double"&gt;14.9967251926417&lt;/D&gt;&lt;D xsi:type="xsd:double"&gt;15.1822982812898&lt;/D&gt;&lt;D xsi:type="xsd:double"&gt;14.9124674530178&lt;/D&gt;&lt;D xsi:type="xsd:double"&gt;14.6967790020612&lt;/D&gt;&lt;D xsi:type="xsd:double"&gt;14.9210766395263&lt;/D&gt;&lt;D xsi:type="xsd:double"&gt;15.6461650170137&lt;/D&gt;&lt;D xsi:type="xsd:do</t>
        </r>
      </text>
    </comment>
    <comment ref="A14" authorId="0" shapeId="0" xr:uid="{9EC3809F-8B9D-4234-B290-D318CCA954C7}">
      <text>
        <r>
          <rPr>
            <b/>
            <sz val="9"/>
            <color indexed="81"/>
            <rFont val="Tahoma"/>
            <charset val="1"/>
          </rPr>
          <t>uble"&gt;15.7653590079957&lt;/D&gt;&lt;D xsi:type="xsd:double"&gt;15.6854356723475&lt;/D&gt;&lt;D xsi:type="xsd:double"&gt;15.958798335709&lt;/D&gt;&lt;D xsi:type="xsd:double"&gt;16.4046723033614&lt;/D&gt;&lt;D xsi:type="xsd:double"&gt;16.467043017763&lt;/D&gt;&lt;D xsi:type="xsd:double"&gt;16.4861280734146&lt;/D&gt;&lt;D xsi:type="xsd:double"&gt;17.1510964012342&lt;/D&gt;&lt;D xsi:type="xsd:double"&gt;17.1913367105951&lt;/D&gt;&lt;D xsi:type="xsd:double"&gt;18.0717772891166&lt;/D&gt;&lt;D xsi:type="xsd:double"&gt;16.4637755011596&lt;/D&gt;&lt;D xsi:type="xsd:double"&gt;16.1057157420662&lt;/D&gt;&lt;D xsi:type="xsd:double"&gt;15.965060274012&lt;/D&gt;&lt;D xsi:type="xsd:double"&gt;16.8215283710074&lt;/D&gt;&lt;D xsi:type="xsd:double"&gt;17.3185991861077&lt;/D&gt;&lt;D xsi:type="xsd:double"&gt;16.3458888812158&lt;/D&gt;&lt;D xsi:type="xsd:double"&gt;16.1127727741724&lt;/D&gt;&lt;D xsi:type="xsd:double"&gt;16.4732815841935&lt;/D&gt;&lt;D xsi:type="xsd:double"&gt;15.7541759072653&lt;/D&gt;&lt;D xsi:type="xsd:double"&gt;15.8088925977044&lt;/D&gt;&lt;D xsi:type="xsd:double"&gt;15.981173209402&lt;/D&gt;&lt;D xsi:type="xsd:double"&gt;15.5701425212651&lt;/D&gt;&lt;D xsi:type="xsd:double"&gt;15.183393516715&lt;/D&gt;&lt;D xsi:type="xsd:double"&gt;15.4466694800236&lt;/D&gt;&lt;D xsi:type="xsd:double"&gt;15.8653631698662&lt;/D&gt;&lt;D xsi:type="xsd:double"&gt;15.8235302616642&lt;/D&gt;&lt;D xsi:type="xsd:double"&gt;14.6065068232269&lt;/D&gt;&lt;D xsi:type="xsd:double"&gt;14.1492544826452&lt;/D&gt;&lt;D xsi:type="xsd:double"&gt;13.3207519495955&lt;/D&gt;&lt;D xsi:type="xsd:double"&gt;14.216734947416&lt;/D&gt;&lt;D xsi:type="xsd:double"&gt;14.8597644903292&lt;/D&gt;&lt;D xsi:type="xsd:double"&gt;14.9743617129767&lt;/D&gt;&lt;D xsi:type="xsd:double"&gt;15.5759416922138&lt;/D&gt;&lt;D xsi:type="xsd:double"&gt;14.0663540717261&lt;/D&gt;&lt;D xsi:type="xsd:double"&gt;15.1869857192665&lt;/D&gt;&lt;D xsi:type="xsd:double"&gt;14.5782762926816&lt;/D&gt;&lt;D xsi:type="xsd:double"&gt;13.7512240892693&lt;/D&gt;&lt;D xsi:type="xsd:double"&gt;14.5281935068229&lt;/D&gt;&lt;D xsi:type="xsd:double"&gt;15.7451263341126&lt;/D&gt;&lt;D xsi:type="xsd:double"&gt;15.4198607977394&lt;/D&gt;&lt;D xsi:type="xsd:double"&gt;16.4456655902445&lt;/D&gt;&lt;D xsi:type="xsd:double"&gt;16.0995250764185&lt;/D&gt;&lt;D xsi:type="xsd:double"&gt;15.1344092548038&lt;/D&gt;&lt;D xsi:type="xsd:double"&gt;14.2626427067042&lt;/D&gt;&lt;D xsi:type="xsd:double"&gt;17.2063611570907&lt;/D&gt;&lt;D xsi:type="xsd:double"&gt;19.159539810945&lt;/D&gt;&lt;D xsi:type="xsd:double"&gt;19.6962540659764&lt;/D&gt;&lt;D xsi:type="xsd:double"&gt;18.1484750364984&lt;/D&gt;&lt;D xsi:type="xsd:double"&gt;18.2421698538878&lt;/D&gt;&lt;D xsi:type="xsd:double"&gt;18.1470522982212&lt;/D&gt;&lt;D xsi:type="xsd:double"&gt;15.895362074732&lt;/D&gt;&lt;D xsi:type="xsd:double"&gt;17.3596271235681&lt;/D&gt;&lt;D xsi:type="xsd:double"&gt;17.9780130695963&lt;/D&gt;&lt;D xsi:type="xsd:double"&gt;18.8380158894437&lt;/D&gt;&lt;D xsi:type="xsd:double"&gt;19.3146646292158&lt;/D&gt;&lt;D xsi:type="xsd:double"&gt;20.27506424948&lt;/D&gt;&lt;D xsi:type="xsd:double"&gt;18.6859229164902&lt;/D&gt;&lt;D xsi:type="xsd:double"&gt;18.6627934555203&lt;/D&gt;&lt;D xsi:type="xsd:double"&gt;18.696771407499&lt;/D&gt;&lt;D xsi:type="xsd:double"&gt;18.5490114470734&lt;/D&gt;&lt;D xsi:type="xsd:double"&gt;18.7701761891819&lt;/D&gt;&lt;D xsi:type="xsd:double"&gt;17.8090492959754&lt;/D&gt;&lt;D xsi:type="xsd:double"&gt;18.3034537632029&lt;/D&gt;&lt;D xsi:type="xsd:double"&gt;18.6094275712072&lt;/D&gt;&lt;D xsi:type="xsd:double"&gt;18.6078033361491&lt;/D&gt;&lt;D xsi:type="xsd:double"&gt;16.9183596645616&lt;/D&gt;&lt;D xsi:type="xsd:double"&gt;14.7708243529016&lt;/D&gt;&lt;D xsi:type="xsd:double"&gt;15.2752027078558&lt;/D&gt;&lt;D xsi:type="xsd:double"&gt;14.2190704712375&lt;/D&gt;&lt;D xsi:type="xsd:double"&gt;16.2919049986504&lt;/D&gt;&lt;D xsi:type="xsd:double"&gt;14.1175287451658&lt;/D&gt;&lt;D xsi:type="xsd:double"&gt;15.108149032147&lt;/D&gt;&lt;D xsi:type="xsd:double"&gt;13.940791514151&lt;/D&gt;&lt;D xsi:type="xsd:double"&gt;13.0652029604564&lt;/D&gt;&lt;D xsi:type="xsd:double"&gt;12.5426861227985&lt;/D&gt;&lt;D xsi:type="xsd:double"&gt;13.2020134147436&lt;/D&gt;&lt;D xsi:type="xsd:double"&gt;12.6096815389115&lt;/D&gt;&lt;D xsi:type="xsd:double"&gt;14.5898994812389&lt;/D&gt;&lt;D xsi:type="xsd:double"&gt;14.0069630255182&lt;/D&gt;&lt;D xsi:type="xsd:double"&gt;13.8033450845806&lt;/D&gt;&lt;D xsi:type="xsd:double"&gt;13.7880449142621&lt;/D&gt;&lt;D xsi:type="xsd:double"&gt;13.6792109589463&lt;/D&gt;&lt;D xsi:type="xsd:double"&gt;13.6055048185011&lt;/D&gt;&lt;D xsi:type="xsd:double"&gt;13.1606961467037&lt;/D&gt;&lt;D xsi:type="xsd:double"&gt;12.9963127782912&lt;/D&gt;&lt;D xsi:type="xsd:double"&gt;12.8029661132141&lt;/D&gt;&lt;D xsi:type="xsd:double"&gt;12.7290148240915&lt;/D&gt;&lt;D xsi:type="xsd:double"&gt;14.6781321560517&lt;/D&gt;&lt;D xsi:type="xsd:double"&gt;15.6622507223218&lt;/D&gt;&lt;D xsi:type="xsd:double"&gt;15.6426811473785&lt;/D&gt;&lt;D xsi:type="xsd:double"&gt;16.3621203567738&lt;/D&gt;&lt;D xsi:type="xsd:double"&gt;16.3685659503279&lt;/D&gt;&lt;D xsi:type="xsd:double"&gt;16.0961396775348&lt;/D&gt;&lt;/FQL&gt;&lt;FQL&gt;&lt;Q&gt;EWQ^FMA_PE(LTMA,-10AY,0,AM,"PORTAGG","MEANR")&lt;/Q&gt;&lt;R&gt;121&lt;/R&gt;&lt;C&gt;1&lt;/C&gt;&lt;D xsi:type="xsd:double"&gt;15.817404028698&lt;/D&gt;&lt;D xsi:type="xsd:double"&gt;15.8472157864156&lt;/D&gt;&lt;D xsi:type="xsd:double"&gt;15.6895243831332&lt;/D&gt;&lt;D xsi:type="xsd:double"&gt;15.1796147206156&lt;/D&gt;&lt;D xsi:type="xsd:double"&gt;15.4084923034105&lt;/D&gt;&lt;D xsi:type="xsd:double"&gt;15.0008586070776&lt;/D&gt;&lt;D xsi:type="xsd:double"&gt;14.9429776821522&lt;/D&gt;&lt;D xsi:type="xsd:double"&gt;15.4835753463286&lt;/D&gt;&lt;D xsi:type="xsd:double"&gt;15.0097912131255&lt;/D&gt;&lt;D xsi:type="xsd:double"&gt;16.2415851859545&lt;/D&gt;&lt;D xsi:type="xsd:double"&gt;17.5342662630451&lt;/D&gt;&lt;D xsi:type="xsd:double"&gt;17.5702056949852&lt;/D&gt;&lt;D xsi:type="xsd:double"&gt;17.4613249037491&lt;/D&gt;&lt;D xsi:type="xsd:double"&gt;17.3905134409748&lt;/D&gt;&lt;D xsi:type="xsd:double"&gt;16.9947151139488&lt;/D&gt;&lt;D xsi:type="xsd:double"&gt;17.1919416855132&lt;/D&gt;&lt;D xsi:type="xsd:double"&gt;15.912535445349&lt;/D&gt;&lt;D xsi:type="xsd:double"&gt;15.5019152118394&lt;/D&gt;&lt;D xsi:type="xsd:double"&gt;16.4666872068833&lt;/D&gt;&lt;D xsi:type="xsd:double"&gt;16.3480607675867&lt;/D&gt;&lt;D xsi:type="xsd:double"&gt;15.4220750370538&lt;/D&gt;&lt;D xsi:type="xsd:double"&gt;14.3168970531099&lt;/D&gt;&lt;D xsi:type="xsd:double"&gt;15.1778584439352&lt;/D&gt;&lt;D xsi:type="xsd:double"&gt;15.0982386968912&lt;/D&gt;&lt;D xsi:type="xsd:double"&gt;15.1939138342562&lt;/D&gt;&lt;D xsi:type="xsd:double"&gt;15.2065634425826&lt;/D&gt;&lt;D xsi:type="xsd:double"&gt;14.851521350003&lt;/D&gt;&lt;D xsi:type="xsd:double"&gt;14.8843662408689&lt;/D&gt;&lt;D xsi:type="xsd:double"&gt;15.1507258838969&lt;/D&gt;&lt;D xsi:type="xsd:double"&gt;14.8789840518654&lt;/D&gt;&lt;D xsi:type="xsd:double"&gt;14.7118875571187&lt;/D&gt;&lt;D xsi:type="xsd:double"&gt;14.8672597288948&lt;/D&gt;&lt;D xsi:type="xsd:double"&gt;15.7881796008571&lt;/D&gt;&lt;D xsi:type="xsd:double"&gt;15.539747531659&lt;/D&gt;&lt;D xsi:type="xsd:double"&gt;15.6200861752374&lt;/D&gt;&lt;D xsi:type="xsd:double"&gt;15.6742006521623&lt;/D&gt;&lt;D xsi:type="xsd:double"&gt;15.8020359495088&lt;/D&gt;&lt;D xsi:type="xsd:double"&gt;15.827294319433&lt;/D&gt;&lt;D xsi:type="xsd:double"&gt;15.5101231229392&lt;/D&gt;&lt;D xsi:type="xsd:double"&gt;15.5049701570947&lt;/D&gt;&lt;D xsi:type="xsd:double"&gt;15.528032370634&lt;/D&gt;&lt;D xsi:type="xsd:double"&gt;15.9819869086276&lt;/D&gt;&lt;D xsi:type="xsd:double"&gt;16.3470182775504&lt;/D&gt;&lt;D xsi:type="xsd:double"&gt;15.97207081065&lt;/D&gt;&lt;D xsi:type="xsd:double"&gt;15.9191216638423&lt;/D&gt;&lt;D xsi:type="xsd:double"&gt;16.0985045047139&lt;/D&gt;&lt;D xsi:type="xsd:double"&gt;15.5409620442201&lt;/D&gt;&lt;D xsi:type="xsd:double"&gt;15.457147325593&lt;/D&gt;&lt;D xsi:type="xsd:double"&gt;15.6086138873161&lt;/D&gt;&lt;D xsi:type="xsd:double"&gt;15.4486688332309&lt;/D&gt;&lt;D xsi:type="xsd:double"&gt;15.08851417222&lt;/D&gt;&lt;D xsi:type="xsd:double"&gt;15.2191353597114&lt;/D&gt;&lt;D xsi:type="xsd:double"&gt;15.0320387753647&lt;/D&gt;&lt;D xsi:type="xsd:double"&gt;15.0306538233816&lt;/D&gt;&lt;D xsi:type="xsd:double"&gt;14.1901749458689&lt;/D&gt;&lt;D xsi:type="xsd:double"&gt;13.7530718875671&lt;/D&gt;&lt;D xsi:type="xsd:double"&gt;12.8019291844121&lt;/D&gt;&lt;D xsi:type="xsd:double"&gt;13.8352055231773&lt;/D&gt;&lt;D xsi:type="xsd:double"&gt;14.5822107705839&lt;/D&gt;&lt;D xsi:type="xsd:double"&gt;14.585015040554&lt;/D&gt;&lt;D xsi:type="xsd:double"&gt;14.6532707356954&lt;/D&gt;&lt;D xsi:type="xsd:double"&gt;14.3250107055749&lt;/D&gt;&lt;D xsi:type="xsd:double"&gt;14.7240382173658&lt;/D&gt;&lt;D xsi:type="xsd:double"&gt;14.588479542227&lt;/D&gt;&lt;D xsi:type="xsd:double"&gt;14.7725511007279&lt;/D&gt;&lt;D xsi:type="xsd:double"&gt;14.7052435689616&lt;/D&gt;&lt;D xsi:type="xsd:double"&gt;15.6943298828082&lt;/D&gt;&lt;D xsi:type="xsd:double"&gt;15.8484901880189&lt;/D&gt;&lt;D xsi:type="xsd:double"&gt;16.6582354349972&lt;/D&gt;&lt;D xsi:type="xsd:double"&gt;16.0515710526366&lt;/D&gt;&lt;D xsi:type="xsd:double"&gt;14.6494664161015&lt;/D&gt;&lt;D xsi:type="xsd:double"&gt;14.358128536284&lt;/D&gt;&lt;D xsi:type="xsd:double"&gt;15.9257249143082&lt;/D&gt;&lt;D xsi:type="xsd:double"&gt;17.3879026588207&lt;/D&gt;&lt;D xsi:type="xsd:double"&gt;18.965655791646&lt;/D&gt;&lt;D xsi:type="xsd:double"&gt;20.7681842366167&lt;/D&gt;&lt;D xsi:type="xsd:double"&gt;22.8714747507404&lt;/D&gt;&lt;D xsi:type="xsd:double"&gt;23.2948090991294&lt;/D&gt;&lt;D xsi:type="xsd:double"&gt;23.4494140054269&lt;/D&gt;&lt;D xsi:type="xsd:double"&gt;28.2675657150071&lt;/D&gt;&lt;D xsi:type="xsd:double"&gt;28.8602295434066&lt;/D&gt;&lt;D xsi:type="xsd:double"&gt;27.9249097423791&lt;/D&gt;&lt;D xsi:type="xsd:double"&gt;27.0035726584674&lt;/D&gt;&lt;D xsi:type="xsd:double"&gt;26.3018598215951&lt;/D&gt;&lt;D xsi:type="xsd:double"&gt;25.4484766270221&lt;/D&gt;&lt;D xsi:type="xsd:double"&gt;24.5999592820051&lt;/D&gt;&lt;D xsi:type="xsd:double"&gt;23.6069044409013&lt;/D&gt;&lt;D xsi:type="xsd:double"&gt;22.2273698160229&lt;/D&gt;&lt;D xsi:type="xsd:double"&gt;21.1315476855563&lt;/D&gt;&lt;D xsi:type="xsd:double"&gt;19.5068568242377&lt;/D&gt;&lt;D xsi:type="xsd:double"&gt;18.8719134126484&lt;/D&gt;&lt;D xsi:type="xsd:double"&gt;17.4091144508692&lt;/D&gt;&lt;D xsi:type="xsd:double"&gt;17.2038333997496&lt;/D&gt;&lt;D xsi:type="xsd:double"&gt;16.5633505415583&lt;/D&gt;&lt;D xsi:type="xsd:double"&gt;15.4093063775623&lt;/D&gt;&lt;D xsi:type="xsd:double"&gt;15.2576768532546&lt;/D&gt;&lt;D xsi:type="xsd:double"&gt;14.762193387091&lt;/D&gt;&lt;D xsi:type="xsd:double"&gt;14.4031629596836&lt;/D&gt;&lt;D xsi:type="xsd:double"&gt;13.5290358512684&lt;/D&gt;&lt;D xsi:type="xsd:double"&gt;13.2786674651951&lt;/D&gt;&lt;D xsi:type="xsd:double"&gt;12.5414968839501&lt;/D&gt;&lt;D xsi:type="xsd:double"&gt;11.4728680650455&lt;/D&gt;&lt;D xsi:type="xsd:double"&gt;11.7537820789461&lt;/D&gt;&lt;D xsi:type="xsd:double"&gt;12.2242042488252&lt;/D&gt;&lt;D xsi:type="xsd:double"&gt;11.5286030923617&lt;/D&gt;&lt;D xsi:type="xsd:double"&gt;13.0110283643347&lt;/D&gt;&lt;D xsi:type="xsd:double"&gt;12.9116911972026&lt;/D&gt;&lt;D xsi:type="xsd:double"&gt;12.9903789765406&lt;/D&gt;&lt;D xsi:type="xsd:double"&gt;13.1746982086738&lt;/D&gt;&lt;D xsi:type="xsd:double"&gt;13.1286576140995&lt;/D&gt;&lt;D xsi:type="xsd:double"&gt;13.3012820963737&lt;/D&gt;&lt;D xsi:type="xsd:double"&gt;13.2806740016191&lt;/D&gt;&lt;D xsi:type="xsd:double"&gt;13.2788951824109&lt;/D&gt;&lt;D xsi:type="xsd:double"&gt;12.8619780495733&lt;/D&gt;&lt;D xsi:type="xsd:double"&gt;12.8726596238141&lt;/D&gt;&lt;D xsi:type="xsd:double"&gt;13.5488907039725&lt;/D&gt;&lt;D xsi:type="xsd:double"&gt;14.054890903998&lt;/D&gt;&lt;D xsi:type="xsd:double"&gt;14.3985921965339&lt;/D&gt;&lt;D xsi:type="xsd:double"&gt;15.4933292683368&lt;/D&gt;&lt;D xsi:type="xsd:double"&gt;15.4890504918787&lt;/D&gt;&lt;D xsi:type="xsd:double"&gt;15.4392061346424&lt;/D&gt;&lt;/FQL&gt;&lt;FQL&gt;&lt;Q&gt;EWD^FG_TOTAL_RETURNC(0,-12AM)&lt;/Q&gt;&lt;R&gt;1&lt;/R&gt;&lt;C&gt;1&lt;/C&gt;&lt;D xsi:type="xsd:double"&gt;9.347523&lt;/D&gt;&lt;/FQL&gt;&lt;FQL&gt;&lt;Q&gt;EWN^PERCENT_CHANGE(FMA_EPS(+1,0,,,,"PORTAGG","MEAN"),FMA_EPS(+1,-1AM,,,,"PORTAGG","MEAN"))&lt;/Q&gt;&lt;R&gt;1&lt;/R&gt;&lt;C&gt;1&lt;/C&gt;&lt;D xsi:type="xsd:double"&gt;-0.934680041218679&lt;/D&gt;&lt;/FQL&gt;&lt;FQL&gt;&lt;Q&gt;EWU^FG_TOTAL_RETURNC(0,-6AM)&lt;/Q&gt;&lt;R&gt;1&lt;/R&gt;&lt;C&gt;1&lt;/C&gt;&lt;D xsi:type="xsd:double"&gt;14.889156&lt;/D&gt;&lt;/FQL&gt;&lt;FQL&gt;&lt;Q&gt;EWG^FMA_PCT_ABOVE_MAVG(200,0,,,,"PORTAGG")&lt;/Q&gt;&lt;R&gt;1&lt;/R&gt;&lt;C&gt;1&lt;/C&gt;&lt;D xsi:type="xsd:double"&gt;73.6842105263158&lt;/D&gt;&lt;/FQL&gt;&lt;FQL&gt;&lt;Q&gt;EWA^PERCENT_CHANGE(FMA_EPS(+1,0,,,,"PORTAGG","MEAN"),FMA_EPS(+1,-3AM,,,,"PORTAGG","MEAN"))&lt;/Q&gt;&lt;R&gt;1&lt;/R&gt;&lt;C&gt;1&lt;/C&gt;&lt;D xsi:type="xsd:double"&gt;2.07598582964195&lt;/D&gt;&lt;/FQL&gt;&lt;FQL&gt;&lt;Q&gt;EWI^FMA_COS_UP("EPS","1M",+1,0,,,"PORTAGG","MEANR")&lt;/Q&gt;&lt;R&gt;1&lt;/R&gt;&lt;C&gt;1&lt;/C&gt;&lt;D xsi:type="xsd:double"&gt;9&lt;/D&gt;&lt;/FQL&gt;&lt;FQL&gt;&lt;Q&gt;EWU^SIZE(FG_CONSTITUENTS)&lt;/Q&gt;&lt;R&gt;1&lt;/R&gt;&lt;C&gt;1&lt;/C&gt;&lt;D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xsi:type="xsd:double"&gt;22&lt;/D&gt;&lt;/FQL&gt;&lt;FQL&gt;&lt;Q&gt;TRYBR10Y-FDS^FG_YIELD(-10AY,0,Y,,"YTM")&lt;/Q&gt;&lt;R&gt;10&lt;/R&gt;&lt;C&gt;1&lt;/C&gt;&lt;D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xsi:type="xsd:double"&gt;10.0892019550425&lt;/D&gt;&lt;/FQL&gt;&lt;FQL&gt;&lt;Q&gt;CAGDPY@CA^EE_ACTUAL_ANNUAL(MED,0)&lt;/Q&gt;&lt;R&gt;1&lt;/R&gt;&lt;C&gt;1&lt;/C&gt;&lt;D xsi:type="xsd:double"&gt;-0.614727995236974&lt;/D&gt;&lt;/FQL&gt;&lt;FQL&gt;&lt;Q&gt;USDITL^FG_PRICE_CHANGE(0,-6AM)&lt;/Q&gt;&lt;R&gt;1&lt;/R&gt;&lt;C&gt;1&lt;/C&gt;&lt;D xsi:type="xsd:double"&gt;-0.654912&lt;/D&gt;&lt;/FQL&gt;&lt;FQL&gt;&lt;Q&gt;USDANG^FG_PRICE_CHANGE(0,-6AM)&lt;/Q&gt;&lt;R&gt;1&lt;/R&gt;&lt;C&gt;1&lt;/C&gt;&lt;D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xsi:type="xsd:double"&gt;-2.498901&lt;/D&gt;&lt;/FQL&gt;&lt;FQL&gt;&lt;Q&gt;USDJPY^FG_PRICE_CHANGE(0,-6AM)&lt;/Q&gt;&lt;R&gt;1&lt;/R&gt;&lt;C&gt;1&lt;/C&gt;&lt;D xsi:type="xsd:double"&gt;2.3824453&lt;/D&gt;&lt;/FQL&gt;&lt;FQL&gt;&lt;Q&gt;USDCAD^FG_PRICE_CHANGE(0,-6AM)&lt;/Q&gt;&lt;R&gt;1&lt;/R&gt;&lt;C&gt;1&lt;/C&gt;&lt;D xsi:type="xsd:double"&gt;-0.5874038&lt;/D&gt;&lt;/FQL&gt;&lt;FQL&gt;&lt;Q&gt;USDNZD^FG_PRICE_CHANGE(0,-6AM)&lt;/Q&gt;&lt;R&gt;1&lt;/R&gt;&lt;C&gt;1&lt;/C&gt;&lt;D xsi:type="xsd:double"&gt;-0.73373914&lt;/D&gt;&lt;/FQL&gt;&lt;FQL&gt;&lt;Q&gt;EWC^FMA_EPS(NTMA,-20AY,0,CY,,"PORTAGG","MEANR")&lt;/Q&gt;&lt;R&gt;20&lt;/R&gt;&lt;C&gt;1&lt;/C&gt;&lt;D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xsi:type="xsd:double"&gt;16.83098&lt;/D&gt;&lt;D xsi:type="xsd:double"&gt;24.005295&lt;/D&gt;&lt;D xsi:type="xsd:double"&gt;31.329357&lt;/D&gt;&lt;D xsi:type="xsd:double"&gt;20.21947&lt;/D&gt;&lt;D xsi:type="xsd:double"&gt;25.378586&lt;/D&gt;&lt;D xsi:type="xsd:double"&gt;3.8958788&lt;/D&gt;&lt;D xsi:type="xsd:double"&gt;5.0650716&lt;/D&gt;&lt;D xsi:type="xsd:double"&gt;9.891378&lt;/D&gt;&lt;D xsi:type="xsd:double"&gt;12.037039&lt;/D&gt;&lt;D xsi:type="xsd:double"&gt;7.9720497&lt;/D&gt;&lt;D xsi:type="xsd:double"&gt;8.046198&lt;/D&gt;&lt;D xsi:type="xsd:double"&gt;0.28384924&lt;/D&gt;&lt;D xsi:type="xsd:double"&gt;-1.970154&lt;/D&gt;&lt;D xsi:type="xsd:double"&gt;-3.0054808&lt;/D&gt;&lt;D xsi:type="xsd:double"&gt;-12.836796&lt;/D&gt;&lt;D xsi:type="xsd:double"&gt;-9.44537&lt;/D&gt;&lt;D xsi:type="xsd:double"&gt;-17.67745&lt;/D&gt;&lt;D xsi:type="xsd:double"&gt;-12.216579&lt;/D&gt;&lt;D xsi:type="xsd:double"&gt;-3.575158&lt;/D&gt;&lt;D xsi:type="xsd:double"&gt;-4.6179476&lt;/D&gt;&lt;D xsi:type="xsd:double"&gt;-1.9886672&lt;/D&gt;&lt;D xsi:type="xsd:double"&gt;-5.7124557&lt;/D&gt;&lt;D xsi:type="xsd:double"&gt;-5.5185676&lt;/D&gt;&lt;D xsi:type="xsd:double"&gt;6.6857576&lt;/D&gt;&lt;D xsi:type="xsd:double"&gt;9.209335&lt;/D&gt;&lt;D xsi:type="xsd:double"&gt;14.033723&lt;/D&gt;&lt;D xsi:type="xsd:double"&gt;28.644062&lt;/D&gt;&lt;D xsi:type="xsd:double"&gt;37.0826&lt;/D&gt;&lt;D xsi:type="xsd:double"&gt;54.73617&lt;/D&gt;&lt;D xsi:type="xsd:double"&gt;51.206062&lt;/D&gt;&lt;D xsi:type="xsd:double"&gt;22.366964&lt;/D&gt;&lt;D xsi:type="xsd:double"&gt;21.443928&lt;/D&gt;&lt;D xsi:type="xsd:double"&gt;10.709274&lt;/D&gt;&lt;D xsi:type="xsd:double"&gt;29.692436&lt;/D&gt;&lt;D xsi:type="xsd:double"&gt;19.527649&lt;/D&gt;&lt;D xsi:type="xsd:double"&gt;7.5505853&lt;/D&gt;&lt;D xsi:type="xsd:double"&gt;7.1585417&lt;/D&gt;&lt;D xsi:type="xsd:double"&gt;12.160254&lt;/D&gt;&lt;D xsi:type="xsd:double"&gt;13.302744&lt;/D&gt;&lt;D xsi:type="xsd:double"&gt;8.300245&lt;/D&gt;&lt;D xsi:type="xsd:double"&gt;3.5515904&lt;/D&gt;&lt;D xsi:type="xsd:double"&gt;5.5194497&lt;/D&gt;&lt;D xsi:type="xsd:double"&gt;11.863434&lt;/D&gt;&lt;D xsi:type="xsd:double"&gt;14.648211&lt;/D&gt;&lt;D xsi:type="xsd:double"&gt;25.174595&lt;/D&gt;&lt;D xsi:type="xsd:double"&gt;17.842329&lt;/D&gt;&lt;D xsi:type="xsd:double"&gt;19.512165&lt;/D&gt;&lt;D xsi:type="xsd:double"&gt;18.947994&lt;/D&gt;&lt;D xsi:type="xsd:double"&gt;14.5822525&lt;/D&gt;&lt;D xsi:type="xsd:double"&gt;13.438582&lt;/D&gt;&lt;D xsi:type="xsd:double"&gt;7.0642233&lt;/D&gt;&lt;D xsi:type="xsd:double"&gt;3.7019014&lt;/D&gt;&lt;D xsi:type="xsd:double"&gt;9.108675&lt;/D&gt;&lt;D xsi:type="xsd:double"&gt;7.2155595&lt;/D&gt;&lt;D xsi:type="xsd:double"&gt;4.338491&lt;/D&gt;&lt;D xsi:type="xsd:double"&gt;9.931696&lt;/D&gt;&lt;D xsi:type="xsd:double"&gt;-1.0907471&lt;/D&gt;&lt;D xsi:type="xsd:double"&gt;0.8842349&lt;/D&gt;&lt;D xsi:type="xsd:double"&gt;6.7422867&lt;/D&gt;&lt;D xsi:type="xsd:double"&gt;11.66563&lt;/D&gt;&lt;D xsi:type="xsd:double"&gt;12.208879&lt;/D&gt;&lt;D xsi:type="xsd:double"&gt;8.390844&lt;/D&gt;&lt;D xsi:type="xsd:double"&gt;14.992619&lt;/D&gt;&lt;D xsi:type="xsd:double"&gt;17.511045&lt;/D&gt;&lt;D xsi:type="xsd:double"&gt;8.1835985&lt;/D&gt;&lt;D xsi:type="xsd:double"&gt;10.002554&lt;/D&gt;&lt;D xsi:type="xsd:double"&gt;16.605938&lt;/D&gt;&lt;D xsi:type="xsd:double"&gt;20.384048&lt;/D&gt;&lt;D xsi:type="xsd:double"&gt;30.245209&lt;/D&gt;&lt;D xsi:type="xsd:double"&gt;19.802452&lt;/D&gt;&lt;D xsi:type="xsd:double"&gt;9.721184&lt;/D&gt;&lt;D xsi:type="xsd:double"&gt;-10.3311&lt;/D&gt;&lt;D xsi:type="xsd:double"&gt;-3.4128487&lt;/D&gt;&lt;D xsi:type="xsd:double"&gt;9.132851&lt;/D&gt;&lt;D xsi:type="xsd:double"&gt;10.6545925&lt;/D&gt;&lt;D xsi:type="xsd:double"&gt;11.098612&lt;/D&gt;&lt;D xsi:type="xsd:double"&gt;21.396805&lt;/D&gt;&lt;D xsi:type="xsd:double"&gt;16.166342&lt;/D&gt;&lt;D xsi:type="xsd:double"&gt;16.562283&lt;/D&gt;&lt;D xsi:type="xsd:double"&gt;22.675764&lt;/D&gt;&lt;D xsi:type="xsd:double"&gt;20.04013&lt;/D&gt;&lt;D xsi:type="xsd:double"&gt;22.6408&lt;/D&gt;&lt;D xsi:type="xsd:double"&gt;23.555267&lt;/D&gt;&lt;D xsi:type="xsd:double"&gt;42.820213&lt;/D&gt;&lt;D xsi:type="xsd:double"&gt;35.153103&lt;/D&gt;&lt;D xsi:type="xsd:double"&gt;18.331707&lt;/D&gt;&lt;D xsi:type="xsd:double"&gt;9.935581&lt;/D&gt;&lt;D xsi:type="xsd:double"&gt;5.3197265&lt;/D&gt;&lt;D xsi:type="xsd:double"&gt;7.9965353&lt;/D&gt;&lt;D xsi:type="xsd:double"&gt;9.703684&lt;/D&gt;&lt;D xsi:type="xsd:double"&gt;7.9006195&lt;/D&gt;&lt;D xsi:type="xsd:double"&gt;-10.142845&lt;/D&gt;&lt;D xsi:type="xsd:double"&gt;-11.381138&lt;/D&gt;&lt;D xsi:type="xsd:double"&gt;-18.31833&lt;/D&gt;&lt;D xsi:type="xsd:double"&gt;-11.700994&lt;/D&gt;&lt;D xsi:type="xsd:double"&gt;-9.100848&lt;/D&gt;&lt;D xsi:type="xsd:double"&gt;-21.381098&lt;/D&gt;&lt;D xsi:type="xsd:double"&gt;-19.301785&lt;/D&gt;&lt;D xsi:type="xsd:double"&gt;-25.094341&lt;/D&gt;&lt;D xsi:type="xsd:double"&gt;-18.580925&lt;/D&gt;&lt;D xsi:type="xsd:double"&gt;-25.261963&lt;/D&gt;&lt;D xsi:type="xsd:double"&gt;-31.495863&lt;/D&gt;&lt;D xsi:type="xsd:double"&gt;-29.72411&lt;/D&gt;&lt;D xsi:type="xsd:double"&gt;-13.168865&lt;/D&gt;&lt;D xsi:type="xsd:double"&gt;-16.554832&lt;/D&gt;&lt;D xsi:type="xsd:double"&gt;0.09895563&lt;/D&gt;&lt;D xsi:type="xsd:double"&gt;-8.793396&lt;/D&gt;&lt;D xsi:type="xsd:double"&gt;-7.7160654&lt;/D&gt;&lt;D xsi:type="xsd:double"&gt;2.2794008&lt;/D&gt;&lt;D xsi:type="xsd:double"&gt;0.87914467&lt;/D&gt;&lt;D xsi:type="xsd:double"&gt;11.783588&lt;/D&gt;&lt;D xsi:type="xsd:double"&gt;2.2090435&lt;/D&gt;&lt;D xsi:type="xsd:double"&gt;-0.37047267&lt;/D&gt;&lt;D xsi:type="xsd:double"&gt;7.997179&lt;/D&gt;&lt;D xsi:type="xsd:double"&gt;2.594149&lt;/D&gt;&lt;D xsi:type="xsd:double"&gt;-3.458041&lt;/D&gt;&lt;D xsi:type="xsd:double"&gt;1.4251828&lt;/D&gt;&lt;D xsi:type="xsd:double"&gt;-10.102999&lt;/D&gt;&lt;D xsi:type="xsd:double"&gt;-5.140364&lt;/D&gt;&lt;D xsi:type="xsd:double"&gt;-6.1481056&lt;/D&gt;&lt;D xsi:type="xsd:double"&gt;-7.5073185&lt;/D&gt;&lt;/FQL&gt;&lt;FQL&gt;&lt;Q&gt;EWI^FMA_DIV_YLD(NTMA,-10AY,0,AM,"PORTAGG","MEANR")&lt;/Q&gt;&lt;R&gt;121&lt;/R&gt;&lt;C&gt;1&lt;/C&gt;&lt;D xsi:type="xsd:double"&gt;3.39928141524999&lt;/D&gt;&lt;D xsi:type="xsd:double"&gt;3.45427485295553&lt;/D&gt;&lt;D xsi:type="xsd:double"&gt;3.29742856893236&lt;/D&gt;&lt;D xsi:type="xsd:double"&gt;3.56350267083456&lt;/D&gt;&lt;D xsi:type="xsd:double"&gt;3.60049871814496&lt;/D&gt;&lt;D xsi:type="xsd:double"&gt;3.82769762242359&lt;/D&gt;&lt;D xsi:type="xsd:double"&gt;3.86008604824798&lt;/D&gt;&lt;D xsi:type="xsd:double"&gt;3.86612471351267&lt;/D&gt;&lt;D xsi:type="xsd:double"&gt;4.06134587663002&lt;/D&gt;&lt;D xsi:type="xsd:double"&gt;3.78630651831679&lt;/D&gt;&lt;D xsi:type="xsd:double"&gt;3.42908258034218&lt;/D&gt;&lt;D xsi:type="xsd:double"&gt;3.13160358072627&lt;/D&gt;&lt;D xsi:type="xsd:double"&gt;3.19624753464953&lt;/D&gt;&lt;D xsi:type="xsd:double"&gt;3.20015646923869&lt;/D&gt;&lt;D xsi:type="xsd:double"&gt;3.32377782990653&lt;/D&gt;&lt;D xsi:type="xsd:double"&gt;3.11657282318832&lt;/D&gt;&lt;D xsi:type="xsd:double"&gt;3.42568871881479&lt;/D&gt;&lt;D xsi:type="xsd:double"&gt;3.69527891923271&lt;/D&gt;&lt;D xsi:type="xsd:double"&gt;3.54949727110985&lt;/D&gt;&lt;D xsi:type="xsd:double"&gt;3.56967821197291&lt;/D&gt;&lt;D xsi:type="xsd:double"&gt;3.83180955229543&lt;/D&gt;&lt;D xsi:type="xsd:double"&gt;4.57051573771942&lt;/D&gt;&lt;D xsi:type="xsd:double"&gt;4.3485700242587&lt;/D&gt;&lt;D xsi:type="xsd:double"&gt;4.50181223588659&lt;/D&gt;&lt;D xsi:type="xsd:double"&gt;4.35904737213688&lt;/D&gt;&lt;D xsi:type="xsd:double"&gt;4.61228836964666&lt;/D&gt;&lt;D xsi:type="xsd:double"&gt;4.95911206174502&lt;/D&gt;&lt;D xsi:type="xsd:double"&gt;4.96319857981413&lt;/D&gt;&lt;D xsi:type="xsd:double"&gt;4.71141530882967&lt;/D&gt;&lt;D xsi:type="xsd:double"&gt;4.97306013607689&lt;/D&gt;&lt;D xsi:type="xsd:double"&gt;4.96640531492135&lt;/D&gt;&lt;D xsi:type="xsd:double"&gt;4.82374329909708&lt;/D&gt;&lt;D xsi:type="xsd:double"&gt;4.29570625532543&lt;/D&gt;&lt;D xsi:type="xsd:double"&gt;4.43827145167068&lt;/D&gt;&lt;D xsi:type="xsd:double"&gt;4.10168297267693&lt;/D&gt;&lt;D xsi:type="xsd:double"&gt;3.89749007770883&lt;/D&gt;&lt;D xsi:type="xsd:double"&gt;3.90413592470809&lt;/D&gt;&lt;D xsi:type="xsd:double"&gt;3.79358750966842&lt;/D&gt;&lt;D xsi:type="xsd:double"&gt;3.88575946739826&lt;/D&gt;&lt;D xsi:type="xsd:double"&gt;3.74574424487496&lt;/D&gt;&lt;D xsi:type="xsd:double"&gt;3.76365208942429&lt;/D&gt;&lt;D xsi:type="xsd:double"&gt;3.745600780931&lt;/D&gt;&lt;D xsi:type="xsd:double"&gt;3.73355154693094&lt;/D&gt;&lt;D xsi:type="xsd:double"&gt;3.93219223576159&lt;/D&gt;&lt;D xsi:type="xsd:double"&gt;3.99747622773136&lt;/D&gt;&lt;D xsi:type="xsd:double"&gt;3.82342077337038&lt;/D&gt;&lt;D xsi:type="xsd:double"&gt;4.14334489179592&lt;/D&gt;&lt;D xsi:type="xsd:double"&gt;4.11528649367002&lt;/D&gt;&lt;D xsi:type="xsd:double"&gt;3.85250240816748&lt;/D&gt;&lt;D xsi:type="xsd:double"&gt;4.29618304948368&lt;/D&gt;&lt;D xsi:type="xsd:double"&gt;4.54315327564679&lt;/D&gt;&lt;D xsi:type="xsd:double"&gt;4.47351762087804&lt;/D&gt;&lt;D xsi:type="xsd:double"&gt;4.76770665054115&lt;/D&gt;&lt;D xsi:type="xsd:double"&gt;4.74264022727396&lt;/D&gt;&lt;D xsi:type="xsd:double"&gt;5.02846733666882&lt;/D&gt;&lt;D xsi:type="xsd:double"&gt;5.11951466148289&lt;/D&gt;&lt;D xsi:type="xsd:double"&gt;5.45802416649923&lt;/D&gt;&lt;D xsi:type="xsd:double"&gt;5.1230138199694&lt;/D&gt;&lt;D xsi:type="xsd:double"&gt;4.77612647624272&lt;/D&gt;&lt;D xsi:type="xsd:double"&gt;4.64279968255029&lt;/D&gt;&lt;D xsi:type="xsd:double"&gt;4.64528701723247&lt;/D&gt;&lt;D xsi:type="xsd:double"&gt;5.1591103569569&lt;/D&gt;&lt;D xsi:type="xsd:double"&gt;4.81054053837987&lt;/D&gt;&lt;D xsi:type="xsd:double"&gt;4.91040692672873&lt;/D&gt;&lt;D xsi:type="xsd:double"&gt;4.86869677955522&lt;/D&gt;&lt;D xsi:type="xsd:double"&gt;4.91479840199061&lt;/D&gt;&lt;D xsi:type="xsd:double"&gt;4.59891067856975&lt;/D&gt;&lt;D xsi:type="xsd:double"&gt;4.6811460326773&lt;/D&gt;&lt;D xsi:type="xsd:double"&gt;4.44170107099184&lt;/D&gt;&lt;D xsi:type="xsd:double"&gt;4.60113708658053&lt;/D&gt;&lt;D xsi:type="xsd:double"&gt;5.04343285008023&lt;/D&gt;&lt;D xsi:type="xsd:double"&gt;6.18510238677428&lt;/D&gt;&lt;D xsi:type="xsd:double"&gt;5.25468343349546&lt;/D&gt;&lt;D xsi:type="xsd:double"&gt;4.37261521775415&lt;/D&gt;&lt;D xsi:type="xsd:double"&gt;4.26315896223712&lt;/D&gt;&lt;D xsi:type="xsd:double"&gt;4.06515783932726&lt;/D&gt;&lt;D xsi:type="xsd:double"&gt;4.01445950360751&lt;/D&gt;&lt;D xsi:type="xsd:double"&gt;4.21280879446129&lt;/D&gt;&lt;D xsi:type="xsd:double"&gt;4.46313242870148&lt;/D&gt;&lt;D xsi:type="xsd:double"&gt;3.951010148004&lt;/D&gt;&lt;D xsi:type="xsd:double"&gt;3.94464053531275&lt;/D&gt;&lt;D xsi:type="xsd:double"&gt;4.10569875522593&lt;/D&gt;&lt;D xsi:type="xsd:double"&gt;4.18285589017921&lt;/D&gt;&lt;D xsi:type="xsd:double"&gt;3.99637371635555&lt;/D&gt;&lt;D xsi:type="xsd:double"&gt;4.19083019348666&lt;/D&gt;&lt;D xsi:type="xsd:double"&gt;4.08494400272498&lt;/D&gt;&lt;D xsi:type="xsd:double"&gt;4.1376130952578&lt;/D&gt;&lt;D xsi:type="xsd:double"&gt;4.28027308768504&lt;/D&gt;&lt;D xsi:type="xsd:double"&gt;4.38974076553793&lt;/D&gt;&lt;D xsi:type="xsd:double"&gt;4.55865571078303&lt;/D&gt;&lt;D xsi:type="xsd:double"&gt;4.34486242976944&lt;/D&gt;&lt;D xsi:type="xsd:double"&gt;4.72798099952015&lt;/D&gt;&lt;D xsi:type="xsd:double"&gt;4.59985564784229&lt;/D&gt;&lt;D xsi:type="xsd:double"&gt;4.67474428967487&lt;/D&gt;&lt;D xsi:type="xsd:double"&gt;5.1569802280167&lt;/D&gt;&lt;D xsi:type="xsd:double"&gt;5.00794335850543&lt;/D&gt;&lt;D xsi:type="xsd:double"&gt;5.20376994395181&lt;/D&gt;&lt;D xsi:type="xsd:double"&gt;5.21175596946332&lt;/D&gt;&lt;D xsi:type="xsd:double"&gt;5.92881946620004&lt;/D&gt;&lt;D xsi:type="xsd:double"&gt;5.83818205422682&lt;/D&gt;&lt;D xsi:type="xsd:double"&gt;5.64469696857694&lt;/D&gt;&lt;D xsi:type="xsd:double"&gt;6.19455067125162&lt;/D&gt;&lt;D xsi:type="xsd:double"&gt;5.68136364086153&lt;/D&gt;&lt;D xsi:type="xsd:double"&gt;5.67755563875915&lt;/D&gt;&lt;D xsi:type="xsd:double"&gt;5.92155859103816&lt;/D&gt;&lt;D xsi:type="xsd:double"&gt;5.36605848649568&lt;/D&gt;&lt;D xsi:type="xsd:double"&gt;5.2936601007041&lt;/D&gt;&lt;D xsi:type="xsd:double"&gt;5.4376222814754&lt;/D&gt;&lt;D xsi:type="xsd:double"&gt;5.50087786558832&lt;/D&gt;&lt;D xsi:type="xsd:double"&gt;5.43936078668085&lt;/D&gt;&lt;D xsi:type="xsd:double"&gt;5.29282056247708&lt;/D&gt;&lt;D xsi:type="xsd:double"&gt;5.36936196145186&lt;/D&gt;&lt;D xsi:type="xsd:double"&gt;5.38738414368684&lt;/D&gt;&lt;D xsi:type="xsd:double"&gt;5.60476168956265&lt;/D&gt;&lt;D xsi:type="xsd:double"&gt;5.56779451198159&lt;/D&gt;&lt;D xsi:type="xsd:double"&gt;5.45355488219512&lt;/D&gt;&lt;D xsi:type="xsd:double"&gt;5.44992651772459&lt;/D&gt;&lt;D xsi:type="xsd:double"&gt;5.37821301913924&lt;/D&gt;&lt;D xsi:type="xsd:double"&gt;5.27255628953939&lt;/D&gt;&lt;D xsi:type="xsd:double"&gt;5.14740530483097&lt;/D&gt;&lt;D xsi:type="xsd:double"&gt;5.30778048746947&lt;/D&gt;&lt;/FQL&gt;&lt;FQL&gt;&lt;Q&gt;EWN^FMA_PE(NTMA,-10AY,0,AM,"PORTAGG","MEANR")&lt;/Q&gt;&lt;R&gt;121&lt;/R&gt;&lt;C&gt;1&lt;/C&gt;&lt;D xsi:type="xsd:double"&gt;14.0451316802475&lt;/D&gt;&lt;D xsi:type="xsd:double"&gt;14.3714892477404&lt;/D&gt;&lt;D xsi:type="xsd:double"&gt;14.5712641308179&lt;/D&gt;&lt;D xsi:type="xsd:double"&gt;13.8612519222586&lt;/D&gt;&lt;D xsi:type="xsd:double"&gt;14.5400833925805&lt;/D&gt;&lt;D xsi:type="xsd:double"&gt;14.2088424580038&lt;/D&gt;&lt;D xsi:type="xsd:double"&gt;14.6029947441027&lt;/D&gt;&lt;D xsi:type="xsd:double"&gt;15.1548320005601&lt;/D&gt;&lt;D xsi:type="xsd:double"&gt;14.7415881880381&lt;/D&gt;&lt;D xsi:type="xsd:double"&gt;15.6774422149401&lt;/D&gt;&lt;D xsi:type="xsd:double"&gt;17.0699296166482&lt;/D&gt;&lt;D xsi:type="xsd:double"&gt;17.2941740768059&lt;/D&gt;&lt;D xsi:type="xsd:double"&gt;16.8883612821547&lt;/D&gt;&lt;D xsi:type="xsd:double"&gt;16.7292362618553&lt;/D&gt;&lt;D xsi:type="xsd:double"&gt;16.3203363371118&lt;/D&gt;&lt;D xsi:type="xsd:double"&gt;16.8091333988136&lt;/D&gt;&lt;D xsi:type="xsd:double"&gt;14.6799995288895&lt;/D&gt;&lt;D xsi:type="xsd:double"&gt;14.3419530965628&lt;/D&gt;&lt;D xsi:type="xsd:double"&gt;15.9581451235177&lt;/D&gt;&lt;D xsi:type="xsd:double"&gt;16.3718246820535&lt;/D&gt;&lt;D xsi:type="xsd:double"&gt;15.3744123294909&lt;/D&gt;&lt;D xsi:type="xsd:double"&gt;14.7894411118013&lt;/D&gt;&lt;D xsi:type="xsd:double"&gt;15.1705624410211&lt;/D&gt;&lt;D xsi:type="xsd:double"&gt;15.1497446213715&lt;/D&gt;&lt;D xsi:type="xsd:double"&gt;14.9520163082621&lt;/D&gt;&lt;D xsi:type="xsd:double"&gt;15.1741962855371&lt;/D&gt;&lt;D xsi:type="xsd:double"&gt;14.211112750831&lt;/D&gt;&lt;D xsi:type="xsd:double"&gt;14.4745079306054&lt;/D&gt;&lt;D xsi:type="xsd:double"&gt;15.3407069268504&lt;/D&gt;&lt;D xsi:type="xsd:double"&gt;14.9630416582273&lt;/D&gt;&lt;D xsi:type="xsd:double"&gt;14.4144670468087&lt;/D&gt;&lt;D xsi:type="xsd:double"&gt;14.2262921960439&lt;/D&gt;&lt;D xsi:type="xsd:double"&gt;15.0459531872303&lt;/D&gt;&lt;D xsi:type="xsd:double"&gt;15.0407800083888&lt;/D&gt;&lt;D xsi:type="xsd:double"&gt;15.6847650944973&lt;/D&gt;&lt;D xsi:type="xsd:double"&gt;16.086544809033&lt;/D&gt;&lt;D xsi:type="xsd:double"&gt;16.4952631852566&lt;/D&gt;&lt;D xsi:type="xsd:double"&gt;16.396469374385&lt;/D&gt;&lt;D xsi:type="xsd:double"&gt;15.6412271612394&lt;/D&gt;&lt;D xsi:type="xsd:double"&gt;15.9477544720355&lt;/D&gt;&lt;D xsi:type="xsd:double"&gt;15.6909424418986&lt;/D&gt;&lt;D xsi:type="xsd:double"&gt;16.1250576722668&lt;/D&gt;&lt;D xsi:type="xsd:double"&gt;16.2966969887044&lt;/D&gt;&lt;D xsi:type="xsd:double"&gt;15.7640513277946&lt;/D&gt;&lt;D xsi:type="xsd:double"&gt;15.8747719347115&lt;/D&gt;&lt;D xsi:type="xsd:double"&gt;16.011029812542&lt;/D&gt;&lt;D xsi:type="xsd:double"&gt;15.1871700478783&lt;/D&gt;&lt;D xsi:type="xsd:double"&gt;15.355985564399&lt;/D&gt;&lt;D xsi:type="xsd:double"&gt;15.6499408172187&lt;/D&gt;&lt;D xsi:type="xsd:double"&gt;15.8200460711922&lt;/D&gt;&lt;D xsi:type="xsd:double"&gt;15.3772159445577&lt;/D&gt;&lt;D xsi:type="xsd:double"&gt;15.8890904400057&lt;/D&gt;&lt;D xsi:type="xsd:double"&gt;15.4862825689879&lt;/D&gt;&lt;D xsi:type="xsd:double"&gt;14.9325696312241&lt;/D&gt;&lt;D xsi:type="xsd:double"&gt;14.2175372558626&lt;/D&gt;&lt;D xsi:type="xsd:double"&gt;14.122416896252&lt;/D&gt;&lt;D xsi:type="xsd:double"&gt;13.0392585900945&lt;/D&gt;&lt;D xsi:type="xsd:double"&gt;14.1490824801262&lt;/D&gt;&lt;D xsi:type="xsd:double"&gt;14.979078434099&lt;/D&gt;&lt;D xsi:type="xsd:double"&gt;15.3558980944162&lt;/D&gt;&lt;D xsi:type="xsd:double"&gt;15.7371012855561&lt;/D&gt;&lt;D xsi:type="xsd:double"&gt;14.8405746074226&lt;/D&gt;&lt;D xsi:type="xsd:double"&gt;15.6066383974013&lt;/D&gt;&lt;D xsi:type="xsd:double"&gt;15.3613052878032&lt;/D&gt;&lt;D xsi:type="xsd:double"&gt;15.4111235582886&lt;/D&gt;&lt;D xsi:type="xsd:double"&gt;15.7374206915592&lt;/D&gt;&lt;D xsi:type="xsd:double"&gt;16.3425801953689&lt;/D&gt;&lt;D xsi:type="xsd:double"&gt;16.4450891459198&lt;/D&gt;&lt;D xsi:type="xsd:double"&gt;17.2446187747041&lt;/D&gt;&lt;D xsi:type="xsd:double"&gt;16.8189456642411&lt;/D&gt;&lt;D xsi:type="xsd:double"&gt;15.7689965561302&lt;/D&gt;&lt;D xsi:type="xsd:double"&gt;14.1284377919066&lt;/D&gt;&lt;D xsi:type="xsd:double"&gt;17.2144599747442&lt;/D&gt;&lt;D xsi:type="xsd:double"&gt;18.7630241950078&lt;/D&gt;&lt;D xsi:type="xsd:double"&gt;19.8346728837101&lt;/D&gt;&lt;D xsi:type="xsd:double"&gt;19.4070701452322&lt;/D&gt;&lt;D xsi:type="xsd:double"&gt;20.0637164548624&lt;/D&gt;&lt;D xsi:type="xsd:double"&gt;19.4526676632613&lt;/D&gt;&lt;D xsi:type="xsd:double"&gt;18.857327742403&lt;/D&gt;&lt;D xsi:type="xsd:double"&gt;20.3452814045941&lt;/D&gt;&lt;D xsi:type="xsd:double"&gt;20.5781242978376&lt;/D&gt;&lt;D xsi:type="xsd:double"&gt;21.5093537961074&lt;/D&gt;&lt;D xsi:type="xsd:double"&gt;21.2710018440585&lt;/D&gt;&lt;D xsi:type="xsd:double"&gt;22.7386617085589&lt;/D&gt;&lt;D xsi:type="xsd:double"&gt;21.8694193385941&lt;/D&gt;&lt;D xsi:type="xsd:double"&gt;21.3309759446475&lt;/D&gt;&lt;D xsi:type="xsd:double"&gt;21.3058755207648&lt;/D&gt;&lt;D xsi:type="xsd:double"&gt;21.587338453977&lt;/D&gt;&lt;D xsi:type="xsd:double"&gt;22.0699364579123&lt;/D&gt;&lt;D xsi:type="xsd:double"&gt;20.2604898548932&lt;/D&gt;&lt;D xsi:type="xsd:double"&gt;21.2690140107605&lt;/D&gt;&lt;D xsi:type="xsd:double"&gt;20.0231950088467&lt;/D&gt;&lt;D xsi:type="xsd:double"&gt;20.615610565723&lt;/D&gt;&lt;D xsi:type="xsd:double"&gt;18.9606062050297&lt;/D&gt;&lt;D xsi:type="xsd:double"&gt;17.4676290226132&lt;/D&gt;&lt;D xsi:type="xsd:double"&gt;18.3784351842533&lt;/D&gt;&lt;D xsi:type="xsd:double"&gt;16.8175357856827&lt;/D&gt;&lt;D xsi:type="xsd:double"&gt;17.3939098671825&lt;/D&gt;&lt;D xsi:type="xsd:double"&gt;15.8399376892068&lt;/D&gt;&lt;D xsi:type="xsd:double"&gt;17.8371765332047&lt;/D&gt;&lt;D xsi:type="xsd:double"&gt;15.9523177472139&lt;/D&gt;&lt;D xsi:type="xsd:double"&gt;14.355753751334&lt;/D&gt;&lt;D xsi:type="xsd:double"&gt;15.1121046882277&lt;/D&gt;&lt;D xsi:type="xsd:double"&gt;16.4611003122291&lt;/D&gt;&lt;D xsi:type="xsd:double"&gt;15.329639244781&lt;/D&gt;&lt;D xsi:type="xsd:double"&gt;17.4199945669449&lt;/D&gt;&lt;D xsi:type="xsd:double"&gt;16.5101706978408&lt;/D&gt;&lt;D xsi:type="xsd:double"&gt;16.5539691382588&lt;/D&gt;&lt;D xsi:type="xsd:double"&gt;15.6524927292671&lt;/D&gt;&lt;D xsi:type="xsd:double"&gt;15.7493170433063&lt;/D&gt;&lt;D xsi:type="xsd:double"&gt;15.8423339669015&lt;/D&gt;&lt;D xsi:type="xsd:double"&gt;15.8245967149998&lt;/D&gt;&lt;D xsi:type="xsd:double"&gt;14.7321958642112&lt;/D&gt;&lt;D xsi:type="xsd:double"&gt;13.4855118926842&lt;/D&gt;&lt;D xsi:type="xsd:double"&gt;13.6849853516194&lt;/D&gt;&lt;D xsi:type="xsd:double"&gt;14.6385634596466&lt;/D&gt;&lt;D xsi:type="xsd:double"&gt;14.9130382960662&lt;/D&gt;&lt;D xsi:type="xsd:double"&gt;15.787547936349&lt;/D&gt;&lt;D xsi:type="xsd:double"&gt;15.9945726023292&lt;/D&gt;&lt;D xsi:type="xsd:double"&gt;16.2084347180099&lt;/D&gt;&lt;D xsi:type="xsd:double"&gt;15.6428214434172&lt;/D&gt;&lt;/FQL&gt;&lt;FQL&gt;&lt;Q&gt;SPY^FMA_PE(LTMA,-10AY,0,AM,"PORTAGG","MEANR")&lt;/Q&gt;&lt;R&gt;121&lt;/R&gt;&lt;C&gt;1&lt;/C&gt;&lt;D xsi:type="xsd:double"&gt;16.2372062655387&lt;/D&gt;&lt;D xsi:type="xsd:double"&gt;16.2923049516558&lt;/D&gt;&lt;D xsi:type="xsd:double"&gt;16.4532609869419&lt;/D&gt;&lt;D xsi:type="xsd:double"&gt;16.1409224392695&lt;/D&gt;&lt;D xsi:type="xsd:double"&gt;16.5094161621161&lt;/D&gt;&lt;D xsi:type="xsd:double"&gt;16.2240634955196&lt;/D&gt;&lt;D xsi:type="xsd:double"&gt;16.7341229559942&lt;/D&gt;&lt;D xsi:type="xsd:double"&gt;17.1422641938787&lt;/D&gt;&lt;D xsi:type="xsd:double"&gt;17.2880609023596&lt;/D&gt;&lt;D xsi:type="xsd:double"&gt;16.9532206249713&lt;/D&gt;&lt;D xsi:type="xsd:double"&gt;17.6064488003892&lt;/D&gt;&lt;D xsi:type="xsd:double"&gt;17.4862016147174&lt;/D&gt;&lt;D xsi:type="xsd:double"&gt;17.5540375738837&lt;/D&gt;&lt;D xsi:type="xsd:double"&gt;17.5197629327171&lt;/D&gt;&lt;D xsi:type="xsd:double"&gt;17.3881398304416&lt;/D&gt;&lt;D xsi:type="xsd:double"&gt;17.5282892922124&lt;/D&gt;&lt;D xsi:type="xsd:double"&gt;16.6836643957329&lt;/D&gt;&lt;D xsi:type="xsd:double"&gt;16.6496234324281&lt;/D&gt;&lt;D xsi:type="xsd:double"&gt;17.5980909270234&lt;/D&gt;&lt;D xsi:type="xsd:double"&gt;17.4027062392336&lt;/D&gt;&lt;D xsi:type="xsd:double"&gt;17.1423143271944&lt;/D&gt;&lt;D xsi:type="xsd:double"&gt;16.2966838906097&lt;/D&gt;&lt;D xsi:type="xsd:double"&gt;16.18819342752&lt;/D&gt;&lt;D xsi:type="xsd:double"&gt;16.4452153070474&lt;/D&gt;&lt;D xsi:type="xsd:double"&gt;16.565182572191&lt;/D&gt;&lt;D xsi:type="xsd:double"&gt;16.7936817964353&lt;/D&gt;&lt;D xsi:type="xsd:double"&gt;16.9159239183927&lt;/D&gt;&lt;D xsi:type="xsd:double"&gt;17.3232905936507&lt;/D&gt;&lt;D xsi:type="xsd:double"&gt;17.6159089870747&lt;/D&gt;&lt;D xsi:type="xsd:double"&gt;17.7472227651928&lt;/D&gt;&lt;D xsi:type="xsd:double"&gt;17.3895188094591&lt;/D&gt;&lt;D xsi:type="xsd:double"&gt;18.2194455870168&lt;/D&gt;&lt;D xsi:type="xsd:double"&gt;18.7888782880815&lt;/D&gt;&lt;D xsi:type="xsd:double"&gt;18.9159352275575&lt;/D&gt;&lt;D xsi:type="xsd:double"&gt;19.5088751426146&lt;/D&gt;&lt;D xsi:type="xsd:double"&gt;19.3434696885449&lt;/D&gt;&lt;D xsi:type="xsd:double"&gt;19.2255016555574&lt;/D&gt;&lt;D xsi:type="xsd:double"&gt;19.238310359636&lt;/D&gt;&lt;D xsi:type="xsd:double"&gt;19.0829110788387&lt;/D&gt;&lt;D xsi:type="xsd:double"&gt;19.1887776017787&lt;/D&gt;&lt;D xsi:type="xsd:double"&gt;19.0917620071552&lt;/D&gt;&lt;D xsi:type="xsd:double"&gt;19.3834697131612&lt;/D&gt;&lt;D xsi:type="xsd:double"&gt;19.602513091968&lt;/D&gt;&lt;D xsi:type="xsd:double"&gt;19.9910531942729&lt;/D&gt;&lt;D xsi:type="xsd:double"&gt;20.3933895876581&lt;/D&gt;&lt;D xsi:type="xsd:double"&gt;20.4222110096896&lt;/D&gt;&lt;D xsi:type="xsd:double"&gt;19.753213097976&lt;/D&gt;&lt;D xsi:type="xsd:double"&gt;19.3072008207893&lt;/D&gt;&lt;D xsi:type="xsd:double"&gt;19.0206072983453&lt;/D&gt;&lt;D xsi:type="xsd:double"&gt;18.9236411247262&lt;/D&gt;&lt;D xsi:type="xsd:double"&gt;18.6072452204247&lt;/D&gt;&lt;D xsi:type="xsd:double"&gt;18.6282873437993&lt;/D&gt;&lt;D xsi:type="xsd:double"&gt;18.7016893540282&lt;/D&gt;&lt;D xsi:type="xsd:double"&gt;18.6215769662697&lt;/D&gt;&lt;D xsi:type="xsd:double"&gt;17.3250553415588&lt;/D&gt;&lt;D xsi:type="xsd:double"&gt;17.2533705877263&lt;/D&gt;&lt;D xsi:type="xsd:double"&gt;15.5079608544779&lt;/D&gt;&lt;D xsi:type="xsd:double"&gt;16.6963695379994&lt;/D&gt;&lt;D xsi:type="xsd:double"&gt;17.1278184580145&lt;/D&gt;&lt;D xsi:type="xsd:double"&gt;17.1791912744866&lt;/D&gt;&lt;D xsi:type="xsd:double"&gt;17.2643938089746&lt;/D&gt;&lt;D xsi:type="xsd:double"&gt;16.8699525537769&lt;/D&gt;&lt;D xsi:type="xsd:double"&gt;17.5117311097592&lt;/D&gt;&lt;D xsi:type="xsd:double"&gt;17.4926407257115&lt;/D&gt;&lt;D xsi:type="xsd:double"&gt;17.5214082773281&lt;/D&gt;&lt;D xsi:type="xsd:double"&gt;17.4783123256354&lt;/D&gt;&lt;D xsi:type="xsd:double"&gt;18.4911433030285&lt;/D&gt;&lt;D xsi:type="xsd:double"&gt;18.9561830324868&lt;/D&gt;&lt;D xsi:type="xsd:double"&gt;20.0356936876877&lt;/D&gt;&lt;D xsi:type="xsd:double"&gt;19.6689283170853&lt;/D&gt;&lt;D xsi:type="xsd:double"&gt;18.0266099847365&lt;/D&gt;&lt;D xsi:type="xsd:double"&gt;17.5763109617614&lt;/D&gt;&lt;D xsi:type="xsd:double"&gt;19.1940771781204&lt;/D&gt;&lt;D xsi:type="xsd:double"&gt;20.6177693917119&lt;/D&gt;&lt;D xsi:type="xsd:double"&gt;21.3671576557384&lt;/D&gt;&lt;D xsi:type="xsd:double"&gt;22.0892593032468&lt;/D&gt;&lt;D xsi:type="xsd:double"&gt;24.1383977075024&lt;/D&gt;&lt;D xsi:type="xsd:double"&gt;23.5187739830432&lt;/D&gt;&lt;D xsi:type="xsd:double"&gt;23.1105862664626&lt;/D&gt;&lt;D xsi:type="xsd:double"&gt;25.6629103643278&lt;/D&gt;&lt;D xsi:type="xsd:double"&gt;27.4234729383004&lt;/D&gt;&lt;D xsi:type="xsd:double"&gt;27.0730451854622&lt;/D&gt;&lt;D xsi:type="xsd:double"&gt;26.2896821894738&lt;/D&gt;&lt;D xsi:type="xsd:double"&gt;26.0393846125538&lt;/D&gt;&lt;D xsi:type="xsd:double"&gt;25.579834145149&lt;/D&gt;&lt;D xsi:type="xsd:double"&gt;25.0545039635347&lt;/D&gt;&lt;D xsi:type="xsd:double"&gt;24.9298725113058&lt;/D&gt;&lt;D xsi:type="xsd:double"&gt;24.0971966568518&lt;/D&gt;&lt;D xsi:type="xsd:double"&gt;24.0324316937368&lt;/D&gt;&lt;D xsi:type="xsd:double"&gt;23.0654726376321&lt;/D&gt;&lt;D xsi:type="xsd:double"&gt;23.3636457741867&lt;/D&gt;&lt;D xsi:type="xsd:do</t>
        </r>
      </text>
    </comment>
    <comment ref="A15" authorId="0" shapeId="0" xr:uid="{1338BFB6-1D33-4407-AA3E-5BAF6D38E485}">
      <text>
        <r>
          <rPr>
            <b/>
            <sz val="9"/>
            <color indexed="81"/>
            <rFont val="Tahoma"/>
            <charset val="1"/>
          </rPr>
          <t>uble"&gt;22.663028378109&lt;/D&gt;&lt;D xsi:type="xsd:double"&gt;23.2347863056791&lt;/D&gt;&lt;D xsi:type="xsd:double"&gt;22.0869169519478&lt;/D&gt;&lt;D xsi:type="xsd:double"&gt;20.7158321838993&lt;/D&gt;&lt;D xsi:type="xsd:double"&gt;20.7160794358392&lt;/D&gt;&lt;D xsi:type="xsd:double"&gt;20.0343894546493&lt;/D&gt;&lt;D xsi:type="xsd:double"&gt;19.8071571589323&lt;/D&gt;&lt;D xsi:type="xsd:double"&gt;18.821682458849&lt;/D&gt;&lt;D xsi:type="xsd:double"&gt;19.2311030267229&lt;/D&gt;&lt;D xsi:type="xsd:double"&gt;18.5435435016652&lt;/D&gt;&lt;D xsi:type="xsd:double"&gt;17.2655556699441&lt;/D&gt;&lt;D xsi:type="xsd:double"&gt;17.6026651001817&lt;/D&gt;&lt;D xsi:type="xsd:double"&gt;18.618234210038&lt;/D&gt;&lt;D xsi:type="xsd:double"&gt;17.4105939472441&lt;/D&gt;&lt;D xsi:type="xsd:double"&gt;18.9704971928013&lt;/D&gt;&lt;D xsi:type="xsd:double"&gt;18.0617505639041&lt;/D&gt;&lt;D xsi:type="xsd:double"&gt;18.2162863724075&lt;/D&gt;&lt;D xsi:type="xsd:double"&gt;18.2585249834838&lt;/D&gt;&lt;D xsi:type="xsd:double"&gt;18.606112061491&lt;/D&gt;&lt;D xsi:type="xsd:double"&gt;19.1373266231515&lt;/D&gt;&lt;D xsi:type="xsd:double"&gt;19.5082386864385&lt;/D&gt;&lt;D xsi:type="xsd:double"&gt;19.5870354719391&lt;/D&gt;&lt;D xsi:type="xsd:double"&gt;19.0623161592469&lt;/D&gt;&lt;D xsi:type="xsd:double"&gt;19.3476088791304&lt;/D&gt;&lt;D xsi:type="xsd:double"&gt;20.5743720594247&lt;/D&gt;&lt;D xsi:type="xsd:double"&gt;21.6151554030372&lt;/D&gt;&lt;D xsi:type="xsd:double"&gt;22.391893901646&lt;/D&gt;&lt;D xsi:type="xsd:double"&gt;22.7963984340696&lt;/D&gt;&lt;D xsi:type="xsd:double"&gt;22.6938629334181&lt;/D&gt;&lt;D xsi:type="xsd:double"&gt;22.2864870561567&lt;/D&gt;&lt;/FQL&gt;&lt;FQL&gt;&lt;Q&gt;DDR3512M-FDS^FG_PRICE_MAVG(0,,,,30)&lt;/Q&gt;&lt;R&gt;1&lt;/R&gt;&lt;C&gt;1&lt;/C&gt;&lt;D xsi:type="xsd:double"&gt;0.96595323&lt;/D&gt;&lt;/FQL&gt;&lt;FQL&gt;&lt;Q&gt;PASP-FDS^FG_PRICE_MAVG(0,,,,30)&lt;/Q&gt;&lt;R&gt;1&lt;/R&gt;&lt;C&gt;1&lt;/C&gt;&lt;D xsi:type="xsd:double"&gt;1020.6&lt;/D&gt;&lt;/FQL&gt;&lt;FQL&gt;&lt;Q&gt;PLATI-FDS^FG_PRICE_MAVG(0,,,,30)&lt;/Q&gt;&lt;R&gt;1&lt;/R&gt;&lt;C&gt;1&lt;/C&gt;&lt;D xsi:type="xsd:double"&gt;938.9&lt;/D&gt;&lt;/FQL&gt;&lt;FQL&gt;&lt;Q&gt;W-FDS^FG_PRICE_MAVG(0,,,,30)&lt;/Q&gt;&lt;R&gt;1&lt;/R&gt;&lt;C&gt;1&lt;/C&gt;&lt;D xsi:type="xsd:double"&gt;5.6344166&lt;/D&gt;&lt;/FQL&gt;&lt;FQL&gt;&lt;Q&gt;COPP-FDS^FG_PRICE_MAVG(0,,,,30)&lt;/Q&gt;&lt;R&gt;1&lt;/R&gt;&lt;C&gt;1&lt;/C&gt;&lt;D xsi:type="xsd:double"&gt;4.3009334&lt;/D&gt;&lt;/FQL&gt;&lt;FQL&gt;&lt;Q&gt;EWI^FMA_ROE(NTMA,-20AY,NOW,FY,"PORTAGG","MEANR")&lt;/Q&gt;&lt;R&gt;20&lt;/R&gt;&lt;C&gt;1&lt;/C&gt;&lt;D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xsi:type="xsd:double"&gt;1.211&lt;/D&gt;&lt;/FQL&gt;&lt;FQL&gt;&lt;Q&gt;EWQ^FG_TOTAL_RETURNC(0,-12AM)&lt;/Q&gt;&lt;R&gt;1&lt;/R&gt;&lt;C&gt;1&lt;/C&gt;&lt;D xsi:type="xsd:double"&gt;6.0333014&lt;/D&gt;&lt;/FQL&gt;&lt;FQL&gt;&lt;Q&gt;EWU^FG_TOTAL_RETURNC(0,-1AM)&lt;/Q&gt;&lt;R&gt;1&lt;/R&gt;&lt;C&gt;1&lt;/C&gt;&lt;D xsi:type="xsd:double"&gt;3.0276299&lt;/D&gt;&lt;/FQL&gt;&lt;FQL&gt;&lt;Q&gt;EWA^FMA_PCT_ABOVE_MAVG(200,0,,,,"PORTAGG")&lt;/Q&gt;&lt;R&gt;1&lt;/R&gt;&lt;C&gt;1&lt;/C&gt;&lt;D xsi:type="xsd:double"&gt;71.1864406779661&lt;/D&gt;&lt;/FQL&gt;&lt;FQL&gt;&lt;Q&gt;ENZL^SIZE(FG_CONSTITUENTS)&lt;/Q&gt;&lt;R&gt;1&lt;/R&gt;&lt;C&gt;1&lt;/C&gt;&lt;D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xsi:type="xsd:double"&gt;36.6089143757674&lt;/D&gt;&lt;/FQL&gt;&lt;FQL&gt;&lt;Q&gt;TRYCA10Y-FDS^PCTCHG(FG_YIELD(0,,,,"YTM"),FG_YIELD(-1AM,,,,"YTM"))&lt;/Q&gt;&lt;R&gt;1&lt;/R&gt;&lt;C&gt;1&lt;/C&gt;&lt;D xsi:type="xsd:double"&gt;2.8316472&lt;/D&gt;&lt;/FQL&gt;&lt;FQL&gt;&lt;Q&gt;CC_IT^IMF_IFS_RCPI_Q(0)&lt;/Q&gt;&lt;R&gt;1&lt;/R&gt;&lt;C&gt;1&lt;/C&gt;&lt;D xsi:type="xsd:double"&gt;0.92385906&lt;/D&gt;&lt;/FQL&gt;&lt;FQL&gt;&lt;Q&gt;CC_SE^IMF_IFS_RCPI_Q(0)&lt;/Q&gt;&lt;R&gt;1&lt;/R&gt;&lt;C&gt;1&lt;/C&gt;&lt;D xsi:type="xsd:double"&gt;4.6701536&lt;/D&gt;&lt;/FQL&gt;&lt;FQL&gt;&lt;Q&gt;CC_NL^IMF_IFS_RCPI_Q(0)&lt;/Q&gt;&lt;R&gt;0&lt;/R&gt;&lt;C&gt;0&lt;/C&gt;&lt;/FQL&gt;&lt;FQL&gt;&lt;Q&gt;CC_FR^IMF_IFS_RCPI_Q(0)&lt;/Q&gt;&lt;R&gt;1&lt;/R&gt;&lt;C&gt;1&lt;/C&gt;&lt;D xsi:type="xsd:double"&gt;2.79402&lt;/D&gt;&lt;/FQL&gt;&lt;FQL&gt;&lt;Q&gt;CC_US^IMF_IFS_RCPI_Q(0)&lt;/Q&gt;&lt;R&gt;0&lt;/R&gt;&lt;C&gt;0&lt;/C&gt;&lt;/FQL&gt;&lt;FQL&gt;&lt;Q&gt;CC_GB^IMF_IFS_RCPI_Q(0)&lt;/Q&gt;&lt;R&gt;1&lt;/R&gt;&lt;C&gt;1&lt;/C&gt;&lt;D xsi:type="xsd:double"&gt;3.9194994&lt;/D&gt;&lt;/FQL&gt;&lt;FQL&gt;&lt;Q&gt;CC_CH^IMF_IFS_RCPI_Q(0)&lt;/Q&gt;&lt;R&gt;1&lt;/R&gt;&lt;C&gt;1&lt;/C&gt;&lt;D xsi:type="xsd:double"&gt;1.4071462&lt;/D&gt;&lt;/FQL&gt;&lt;FQL&gt;&lt;Q&gt;CC_JP^IMF_IFS_RCPI_Q(0)&lt;/Q&gt;&lt;R&gt;0&lt;/R&gt;&lt;C&gt;0&lt;/C&gt;&lt;/FQL&gt;&lt;FQL&gt;&lt;Q&gt;CC_DE^IMF_IFS_RCPI_Q(0)&lt;/Q&gt;&lt;R&gt;1&lt;/R&gt;&lt;C&gt;1&lt;/C&gt;&lt;D xsi:type="xsd:double"&gt;2.5173564&lt;/D&gt;&lt;/FQL&gt;&lt;FQL&gt;&lt;Q&gt;CC_CA^IMF_IFS_RCPI_Q(0)&lt;/Q&gt;&lt;R&gt;1&lt;/R&gt;&lt;C&gt;1&lt;/C&gt;&lt;D xsi:type="xsd:double"&gt;2.8466706&lt;/D&gt;&lt;/FQL&gt;&lt;FQL&gt;&lt;Q&gt;CC_AU^IMF_IFS_RCPI_Q(0)&lt;/Q&gt;&lt;R&gt;0&lt;/R&gt;&lt;C&gt;0&lt;/C&gt;&lt;/FQL&gt;&lt;FQL&gt;&lt;Q&gt;CC_NZ^IMF_IFS_RCPI_Q(0)&lt;/Q&gt;&lt;R&gt;0&lt;/R&gt;&lt;C&gt;0&lt;/C&gt;&lt;/FQL&gt;&lt;FQL&gt;&lt;Q&gt;EWI^FMA_EVAL_EBITDA(NTMA,0,,,"PORTAGG","MEANR")&lt;/Q&gt;&lt;R&gt;1&lt;/R&gt;&lt;C&gt;1&lt;/C&gt;&lt;D xsi:type="xsd:double"&gt;6.9412008198144&lt;/D&gt;&lt;/FQL&gt;&lt;FQL&gt;&lt;Q&gt;EWN^FMA_DIV_YLD(NTMA,NOW,NOW,M,"PORTAGG","MEANR")&lt;/Q&gt;&lt;R&gt;1&lt;/R&gt;&lt;C&gt;1&lt;/C&gt;&lt;D xsi:type="xsd:double"&gt;2.59127326975751&lt;/D&gt;&lt;/FQL&gt;&lt;FQL&gt;&lt;Q&gt;SPY^FMA_PE(LTM,0,,,"PORTAGG","MEANR")&lt;/Q&gt;&lt;R&gt;1&lt;/R&gt;&lt;C&gt;1&lt;/C&gt;&lt;D xsi:type="xsd:double"&gt;24.685385130293&lt;/D&gt;&lt;/FQL&gt;&lt;FQL&gt;&lt;Q&gt;EWL^FMA_EVAL_EBIT(LTMA,NOW,NOW,M,"PORTAGG","MEANR")&lt;/Q&gt;&lt;R&gt;1&lt;/R&gt;&lt;C&gt;1&lt;/C&gt;&lt;D xsi:type="xsd:double"&gt;16.4491954363761&lt;/D&gt;&lt;/FQL&gt;&lt;FQL&gt;&lt;Q&gt;EWG^FG_FCF_YIELD_NTM(0)&lt;/Q&gt;&lt;R&gt;1&lt;/R&gt;&lt;C&gt;1&lt;/C&gt;&lt;D xsi:type="xsd:double"&gt;6.01716531258335&lt;/D&gt;&lt;/FQL&gt;&lt;FQL&gt;&lt;Q&gt;EWA^FMA_PE(NTMA,0,,,"PORTAGG","MEANR")&lt;/Q&gt;&lt;R&gt;1&lt;/R&gt;&lt;C&gt;1&lt;/C&gt;&lt;D xsi:type="xsd:double"&gt;16.3573736535644&lt;/D&gt;&lt;/FQL&gt;&lt;FQL&gt;&lt;Q&gt;ENZL^FMA_EVAL_EBIT(LTMA,NOW,NOW,M,"PORTAGG","MEANR")&lt;/Q&gt;&lt;R&gt;1&lt;/R&gt;&lt;C&gt;1&lt;/C&gt;&lt;D xsi:type="xsd:double"&gt;20.581527538172&lt;/D&gt;&lt;/FQL&gt;&lt;FQL&gt;&lt;Q&gt;EWI^JULIAN(FMA_DIV_YLD(NTMA,NOW,NOW,M,"PORTAGG","MEANR").DATES)&lt;/Q&gt;&lt;R&gt;1&lt;/R&gt;&lt;C&gt;1&lt;/C&gt;&lt;D xsi:type="xsd:long"&gt;45412&lt;/D&gt;&lt;/FQL&gt;&lt;FQL&gt;&lt;Q&gt;EWL^FMA_PE(LTM,0,,,"PORTAGG","MEANR")&lt;/Q&gt;&lt;R&gt;1&lt;/R&gt;&lt;C&gt;1&lt;/C&gt;&lt;D xsi:type="xsd:double"&gt;15.1581594382721&lt;/D&gt;&lt;/FQL&gt;&lt;FQL&gt;&lt;Q&gt;ENZL^FG_FCF_YIELD_NTM(0)&lt;/Q&gt;&lt;R&gt;1&lt;/R&gt;&lt;C&gt;1&lt;/C&gt;&lt;D xsi:type="xsd:double"&gt;0.288445311116342&lt;/D&gt;&lt;/FQL&gt;&lt;FQL&gt;&lt;Q&gt;EWD^FG_FCF_YIELD_NTM(0)&lt;/Q&gt;&lt;R&gt;1&lt;/R&gt;&lt;C&gt;1&lt;/C&gt;&lt;D xsi:type="xsd:double"&gt;5.14561942316229&lt;/D&gt;&lt;/FQL&gt;&lt;FQL&gt;&lt;Q&gt;EWD^FMA_DIV_YLD(NTMA,NOW,NOW,M,"PORTAGG","MEANR")&lt;/Q&gt;&lt;R&gt;1&lt;/R&gt;&lt;C&gt;1&lt;/C&gt;&lt;D xsi:type="xsd:double"&gt;3.25377938945661&lt;/D&gt;&lt;/FQL&gt;&lt;FQL&gt;&lt;Q&gt;SPY^FMA_EVAL_EBIT(LTMA,NOW,NOW,M,"PORTAGG","MEANR")&lt;/Q&gt;&lt;R&gt;1&lt;/R&gt;&lt;C&gt;1&lt;/C&gt;&lt;D xsi:type="xsd:double"&gt;20.3521482704551&lt;/D&gt;&lt;/FQL&gt;&lt;FQL&gt;&lt;Q&gt;SPY^FMA_EVAL_EBITDA(NTMA,0,,,"PORTAGG","MEANR")&lt;/Q&gt;&lt;R&gt;1&lt;/R&gt;&lt;C&gt;1&lt;/C&gt;&lt;D xsi:type="xsd:double"&gt;13.5615396114652&lt;/D&gt;&lt;/FQL&gt;&lt;FQL&gt;&lt;Q&gt;EWJ^FMA_PE(LTM,0,,,"PORTAGG","MEANR")&lt;/Q&gt;&lt;R&gt;1&lt;/R&gt;&lt;C&gt;1&lt;/C&gt;&lt;D xsi:type="xsd:double"&gt;15.6646027775195&lt;/D&gt;&lt;/FQL&gt;&lt;FQL&gt;&lt;Q&gt;VGK^FG_PE(0)&lt;/Q&gt;&lt;R&gt;1&lt;/R&gt;&lt;C&gt;1&lt;/C&gt;&lt;D xsi:type="xsd:double"&gt;13.1740569951454&lt;/D&gt;&lt;/FQL&gt;&lt;FQL&gt;&lt;Q&gt;EWJ^JULIAN(FMA_DIV_YLD(NTMA,NOW,NOW,M,"PORTAGG","MEANR").DATES)&lt;/Q&gt;&lt;R&gt;1&lt;/R&gt;&lt;C&gt;1&lt;/C&gt;&lt;D xsi:type="xsd:long"&gt;45411&lt;/D&gt;&lt;/FQL&gt;&lt;FQL&gt;&lt;Q&gt;EWU^FMA_PE(LTM,0,,,"PORTAGG","MEANR")&lt;/Q&gt;&lt;R&gt;1&lt;/R&gt;&lt;C&gt;1&lt;/C&gt;&lt;D xsi:type="xsd:double"&gt;10.9756501634066&lt;/D&gt;&lt;/FQL&gt;&lt;FQL&gt;&lt;Q&gt;EWL^FMA_PE(NTMA,0,,,"PORTAGG","MEANR")&lt;/Q&gt;&lt;R&gt;1&lt;/R&gt;&lt;C&gt;1&lt;/C&gt;&lt;D xsi:type="xsd:double"&gt;16.780877258649&lt;/D&gt;&lt;/FQL&gt;&lt;FQL&gt;&lt;Q&gt;VWO^FMA_EVAL_EBIT(LTMA,NOW,NOW,M,"PORTAGG","MEANR")&lt;/Q&gt;&lt;R&gt;1&lt;/R&gt;&lt;C&gt;1&lt;/C&gt;&lt;D xsi:type="xsd:double"&gt;14.3727866883411&lt;/D&gt;&lt;/FQL&gt;&lt;FQL&gt;&lt;Q&gt;EWI^FG_FCF_YIELD_NTM(0)&lt;/Q&gt;&lt;R&gt;1&lt;/R&gt;&lt;C&gt;1&lt;/C&gt;&lt;D xsi:type="xsd:double"&gt;6.40253113202286&lt;/D&gt;&lt;/FQL&gt;&lt;FQL&gt;&lt;Q&gt;EWN^FMA_PE(NTMA,0,,,"PORTAGG","MEANR")&lt;/Q&gt;&lt;R&gt;1&lt;/R&gt;&lt;C&gt;1&lt;/C&gt;&lt;D xsi:type="xsd:double"&gt;15.6428214434172&lt;/D&gt;&lt;/FQL&gt;&lt;FQL&gt;&lt;Q&gt;SPY^JULIAN(FMA_DIV_YLD(NTMA,NOW,NOW,M,"PORTAGG","MEANR").DATES)&lt;/Q&gt;&lt;R&gt;1&lt;/R&gt;&lt;C&gt;1&lt;/C&gt;&lt;D xsi:type="xsd:long"&gt;45412&lt;/D&gt;&lt;/FQL&gt;&lt;FQL&gt;&lt;Q&gt;EWL^FMA_EVAL_EBITDA(NTMA,0,,,"PORTAGG","MEANR")&lt;/Q&gt;&lt;R&gt;1&lt;/R&gt;&lt;C&gt;1&lt;/C&gt;&lt;D xsi:type="xsd:double"&gt;12.4857478970962&lt;/D&gt;&lt;/FQL&gt;&lt;FQL&gt;&lt;Q&gt;EWG^FMA_DIV_YLD(NTMA,NOW,NOW,M,"PORTAGG","MEANR")&lt;/Q&gt;&lt;R&gt;1&lt;/R&gt;&lt;C&gt;1&lt;/C&gt;&lt;D xsi:type="xsd:double"&gt;3.35223110800484&lt;/D&gt;&lt;/FQL&gt;&lt;FQL&gt;&lt;Q&gt;EWA^FMA_PE(LTM,0,,,"PORTAGG","MEANR")&lt;/Q&gt;&lt;R&gt;1&lt;/R&gt;&lt;C&gt;1&lt;/C&gt;&lt;D xsi:type="xsd:double"&gt;18.1389177316172&lt;/D&gt;&lt;/FQL&gt;&lt;FQL&gt;&lt;Q&gt;EWL^FG_FCF_YIELD_NTM(0)&lt;/Q&gt;&lt;R&gt;1&lt;/R&gt;&lt;C&gt;1&lt;/C&gt;&lt;D xsi:type="xsd:double"&gt;5.13556172721754&lt;/D&gt;&lt;/FQL&gt;&lt;FQL&gt;&lt;Q&gt;EWG^FMA_PE(NTMA,0,,,"PORTAGG","MEANR")&lt;/Q&gt;&lt;R&gt;1&lt;/R&gt;&lt;C&gt;1&lt;/C&gt;&lt;D xsi:type="xsd:double"&gt;11.9972389296807&lt;/D&gt;&lt;/FQL&gt;&lt;FQL&gt;&lt;Q&gt;EWI^FMA_PE(NTMA,0,,,"PORTAGG","MEANR")&lt;/Q&gt;&lt;R&gt;1&lt;/R&gt;&lt;C&gt;1&lt;/C&gt;&lt;D xsi:type="xsd:double"&gt;9.48820717355478&lt;/D&gt;&lt;/FQL&gt;&lt;FQL&gt;&lt;Q&gt;EWN^JULIAN(FMA_DIV_YLD(NTMA,NOW,NOW,M,"PORTAGG","MEANR").DATES)&lt;/Q&gt;&lt;R&gt;1&lt;/R&gt;&lt;C&gt;1&lt;/C&gt;&lt;D xsi:type="xsd:long"&gt;45412&lt;/D&gt;&lt;/FQL&gt;&lt;FQL&gt;&lt;Q&gt;QQQ^FMA_EVAL_EBITDA(NTMA,0,,,"PORTAGG","MEANR")&lt;/Q&gt;&lt;R&gt;1&lt;/R&gt;&lt;C&gt;1&lt;/C&gt;&lt;D xsi:type="xsd:double"&gt;15.3955982617708&lt;/D&gt;&lt;/FQL&gt;&lt;FQL&gt;&lt;Q&gt;EWL^FMA_DIV_YLD(NTMA,NOW,NOW,M,"PORTAGG","MEANR")&lt;/Q&gt;&lt;R&gt;1&lt;/R&gt;&lt;C&gt;1&lt;/C&gt;&lt;D xsi:type="xsd:double"&gt;3.38086815704189&lt;/D&gt;&lt;/FQL&gt;&lt;FQL&gt;&lt;Q&gt;EWI^FMA_PE(LTM,0,,,"PORTAGG","MEANR")&lt;/Q&gt;&lt;R&gt;1&lt;/R&gt;&lt;C&gt;1&lt;/C&gt;&lt;D xsi:type="xsd:double"&gt;9.84242261256715&lt;/D&gt;&lt;/FQL&gt;&lt;FQL&gt;&lt;Q&gt;QQQ^FG_FCF_YIELD_NTM(0)&lt;/Q&gt;&lt;R&gt;1&lt;/R&gt;&lt;C&gt;1&lt;/C&gt;&lt;D xsi:type="xsd:double"&gt;3.86066622007716&lt;/D&gt;&lt;/FQL&gt;&lt;FQL&gt;&lt;Q&gt;VWO^FG_PE_NTM(0,,,90,0)&lt;/Q&gt;&lt;R&gt;1&lt;/R&gt;&lt;C&gt;1&lt;/C&gt;&lt;D xsi:type="xsd:double"&gt;12.4875097221465&lt;/D&gt;&lt;/FQL&gt;&lt;FQL&gt;&lt;Q&gt;EWC^FMA_EVAL_EBIT(LTMA,NOW,NOW,M,"PORTAGG","MEANR")&lt;/Q&gt;&lt;R&gt;1&lt;/R&gt;&lt;C&gt;1&lt;/C&gt;&lt;D xsi:type="xsd:double"&gt;16.2520119680143&lt;/D&gt;&lt;/FQL&gt;&lt;FQL&gt;&lt;Q&gt;VWO^JULIAN(FMA_DIV_YLD(NTMA,NOW,NOW,M,"PORTAGG","MEANR").DATES)&lt;/Q&gt;&lt;R&gt;1&lt;/R&gt;&lt;C&gt;1&lt;/C&gt;&lt;D xsi:type="xsd:long"&gt;45379&lt;/D&gt;&lt;/FQL&gt;&lt;FQL&gt;&lt;Q&gt;EWQ^FMA_DIV_YLD(NTMA,NOW,NOW,M,"PORTAGG","MEANR")&lt;/Q&gt;&lt;R&gt;1&lt;/R&gt;&lt;C&gt;1&lt;/C&gt;&lt;D xsi:type="xsd:double"&gt;3.12179769454038&lt;/D&gt;&lt;/FQL&gt;&lt;FQL&gt;&lt;Q&gt;EWC^FG_FCF_YIELD_NTM(0)&lt;/Q&gt;&lt;R&gt;1&lt;/R&gt;&lt;C&gt;1&lt;/C&gt;&lt;D xsi:type="xsd:double"&gt;5.23202970415028&lt;/D&gt;&lt;/FQL&gt;&lt;FQL&gt;&lt;Q&gt;VGK^FMA_EVAL_EBIT(LTMA,NOW,NOW,M,"PORTAGG","MEANR")&lt;/Q&gt;&lt;R&gt;1&lt;/R&gt;&lt;C&gt;1&lt;/C&gt;&lt;D xsi:type="xsd:double"&gt;13.2610959531893&lt;/D&gt;&lt;/FQL&gt;&lt;FQL&gt;&lt;Q&gt;ENZL^FMA_PE(LTM,0,,,"PORTAGG","MEANR")&lt;/Q&gt;&lt;R&gt;1&lt;/R&gt;&lt;C&gt;1&lt;/C&gt;&lt;D xsi:type="xsd:double"&gt;29.5698887376878&lt;/D&gt;&lt;/FQL&gt;&lt;FQL&gt;&lt;Q&gt;EWJ^FMA_PE(NTMA,0,,,"PORTAGG","MEANR")&lt;/Q&gt;&lt;R&gt;1&lt;/R&gt;&lt;C&gt;1&lt;/C&gt;&lt;D xsi:type="xsd:double"&gt;15.1918084168481&lt;/D&gt;&lt;/FQL&gt;&lt;FQL&gt;&lt;Q&gt;EWA^FG_FCF_YIELD_NTM(0)&lt;/Q&gt;&lt;R&gt;1&lt;/R&gt;&lt;C&gt;1&lt;/C&gt;&lt;D xsi:type="xsd:double"&gt;4.97090209106147&lt;/D&gt;&lt;/FQL&gt;&lt;FQL&gt;&lt;Q&gt;SPY^FMA_PE(NTMA,0,,,"PORTAGG","MEANR")&lt;/Q&gt;&lt;R&gt;1&lt;/R&gt;&lt;C&gt;1&lt;/C&gt;&lt;D xsi:type="xsd:double"&gt;19.7376425214866&lt;/D&gt;&lt;/FQL&gt;&lt;FQL&gt;&lt;Q&gt;EWG^JULIAN(FMA_DIV_YLD(NTMA,NOW,NOW,M,"PORTAGG","MEANR").DATES)&lt;/Q&gt;&lt;R&gt;1&lt;/R&gt;&lt;C&gt;1&lt;/C&gt;&lt;D xsi:type="xsd:long"&gt;45411&lt;/D&gt;&lt;/FQL&gt;&lt;FQL&gt;&lt;Q&gt;ENZL^JULIAN(FMA_DIV_YLD(NTMA,NOW,NOW,M,"PORTAGG","MEANR").DATES)&lt;/Q&gt;&lt;R&gt;1&lt;/R&gt;&lt;C&gt;1&lt;/C&gt;&lt;D xsi:type="xsd:long"&gt;45411&lt;/D&gt;&lt;/FQL&gt;&lt;FQL&gt;&lt;Q&gt;EWU^FMA_DIV_YLD(NTMA,NOW,NOW,M,"PORTAGG","MEANR")&lt;/Q&gt;&lt;R&gt;1&lt;/R&gt;&lt;C&gt;1&lt;/C&gt;&lt;D xsi:type="xsd:double"&gt;3.92112574686134&lt;/D&gt;&lt;/FQL&gt;&lt;FQL&gt;&lt;Q&gt;VWO^FMA_EVAL_EBITDA(NTMA,0,,,"PORTAGG","MEANR")&lt;/Q&gt;&lt;R&gt;1&lt;/R&gt;&lt;C&gt;1&lt;/C&gt;&lt;D xsi:type="xsd:double"&gt;8.81503758363444&lt;/D&gt;&lt;/FQL&gt;&lt;FQL&gt;&lt;Q&gt;EWI^FMA_DIV_YLD(NTMA,NOW,NOW,M,"PORTAGG","MEANR")&lt;/Q&gt;&lt;R&gt;1&lt;/R&gt;&lt;C&gt;1&lt;/C&gt;&lt;D xsi:type="xsd:double"&gt;5.30778048746947&lt;/D&gt;&lt;/FQL&gt;&lt;FQL&gt;&lt;Q&gt;EWN^FMA_PE(LTM,0,,,"PORTAGG","MEANR")&lt;/Q&gt;&lt;R&gt;1&lt;/R&gt;&lt;C&gt;1&lt;/C&gt;&lt;D xsi:type="xsd:double"&gt;18.9082704093242&lt;/D&gt;&lt;/FQL&gt;&lt;FQL&gt;&lt;Q&gt;QQQ^FMA_EVAL_EBIT(LTMA,NOW,NOW,M,"PORTAGG","MEANR")&lt;/Q&gt;&lt;R&gt;1&lt;/R&gt;&lt;C&gt;1&lt;/C&gt;&lt;D xsi:type="xsd:double"&gt;24.2403615007746&lt;/D&gt;&lt;/FQL&gt;&lt;FQL&gt;&lt;Q&gt;EWA^JULIAN(FMA_DIV_YLD(NTMA,NOW,NOW,M,"PORTAGG","MEANR").DATES)&lt;/Q&gt;&lt;R&gt;1&lt;/R&gt;&lt;C&gt;1&lt;/C&gt;&lt;D xsi:type="xsd:long"&gt;45411&lt;/D&gt;&lt;/FQL&gt;&lt;FQL&gt;&lt;Q&gt;EWG^FMA_PE(LTM,0,,,"PORTAGG","MEANR")&lt;/Q&gt;&lt;R&gt;1&lt;/R&gt;&lt;C&gt;1&lt;/C&gt;&lt;D xsi:type="xsd:double"&gt;12.5308973275751&lt;/D&gt;&lt;/FQL&gt;&lt;FQL&gt;&lt;Q&gt;VWO^FMA_DIV_YLD(NTMA,NOW,NOW,M,"PORTAGG","MEANR")&lt;/Q&gt;&lt;R&gt;1&lt;/R&gt;&lt;C&gt;1&lt;/C&gt;&lt;D xsi:type="xsd:double"&gt;3.0711014463721&lt;/D&gt;&lt;/FQL&gt;&lt;FQL&gt;&lt;Q&gt;EWQ^FMA_EVAL_EBIT(LTMA,NOW,NOW,M,"PORTAGG","MEANR")&lt;/Q&gt;&lt;R&gt;1&lt;/R&gt;&lt;C&gt;1&lt;/C&gt;&lt;D xsi:type="xsd:double"&gt;13.2589433538967&lt;/D&gt;&lt;/FQL&gt;&lt;FQL&gt;&lt;Q&gt;ENZL^FMA_EVAL_EBITDA(NTMA,0,,,"PORTAGG","MEANR")&lt;/Q&gt;&lt;R&gt;1&lt;/R&gt;&lt;C&gt;1&lt;/C&gt;&lt;D xsi:type="xsd:double"&gt;12.3307500203334&lt;/D&gt;&lt;/FQL&gt;&lt;FQL&gt;&lt;Q&gt;EWQ^FMA_EVAL_EBITDA(NTMA,0,,,"PORTAGG","MEANR")&lt;/Q&gt;&lt;R&gt;1&lt;/R&gt;&lt;C&gt;1&lt;/C&gt;&lt;D xsi:type="xsd:double"&gt;9.31848241647488&lt;/D&gt;&lt;/FQL&gt;&lt;FQL&gt;&lt;Q&gt;EWD^FMA_EVAL_EBITDA(NTMA,0,,,"PORTAGG","MEANR")&lt;/Q&gt;&lt;R&gt;1&lt;/R&gt;&lt;C&gt;1&lt;/C&gt;&lt;D xsi:type="xsd:double"&gt;11.1930070245502&lt;/D&gt;&lt;/FQL&gt;&lt;FQL&gt;&lt;Q&gt;EWJ^FMA_EVAL_EBIT(LTMA,NOW,NOW,M,"PORTAGG","MEANR")&lt;/Q&gt;&lt;R&gt;1&lt;/R&gt;&lt;C&gt;1&lt;/C&gt;&lt;D xsi:type="xsd:double"&gt;17.8812360173702&lt;/D&gt;&lt;/FQL&gt;&lt;FQL&gt;&lt;Q&gt;ENZL^FMA_PE(NTMA,0,,,"PORTAGG","MEANR")&lt;/Q&gt;&lt;R&gt;1&lt;/R&gt;&lt;C&gt;1&lt;/C&gt;&lt;D xsi:type="xsd:double"&gt;25.2619078556493&lt;/D&gt;&lt;/FQL&gt;&lt;FQL&gt;&lt;Q&gt;EWJ^FMA_EVAL_EBITDA(NTMA,0,,,"PORTAGG","MEANR")&lt;/Q&gt;&lt;R&gt;1&lt;/R&gt;&lt;C&gt;1&lt;/C&gt;&lt;D xsi:type="xsd:double"&gt;10.5278264017456&lt;/D&gt;&lt;/FQL&gt;&lt;FQL&gt;&lt;Q&gt;VGK^FMA_EVAL_EBITDA(NTMA,0,,,"PORTAGG","MEANR")&lt;/Q&gt;&lt;R&gt;1&lt;/R&gt;&lt;C&gt;1&lt;/C&gt;&lt;D xsi:type="xsd:double"&gt;9.01924748816235&lt;/D&gt;&lt;/FQL&gt;&lt;FQL&gt;&lt;Q&gt;EWJ^FG_FCF_YIELD_NTM(0)&lt;/Q&gt;&lt;R&gt;1&lt;/R&gt;&lt;C&gt;1&lt;/C&gt;&lt;D xsi:type="xsd:double"&gt;4.15752379182473&lt;/D&gt;&lt;/FQL&gt;&lt;FQL&gt;&lt;Q&gt;EWC^FMA_PE(NTMA,0,,,"PORTAGG","MEANR")&lt;/Q&gt;&lt;R&gt;1&lt;/R&gt;&lt;C&gt;1&lt;/C&gt;&lt;D xsi:type="xsd:double"&gt;14.0820933937078&lt;/D&gt;&lt;/FQL&gt;&lt;FQL&gt;&lt;Q&gt;EWA^FMA_EVAL_EBITDA(NTMA,0,,,"PORTAGG","MEANR")&lt;/Q&gt;&lt;R&gt;1&lt;/R&gt;&lt;C&gt;1&lt;/C&gt;&lt;D xsi:type="xsd:double"&gt;8.49387500794046&lt;/D&gt;&lt;/FQL&gt;&lt;FQL&gt;&lt;Q&gt;SPY^FMA_DIV_YLD(NTMA,NOW,NOW,M,"PORTAGG","MEANR")&lt;/Q&gt;&lt;R&gt;1&lt;/R&gt;&lt;C&gt;1&lt;/C&gt;&lt;D xsi:type="xsd:double"&gt;1.51171902866979&lt;/D&gt;&lt;/FQL&gt;&lt;FQL&gt;&lt;Q&gt;QQQ^JULIAN(FMA_DIV_YLD(NTMA,NOW,NOW,M,"PORTAGG","MEANR").DATES)&lt;/Q&gt;&lt;R&gt;1&lt;/R&gt;&lt;C&gt;1&lt;/C&gt;&lt;D xsi:type="xsd:long"&gt;45412&lt;/D&gt;&lt;/FQL&gt;&lt;FQL&gt;&lt;Q&gt;VWO^FG_FCF_YIELD_NTM(0)&lt;/Q&gt;&lt;R&gt;1&lt;/R&gt;&lt;C&gt;1&lt;/C&gt;&lt;D xsi:type="xsd:double"&gt;5.43164798113929&lt;/D&gt;&lt;/FQL&gt;&lt;FQL&gt;&lt;Q&gt;QQQ^FMA_DIV_YLD(NTMA,NOW,NOW,M,"PORTAGG","MEANR")&lt;/Q&gt;&lt;R&gt;1&lt;/R&gt;&lt;C&gt;1&lt;/C&gt;&lt;D xsi:type="xsd:double"&gt;0.944207720265892&lt;/D&gt;&lt;/FQL&gt;&lt;FQL&gt;&lt;Q&gt;EWD^JULIAN(FMA_DIV_YLD(NTMA,NOW,NOW,M,"PORTAGG","MEANR").DATES)&lt;/Q&gt;&lt;R&gt;1&lt;/R&gt;&lt;C&gt;1&lt;/C&gt;&lt;D xsi:type="xsd:long"&gt;45411&lt;/D&gt;&lt;/FQL&gt;&lt;FQL&gt;&lt;Q&gt;EWU^FMA_PE(NTMA,0,,,"PORTAGG","MEANR")&lt;/Q&gt;&lt;R&gt;1&lt;/R&gt;&lt;C&gt;1&lt;/C&gt;&lt;D xsi:type="xsd:double"&gt;11.6463997791601&lt;/D&gt;&lt;/FQL&gt;&lt;FQL&gt;&lt;Q&gt;EWN^FMA_EVAL_EBITDA(NTMA,0,,,"PORTAGG","MEANR")&lt;/Q&gt;&lt;R&gt;1&lt;/R&gt;&lt;C&gt;1&lt;/C&gt;&lt;D xsi:type="xsd:double"&gt;12.3158415634141&lt;/D&gt;&lt;/FQL&gt;&lt;FQL&gt;&lt;Q&gt;EWN^FG_FCF_YIELD_NTM(0)&lt;/Q&gt;&lt;R&gt;1&lt;/R&gt;&lt;C&gt;1&lt;/C&gt;&lt;D xsi:type="xsd:double"&gt;3.84146566396847&lt;/D&gt;&lt;/FQL&gt;&lt;FQL&gt;&lt;Q&gt;EWU^FMA_EVAL_EBIT(LTMA,NOW,NOW,M,"PORTAGG","MEANR")&lt;/Q&gt;&lt;R&gt;1&lt;/R&gt;&lt;C&gt;1&lt;/C&gt;&lt;D xsi:type="xsd:double"&gt;10.5434097608757&lt;/D&gt;&lt;/FQL&gt;&lt;FQL&gt;&lt;Q&gt;VGK^FG_PE_NTM(0,,,90,0)&lt;/Q&gt;&lt;R&gt;1&lt;/R&gt;&lt;C&gt;1&lt;/C&gt;&lt;D xsi:type="xsd:double"&gt;13.6673698212147&lt;/D&gt;&lt;/FQL&gt;&lt;FQL&gt;&lt;Q&gt;EWQ^FMA_PE(NTMA,0,,,"PORTAGG","MEANR")&lt;/Q&gt;&lt;R&gt;1&lt;/R&gt;&lt;C&gt;1&lt;/C&gt;&lt;D xsi:type="xsd:double"&gt;14.4832263069592&lt;/D&gt;&lt;/FQL&gt;&lt;FQL&gt;&lt;Q&gt;EWU^FG_FCF_YIELD_NTM(0)&lt;/Q&gt;&lt;R&gt;1&lt;/R&gt;&lt;C&gt;1&lt;/C&gt;&lt;D xsi:type="xsd:double"&gt;6.16405191183943&lt;/D&gt;&lt;/FQL&gt;&lt;FQL&gt;&lt;Q&gt;EWU^JULIAN(FMA_DIV_YLD(NTMA,NOW,NOW,M,"PORTAGG","MEANR").DATES)&lt;/Q&gt;&lt;R&gt;1&lt;/R&gt;&lt;C&gt;1&lt;/C&gt;&lt;D xsi:type="xsd:long"&gt;45411&lt;/D&gt;&lt;/FQL&gt;&lt;FQL&gt;&lt;Q&gt;VWO^FG_PE(0)&lt;/Q&gt;&lt;R&gt;1&lt;/R&gt;&lt;C&gt;1&lt;/C&gt;&lt;D xsi:type="xsd:double"&gt;14.0367214934365&lt;/D&gt;&lt;/FQL&gt;&lt;FQL&gt;&lt;Q&gt;EWD^FMA_EVAL_EBIT(LTMA,NOW,NOW,M,"PORTAGG","MEANR")&lt;/Q&gt;&lt;R&gt;1&lt;/R&gt;&lt;C&gt;1&lt;/C&gt;&lt;D xsi:type="xsd:double"&gt;15.9345801292684&lt;/D&gt;&lt;/FQL&gt;&lt;FQL&gt;&lt;Q&gt;EWQ^FG_FCF_YIELD_NTM(0)&lt;/Q&gt;&lt;R&gt;1&lt;/R&gt;&lt;C&gt;1&lt;/C&gt;&lt;D xsi:type="xsd:double"&gt;5.62589967116046&lt;/D&gt;&lt;/FQL&gt;&lt;FQL&gt;&lt;Q&gt;QQQ^FMA_PE(NTMA,0,,,"PORTAGG","MEANR")&lt;/Q&gt;&lt;R&gt;1&lt;/R&gt;&lt;C&gt;1&lt;/C&gt;&lt;D xsi:type="xsd:double"&gt;24.5721900247893&lt;/D&gt;&lt;/FQL&gt;&lt;FQL&gt;&lt;Q&gt;EWL^JULIAN(FMA_DIV_YLD(NTMA,NOW,NOW,M,"PORTAGG","MEANR").DATES)&lt;/Q&gt;&lt;R&gt;1&lt;/R&gt;&lt;C&gt;1&lt;/C&gt;&lt;D xsi:type="xsd:long"&gt;45411&lt;/D&gt;&lt;/FQL&gt;&lt;FQL&gt;&lt;Q&gt;EWC^FMA_EVAL_EBITDA(NTMA,0,,,"PORTAGG","MEANR")&lt;/Q&gt;&lt;R&gt;1&lt;/R&gt;&lt;C&gt;1&lt;/C&gt;&lt;D xsi:type="xsd:double"&gt;9.72154621490384&lt;/D&gt;&lt;/FQL&gt;&lt;FQL&gt;&lt;Q&gt;ENZL^FMA_DIV_YLD(NTMA,NOW,NOW,M,"PORTAGG","MEANR")&lt;/Q&gt;&lt;R&gt;1&lt;/R&gt;&lt;C&gt;1&lt;/C&gt;&lt;D xsi:type="xsd:double"&gt;2.75033600678367&lt;/D&gt;&lt;/FQL&gt;&lt;FQL&gt;&lt;Q&gt;QQQ^FMA_PE(LTM,0,,,"PORTAGG","MEANR")&lt;/Q&gt;&lt;R&gt;1&lt;/R&gt;&lt;C&gt;1&lt;/C&gt;&lt;D xsi:type="xsd:double"&gt;32.1711508116348&lt;/D&gt;&lt;/FQL&gt;&lt;FQL&gt;&lt;Q&gt;EWC^FMA_DIV_YLD(NTMA,NOW,NOW,M,"PORTAGG","MEANR")&lt;/Q&gt;&lt;R&gt;1&lt;/R&gt;&lt;C&gt;1&lt;/C&gt;&lt;D xsi:type="xsd:double"&gt;3.14188973242987&lt;/D&gt;&lt;/FQL&gt;&lt;FQL&gt;&lt;Q&gt;EWQ^FMA_PE(LTM,0,,,"PORTAGG","MEANR")&lt;/Q&gt;&lt;R&gt;1&lt;/R&gt;&lt;C&gt;1&lt;/C&gt;&lt;D xsi:type="xsd:double"&gt;16.4125280413868&lt;/D&gt;&lt;/FQL&gt;&lt;FQL&gt;&lt;Q&gt;EWC^JULIAN(FMA_DIV_YLD(NTMA,NOW,NOW,M,"PORTAGG","MEANR").DATES)&lt;/Q&gt;&lt;R&gt;1&lt;/R&gt;&lt;C&gt;1&lt;/C&gt;&lt;D xsi:type="xsd:long"&gt;45412&lt;/D&gt;&lt;/FQL&gt;&lt;FQL&gt;&lt;Q&gt;EWN^FMA_EVAL_EBIT(LTMA,NOW,NOW,M,"PORTAGG","MEANR")&lt;/Q&gt;&lt;R&gt;1&lt;/R&gt;&lt;C&gt;1&lt;/C&gt;&lt;D xsi:type="xsd:double"&gt;21.9357396575082&lt;/D&gt;&lt;/FQL&gt;&lt;FQL&gt;&lt;Q&gt;SPY^FG_FCF_YIELD_NTM(0)&lt;/Q&gt;&lt;R&gt;1&lt;/R&gt;&lt;C&gt;1&lt;/C&gt;&lt;D xsi:type="xsd:double"&gt;4.31001959730121&lt;/D&gt;&lt;/FQL&gt;&lt;FQL&gt;&lt;Q&gt;VGK^JULIAN(FMA_DIV_YLD(NTMA,NOW,NOW,M,"PORTAGG","MEANR").DATES)&lt;/Q&gt;&lt;R&gt;1&lt;/R&gt;&lt;C&gt;1&lt;/C&gt;&lt;D xsi:type="xsd:long"&gt;45379&lt;/D&gt;&lt;/FQL&gt;&lt;FQL&gt;&lt;Q&gt;EWI^FMA_EVAL_EBIT(LTMA,NOW,NOW,M,"PORTAGG","MEANR")&lt;/Q&gt;&lt;R&gt;1&lt;/R&gt;&lt;C&gt;1&lt;/C&gt;&lt;D xsi:type="xsd:double"&gt;10.8087175497661&lt;/D&gt;&lt;/FQL&gt;&lt;FQL&gt;&lt;Q&gt;EWA^FMA_EVAL_EBIT(LTMA,NOW,NOW,M,"PORTAGG","MEANR")&lt;/Q&gt;&lt;R&gt;1&lt;/R&gt;&lt;C&gt;1&lt;/C&gt;&lt;D xsi:type="xsd:double"&gt;12.371377956199&lt;/D&gt;&lt;/FQL&gt;&lt;FQL&gt;&lt;Q&gt;EWG^FMA_EVAL_EBIT(LTMA,NOW,NOW,M,"PORTAGG","MEANR")&lt;/Q&gt;&lt;R&gt;1&lt;/R&gt;&lt;C&gt;1&lt;/C&gt;&lt;D xsi:type="xsd:double"&gt;13.299776952522&lt;/D&gt;&lt;/FQL&gt;&lt;FQL&gt;&lt;Q&gt;EWG^FMA_EVAL_EBITDA(NTMA,0,,,"PORTAGG","MEANR")&lt;/Q&gt;&lt;R&gt;1&lt;/R&gt;&lt;C&gt;1&lt;/C&gt;&lt;D xsi:type="xsd:double"&gt;8.37973449233525&lt;/D&gt;&lt;/FQL&gt;&lt;FQL&gt;&lt;Q&gt;VGK^FG_FCF_YIELD_NTM(0)&lt;/Q&gt;&lt;R&gt;1&lt;/R&gt;&lt;C&gt;1&lt;/C&gt;&lt;D xsi:type="xsd:double"&gt;5.1990777221095&lt;/D&gt;&lt;/FQL&gt;&lt;FQL&gt;&lt;Q&gt;EWD^FMA_PE(NTMA,0,,,"PORTAGG","MEANR")&lt;/Q&gt;&lt;R&gt;1&lt;/R&gt;&lt;C&gt;1&lt;/C&gt;&lt;D xsi:type="xsd:double"&gt;16.0961396775348&lt;/D&gt;&lt;/FQL&gt;&lt;FQL&gt;&lt;Q&gt;EWQ^JULIAN(FMA_DIV_YLD(NTMA,NOW,NOW,M,"PORTAGG","MEANR").DATES)&lt;/Q&gt;&lt;R&gt;1&lt;/R&gt;&lt;C&gt;1&lt;/C&gt;&lt;D xsi:type="xsd:long"&gt;45411&lt;/D&gt;&lt;/FQL&gt;&lt;FQL&gt;&lt;Q&gt;EWU^FMA_EVAL_EBITDA(NTMA,0,,,"PORTAGG","MEANR")&lt;/Q&gt;&lt;R&gt;1&lt;/R&gt;&lt;C&gt;1&lt;/C&gt;&lt;D xsi:type="xsd:double"&gt;7.56583233922611&lt;/D&gt;&lt;/FQL&gt;&lt;FQL&gt;&lt;Q&gt;EWJ^FMA_DIV_YLD(NTMA,NOW,NOW,M,"PORTAGG","MEANR")&lt;/Q&gt;&lt;R&gt;1&lt;/R&gt;&lt;C&gt;1&lt;/C&gt;&lt;D xsi:type="xsd:double"&gt;2.2497412507125&lt;/D&gt;&lt;/FQL&gt;&lt;FQL&gt;&lt;Q&gt;EWC^FMA_PE(LTM,0,,,"PORTAGG","MEANR")&lt;/Q&gt;&lt;R&gt;1&lt;/R&gt;&lt;C&gt;1&lt;/C&gt;&lt;D xsi:type="xsd:double"&gt;16.4865789069075&lt;/D&gt;&lt;/FQL&gt;&lt;FQL&gt;&lt;Q&gt;VGK^FMA_DIV_YLD(NTMA,NOW,NOW,M,"PORTAGG","MEANR")&lt;/Q&gt;&lt;R&gt;1&lt;/R&gt;&lt;C&gt;1&lt;/C&gt;&lt;D xsi:type="xsd:double"&gt;3.44776379212814&lt;/D&gt;&lt;/FQL&gt;&lt;FQL&gt;&lt;Q&gt;EWD^FMA_PE(LTM,0,,,"PORTAGG","MEANR")&lt;/Q&gt;&lt;R&gt;1&lt;/R&gt;&lt;C&gt;1&lt;/C&gt;&lt;D xsi:type="xsd:double"&gt;14.1680494796695&lt;/D&gt;&lt;/FQL&gt;&lt;FQL&gt;&lt;Q&gt;EWA^FMA_DIV_YLD(NTMA,NOW,NOW,M,"PORTAGG","MEANR")&lt;/Q&gt;&lt;R&gt;1&lt;/R&gt;&lt;C&gt;1&lt;/C&gt;&lt;D xsi:type="xsd:double"&gt;4.01792604397345&lt;/D&gt;&lt;/FQL&gt;&lt;FQL&gt;&lt;Q&gt;TLT^P_PRICE(0)/P_PRICE_HIGH_PR(0,,,USD,,,"PRICE","INTRA","52W")&lt;/Q&gt;&lt;R&gt;1&lt;/R&gt;&lt;C&gt;1&lt;/C&gt;&lt;D xsi:type="xsd:double"&gt;0.834334&lt;/D&gt;&lt;/FQL&gt;&lt;FQL&gt;&lt;Q&gt;TLT^FG_TOTAL_RETURNC(0,-6AM)&lt;/Q&gt;&lt;R&gt;1&lt;/R&gt;&lt;C&gt;1&lt;/C&gt;&lt;D xsi:type="xsd:double"&gt;4.1787624&lt;/D&gt;&lt;/FQL&gt;&lt;FQL&gt;&lt;Q&gt;SPY^P_PRICE(0)/P_PRICE_HIGH_PR(0,,,USD,,,"PRICE","INTRA","52W")&lt;/Q&gt;&lt;R&gt;1&lt;/R&gt;&lt;C&gt;1&lt;/C&gt;&lt;D xsi:type="xsd:double"&gt;0.96267706&lt;/D&gt;&lt;/FQL&gt;&lt;FQL&gt;&lt;Q&gt;UUP^P_PRICE(0)/P_PRICE_HIGH_PR(0,,,USD,,,"PRICE","INTRA","52W")&lt;/Q&gt;&lt;R&gt;1&lt;/R&gt;&lt;C&gt;1&lt;/C&gt;&lt;D xsi:type="xsd:double"&gt;0.9524283&lt;/D&gt;&lt;/FQL&gt;&lt;FQL&gt;&lt;Q&gt;UUP^FG_TOTAL_RETURNC(0,-6AM)&lt;/Q&gt;&lt;R&gt;1&lt;/R&gt;&lt;C&gt;1&lt;/C&gt;&lt;D xsi:type="xsd:double"&gt;2.255857&lt;/D&gt;&lt;/FQL&gt;&lt;FQL&gt;&lt;Q&gt;GLD^FG_TOTAL_RETURNC(0,-1AM)&lt;/Q&gt;&lt;R&gt;1&lt;/R&gt;&lt;C&gt;1&lt;/C&gt;&lt;D xsi:type="xsd:double"&gt;1.0621667&lt;/D&gt;&lt;/FQL&gt;&lt;FQL&gt;&lt;Q&gt;DBA^P_PRICE(0)/P_PRICE_HIGH_PR(0,,,USD,,,"PRICE","INTRA","52W")&lt;/Q&gt;&lt;R&gt;1&lt;/R&gt;&lt;C&gt;1&lt;/C&gt;&lt;D xsi:type="xsd:double"&gt;0.88141334&lt;/D&gt;&lt;/FQL&gt;&lt;FQL&gt;&lt;Q&gt;VGK^P_PRICE(0)/P_PRICE_HIGH_PR(0,,,USD,,,"PRICE","INTRA","52W")&lt;/Q&gt;&lt;R&gt;1&lt;/R&gt;&lt;C&gt;1&lt;/C&gt;&lt;D xsi:type="xsd:double"&gt;0.9765418&lt;/D&gt;&lt;/FQL&gt;&lt;FQL&gt;&lt;Q&gt;TLT^FG_TOTAL_RETURNC(0,-3AM)&lt;/Q&gt;&lt;R&gt;1&lt;/R&gt;&lt;C&gt;1&lt;/C&gt;&lt;D xsi:type="xsd:double"&gt;-6.495041&lt;/D&gt;&lt;/FQL&gt;&lt;FQL&gt;&lt;Q&gt;UUP^FG_TOTAL_RETURNC(0,-3AM)&lt;/Q&gt;&lt;R&gt;1&lt;/R&gt;&lt;C&gt;1&lt;/C&gt;&lt;D xsi:type="xsd:double"&gt;2.8274894&lt;/D&gt;&lt;/FQL&gt;&lt;FQL&gt;&lt;Q&gt;TLT^FG_TOTAL_RETURNC(0,-1AM)&lt;/Q&gt;&lt;R&gt;1&lt;/R&gt;&lt;C&gt;1&lt;/C&gt;&lt;D xsi:type="xsd:double"&gt;-3.0323029&lt;/D&gt;&lt;/FQL&gt;&lt;FQL&gt;&lt;Q&gt;UUP^FG_TOTAL_RETURNC(0,-1AM)&lt;/Q&gt;&lt;R&gt;1&lt;/R&gt;&lt;C&gt;1&lt;/C&gt;&lt;D xsi:type="xsd:double"&gt;1.0196924&lt;/D&gt;&lt;/FQL&gt;&lt;FQL&gt;&lt;Q&gt;USO^FG_TOTAL_RETURNC(0,-1AM)&lt;/Q&gt;&lt;R&gt;1&lt;/R&gt;&lt;C&gt;1&lt;/C&gt;&lt;D xsi:type="xsd:double"&gt;-6.015599&lt;/D&gt;&lt;/FQL&gt;&lt;FQL&gt;&lt;Q&gt;VWO^P_PRICE(0)/P_PRICE_HIGH_PR(0,,,USD,,,"PRICE","INTRA","52W")&lt;/Q&gt;&lt;R&gt;1&lt;/R&gt;&lt;C&gt;1&lt;/C&gt;&lt;D xsi:type="xsd:double"&gt;0.99769324&lt;/D&gt;&lt;/FQL&gt;&lt;FQL&gt;&lt;Q&gt;USO^P_PRICE(0)/P_PRICE_HIGH_PR(0,,,USD,,,"PRICE","INTRA","52W")&lt;/Q&gt;&lt;R&gt;1&lt;/R&gt;&lt;C&gt;1&lt;/C&gt;&lt;D xsi:type="xsd:double"&gt;0.9103225&lt;/D&gt;&lt;/FQL&gt;&lt;FQL&gt;&lt;Q&gt;GLD^P_PRICE(0)/P_PRICE_HIGH_PR(0,,,USD,,,"PRICE","INTRA","52W")&lt;/Q&gt;&lt;R&gt;1&lt;/R&gt;&lt;C&gt;1&lt;/C&gt;&lt;D xsi:type="xsd:double"&gt;0.94686574&lt;/D&gt;&lt;/FQL&gt;&lt;FQL&gt;&lt;Q&gt;USO^FG_TOTAL_RETURNC(0,-6AM)&lt;/Q&gt;&lt;R&gt;1&lt;/R&gt;&lt;C&gt;1&lt;/C&gt;&lt;D xsi:type="xsd:double"&gt;-0.32817125&lt;/D&gt;&lt;/FQL&gt;&lt;FQL&gt;&lt;Q&gt;GLD^FG_TOTAL_RETURNC(0,-6AM)&lt;/Q&gt;&lt;R&gt;1&lt;/R&gt;&lt;C&gt;1&lt;/C&gt;&lt;D xsi:type="xsd:double"&gt;15.756035&lt;/D&gt;&lt;/FQL&gt;&lt;FQL&gt;&lt;Q&gt;USO^FG_TOTAL_RETURNC(0,-3AM)&lt;/Q&gt;&lt;R&gt;1&lt;/R&gt;&lt;C&gt;1&lt;/C&gt;&lt;D xsi:type="xsd:double"&gt;12.472224&lt;/D&gt;&lt;/FQL&gt;&lt;FQL&gt;&lt;Q&gt;GLD^FG_TOTAL_RETURNC(0,-3AM)&lt;/Q&gt;&lt;R&gt;1&lt;/R&gt;&lt;C&gt;1&lt;/C&gt;&lt;D xsi:type="xsd:double"&gt;13.000369&lt;/D&gt;&lt;/FQL&gt;&lt;FQL&gt;&lt;Q&gt;EWJ^P_PRICE(0)/P_PRICE_HIGH_PR(0,,,USD,,,"PRICE","INTRA","52W")&lt;/Q&gt;&lt;R&gt;1&lt;/R&gt;&lt;C&gt;1&lt;/C&gt;&lt;D xsi:type="xsd:double"&gt;0.9501145&lt;/D&gt;&lt;/FQL&gt;&lt;FQL&gt;&lt;Q&gt;QQQ^P_PRICE(0)/P_PRICE_HIGH_PR(0,,,USD,,,"PRICE","INTRA","52W")&lt;/Q&gt;&lt;R&gt;1&lt;/R&gt;&lt;C&gt;1&lt;/C&gt;&lt;D xsi:type="xsd:double"&gt;0.95006007&lt;/D&gt;&lt;/FQL&gt;&lt;FQL&gt;&lt;Q&gt;DBA^FG_TOTAL_RETURNC(0,-6AM)&lt;/Q&gt;&lt;R&gt;1&lt;/R&gt;&lt;C&gt;1&lt;/C&gt;&lt;D xsi:type="xsd:double"&gt;10.258472&lt;/D&gt;&lt;/FQL&gt;&lt;FQL&gt;&lt;Q&gt;DBA^FG_TOTAL_RETURNC(0,-3AM)&lt;/Q&gt;&lt;R&gt;1&lt;/R&gt;&lt;C&gt;1&lt;/C&gt;&lt;D xsi:type="xsd:double"&gt;8.06452&lt;/D&gt;&lt;/FQL&gt;&lt;FQL&gt;&lt;Q&gt;DBA^FG_TOTAL_RETURNC(0,-1AM)&lt;/Q&gt;&lt;R&gt;1&lt;/R&gt;&lt;C&gt;1&lt;/C&gt;&lt;D xsi:type="xsd:double"&gt;-5.2907887&lt;/D&gt;&lt;/FQL&gt;&lt;FQL&gt;&lt;Q&gt;DUMMY^ECON_DATE(45294,,, 'MM/YYYY')&lt;/Q&gt;&lt;R&gt;1&lt;/R&gt;&lt;C&gt;1&lt;/C&gt;&lt;D xsi:type="xsd:string"&gt;01/2024&lt;/D&gt;&lt;/FQL&gt;&lt;FQL&gt;&lt;Q&gt;DUMMY^ECON_DATE(45385,,, 'MM/YYYY')&lt;/Q&gt;&lt;R&gt;1&lt;/R&gt;&lt;C&gt;1&lt;/C&gt;&lt;D xsi:type="xsd:string"&gt;04/2024&lt;/D&gt;&lt;/FQL&gt;&lt;FQL&gt;&lt;Q&gt;CC_NL^IMF_IFS_RCPI_Q(-1AM)&lt;/Q&gt;&lt;R&gt;0&lt;/R&gt;&lt;C&gt;0&lt;/C&gt;&lt;/FQL&gt;&lt;FQL&gt;&lt;Q&gt;CC_US^IMF_IFS_RCPI_Q(-1AM)&lt;/Q&gt;&lt;R&gt;0&lt;/R&gt;&lt;C&gt;0&lt;/C&gt;&lt;/FQL&gt;&lt;FQL&gt;&lt;Q&gt;CC_JP^IMF_IFS_RCPI_Q(-1AM)&lt;/Q&gt;&lt;R&gt;0&lt;/R&gt;&lt;C&gt;0&lt;/C&gt;&lt;/FQL&gt;&lt;FQL&gt;&lt;Q&gt;CC_NZ^IMF_IFS_RCPI_Q(-1AM)&lt;/Q&gt;&lt;R&gt;0&lt;/R&gt;&lt;C&gt;0&lt;/C&gt;&lt;/FQL&gt;&lt;FQL&gt;&lt;Q&gt;CC_AU^IMF_IFS_RCPI_Q(-1AM)&lt;/Q&gt;&lt;R&gt;0&lt;/R&gt;&lt;C&gt;0&lt;/C&gt;&lt;/FQL&gt;&lt;FQL&gt;&lt;Q&gt;DUMMY^ECON_EXPR_DATA('FDS_ECON[NTCPMIMFGSA@NZ]',04/2024,,Q)&lt;/Q&gt;&lt;R&gt;1&lt;/R&gt;&lt;C&gt;1&lt;/C&gt;&lt;D xsi:type="xsd:double"&gt;47.884563&lt;/D&gt;&lt;/FQL&gt;&lt;FQL&gt;&lt;Q&gt;DUMMY^ECON_EXPR_DATA('FDS_ECON[NTCPMIMFGSA@NZ]',01/2024,,Q)&lt;/Q&gt;&lt;R&gt;1&lt;/R&gt;&lt;C&gt;1&lt;/C&gt;&lt;D xsi:type="xsd:double"&gt;44.378197&lt;/D&gt;&lt;/FQL&gt;&lt;FQL&gt;&lt;Q&gt;DUMMY^ECON_EXPR_DATA('FDS_ECON[NTCPMIMFGSA@AU]',04/2024,,Q)&lt;/Q&gt;&lt;R&gt;1&lt;/R&gt;&lt;C&gt;1&lt;/C&gt;&lt;D xsi:type="xsd:double"&gt;48.39547&lt;/D&gt;&lt;/FQL&gt;&lt;FQL&gt;&lt;Q&gt;DUMMY^ECON_EXPR_DATA('FDS_ECON[NTCPMIMFGSA@AU]',01/2024,,Q)&lt;/Q&gt;&lt;R&gt;1&lt;/R&gt;&lt;C&gt;1&lt;/C&gt;&lt;D xsi:type="xsd:double"&gt;47.862293&lt;/D&gt;&lt;/FQL&gt;&lt;FQL&gt;&lt;Q&gt;DUMMY^ECON_EXPR_DATA('FDS_ECON[NTCPMIMFGSA@CA]',04/2024,,Q)&lt;/Q&gt;&lt;R&gt;1&lt;/R&gt;&lt;C&gt;1&lt;/C&gt;&lt;D xsi:type="xsd:double"&gt;49.30091&lt;/D&gt;&lt;/FQL&gt;&lt;FQL&gt;&lt;Q&gt;DUMMY^ECON_EXPR_DATA('FDS_ECON[NTCPMIMFGSA@CA]',01/2024,,Q)&lt;/Q&gt;&lt;R&gt;1&lt;/R&gt;&lt;C&gt;1&lt;/C&gt;&lt;D xsi:type="xsd:double"&gt;47.255585&lt;/D&gt;&lt;/FQL&gt;&lt;FQL&gt;&lt;Q&gt;DUMMY^ECON_EXPR_DATA('FDS_ECON[NTCPMIMFGSA@DE]',04/2024,,Q)&lt;/Q&gt;&lt;R&gt;1&lt;/R&gt;&lt;C&gt;1&lt;/C&gt;&lt;D xsi:type="xsd:double"&gt;43.319096&lt;/D&gt;&lt;/FQL&gt;&lt;FQL&gt;&lt;Q&gt;DUMMY^ECON_EXPR_DATA('FDS_ECON[NTCPMIMFGSA@DE]',01/2024,,Q)&lt;/Q&gt;&lt;R&gt;1&lt;/R&gt;&lt;C&gt;1&lt;/C&gt;&lt;D xsi:type="xsd:double"&gt;42.238945&lt;/D&gt;&lt;/FQL&gt;&lt;FQL&gt;&lt;Q&gt;DUMMY^ECON_EXPR_DATA('FDS_ECON[NTCPMIMFGSA@JP]',04/2024,,Q)&lt;/Q&gt;&lt;R&gt;1&lt;/R&gt;&lt;C&gt;1&lt;/C&gt;&lt;D xsi:type="xsd:double"&gt;47.808857&lt;/D&gt;&lt;/FQL&gt;&lt;FQL&gt;&lt;Q&gt;DUMMY^ECON_EXPR_DATA('FDS_ECON[NTCPMIMFGSA@JP]',01/2024,,Q)&lt;/Q&gt;&lt;R&gt;1&lt;/R&gt;&lt;C&gt;1&lt;/C&gt;&lt;D xsi:type="xsd:double"&gt;48.31877&lt;/D&gt;&lt;/FQL&gt;&lt;FQL&gt;&lt;Q&gt;DUMMY^ECON_EXPR_DATA('FDS_ECON[NTCPMIMFGSA@CH]',04/2024,,Q)&lt;/Q&gt;&lt;R&gt;1&lt;/R&gt;&lt;C&gt;1&lt;/C&gt;&lt;D xsi:type="xsd:double"&gt;44.08605&lt;/D&gt;&lt;/FQL&gt;&lt;FQL&gt;&lt;Q&gt;DUMMY^ECON_EXPR_DATA('FDS_ECON[NTCPMIMFGSA@CH]',01/2024,,Q)&lt;/Q&gt;&lt;R&gt;1&lt;/R&gt;&lt;C&gt;1&lt;/C&gt;&lt;D xsi:type="xsd:double"&gt;41.921543&lt;/D&gt;&lt;/FQL&gt;&lt;FQL&gt;&lt;Q&gt;DUMMY^ECON_EXPR_DATA('FDS_ECON[NTCPMIMFGSA@GB]',04/2024,,Q)&lt;/Q&gt;&lt;R&gt;1&lt;/R&gt;&lt;C&gt;1&lt;/C&gt;&lt;D xsi:type="xsd:double"&gt;48.24796&lt;/D&gt;&lt;/FQL&gt;&lt;FQL&gt;&lt;Q&gt;DUMMY^ECON_EXPR_DATA('FDS_ECON[NTCPMIMFGSA@GB]',01/2024,,Q)&lt;/Q&gt;&lt;R&gt;1&lt;/R&gt;&lt;C&gt;1&lt;/C&gt;&lt;D xsi:type="xsd:double"&gt;46.0587&lt;/D&gt;&lt;/FQL&gt;&lt;FQL&gt;&lt;Q&gt;DUMMY^ECON_EXPR_DATA('FDS_ECON[NTCPMIMFGMESA@US]',04/2024,,Q)&lt;/Q&gt;&lt;R&gt;1&lt;/R&gt;&lt;C&gt;1&lt;/C&gt;&lt;D xsi:type="xsd:double"&gt;51.582687&lt;/D&gt;&lt;/FQL&gt;&lt;FQL&gt;&lt;Q&gt;DUMMY^ECON_EXPR_DATA('FDS_ECON[NTCPMIMFGMESA@US]',01/2024,,Q)&lt;/Q&gt;&lt;R&gt;1&lt;/R&gt;&lt;C&gt;1&lt;/C&gt;&lt;D xsi:type="xsd:double"&gt;49.098827&lt;/D&gt;&lt;/FQL&gt;&lt;FQL&gt;&lt;Q&gt;DUMMY^ECON_EXPR_DATA('FDS_ECON[NTCPMIMFGSA@FR]',04/2024,,Q)&lt;/Q&gt;&lt;R&gt;1&lt;/R&gt;&lt;C&gt;1&lt;/C&gt;&lt;D xsi:type="xsd:double"&gt;45.498753&lt;/D&gt;&lt;/FQL&gt;&lt;FQL&gt;&lt;Q&gt;DUMMY^ECON_EXPR_DATA('FDS_ECON[NTCPMIMFGSA@FR]',01/2024,,Q)&lt;/Q&gt;&lt;R&gt;1&lt;/R&gt;&lt;C&gt;1&lt;/C&gt;&lt;D xsi:type="xsd:double"&gt;42.573967&lt;/D&gt;&lt;/FQL&gt;&lt;FQL&gt;&lt;Q&gt;DUMMY^ECON_EXPR_DATA('FDS_ECON[NTCPMIMFGSA@NL]',04/2024,,Q)&lt;/Q&gt;&lt;R&gt;1&lt;/R&gt;&lt;C&gt;1&lt;/C&gt;&lt;D xsi:type="xsd:double"&gt;49.325874&lt;/D&gt;&lt;/FQL&gt;&lt;FQL&gt;&lt;Q&gt;DUMMY^ECON_EXPR_DATA('FDS_ECON[NTCPMIMFGSA@NL]',01/2024,,Q)&lt;/Q&gt;&lt;R&gt;1&lt;/R&gt;&lt;C&gt;1&lt;/C&gt;&lt;D xsi:type="xsd:double"&gt;44.495136&lt;/D&gt;&lt;/FQL&gt;&lt;FQL&gt;&lt;Q&gt;DUMMY^ECON_EXPR_DATA('FDS_ECON[]',04/2024,,Q)&lt;/Q&gt;&lt;R&gt;0&lt;/R&gt;&lt;C&gt;0&lt;/C&gt;&lt;/FQL&gt;&lt;FQL&gt;&lt;Q&gt;DUMMY^ECON_EXPR_DATA('FDS_ECON[]',01/2024,,Q)&lt;/Q&gt;&lt;R&gt;0&lt;/R&gt;&lt;C&gt;0&lt;/C&gt;&lt;/FQL&gt;&lt;FQL&gt;&lt;Q&gt;DUMMY^ECON_EXPR_DATA('FDS_ECON[NTCPMIMFGSA@IT]',04/2024,,Q)&lt;/Q&gt;&lt;R&gt;1&lt;/R&gt;&lt;C&gt;1&lt;/C&gt;&lt;D xsi:type="xsd:double"&gt;49.208153&lt;/D&gt;&lt;/FQL&gt;&lt;FQL&gt;&lt;Q&gt;DUMMY^ECON_EXPR_DATA('FDS_ECON[NTCPMIMFGSA@IT]',01/2024,,Q)&lt;/Q&gt;&lt;R&gt;1&lt;/R&gt;&lt;C&gt;1&lt;/C&gt;&lt;D xsi:type="xsd:double"&gt;44.859455&lt;/D&gt;&lt;/FQL&gt;&lt;FQL&gt;&lt;Q&gt;DUMMY^ECON_EXPR_DATA('FDS_ECON[PMIDMMANHE]',04/2024,,Q)&lt;/Q&gt;&lt;R&gt;1&lt;/R&gt;&lt;C&gt;1&lt;/C&gt;&lt;D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xsi:type="xsd:double"&gt;50.624123&lt;/D&gt;&lt;/FQL&gt;&lt;FQL&gt;&lt;Q&gt;CC_US^IMF_IFS_RCPI_Q(-2AM)&lt;/Q&gt;&lt;R&gt;1&lt;/R&gt;&lt;C&gt;1&lt;/C&gt;&lt;D xsi:type="xsd:double"&gt;3.2433991&lt;/D&gt;&lt;/FQL&gt;&lt;FQL&gt;&lt;Q&gt;CC_NZ^IMF_IFS_RCPI_Q(-2AM)&lt;/Q&gt;&lt;R&gt;1&lt;/R&gt;&lt;C&gt;1&lt;/C&gt;&lt;D xsi:type="xsd:double"&gt;4.655029&lt;/D&gt;&lt;/FQL&gt;&lt;FQL&gt;&lt;Q&gt;CC_AU^IMF_IFS_RCPI_Q(-2AM)&lt;/Q&gt;&lt;R&gt;1&lt;/R&gt;&lt;C&gt;1&lt;/C&gt;&lt;D xsi:type="xsd:double"&gt;4.051988&lt;/D&gt;&lt;/FQL&gt;&lt;FQL&gt;&lt;Q&gt;CC_JP^IMF_IFS_RCPI_Q(-2AM)&lt;/Q&gt;&lt;R&gt;1&lt;/R&gt;&lt;C&gt;1&lt;/C&gt;&lt;D xsi:type="xsd:double"&gt;2.9194753&lt;/D&gt;&lt;/FQL&gt;&lt;FQL&gt;&lt;Q&gt;CC_NL^IMF_IFS_RCPI_Q(-2AM)&lt;/Q&gt;&lt;R&gt;1&lt;/R&gt;&lt;C&gt;1&lt;/C&gt;&lt;D xsi:type="xsd:double"&gt;0.80520856&lt;/D&gt;&lt;/FQL&gt;&lt;/Schema&gt;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<sst xmlns="http://schemas.openxmlformats.org/spreadsheetml/2006/main" count="2053" uniqueCount="915">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</sst>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5.0664611992612074E-2</v>
      </c>
      <c r="O13" s="55">
        <f>N13*(1+N9)</f>
        <v>5.3704488712168805E-2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4.0509799410536104E-2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4.5759000000000001E-2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-4.3353880073879261E-3</v>
      </c>
      <c r="O21" s="57">
        <f>O13-O16</f>
        <v>8.7044887121688064E-3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4.9056119926120731E-3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1</v>
      </c>
      <c r="E8" s="11">
        <f t="shared" ref="E8:E17" si="0">D8</f>
        <v>1</v>
      </c>
    </row>
    <row r="9" spans="3:9" x14ac:dyDescent="0.35">
      <c r="C9" s="56" t="s">
        <v>1</v>
      </c>
      <c r="D9">
        <f>'Asset class'!S4</f>
        <v>4</v>
      </c>
      <c r="E9" s="58">
        <f t="shared" si="0"/>
        <v>4</v>
      </c>
      <c r="H9" s="62" t="s">
        <v>903</v>
      </c>
      <c r="I9" s="171">
        <f>Timing!L22</f>
        <v>7.6923076923076927E-2</v>
      </c>
    </row>
    <row r="10" spans="3:9" x14ac:dyDescent="0.35">
      <c r="C10" s="56" t="s">
        <v>888</v>
      </c>
      <c r="D10">
        <f>'Asset class'!S5</f>
        <v>4</v>
      </c>
      <c r="E10" s="58">
        <f t="shared" si="0"/>
        <v>4</v>
      </c>
      <c r="H10" s="56" t="s">
        <v>904</v>
      </c>
      <c r="I10" s="57">
        <f>Timing!M22</f>
        <v>0.38461538461538464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0.84615384615384615</v>
      </c>
    </row>
    <row r="12" spans="3:9" x14ac:dyDescent="0.35">
      <c r="C12" s="56" t="s">
        <v>51</v>
      </c>
      <c r="D12">
        <f>'Asset class'!S7</f>
        <v>6</v>
      </c>
      <c r="E12" s="58">
        <f t="shared" si="0"/>
        <v>6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9</v>
      </c>
      <c r="E14" s="14">
        <f t="shared" si="0"/>
        <v>9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2</v>
      </c>
      <c r="E16" s="14">
        <f t="shared" si="0"/>
        <v>2</v>
      </c>
    </row>
    <row r="17" spans="2:15" ht="15" thickBot="1" x14ac:dyDescent="0.4">
      <c r="C17" s="148" t="s">
        <v>46</v>
      </c>
      <c r="D17">
        <f>'Asset class'!S12</f>
        <v>5</v>
      </c>
      <c r="E17" s="14">
        <f t="shared" si="0"/>
        <v>5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0.44246031746031744</v>
      </c>
      <c r="D23" s="170"/>
      <c r="E23" s="171">
        <f>'Momnetum ranking'!I22</f>
        <v>0.39880952380952384</v>
      </c>
    </row>
    <row r="24" spans="2:15" x14ac:dyDescent="0.35">
      <c r="B24" s="56" t="s">
        <v>51</v>
      </c>
      <c r="C24" s="9">
        <f>'Momnetum ranking'!H10</f>
        <v>0.40196078431372551</v>
      </c>
      <c r="D24" s="9"/>
      <c r="E24" s="57">
        <f>'Momnetum ranking'!I10</f>
        <v>0.38235294117647056</v>
      </c>
    </row>
    <row r="25" spans="2:15" x14ac:dyDescent="0.35">
      <c r="B25" s="56" t="s">
        <v>895</v>
      </c>
      <c r="C25" s="9">
        <f>'Momnetum ranking'!H23</f>
        <v>0.37735849056603776</v>
      </c>
      <c r="D25" s="9"/>
      <c r="E25" s="57">
        <f>'Momnetum ranking'!I23</f>
        <v>0.41509433962264153</v>
      </c>
    </row>
    <row r="26" spans="2:15" x14ac:dyDescent="0.35">
      <c r="B26" s="56" t="s">
        <v>46</v>
      </c>
      <c r="C26" s="9">
        <f>'Momnetum ranking'!H21</f>
        <v>0.45871559633027525</v>
      </c>
      <c r="D26" s="9"/>
      <c r="E26" s="57">
        <f>'Momnetum ranking'!I21</f>
        <v>0.39449541284403672</v>
      </c>
    </row>
    <row r="27" spans="2:15" ht="15" thickBot="1" x14ac:dyDescent="0.4">
      <c r="B27" s="12" t="s">
        <v>536</v>
      </c>
      <c r="C27" s="172">
        <f>'Momnetum ranking'!H18</f>
        <v>0.33124999999999999</v>
      </c>
      <c r="D27" s="172"/>
      <c r="E27" s="59">
        <f>'Momnetum ranking'!I18</f>
        <v>0.42812499999999998</v>
      </c>
    </row>
    <row r="28" spans="2:15" x14ac:dyDescent="0.35">
      <c r="B28" s="62" t="s">
        <v>6</v>
      </c>
      <c r="C28" s="170">
        <f>'Momnetum ranking'!H19</f>
        <v>841</v>
      </c>
      <c r="D28" s="170"/>
      <c r="E28" s="171">
        <f>'Momnetum ranking'!I19</f>
        <v>1332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-9.6874999999999989E-2</v>
      </c>
      <c r="F35" s="5">
        <f>'Momnetum ranking'!K18</f>
        <v>0.69236883942766303</v>
      </c>
      <c r="G35" s="9">
        <f>'Momnetum ranking'!Q18</f>
        <v>0.97654180000000002</v>
      </c>
      <c r="H35" s="3">
        <f>'Momnetum ranking'!O18</f>
        <v>4.4860600000000002</v>
      </c>
      <c r="K35">
        <f>_xlfn.RANK.EQ(E35,$E$35:$E$39)</f>
        <v>4</v>
      </c>
      <c r="L35">
        <f>_xlfn.RANK.EQ(F35,$F$35:$F$39)</f>
        <v>3</v>
      </c>
      <c r="M35">
        <f>_xlfn.RANK.EQ(G35,$G$35:$G$39)</f>
        <v>2</v>
      </c>
      <c r="N35">
        <f>_xlfn.RANK.EQ(H35,$H$35:$H$39)</f>
        <v>2</v>
      </c>
      <c r="O35" s="58">
        <f>MEDIAN(K35:N35)</f>
        <v>2.5</v>
      </c>
    </row>
    <row r="36" spans="3:15" x14ac:dyDescent="0.35">
      <c r="C36" s="56" t="s">
        <v>749</v>
      </c>
      <c r="E36" s="9">
        <f>'Momnetum ranking'!J19</f>
        <v>-491</v>
      </c>
      <c r="F36" s="5">
        <f>'Momnetum ranking'!K19</f>
        <v>0.41552020636285497</v>
      </c>
      <c r="G36" s="9">
        <f>'Momnetum ranking'!Q19</f>
        <v>0.99769324000000004</v>
      </c>
      <c r="H36" s="3">
        <f>'Momnetum ranking'!O19</f>
        <v>9.2355009999999993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1</v>
      </c>
      <c r="N36">
        <f t="shared" ref="N36:N39" si="4">_xlfn.RANK.EQ(H36,$H$35:$H$39)</f>
        <v>1</v>
      </c>
      <c r="O36" s="58">
        <f t="shared" ref="O36:O39" si="5">MEDIAN(K36:N36)</f>
        <v>3</v>
      </c>
    </row>
    <row r="37" spans="3:15" x14ac:dyDescent="0.35">
      <c r="C37" s="56" t="s">
        <v>781</v>
      </c>
      <c r="E37" s="9">
        <f>'Momnetum ranking'!J20</f>
        <v>4.6289993192648038E-2</v>
      </c>
      <c r="F37" s="5">
        <f>'Momnetum ranking'!K20</f>
        <v>0.70793433652530791</v>
      </c>
      <c r="G37" s="9">
        <f>'Momnetum ranking'!Q20</f>
        <v>0.96480469999999996</v>
      </c>
      <c r="H37" s="3">
        <f>'Momnetum ranking'!O20</f>
        <v>2.6603222</v>
      </c>
      <c r="K37">
        <f t="shared" si="1"/>
        <v>2</v>
      </c>
      <c r="L37">
        <f t="shared" si="2"/>
        <v>1</v>
      </c>
      <c r="M37">
        <f t="shared" si="3"/>
        <v>3</v>
      </c>
      <c r="N37">
        <f t="shared" si="4"/>
        <v>4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6.4220183486238536E-2</v>
      </c>
      <c r="F38" s="5">
        <f>'Momnetum ranking'!K21</f>
        <v>0.701834862385321</v>
      </c>
      <c r="G38" s="9">
        <f>'Momnetum ranking'!Q21</f>
        <v>0.95011449999999997</v>
      </c>
      <c r="H38" s="3">
        <f>'Momnetum ranking'!O21</f>
        <v>2.9469251999999999</v>
      </c>
      <c r="K38">
        <f t="shared" si="1"/>
        <v>1</v>
      </c>
      <c r="L38">
        <f t="shared" si="2"/>
        <v>2</v>
      </c>
      <c r="M38">
        <f t="shared" si="3"/>
        <v>5</v>
      </c>
      <c r="N38">
        <f t="shared" si="4"/>
        <v>3</v>
      </c>
      <c r="O38" s="58">
        <f t="shared" si="5"/>
        <v>2.5</v>
      </c>
    </row>
    <row r="39" spans="3:15" ht="15" thickBot="1" x14ac:dyDescent="0.4">
      <c r="C39" s="12" t="s">
        <v>119</v>
      </c>
      <c r="D39" s="13"/>
      <c r="E39" s="172">
        <f>'Momnetum ranking'!J22</f>
        <v>4.3650793650793607E-2</v>
      </c>
      <c r="F39" s="17">
        <f>'Momnetum ranking'!K22</f>
        <v>0.68662674650698607</v>
      </c>
      <c r="G39" s="172">
        <f>'Momnetum ranking'!Q22</f>
        <v>0.96267705999999997</v>
      </c>
      <c r="H39" s="175">
        <f>'Momnetum ranking'!O22</f>
        <v>2.4800062</v>
      </c>
      <c r="I39" s="13"/>
      <c r="J39" s="13"/>
      <c r="K39" s="13">
        <f t="shared" si="1"/>
        <v>3</v>
      </c>
      <c r="L39" s="13">
        <f t="shared" si="2"/>
        <v>4</v>
      </c>
      <c r="M39" s="13">
        <f t="shared" si="3"/>
        <v>4</v>
      </c>
      <c r="N39" s="13">
        <f t="shared" si="4"/>
        <v>5</v>
      </c>
      <c r="O39" s="14">
        <f t="shared" si="5"/>
        <v>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2.7804136000000002</v>
      </c>
      <c r="F3" s="3" cm="1">
        <f t="array" ref="F3">_xll.FDS(C3,"FG_TOTAL_RETURNC(0,-3AM)")</f>
        <v>9.2355009999999993</v>
      </c>
      <c r="G3" s="3" cm="1">
        <f t="array" ref="G3">_xll.FDS(C3,"FG_TOTAL_RETURNC(0,-6AM)")</f>
        <v>13.972712</v>
      </c>
      <c r="H3" s="9" cm="1">
        <f t="array" ref="H3">_xll.FDS(C3,"P_PRICE(0)/P_PRICE_HIGH_PR(0,,,USD,,,""PRICE"",""INTRA"",""52W"")")</f>
        <v>0.99769324000000004</v>
      </c>
      <c r="K3" s="4">
        <f>_xlfn.RANK.EQ(H3,H$3:H$12)</f>
        <v>1</v>
      </c>
      <c r="L3" s="4">
        <f>_xlfn.RANK.EQ(F3,F$3:F$12)</f>
        <v>3</v>
      </c>
      <c r="M3" s="4">
        <f>_xlfn.RANK.EQ(G3,G$3:G$12)</f>
        <v>5</v>
      </c>
      <c r="N3" s="4"/>
      <c r="P3" s="3">
        <f t="shared" ref="P3:P12" si="0">SUMPRODUCT($K$2:$M$2,K3:M3)</f>
        <v>2.97</v>
      </c>
      <c r="Q3">
        <f t="shared" ref="Q3:Q12" si="1">COUNTIF(K3:N3,"&gt;70")</f>
        <v>0</v>
      </c>
      <c r="S3" s="3">
        <f>11-_xlfn.RANK.EQ(P3,$P$3:$P$12)</f>
        <v>1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-2.6617109999999999</v>
      </c>
      <c r="F4" s="3" cm="1">
        <f t="array" ref="F4">_xll.FDS(C4,"FG_TOTAL_RETURNC(0,-3AM)")</f>
        <v>2.4800062</v>
      </c>
      <c r="G4" s="3" cm="1">
        <f t="array" ref="G4">_xll.FDS(C4,"FG_TOTAL_RETURNC(0,-6AM)")</f>
        <v>18.086040000000001</v>
      </c>
      <c r="H4" s="9" cm="1">
        <f t="array" ref="H4">_xll.FDS(C4,"P_PRICE(0)/P_PRICE_HIGH_PR(0,,,USD,,,""PRICE"",""INTRA"",""52W"")")</f>
        <v>0.96267705999999997</v>
      </c>
      <c r="I4" s="177"/>
      <c r="K4" s="4">
        <f t="shared" ref="K4:K12" si="3">_xlfn.RANK.EQ(H4,H$3:H$12)</f>
        <v>3</v>
      </c>
      <c r="L4" s="4">
        <f t="shared" ref="L4:M12" si="4">_xlfn.RANK.EQ(F4,F$3:F$12)</f>
        <v>8</v>
      </c>
      <c r="M4" s="4">
        <f t="shared" si="4"/>
        <v>1</v>
      </c>
      <c r="N4" s="4"/>
      <c r="P4" s="3">
        <f t="shared" si="0"/>
        <v>3.96</v>
      </c>
      <c r="Q4">
        <f t="shared" si="1"/>
        <v>0</v>
      </c>
      <c r="S4" s="3">
        <f t="shared" ref="S4:S12" si="5">11-_xlfn.RANK.EQ(P4,$P$3:$P$12)</f>
        <v>4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1.0621666999999999</v>
      </c>
      <c r="F5" s="3" cm="1">
        <f t="array" ref="F5">_xll.FDS(C5,"FG_TOTAL_RETURNC(0,-3AM)")</f>
        <v>13.000368999999999</v>
      </c>
      <c r="G5" s="3" cm="1">
        <f t="array" ref="G5">_xll.FDS(C5,"FG_TOTAL_RETURNC(0,-6AM)")</f>
        <v>15.756035000000001</v>
      </c>
      <c r="H5" s="9" cm="1">
        <f t="array" ref="H5">_xll.FDS(C5,"P_PRICE(0)/P_PRICE_HIGH_PR(0,,,USD,,,""PRICE"",""INTRA"",""52W"")")</f>
        <v>0.94686574000000001</v>
      </c>
      <c r="I5" s="177"/>
      <c r="K5" s="4">
        <f t="shared" si="3"/>
        <v>7</v>
      </c>
      <c r="L5" s="4">
        <f t="shared" si="4"/>
        <v>1</v>
      </c>
      <c r="M5" s="4">
        <f t="shared" si="4"/>
        <v>4</v>
      </c>
      <c r="N5" s="4"/>
      <c r="P5" s="3">
        <f t="shared" si="0"/>
        <v>3.96</v>
      </c>
      <c r="Q5">
        <f t="shared" si="1"/>
        <v>0</v>
      </c>
      <c r="S5" s="3">
        <f t="shared" si="5"/>
        <v>4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1.0196924000000001</v>
      </c>
      <c r="F6" s="3" cm="1">
        <f t="array" ref="F6">_xll.FDS(C6,"FG_TOTAL_RETURNC(0,-3AM)")</f>
        <v>2.8274894000000002</v>
      </c>
      <c r="G6" s="3" cm="1">
        <f t="array" ref="G6">_xll.FDS(C6,"FG_TOTAL_RETURNC(0,-6AM)")</f>
        <v>2.2558569999999998</v>
      </c>
      <c r="H6" s="9" cm="1">
        <f t="array" ref="H6">_xll.FDS(C6,"P_PRICE(0)/P_PRICE_HIGH_PR(0,,,USD,,,""PRICE"",""INTRA"",""52W"")")</f>
        <v>0.95242830000000001</v>
      </c>
      <c r="I6" s="177"/>
      <c r="K6" s="4">
        <f t="shared" si="3"/>
        <v>4</v>
      </c>
      <c r="L6" s="4">
        <f t="shared" si="4"/>
        <v>7</v>
      </c>
      <c r="M6" s="4">
        <f t="shared" si="4"/>
        <v>9</v>
      </c>
      <c r="N6" s="4"/>
      <c r="P6" s="3">
        <f t="shared" si="0"/>
        <v>6.6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-3.2214165000000001</v>
      </c>
      <c r="F7" s="3" cm="1">
        <f t="array" ref="F7">_xll.FDS(C7,"FG_TOTAL_RETURNC(0,-3AM)")</f>
        <v>-0.36140084</v>
      </c>
      <c r="G7" s="3" cm="1">
        <f t="array" ref="G7">_xll.FDS(C7,"FG_TOTAL_RETURNC(0,-6AM)")</f>
        <v>17.910229999999999</v>
      </c>
      <c r="H7" s="9" cm="1">
        <f t="array" ref="H7">_xll.FDS(C7,"P_PRICE(0)/P_PRICE_HIGH_PR(0,,,USD,,,""PRICE"",""INTRA"",""52W"")")</f>
        <v>0.95006007000000003</v>
      </c>
      <c r="I7" s="1"/>
      <c r="K7" s="4">
        <f t="shared" si="3"/>
        <v>6</v>
      </c>
      <c r="L7" s="4">
        <f t="shared" si="4"/>
        <v>9</v>
      </c>
      <c r="M7" s="4">
        <f t="shared" si="4"/>
        <v>2</v>
      </c>
      <c r="N7" s="4"/>
      <c r="P7" s="3">
        <f t="shared" si="0"/>
        <v>5.61</v>
      </c>
      <c r="Q7">
        <f t="shared" si="1"/>
        <v>0</v>
      </c>
      <c r="S7" s="3">
        <f t="shared" si="5"/>
        <v>6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-5.2907887000000002</v>
      </c>
      <c r="F8" s="3" cm="1">
        <f t="array" ref="F8">_xll.FDS(C8,"FG_TOTAL_RETURNC(0,-3AM)")</f>
        <v>8.0645199999999999</v>
      </c>
      <c r="G8" s="3" cm="1">
        <f t="array" ref="G8">_xll.FDS(C8,"FG_TOTAL_RETURNC(0,-6AM)")</f>
        <v>10.258471999999999</v>
      </c>
      <c r="H8" s="9" cm="1">
        <f t="array" ref="H8">_xll.FDS(C8,"P_PRICE(0)/P_PRICE_HIGH_PR(0,,,USD,,,""PRICE"",""INTRA"",""52W"")")</f>
        <v>0.88141334000000005</v>
      </c>
      <c r="I8" s="1"/>
      <c r="K8" s="4">
        <f t="shared" si="3"/>
        <v>9</v>
      </c>
      <c r="L8" s="4">
        <f t="shared" si="4"/>
        <v>4</v>
      </c>
      <c r="M8" s="4">
        <f t="shared" si="4"/>
        <v>7</v>
      </c>
      <c r="N8" s="4"/>
      <c r="P8" s="3">
        <f t="shared" si="0"/>
        <v>6.6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-6.0155989999999999</v>
      </c>
      <c r="F9" s="3" cm="1">
        <f t="array" ref="F9">_xll.FDS(C9,"FG_TOTAL_RETURNC(0,-3AM)")</f>
        <v>12.472224000000001</v>
      </c>
      <c r="G9" s="3" cm="1">
        <f t="array" ref="G9">_xll.FDS(C9,"FG_TOTAL_RETURNC(0,-6AM)")</f>
        <v>-0.32817125000000003</v>
      </c>
      <c r="H9" s="9" cm="1">
        <f t="array" ref="H9">_xll.FDS(C9,"P_PRICE(0)/P_PRICE_HIGH_PR(0,,,USD,,,""PRICE"",""INTRA"",""52W"")")</f>
        <v>0.91032250000000003</v>
      </c>
      <c r="I9" s="1"/>
      <c r="K9" s="4">
        <f t="shared" si="3"/>
        <v>8</v>
      </c>
      <c r="L9" s="4">
        <f t="shared" si="4"/>
        <v>2</v>
      </c>
      <c r="M9" s="4">
        <f t="shared" si="4"/>
        <v>10</v>
      </c>
      <c r="N9" s="4"/>
      <c r="P9" s="3">
        <f t="shared" si="0"/>
        <v>6.6000000000000005</v>
      </c>
      <c r="Q9">
        <f t="shared" si="1"/>
        <v>0</v>
      </c>
      <c r="S9" s="3">
        <f t="shared" si="5"/>
        <v>9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-3.0323028999999999</v>
      </c>
      <c r="F10" s="3" cm="1">
        <f t="array" ref="F10">_xll.FDS(C10,"FG_TOTAL_RETURNC(0,-3AM)")</f>
        <v>-6.4950409999999996</v>
      </c>
      <c r="G10" s="3" cm="1">
        <f t="array" ref="G10">_xll.FDS(C10,"FG_TOTAL_RETURNC(0,-6AM)")</f>
        <v>4.1787624000000001</v>
      </c>
      <c r="H10" s="9" cm="1">
        <f t="array" ref="H10">_xll.FDS(C10,"P_PRICE(0)/P_PRICE_HIGH_PR(0,,,USD,,,""PRICE"",""INTRA"",""52W"")")</f>
        <v>0.83433400000000002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-0.67526699999999995</v>
      </c>
      <c r="F11" s="3" cm="1">
        <f t="array" ref="F11">_xll.FDS(C11,"FG_TOTAL_RETURNC(0,-3AM)")</f>
        <v>4.4860600000000002</v>
      </c>
      <c r="G11" s="3" cm="1">
        <f t="array" ref="G11">_xll.FDS(C11,"FG_TOTAL_RETURNC(0,-6AM)")</f>
        <v>16.064644000000001</v>
      </c>
      <c r="H11" s="9" cm="1">
        <f t="array" ref="H11">_xll.FDS(C11,"P_PRICE(0)/P_PRICE_HIGH_PR(0,,,USD,,,""PRICE"",""INTRA"",""52W"")")</f>
        <v>0.97654180000000002</v>
      </c>
      <c r="K11" s="4">
        <f t="shared" si="3"/>
        <v>2</v>
      </c>
      <c r="L11" s="4">
        <f t="shared" si="4"/>
        <v>5</v>
      </c>
      <c r="M11" s="4">
        <f t="shared" si="4"/>
        <v>3</v>
      </c>
      <c r="P11" s="3">
        <f t="shared" si="0"/>
        <v>3.3</v>
      </c>
      <c r="Q11">
        <f t="shared" si="1"/>
        <v>0</v>
      </c>
      <c r="S11" s="3">
        <f t="shared" si="5"/>
        <v>2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-2.0737945999999998</v>
      </c>
      <c r="F12" s="3" cm="1">
        <f t="array" ref="F12">_xll.FDS(C12,"FG_TOTAL_RETURNC(0,-3AM)")</f>
        <v>2.9469251999999999</v>
      </c>
      <c r="G12" s="3" cm="1">
        <f t="array" ref="G12">_xll.FDS(C12,"FG_TOTAL_RETURNC(0,-6AM)")</f>
        <v>13.921379999999999</v>
      </c>
      <c r="H12" s="9" cm="1">
        <f t="array" ref="H12">_xll.FDS(C12,"P_PRICE(0)/P_PRICE_HIGH_PR(0,,,USD,,,""PRICE"",""INTRA"",""52W"")")</f>
        <v>0.95011449999999997</v>
      </c>
      <c r="K12" s="4">
        <f t="shared" si="3"/>
        <v>5</v>
      </c>
      <c r="L12" s="4">
        <f t="shared" si="4"/>
        <v>6</v>
      </c>
      <c r="M12" s="4">
        <f t="shared" si="4"/>
        <v>6</v>
      </c>
      <c r="P12" s="3">
        <f t="shared" si="0"/>
        <v>5.6099999999999994</v>
      </c>
      <c r="Q12">
        <f t="shared" si="1"/>
        <v>0</v>
      </c>
      <c r="S12" s="3">
        <f t="shared" si="5"/>
        <v>5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N21" sqref="N21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71.399999999999991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80.900000000000006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92.800000000000011</v>
      </c>
      <c r="J6" s="120">
        <f ca="1">VLOOKUP(B6,'Momnetum ranking'!$A$3:$AJ$15,36,FALSE)</f>
        <v>14.2</v>
      </c>
      <c r="K6" s="163">
        <f>VLOOKUP(B6,'Momnetum ranking'!$A$3:$H$15,8,FALSE)</f>
        <v>0.45652173913043476</v>
      </c>
      <c r="L6" s="120">
        <f>VLOOKUP(B6,'Currency- 2'!$A$3:$U$15,21,FALSE)</f>
        <v>28.499999999999996</v>
      </c>
      <c r="M6" s="162">
        <f t="shared" ref="M6:M18" ca="1" si="1">D6*$D$2 + E6*$E$2 + F6*$F$2 + I6*$I$2 + J6*$J$2 + L6*$L$2</f>
        <v>51.357573000000002</v>
      </c>
      <c r="N6" s="120" cm="1">
        <f t="array" aca="1" ref="N6" ca="1">_xlfn.PERCENTRANK.EXC(_xlfn._xlws.FILTER($M$6:M$18, ISNUMBER($M$6:M$18)),M6)*100</f>
        <v>64.2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50</v>
      </c>
      <c r="F7" s="159">
        <f>VLOOKUP(B7,Safety!$B$4:$R$16,17,FALSE)</f>
        <v>14.2</v>
      </c>
      <c r="G7" s="180">
        <f t="shared" si="0"/>
        <v>38.06666666666667</v>
      </c>
      <c r="H7" s="125" cm="1">
        <f t="array" ref="H7">_xlfn.PERCENTRANK.EXC(_xlfn._xlws.FILTER($G$6:G$18, ISNUMBER($G$6:G$18)),G7)*100</f>
        <v>21.4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0.45871559633027525</v>
      </c>
      <c r="L7" s="121">
        <f>VLOOKUP(B7,'Currency- 2'!$A$3:$U$15,21,FALSE)</f>
        <v>7.1</v>
      </c>
      <c r="M7" s="160">
        <f t="shared" ca="1" si="1"/>
        <v>27.828857999999997</v>
      </c>
      <c r="N7" s="121" cm="1">
        <f t="array" aca="1" ref="N7" ca="1">_xlfn.PERCENTRANK.EXC(_xlfn._xlws.FILTER($M$6:M$18, ISNUMBER($M$6:M$18)),M7)*100</f>
        <v>21.4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28.499999999999996</v>
      </c>
      <c r="G8" s="180">
        <f t="shared" si="0"/>
        <v>42.800000000000004</v>
      </c>
      <c r="H8" s="125" cm="1">
        <f t="array" ref="H8">_xlfn.PERCENTRANK.EXC(_xlfn._xlws.FILTER($G$6:G$18, ISNUMBER($G$6:G$18)),G8)*100</f>
        <v>42.8</v>
      </c>
      <c r="I8" s="159">
        <f>VLOOKUP(B8,'LIQIDITY 2'!$A$3:$X$15,24,FALSE)</f>
        <v>7.1</v>
      </c>
      <c r="J8" s="121">
        <f ca="1">VLOOKUP(B8,'Momnetum ranking'!$A$3:$AJ$15,36,FALSE)</f>
        <v>28.499999999999996</v>
      </c>
      <c r="K8" s="161">
        <f>VLOOKUP(B8,'Momnetum ranking'!$A$3:$H$15,8,FALSE)</f>
        <v>0.40196078431372551</v>
      </c>
      <c r="L8" s="121">
        <f>VLOOKUP(B8,'Currency- 2'!$A$3:$U$15,21,FALSE)</f>
        <v>78.5</v>
      </c>
      <c r="M8" s="160">
        <f t="shared" ca="1" si="1"/>
        <v>33.508716</v>
      </c>
      <c r="N8" s="121" cm="1">
        <f t="array" aca="1" ref="N8" ca="1">_xlfn.PERCENTRANK.EXC(_xlfn._xlws.FILTER($M$6:M$18, ISNUMBER($M$6:M$18)),M8)*100</f>
        <v>28.499999999999996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64.2</v>
      </c>
      <c r="G9" s="180">
        <f t="shared" si="0"/>
        <v>61.83333333333335</v>
      </c>
      <c r="H9" s="125" cm="1">
        <f t="array" ref="H9">_xlfn.PERCENTRANK.EXC(_xlfn._xlws.FILTER($G$6:G$18, ISNUMBER($G$6:G$18)),G9)*100</f>
        <v>78.5</v>
      </c>
      <c r="I9" s="159">
        <f>VLOOKUP(B9,'LIQIDITY 2'!$A$3:$X$15,24,FALSE)</f>
        <v>7.1</v>
      </c>
      <c r="J9" s="121">
        <f ca="1">VLOOKUP(B9,'Momnetum ranking'!$A$3:$AJ$15,36,FALSE)</f>
        <v>64.2</v>
      </c>
      <c r="K9" s="161">
        <f>VLOOKUP(B9,'Momnetum ranking'!$A$3:$H$15,8,FALSE)</f>
        <v>0.44246031746031744</v>
      </c>
      <c r="L9" s="121">
        <f>VLOOKUP(B9,'Currency- 2'!$A$3:$U$15,21,FALSE)</f>
        <v>78.5</v>
      </c>
      <c r="M9" s="160">
        <f t="shared" ca="1" si="1"/>
        <v>53.498145000000001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85.7</v>
      </c>
      <c r="E10" s="121">
        <f>VLOOKUP(B10,'Quality - 2'!$B$2:$S$14,18,FALSE)</f>
        <v>28.499999999999996</v>
      </c>
      <c r="F10" s="159">
        <f>VLOOKUP(B10,Safety!$B$4:$R$16,17,FALSE)</f>
        <v>21.4</v>
      </c>
      <c r="G10" s="180">
        <f t="shared" si="0"/>
        <v>45.20000000000001</v>
      </c>
      <c r="H10" s="125" cm="1">
        <f t="array" ref="H10">_xlfn.PERCENTRANK.EXC(_xlfn._xlws.FILTER($G$6:G$18, ISNUMBER($G$6:G$18)),G10)*100</f>
        <v>50</v>
      </c>
      <c r="I10" s="159">
        <f>VLOOKUP(B10,'LIQIDITY 2'!$A$3:$X$15,24,FALSE)</f>
        <v>7.1</v>
      </c>
      <c r="J10" s="121">
        <f ca="1">VLOOKUP(B10,'Momnetum ranking'!$A$3:$AJ$15,36,FALSE)</f>
        <v>71.399999999999991</v>
      </c>
      <c r="K10" s="161">
        <f>VLOOKUP(B10,'Momnetum ranking'!$A$3:$H$15,8,FALSE)</f>
        <v>0.48275862068965519</v>
      </c>
      <c r="L10" s="121">
        <f>VLOOKUP(B10,'Currency- 2'!$A$3:$U$15,21,FALSE)</f>
        <v>71.399999999999991</v>
      </c>
      <c r="M10" s="160">
        <f t="shared" ca="1" si="1"/>
        <v>50.678643999999998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78.5</v>
      </c>
      <c r="E11" s="121">
        <f>VLOOKUP(B11,'Quality - 2'!$B$2:$S$14,18,FALSE)</f>
        <v>57.099999999999994</v>
      </c>
      <c r="F11" s="159">
        <f>VLOOKUP(B11,Safety!$B$4:$R$16,17,FALSE)</f>
        <v>35.699999999999996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7.1</v>
      </c>
      <c r="J11" s="121">
        <f ca="1">VLOOKUP(B11,'Momnetum ranking'!$A$3:$AJ$15,36,FALSE)</f>
        <v>85.7</v>
      </c>
      <c r="K11" s="161">
        <f>VLOOKUP(B11,'Momnetum ranking'!$A$3:$H$15,8,FALSE)</f>
        <v>0.4</v>
      </c>
      <c r="L11" s="121">
        <f>VLOOKUP(B11,'Currency- 2'!$A$3:$U$15,21,FALSE)</f>
        <v>50</v>
      </c>
      <c r="M11" s="160">
        <f t="shared" ca="1" si="1"/>
        <v>57.828287000000003</v>
      </c>
      <c r="N11" s="121" cm="1">
        <f t="array" aca="1" ref="N11" ca="1">_xlfn.PERCENTRANK.EXC(_xlfn._xlws.FILTER($M$6:M$18, ISNUMBER($M$6:M$18)),M11)*100</f>
        <v>92.800000000000011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50</v>
      </c>
      <c r="G12" s="180">
        <f t="shared" si="0"/>
        <v>52.333333333333343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7.1</v>
      </c>
      <c r="J12" s="121">
        <f ca="1">VLOOKUP(B12,'Momnetum ranking'!$A$3:$AJ$15,36,FALSE)</f>
        <v>50</v>
      </c>
      <c r="K12" s="161">
        <f>VLOOKUP(B12,'Momnetum ranking'!$A$3:$H$15,8,FALSE)</f>
        <v>0.45454545454545453</v>
      </c>
      <c r="L12" s="121">
        <f>VLOOKUP(B12,'Currency- 2'!$A$3:$U$15,21,FALSE)</f>
        <v>42.8</v>
      </c>
      <c r="M12" s="160">
        <f t="shared" ca="1" si="1"/>
        <v>41.398430000000005</v>
      </c>
      <c r="N12" s="121" cm="1">
        <f t="array" aca="1" ref="N12" ca="1">_xlfn.PERCENTRANK.EXC(_xlfn._xlws.FILTER($M$6:M$18, ISNUMBER($M$6:M$18)),M12)*100</f>
        <v>42.8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14.2</v>
      </c>
      <c r="F13" s="159">
        <f>VLOOKUP(B13,Safety!$B$4:$R$16,17,FALSE)</f>
        <v>71.399999999999991</v>
      </c>
      <c r="G13" s="180">
        <f t="shared" si="0"/>
        <v>35.666666666666664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21.4</v>
      </c>
      <c r="K13" s="161">
        <f>VLOOKUP(B13,'Momnetum ranking'!$A$3:$H$15,8,FALSE)</f>
        <v>0.33898305084745761</v>
      </c>
      <c r="L13" s="121">
        <f>VLOOKUP(B13,'Currency- 2'!$A$3:$U$15,21,FALSE)</f>
        <v>57.099999999999994</v>
      </c>
      <c r="M13" s="160">
        <f t="shared" ca="1" si="1"/>
        <v>26.388929999999998</v>
      </c>
      <c r="N13" s="121" cm="1">
        <f t="array" aca="1" ref="N13" ca="1">_xlfn.PERCENTRANK.EXC(_xlfn._xlws.FILTER($M$6:M$18, ISNUMBER($M$6:M$18)),M13)*100</f>
        <v>14.2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85.7</v>
      </c>
      <c r="G14" s="180">
        <f t="shared" si="0"/>
        <v>38.06666666666667</v>
      </c>
      <c r="H14" s="125" cm="1">
        <f t="array" ref="H14">_xlfn.PERCENTRANK.EXC(_xlfn._xlws.FILTER($G$6:G$18, ISNUMBER($G$6:G$18)),G14)*100</f>
        <v>21.4</v>
      </c>
      <c r="I14" s="159">
        <f>VLOOKUP(B14,'LIQIDITY 2'!$A$3:$X$15,24,FALSE)</f>
        <v>7.1</v>
      </c>
      <c r="J14" s="121">
        <f ca="1">VLOOKUP(B14,'Momnetum ranking'!$A$3:$AJ$15,36,FALSE)</f>
        <v>7.1</v>
      </c>
      <c r="K14" s="161">
        <f>VLOOKUP(B14,'Momnetum ranking'!$A$3:$H$15,8,FALSE)</f>
        <v>0.35714285714285715</v>
      </c>
      <c r="L14" s="121">
        <f>VLOOKUP(B14,'Currency- 2'!$A$3:$U$15,21,FALSE)</f>
        <v>21.4</v>
      </c>
      <c r="M14" s="160">
        <f t="shared" ca="1" si="1"/>
        <v>17.818857999999999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57.099999999999994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69.000000000000014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7.1</v>
      </c>
      <c r="J15" s="121">
        <f ca="1">VLOOKUP(B15,'Momnetum ranking'!$A$3:$AJ$15,36,FALSE)</f>
        <v>57.099999999999994</v>
      </c>
      <c r="K15" s="161">
        <f>VLOOKUP(B15,'Momnetum ranking'!$A$3:$H$15,8,FALSE)</f>
        <v>0.42857142857142855</v>
      </c>
      <c r="L15" s="121">
        <f>VLOOKUP(B15,'Currency- 2'!$A$3:$U$15,21,FALSE)</f>
        <v>14.2</v>
      </c>
      <c r="M15" s="160">
        <f t="shared" ca="1" si="1"/>
        <v>46.377930000000006</v>
      </c>
      <c r="N15" s="121" cm="1">
        <f t="array" aca="1" ref="N15" ca="1">_xlfn.PERCENTRANK.EXC(_xlfn._xlws.FILTER($M$6:M$18, ISNUMBER($M$6:M$18)),M15)*100</f>
        <v>50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57.099999999999994</v>
      </c>
      <c r="G16" s="180">
        <f t="shared" si="0"/>
        <v>40.433333333333337</v>
      </c>
      <c r="H16" s="125" cm="1">
        <f t="array" ref="H16">_xlfn.PERCENTRANK.EXC(_xlfn._xlws.FILTER($G$6:G$18, ISNUMBER($G$6:G$18)),G16)*100</f>
        <v>35.699999999999996</v>
      </c>
      <c r="I16" s="159">
        <f>VLOOKUP(B16,'LIQIDITY 2'!$A$3:$X$15,24,FALSE)</f>
        <v>7.1</v>
      </c>
      <c r="J16" s="121">
        <f ca="1">VLOOKUP(B16,'Momnetum ranking'!$A$3:$AJ$15,36,FALSE)</f>
        <v>78.5</v>
      </c>
      <c r="K16" s="161">
        <f>VLOOKUP(B16,'Momnetum ranking'!$A$3:$H$15,8,FALSE)</f>
        <v>0.37037037037037035</v>
      </c>
      <c r="L16" s="121">
        <f>VLOOKUP(B16,'Currency- 2'!$A$3:$U$15,21,FALSE)</f>
        <v>92.800000000000011</v>
      </c>
      <c r="M16" s="160">
        <f t="shared" ca="1" si="1"/>
        <v>54.228787000000004</v>
      </c>
      <c r="N16" s="121" cm="1">
        <f t="array" aca="1" ref="N16" ca="1">_xlfn.PERCENTRANK.EXC(_xlfn._xlws.FILTER($M$6:M$18, ISNUMBER($M$6:M$18)),M16)*100</f>
        <v>78.5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42.8</v>
      </c>
      <c r="F17" s="159">
        <f>VLOOKUP(B17,Safety!$B$4:$R$16,17,FALSE)</f>
        <v>42.8</v>
      </c>
      <c r="G17" s="180">
        <f t="shared" si="0"/>
        <v>49.933333333333344</v>
      </c>
      <c r="H17" s="125" cm="1">
        <f t="array" ref="H17">_xlfn.PERCENTRANK.EXC(_xlfn._xlws.FILTER($G$6:G$18, ISNUMBER($G$6:G$18)),G17)*100</f>
        <v>57.099999999999994</v>
      </c>
      <c r="I17" s="159">
        <f>VLOOKUP(B17,'LIQIDITY 2'!$A$3:$X$15,24,FALSE)</f>
        <v>7.1</v>
      </c>
      <c r="J17" s="121">
        <f ca="1">VLOOKUP(B17,'Momnetum ranking'!$A$3:$AJ$15,36,FALSE)</f>
        <v>42.8</v>
      </c>
      <c r="K17" s="161">
        <f>VLOOKUP(B17,'Momnetum ranking'!$A$3:$H$15,8,FALSE)</f>
        <v>0.51111111111111107</v>
      </c>
      <c r="L17" s="121">
        <f>VLOOKUP(B17,'Currency- 2'!$A$3:$U$15,21,FALSE)</f>
        <v>35.699999999999996</v>
      </c>
      <c r="M17" s="160">
        <f t="shared" ca="1" si="1"/>
        <v>37.088501999999998</v>
      </c>
      <c r="N17" s="121" cm="1">
        <f t="array" aca="1" ref="N17" ca="1">_xlfn.PERCENTRANK.EXC(_xlfn._xlws.FILTER($M$6:M$18, ISNUMBER($M$6:M$18)),M17)*100</f>
        <v>35.699999999999996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14.2</v>
      </c>
      <c r="I18" s="154">
        <f>VLOOKUP(B18,'LIQIDITY 2'!$A$3:$X$15,24,FALSE)</f>
        <v>7.1</v>
      </c>
      <c r="J18" s="122">
        <f ca="1">VLOOKUP(B18,'Momnetum ranking'!$A$3:$AJ$15,36,FALSE)</f>
        <v>92.800000000000011</v>
      </c>
      <c r="K18" s="165">
        <f>VLOOKUP(B18,'Momnetum ranking'!$A$3:$H$15,8,FALSE)</f>
        <v>0.34615384615384615</v>
      </c>
      <c r="L18" s="122">
        <f>VLOOKUP(B18,'Currency- 2'!$A$3:$U$15,21,FALSE)</f>
        <v>64.2</v>
      </c>
      <c r="M18" s="164">
        <f t="shared" ca="1" si="1"/>
        <v>55.658930000000012</v>
      </c>
      <c r="N18" s="122" cm="1">
        <f t="array" aca="1" ref="N18" ca="1">_xlfn.PERCENTRANK.EXC(_xlfn._xlws.FILTER($M$6:M$18, ISNUMBER($M$6:M$18)),M18)*100</f>
        <v>85.7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5</v>
      </c>
      <c r="S3" s="148">
        <f ca="1">COUNTIF(S9:S17,"&gt;0")</f>
        <v>5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0.1806050354956181</v>
      </c>
      <c r="F9">
        <f ca="1">VLOOKUP(B9,OUTPUT_COUNTRY!$B$6:$N$18, 9, FALSE)</f>
        <v>7.1</v>
      </c>
      <c r="G9" s="47">
        <f>IFERROR(VLOOKUP(B9,OUTPUT_COUNTRY!$B$6:$N$18, 7, FALSE),0)</f>
        <v>21.4</v>
      </c>
      <c r="H9">
        <f>VLOOKUP(B9,OUTPUT_COUNTRY!$B$6:$N$18, 8, FALSE)</f>
        <v>7.1</v>
      </c>
      <c r="I9">
        <f>VLOOKUP(B9,OUTPUT_COUNTRY!$B$6:$N$18, 11, FALSE)</f>
        <v>21.4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0.21121093845016345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57.099999999999994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0.19115171852254403</v>
      </c>
      <c r="F11">
        <f ca="1">VLOOKUP(B11,OUTPUT_COUNTRY!$B$6:$N$18, 9, FALSE)</f>
        <v>50</v>
      </c>
      <c r="G11" s="47">
        <f>IFERROR(VLOOKUP(B11,OUTPUT_COUNTRY!$B$6:$N$18, 7, FALSE),0)</f>
        <v>64.2</v>
      </c>
      <c r="H11">
        <f>VLOOKUP(B11,OUTPUT_COUNTRY!$B$6:$N$18, 8, FALSE)</f>
        <v>7.1</v>
      </c>
      <c r="I11">
        <f>VLOOKUP(B11,OUTPUT_COUNTRY!$B$6:$N$18, 11, FALSE)</f>
        <v>42.8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0.23564793620196664</v>
      </c>
      <c r="F12">
        <f ca="1">VLOOKUP(B12,OUTPUT_COUNTRY!$B$6:$N$18, 9, FALSE)</f>
        <v>71.399999999999991</v>
      </c>
      <c r="G12" s="47">
        <f>IFERROR(VLOOKUP(B12,OUTPUT_COUNTRY!$B$6:$N$18, 7, FALSE),0)</f>
        <v>50</v>
      </c>
      <c r="H12">
        <f>VLOOKUP(B12,OUTPUT_COUNTRY!$B$6:$N$18, 8, FALSE)</f>
        <v>7.1</v>
      </c>
      <c r="I12">
        <f>VLOOKUP(B12,OUTPUT_COUNTRY!$B$6:$N$18, 11, FALSE)</f>
        <v>71.399999999999991</v>
      </c>
      <c r="J12" s="47">
        <f t="shared" ca="1" si="0"/>
        <v>4.2436187480247254</v>
      </c>
      <c r="K12" s="136">
        <f t="shared" ca="1" si="6"/>
        <v>0.23172493803136421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4.2436187480247254</v>
      </c>
      <c r="Q12" s="136">
        <f t="shared" si="9"/>
        <v>0.18393690551980305</v>
      </c>
      <c r="R12" s="156">
        <f t="shared" ca="1" si="4"/>
        <v>0.1342561595676624</v>
      </c>
      <c r="S12" s="156">
        <f t="shared" ca="1" si="5"/>
        <v>0.2009368856700616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0.15672409861494704</v>
      </c>
      <c r="F13">
        <f ca="1">VLOOKUP(B13,OUTPUT_COUNTRY!$B$6:$N$18, 9, FALSE)</f>
        <v>35.699999999999996</v>
      </c>
      <c r="G13" s="47">
        <f>IFERROR(VLOOKUP(B13,OUTPUT_COUNTRY!$B$6:$N$18, 7, FALSE),0)</f>
        <v>21.4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0.15066958244148804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28.499999999999996</v>
      </c>
      <c r="J14" s="47">
        <f t="shared" ca="1" si="0"/>
        <v>0</v>
      </c>
      <c r="K14" s="136">
        <f t="shared" ca="1" si="6"/>
        <v>0</v>
      </c>
      <c r="L14">
        <f t="shared" si="1"/>
        <v>6.637039698363445</v>
      </c>
      <c r="M14" s="136">
        <f t="shared" si="7"/>
        <v>0.29578046070396063</v>
      </c>
      <c r="N14">
        <f t="shared" si="2"/>
        <v>6.637039698363445</v>
      </c>
      <c r="O14" s="136">
        <f t="shared" si="8"/>
        <v>1</v>
      </c>
      <c r="P14">
        <f t="shared" si="3"/>
        <v>0</v>
      </c>
      <c r="Q14" s="136">
        <f t="shared" si="9"/>
        <v>0</v>
      </c>
      <c r="R14" s="156">
        <f t="shared" ca="1" si="4"/>
        <v>0.18873413821118817</v>
      </c>
      <c r="S14" s="156">
        <f t="shared" ca="1" si="5"/>
        <v>0.2824723280771812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0.18146767580544432</v>
      </c>
      <c r="F15">
        <f ca="1">VLOOKUP(B15,OUTPUT_COUNTRY!$B$6:$N$18, 9, FALSE)</f>
        <v>85.7</v>
      </c>
      <c r="G15" s="47">
        <f>IFERROR(VLOOKUP(B15,OUTPUT_COUNTRY!$B$6:$N$18, 7, FALSE),0)</f>
        <v>71.399999999999991</v>
      </c>
      <c r="H15">
        <f>VLOOKUP(B15,OUTPUT_COUNTRY!$B$6:$N$18, 8, FALSE)</f>
        <v>7.1</v>
      </c>
      <c r="I15">
        <f>VLOOKUP(B15,OUTPUT_COUNTRY!$B$6:$N$18, 11, FALSE)</f>
        <v>50</v>
      </c>
      <c r="J15" s="47">
        <f t="shared" ca="1" si="0"/>
        <v>5.5106232862767417</v>
      </c>
      <c r="K15" s="136">
        <f t="shared" ca="1" si="6"/>
        <v>0.30091035866995619</v>
      </c>
      <c r="L15">
        <f t="shared" si="1"/>
        <v>5.5106232862767417</v>
      </c>
      <c r="M15" s="136">
        <f t="shared" si="7"/>
        <v>0.24558157980926587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0.22412965327775786</v>
      </c>
      <c r="S15" s="156">
        <f t="shared" ca="1" si="5"/>
        <v>0.33544765961554401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0.22002970087907059</v>
      </c>
      <c r="F16">
        <f ca="1">VLOOKUP(B16,OUTPUT_COUNTRY!$B$6:$N$18, 9, FALSE)</f>
        <v>28.499999999999996</v>
      </c>
      <c r="G16" s="47">
        <f>IFERROR(VLOOKUP(B16,OUTPUT_COUNTRY!$B$6:$N$18, 7, FALSE),0)</f>
        <v>42.8</v>
      </c>
      <c r="H16">
        <f>VLOOKUP(B16,OUTPUT_COUNTRY!$B$6:$N$18, 8, FALSE)</f>
        <v>7.1</v>
      </c>
      <c r="I16">
        <f>VLOOKUP(B16,OUTPUT_COUNTRY!$B$6:$N$18, 11, FALSE)</f>
        <v>78.5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4.5448409737629234</v>
      </c>
      <c r="Q16" s="136">
        <f t="shared" si="9"/>
        <v>0.19699318775577473</v>
      </c>
      <c r="R16" s="156">
        <f t="shared" ca="1" si="4"/>
        <v>1.9699318775577474E-2</v>
      </c>
      <c r="S16" s="156">
        <f t="shared" ca="1" si="5"/>
        <v>2.9483338249306882E-2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0.17471318668768429</v>
      </c>
      <c r="F17">
        <f ca="1">VLOOKUP(B17,OUTPUT_COUNTRY!$B$6:$N$18, 9, FALSE)</f>
        <v>64.2</v>
      </c>
      <c r="G17" s="47">
        <f>IFERROR(VLOOKUP(B17,OUTPUT_COUNTRY!$B$6:$N$18, 7, FALSE),0)</f>
        <v>78.5</v>
      </c>
      <c r="H17">
        <f>VLOOKUP(B17,OUTPUT_COUNTRY!$B$6:$N$18, 8, FALSE)</f>
        <v>7.1</v>
      </c>
      <c r="I17">
        <f>VLOOKUP(B17,OUTPUT_COUNTRY!$B$6:$N$18, 11, FALSE)</f>
        <v>78.5</v>
      </c>
      <c r="J17" s="47">
        <f t="shared" ca="1" si="0"/>
        <v>0</v>
      </c>
      <c r="K17" s="136">
        <f t="shared" ca="1" si="6"/>
        <v>0</v>
      </c>
      <c r="L17">
        <f t="shared" si="1"/>
        <v>5.7236664212850226</v>
      </c>
      <c r="M17" s="136">
        <f t="shared" si="7"/>
        <v>0.25507587236835716</v>
      </c>
      <c r="N17">
        <f t="shared" si="2"/>
        <v>0</v>
      </c>
      <c r="O17" s="136">
        <f t="shared" si="8"/>
        <v>0</v>
      </c>
      <c r="P17">
        <f t="shared" si="3"/>
        <v>5.7236664212850226</v>
      </c>
      <c r="Q17" s="136">
        <f t="shared" si="9"/>
        <v>0.24808861310852101</v>
      </c>
      <c r="R17" s="156">
        <f t="shared" ca="1" si="4"/>
        <v>0.10133162302135926</v>
      </c>
      <c r="S17" s="156">
        <f t="shared" ca="1" si="5"/>
        <v>0.1516597883879062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0.2189264176815609</v>
      </c>
      <c r="F18">
        <f ca="1">VLOOKUP(B18,OUTPUT_COUNTRY!$B$6:$N$18, 9, FALSE)</f>
        <v>57.099999999999994</v>
      </c>
      <c r="G18" s="47">
        <f>IFERROR(VLOOKUP(B18,OUTPUT_COUNTRY!$B$6:$N$18, 7, FALSE),0)</f>
        <v>85.7</v>
      </c>
      <c r="H18">
        <f>VLOOKUP(B18,OUTPUT_COUNTRY!$B$6:$N$18, 8, FALSE)</f>
        <v>7.1</v>
      </c>
      <c r="I18">
        <f>VLOOKUP(B18,OUTPUT_COUNTRY!$B$6:$N$18, 11, FALSE)</f>
        <v>14.2</v>
      </c>
      <c r="J18" s="47">
        <f t="shared" ca="1" si="0"/>
        <v>0</v>
      </c>
      <c r="K18" s="136">
        <f t="shared" ca="1" si="6"/>
        <v>0</v>
      </c>
      <c r="L18">
        <f t="shared" si="1"/>
        <v>4.5677447728329819</v>
      </c>
      <c r="M18" s="136">
        <f t="shared" si="7"/>
        <v>0.20356208711841636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6.1068626135524905E-2</v>
      </c>
      <c r="S18" s="156">
        <f t="shared" ca="1" si="5"/>
        <v>9.1399453010849743E-2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0.23018892641149069</v>
      </c>
      <c r="F19">
        <f ca="1">VLOOKUP(B19,OUTPUT_COUNTRY!$B$6:$N$18, 9, FALSE)</f>
        <v>78.5</v>
      </c>
      <c r="G19" s="47">
        <f>IFERROR(VLOOKUP(B19,OUTPUT_COUNTRY!$B$6:$N$18, 7, FALSE),0)</f>
        <v>35.699999999999996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4.344257630414325</v>
      </c>
      <c r="K19" s="136">
        <f t="shared" ca="1" si="6"/>
        <v>0.23722037486723235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4.344257630414325</v>
      </c>
      <c r="Q19" s="136">
        <f t="shared" si="9"/>
        <v>0.18829903268080939</v>
      </c>
      <c r="R19" s="156">
        <f t="shared" ca="1" si="4"/>
        <v>0.1374400907016971</v>
      </c>
      <c r="S19" s="156">
        <f t="shared" ca="1" si="5"/>
        <v>0.20570217322424977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0.24388402366288148</v>
      </c>
      <c r="F20">
        <f ca="1">VLOOKUP(B20,OUTPUT_COUNTRY!$B$6:$N$18, 9, FALSE)</f>
        <v>42.8</v>
      </c>
      <c r="G20" s="47">
        <f>IFERROR(VLOOKUP(B20,OUTPUT_COUNTRY!$B$6:$N$18, 7, FALSE),0)</f>
        <v>57.099999999999994</v>
      </c>
      <c r="H20">
        <f>VLOOKUP(B20,OUTPUT_COUNTRY!$B$6:$N$18, 8, FALSE)</f>
        <v>7.1</v>
      </c>
      <c r="I20">
        <f>VLOOKUP(B20,OUTPUT_COUNTRY!$B$6:$N$18, 11, FALSE)</f>
        <v>35.699999999999996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0.23726634406237312</v>
      </c>
      <c r="F21" s="13">
        <f ca="1">VLOOKUP(B21,OUTPUT_COUNTRY!$B$6:$N$18, 9, FALSE)</f>
        <v>92.800000000000011</v>
      </c>
      <c r="G21" s="138">
        <f>IFERROR(VLOOKUP(B21,OUTPUT_COUNTRY!$B$6:$N$18, 7, FALSE),0)</f>
        <v>14.2</v>
      </c>
      <c r="H21" s="13">
        <f>VLOOKUP(B21,OUTPUT_COUNTRY!$B$6:$N$18, 8, FALSE)</f>
        <v>7.1</v>
      </c>
      <c r="I21" s="13">
        <f>VLOOKUP(B21,OUTPUT_COUNTRY!$B$6:$N$18, 11, FALSE)</f>
        <v>64.2</v>
      </c>
      <c r="J21" s="138">
        <f t="shared" ca="1" si="0"/>
        <v>4.21467277186653</v>
      </c>
      <c r="K21" s="137">
        <f t="shared" ca="1" si="6"/>
        <v>0.23014432843144733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4.21467277186653</v>
      </c>
      <c r="Q21" s="137">
        <f t="shared" si="9"/>
        <v>0.18268226093509177</v>
      </c>
      <c r="R21" s="157">
        <f t="shared" ca="1" si="4"/>
        <v>0.13334039030923284</v>
      </c>
      <c r="S21" s="157">
        <f t="shared" ca="1" si="5"/>
        <v>0.19956628320851511</v>
      </c>
    </row>
    <row r="22" spans="2:21" x14ac:dyDescent="0.35">
      <c r="J22" s="47">
        <f ca="1">SUM(J9:J21)</f>
        <v>18.31317243658232</v>
      </c>
      <c r="K22" s="169"/>
      <c r="L22">
        <f>SUM(L9:L21)</f>
        <v>22.43907417875819</v>
      </c>
      <c r="N22">
        <f>SUM(N9:N21)</f>
        <v>6.637039698363445</v>
      </c>
      <c r="P22">
        <f>SUM(P9:P21)</f>
        <v>23.071056545353528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G3" sqref="G3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--</v>
      </c>
      <c r="H5" s="121" t="str">
        <f>IF(VLOOKUP(C5,OUTPUT_COUNTRY!$B$6:$N$18,7,FALSE)&gt;75,"++",(IF(VLOOKUP(C5,OUTPUT_COUNTRY!$B$6:$N$18,7,FALSE)&gt;50,"+",(IF(VLOOKUP(C5,OUTPUT_COUNTRY!$B$6:$N$18,7,FALSE)&gt;25,"-","--")))))</f>
        <v>--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-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--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+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</v>
      </c>
      <c r="H15" s="121" t="str">
        <f>IF(VLOOKUP(C15,OUTPUT_COUNTRY!$B$6:$N$18,7,FALSE)&gt;75,"++",(IF(VLOOKUP(C15,OUTPUT_COUNTRY!$B$6:$N$18,7,FALSE)&gt;50,"+",(IF(VLOOKUP(C15,OUTPUT_COUNTRY!$B$6:$N$18,7,FALSE)&gt;25,"-","--")))))</f>
        <v>+</v>
      </c>
      <c r="I15" s="159" t="str">
        <f>IF(VLOOKUP(C15,OUTPUT_COUNTRY!$B$6:$N$18,8,FALSE)&gt;75,"++",(IF(VLOOKUP(C15,OUTPUT_COUNTRY!$B$6:$N$18,8,FALSE)&gt;50,"+",(IF(VLOOKUP(C15,OUTPUT_COUNTRY!$B$6:$N$18,8,FALSE)&gt;25,"-","--")))))</f>
        <v>--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45411</v>
      </c>
      <c r="G3" s="4" cm="1">
        <f t="array" ref="G3">_xll.FDS(D3,"FMA_PE(LTM,0,,,""PORTAGG"",""MEANR"")")</f>
        <v>29.569888737687801</v>
      </c>
      <c r="H3" s="4" cm="1">
        <f t="array" ref="H3">_xll.FDS(D3,"FMA_PE(NTMA,0,,,""PORTAGG"",""MEANR"")")</f>
        <v>25.261907855649302</v>
      </c>
      <c r="I3" cm="1">
        <f t="array" ref="I3">_xll.FDS(D3,"FMA_DIV_YLD(NTMA,NOW,NOW,M,""PORTAGG"",""MEANR"")")</f>
        <v>2.75033600678367</v>
      </c>
      <c r="J3" s="52" cm="1">
        <f t="array" ref="J3">IFERROR(_xll.FDS(D3,"FG_FCF_YIELD_NTM(0)"),(1/G3*100))</f>
        <v>0.28844531111634197</v>
      </c>
      <c r="K3" s="3" cm="1">
        <f t="array" ref="K3">_xll.FDS(D3,"FMA_EVAL_EBITDA(NTMA,0,,,""PORTAGG"",""MEANR"")")</f>
        <v>12.330750020333401</v>
      </c>
      <c r="L3" cm="1">
        <f t="array" ref="L3">_xll.FDS(D3,"FMA_EVAL_EBIT(LTMA,NOW,NOW,M,""PORTAGG"",""MEANR"")")</f>
        <v>20.581527538172001</v>
      </c>
      <c r="M3">
        <f>HLOOKUP(D3,'Index ROE'!$A$1:$N$25,25,FALSE)</f>
        <v>6.5791075391831502</v>
      </c>
      <c r="N3">
        <f>VLOOKUP(A3,'LIQIDITY 2'!$A$3:$E$16,5,FALSE)</f>
        <v>4.87</v>
      </c>
      <c r="O3" cm="1">
        <f t="array" ref="O3">IFERROR(IFERROR(IFERROR(IFERROR(_xll.FDS(B3,"IMF_IFS_RCPI_Q(0)"),_xll.FDS(B3,"IMF_IFS_RCPI_Q(-1AM)")),_xll.FDS(B3,"IMF_IFS_RCPI_Q(-2AM)")),_xll.FDS(B3,"IMF_IFS_RCPI_Q(-3AM)")),$D$31)</f>
        <v>4.6550289999999999</v>
      </c>
      <c r="P3">
        <f>VLOOKUP(E3,GDP_GROWTH!$B$10:$W$165,22,FALSE)</f>
        <v>2.7196134550164452</v>
      </c>
      <c r="Q3">
        <f t="shared" ref="Q3:Q11" si="0">I3-N3</f>
        <v>-2.1196639932163301</v>
      </c>
      <c r="R3" s="52">
        <f t="shared" ref="R3:R11" si="1">J3-N3</f>
        <v>-4.5815546888836582</v>
      </c>
      <c r="S3">
        <f t="shared" ref="S3:S11" si="2">M3-N3</f>
        <v>1.7091075391831501</v>
      </c>
      <c r="T3">
        <f t="shared" ref="T3:T11" si="3">M3-O3</f>
        <v>1.9240785391831503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45411</v>
      </c>
      <c r="G4" s="4" cm="1">
        <f t="array" ref="G4">_xll.FDS(D4,"FMA_PE(LTM,0,,,""PORTAGG"",""MEANR"")")</f>
        <v>18.138917731617202</v>
      </c>
      <c r="H4" s="4" cm="1">
        <f t="array" ref="H4">_xll.FDS(D4,"FMA_PE(NTMA,0,,,""PORTAGG"",""MEANR"")")</f>
        <v>16.357373653564402</v>
      </c>
      <c r="I4" cm="1">
        <f t="array" ref="I4">_xll.FDS(D4,"FMA_DIV_YLD(NTMA,NOW,NOW,M,""PORTAGG"",""MEANR"")")</f>
        <v>4.0179260439734499</v>
      </c>
      <c r="J4" s="52" cm="1">
        <f t="array" ref="J4">IFERROR(_xll.FDS(D4,"FG_FCF_YIELD_NTM(0)"),(1/G4*100))</f>
        <v>4.9709020910614701</v>
      </c>
      <c r="K4" s="3" cm="1">
        <f t="array" ref="K4">_xll.FDS(D4,"FMA_EVAL_EBITDA(NTMA,0,,,""PORTAGG"",""MEANR"")")</f>
        <v>8.4938750079404599</v>
      </c>
      <c r="L4" cm="1">
        <f t="array" ref="L4">_xll.FDS(D4,"FMA_EVAL_EBIT(LTMA,NOW,NOW,M,""PORTAGG"",""MEANR"")")</f>
        <v>12.371377956199</v>
      </c>
      <c r="M4">
        <f>HLOOKUP(D4,'Index ROE'!$A$1:$N$25,25,FALSE)</f>
        <v>13.226137995013501</v>
      </c>
      <c r="N4">
        <f>VLOOKUP(A4,'LIQIDITY 2'!$A$3:$E$16,5,FALSE)</f>
        <v>4.4459999999999997</v>
      </c>
      <c r="O4" cm="1">
        <f t="array" ref="O4">IFERROR(IFERROR(IFERROR(IFERROR(_xll.FDS(B4,"IMF_IFS_RCPI_Q(0)"),_xll.FDS(B4,"IMF_IFS_RCPI_Q(-1AM)")),_xll.FDS(B4,"IMF_IFS_RCPI_Q(-2AM)")),_xll.FDS(B4,"IMF_IFS_RCPI_Q(-3AM)")),$D$31)</f>
        <v>4.0519879999999997</v>
      </c>
      <c r="P4">
        <f>VLOOKUP(E4,GDP_GROWTH!$B$10:$W$165,22,FALSE)</f>
        <v>2.0879441195558623</v>
      </c>
      <c r="Q4">
        <f t="shared" si="0"/>
        <v>-0.42807395602654985</v>
      </c>
      <c r="R4" s="52">
        <f t="shared" si="1"/>
        <v>0.52490209106147034</v>
      </c>
      <c r="S4">
        <f t="shared" si="2"/>
        <v>8.7801379950135008</v>
      </c>
      <c r="T4">
        <f t="shared" si="3"/>
        <v>9.1741499950135008</v>
      </c>
      <c r="U4" cm="1">
        <f t="array" ref="U4">_xlfn.PERCENTRANK.EXC(_xlfn._xlws.FILTER(Q$3:Q$15, ISNUMBER(Q$3:Q$15)),Q4)*100</f>
        <v>35.699999999999996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31.09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16.4865789069075</v>
      </c>
      <c r="H5" s="4" cm="1">
        <f t="array" ref="H5">_xll.FDS(D5,"FMA_PE(NTMA,0,,,""PORTAGG"",""MEANR"")")</f>
        <v>14.082093393707799</v>
      </c>
      <c r="I5" cm="1">
        <f t="array" ref="I5">_xll.FDS(D5,"FMA_DIV_YLD(NTMA,NOW,NOW,M,""PORTAGG"",""MEANR"")")</f>
        <v>3.14188973242987</v>
      </c>
      <c r="J5" s="52" cm="1">
        <f t="array" ref="J5">IFERROR(_xll.FDS(D5,"FG_FCF_YIELD_NTM(0)"),(1/G5*100))</f>
        <v>5.2320297041502801</v>
      </c>
      <c r="K5" s="3" cm="1">
        <f t="array" ref="K5">_xll.FDS(D5,"FMA_EVAL_EBITDA(NTMA,0,,,""PORTAGG"",""MEANR"")")</f>
        <v>9.7215462149038405</v>
      </c>
      <c r="L5" cm="1">
        <f t="array" ref="L5">_xll.FDS(D5,"FMA_EVAL_EBIT(LTMA,NOW,NOW,M,""PORTAGG"",""MEANR"")")</f>
        <v>16.252011968014301</v>
      </c>
      <c r="M5">
        <f>HLOOKUP(D5,'Index ROE'!$A$1:$N$25,25,FALSE)</f>
        <v>13.147116166704</v>
      </c>
      <c r="N5">
        <f>VLOOKUP(A5,'LIQIDITY 2'!$A$3:$E$16,5,FALSE)</f>
        <v>3.7223000000000002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-0.58041026757013015</v>
      </c>
      <c r="R5" s="52">
        <f t="shared" si="1"/>
        <v>1.50972970415028</v>
      </c>
      <c r="S5">
        <f t="shared" si="2"/>
        <v>9.4248161667039998</v>
      </c>
      <c r="T5">
        <f t="shared" si="3"/>
        <v>10.300445566704001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35.699999999999996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47.865000000000009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45411</v>
      </c>
      <c r="G6" s="4" cm="1">
        <f t="array" ref="G6">_xll.FDS(D6,"FMA_PE(LTM,0,,,""PORTAGG"",""MEANR"")")</f>
        <v>12.530897327575101</v>
      </c>
      <c r="H6" s="4" cm="1">
        <f t="array" ref="H6">_xll.FDS(D6,"FMA_PE(NTMA,0,,,""PORTAGG"",""MEANR"")")</f>
        <v>11.9972389296807</v>
      </c>
      <c r="I6" cm="1">
        <f t="array" ref="I6">_xll.FDS(D6,"FMA_DIV_YLD(NTMA,NOW,NOW,M,""PORTAGG"",""MEANR"")")</f>
        <v>3.3522311080048399</v>
      </c>
      <c r="J6" s="52" cm="1">
        <f t="array" ref="J6">IFERROR(_xll.FDS(D6,"FG_FCF_YIELD_NTM(0)"),(1/G6*100))</f>
        <v>6.0171653125833497</v>
      </c>
      <c r="K6" s="3" cm="1">
        <f t="array" ref="K6">_xll.FDS(D6,"FMA_EVAL_EBITDA(NTMA,0,,,""PORTAGG"",""MEANR"")")</f>
        <v>8.3797344923352508</v>
      </c>
      <c r="L6" cm="1">
        <f t="array" ref="L6">_xll.FDS(D6,"FMA_EVAL_EBIT(LTMA,NOW,NOW,M,""PORTAGG"",""MEANR"")")</f>
        <v>13.299776952522</v>
      </c>
      <c r="M6">
        <f>HLOOKUP(D6,'Index ROE'!$A$1:$N$25,25,FALSE)</f>
        <v>11.9388620015971</v>
      </c>
      <c r="N6">
        <f>VLOOKUP(A6,'LIQIDITY 2'!$A$3:$E$16,5,FALSE)</f>
        <v>2.5609999999999999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0.79123110800483998</v>
      </c>
      <c r="R6" s="52">
        <f t="shared" si="1"/>
        <v>3.4561653125833498</v>
      </c>
      <c r="S6">
        <f t="shared" si="2"/>
        <v>9.3778620015970997</v>
      </c>
      <c r="T6">
        <f t="shared" si="3"/>
        <v>9.421505601597099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69.99499999999999</v>
      </c>
      <c r="AC6" cm="1">
        <f t="array" ref="AC6">_xlfn.PERCENTRANK.EXC(_xlfn._xlws.FILTER(AB$3:AB$15, ISNUMBER(AB$3:AB$15)),AB6)*100</f>
        <v>85.7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45411</v>
      </c>
      <c r="G7" s="4" cm="1">
        <f t="array" ref="G7">_xll.FDS(D7,"FMA_PE(LTM,0,,,""PORTAGG"",""MEANR"")")</f>
        <v>15.6646027775195</v>
      </c>
      <c r="H7" s="4" cm="1">
        <f t="array" ref="H7">_xll.FDS(D7,"FMA_PE(NTMA,0,,,""PORTAGG"",""MEANR"")")</f>
        <v>15.191808416848099</v>
      </c>
      <c r="I7" cm="1">
        <f t="array" ref="I7">_xll.FDS(D7,"FMA_DIV_YLD(NTMA,NOW,NOW,M,""PORTAGG"",""MEANR"")")</f>
        <v>2.2497412507124999</v>
      </c>
      <c r="J7" s="52" cm="1">
        <f t="array" ref="J7">IFERROR(_xll.FDS(D7,"FG_FCF_YIELD_NTM(0)"),(1/G7*100))</f>
        <v>4.1575237918247296</v>
      </c>
      <c r="K7" s="3" cm="1">
        <f t="array" ref="K7">_xll.FDS(D7,"FMA_EVAL_EBITDA(NTMA,0,,,""PORTAGG"",""MEANR"")")</f>
        <v>10.5278264017456</v>
      </c>
      <c r="L7" cm="1">
        <f t="array" ref="L7">_xll.FDS(D7,"FMA_EVAL_EBIT(LTMA,NOW,NOW,M,""PORTAGG"",""MEANR"")")</f>
        <v>17.881236017370199</v>
      </c>
      <c r="M7">
        <f>HLOOKUP(D7,'Index ROE'!$A$1:$N$25,25,FALSE)</f>
        <v>9.2990104649465799</v>
      </c>
      <c r="N7">
        <f>VLOOKUP(A7,'LIQIDITY 2'!$A$3:$E$16,5,FALSE)</f>
        <v>0.89470000000000005</v>
      </c>
      <c r="O7" cm="1">
        <f t="array" ref="O7">IFERROR(IFERROR(IFERROR(IFERROR(_xll.FDS(B7,"IMF_IFS_RCPI_Q(0)"),_xll.FDS(B7,"IMF_IFS_RCPI_Q(-1AM)")),_xll.FDS(B7,"IMF_IFS_RCPI_Q(-2AM)")),_xll.FDS(B7,"IMF_IFS_RCPI_Q(-3AM)")),$D$31)</f>
        <v>2.9194753000000002</v>
      </c>
      <c r="P7">
        <f>VLOOKUP(E7,GDP_GROWTH!$B$10:$W$165,22,FALSE)</f>
        <v>0.31456851442112077</v>
      </c>
      <c r="Q7">
        <f t="shared" si="0"/>
        <v>1.3550412507124998</v>
      </c>
      <c r="R7" s="52">
        <f t="shared" si="1"/>
        <v>3.2628237918247294</v>
      </c>
      <c r="S7">
        <f t="shared" si="2"/>
        <v>8.4043104649465796</v>
      </c>
      <c r="T7">
        <f t="shared" si="3"/>
        <v>6.3795351649465797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54.990000000000009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45411</v>
      </c>
      <c r="G8" s="4" cm="1">
        <f t="array" ref="G8">_xll.FDS(D8,"FMA_PE(LTM,0,,,""PORTAGG"",""MEANR"")")</f>
        <v>15.158159438272101</v>
      </c>
      <c r="H8" s="4" cm="1">
        <f t="array" ref="H8">_xll.FDS(D8,"FMA_PE(NTMA,0,,,""PORTAGG"",""MEANR"")")</f>
        <v>16.780877258648999</v>
      </c>
      <c r="I8" cm="1">
        <f t="array" ref="I8">_xll.FDS(D8,"FMA_DIV_YLD(NTMA,NOW,NOW,M,""PORTAGG"",""MEANR"")")</f>
        <v>3.3808681570418901</v>
      </c>
      <c r="J8" s="52" cm="1">
        <f t="array" ref="J8">IFERROR(_xll.FDS(D8,"FG_FCF_YIELD_NTM(0)"),(1/G8*100))</f>
        <v>5.1355617272175396</v>
      </c>
      <c r="K8" s="3" cm="1">
        <f t="array" ref="K8">_xll.FDS(D8,"FMA_EVAL_EBITDA(NTMA,0,,,""PORTAGG"",""MEANR"")")</f>
        <v>12.4857478970962</v>
      </c>
      <c r="L8" cm="1">
        <f t="array" ref="L8">_xll.FDS(D8,"FMA_EVAL_EBIT(LTMA,NOW,NOW,M,""PORTAGG"",""MEANR"")")</f>
        <v>16.449195436376101</v>
      </c>
      <c r="M8">
        <f>HLOOKUP(D8,'Index ROE'!$A$1:$N$25,25,FALSE)</f>
        <v>19.299686812780902</v>
      </c>
      <c r="N8">
        <f>VLOOKUP(A8,'LIQIDITY 2'!$A$3:$E$16,5,FALSE)</f>
        <v>0.74099999999999999</v>
      </c>
      <c r="O8" cm="1">
        <f t="array" ref="O8">IFERROR(IFERROR(IFERROR(IFERROR(_xll.FDS(B8,"IMF_IFS_RCPI_Q(0)"),_xll.FDS(B8,"IMF_IFS_RCPI_Q(-1AM)")),_xll.FDS(B8,"IMF_IFS_RCPI_Q(-2AM)")),_xll.FDS(B8,"IMF_IFS_RCPI_Q(-3AM)")),$D$31)</f>
        <v>1.4071461999999999</v>
      </c>
      <c r="P8">
        <f>VLOOKUP(E8,GDP_GROWTH!$B$10:$W$165,22,FALSE)</f>
        <v>2.077185911672963</v>
      </c>
      <c r="Q8">
        <f t="shared" si="0"/>
        <v>2.63986815704189</v>
      </c>
      <c r="R8" s="52">
        <f t="shared" si="1"/>
        <v>4.3945617272175399</v>
      </c>
      <c r="S8">
        <f t="shared" si="2"/>
        <v>18.558686812780902</v>
      </c>
      <c r="T8">
        <f t="shared" si="3"/>
        <v>17.892540612780902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71.399999999999991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45411</v>
      </c>
      <c r="G9" s="4" cm="1">
        <f t="array" ref="G9">_xll.FDS(D9,"FMA_PE(LTM,0,,,""PORTAGG"",""MEANR"")")</f>
        <v>10.9756501634066</v>
      </c>
      <c r="H9" s="4" cm="1">
        <f t="array" ref="H9">_xll.FDS(D9,"FMA_PE(NTMA,0,,,""PORTAGG"",""MEANR"")")</f>
        <v>11.646399779160101</v>
      </c>
      <c r="I9" cm="1">
        <f t="array" ref="I9">_xll.FDS(D9,"FMA_DIV_YLD(NTMA,NOW,NOW,M,""PORTAGG"",""MEANR"")")</f>
        <v>3.9211257468613399</v>
      </c>
      <c r="J9" s="52" cm="1">
        <f t="array" ref="J9">IFERROR(_xll.FDS(D9,"FG_FCF_YIELD_NTM(0)"),(1/G9*100))</f>
        <v>6.1640519118394304</v>
      </c>
      <c r="K9" s="3" cm="1">
        <f t="array" ref="K9">_xll.FDS(D9,"FMA_EVAL_EBITDA(NTMA,0,,,""PORTAGG"",""MEANR"")")</f>
        <v>7.5658323392261098</v>
      </c>
      <c r="L9" cm="1">
        <f t="array" ref="L9">_xll.FDS(D9,"FMA_EVAL_EBIT(LTMA,NOW,NOW,M,""PORTAGG"",""MEANR"")")</f>
        <v>10.543409760875701</v>
      </c>
      <c r="M9">
        <f>HLOOKUP(D9,'Index ROE'!$A$1:$N$25,25,FALSE)</f>
        <v>14.720728907309301</v>
      </c>
      <c r="N9">
        <f>VLOOKUP(A9,'LIQIDITY 2'!$A$3:$E$16,5,FALSE)</f>
        <v>4.306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-0.38487425313866019</v>
      </c>
      <c r="R9" s="52">
        <f t="shared" si="1"/>
        <v>1.8580519118394303</v>
      </c>
      <c r="S9">
        <f t="shared" si="2"/>
        <v>10.4147289073093</v>
      </c>
      <c r="T9">
        <f t="shared" si="3"/>
        <v>10.801229507309301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69.67</v>
      </c>
      <c r="AC9" cm="1">
        <f t="array" ref="AC9">_xlfn.PERCENTRANK.EXC(_xlfn._xlws.FILTER(AB$3:AB$15, ISNUMBER(AB$3:AB$15)),AB9)*100</f>
        <v>78.5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32.171150811634803</v>
      </c>
      <c r="H10" s="4" cm="1">
        <f t="array" ref="H10">_xll.FDS(D10,"FMA_PE(NTMA,0,,,""PORTAGG"",""MEANR"")")</f>
        <v>24.5721900247893</v>
      </c>
      <c r="I10" cm="1">
        <f t="array" ref="I10">_xll.FDS(D10,"FMA_DIV_YLD(NTMA,NOW,NOW,M,""PORTAGG"",""MEANR"")")</f>
        <v>0.94420772026589195</v>
      </c>
      <c r="J10" s="52" cm="1">
        <f t="array" ref="J10">IFERROR(_xll.FDS(D10,"FG_FCF_YIELD_NTM(0)"),(1/G10*100))</f>
        <v>3.8606662200771602</v>
      </c>
      <c r="K10" s="3" cm="1">
        <f t="array" ref="K10">_xll.FDS(D10,"FMA_EVAL_EBITDA(NTMA,0,,,""PORTAGG"",""MEANR"")")</f>
        <v>15.3955982617708</v>
      </c>
      <c r="L10" cm="1">
        <f t="array" ref="L10">_xll.FDS(D10,"FMA_EVAL_EBIT(LTMA,NOW,NOW,M,""PORTAGG"",""MEANR"")")</f>
        <v>24.240361500774601</v>
      </c>
      <c r="M10">
        <f>HLOOKUP(D10,'Index ROE'!$A$1:$N$25,25,FALSE)</f>
        <v>25.3197942228377</v>
      </c>
      <c r="N10">
        <f>VLOOKUP(A10,'LIQIDITY 2'!$A$3:$E$16,5,FALSE)</f>
        <v>4.5758999999999999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3.2433991</v>
      </c>
      <c r="P10">
        <f>VLOOKUP(E10,GDP_GROWTH!$B$10:$W$165,22,FALSE)</f>
        <v>2.0868572594445189</v>
      </c>
      <c r="Q10">
        <f t="shared" si="0"/>
        <v>-3.631692279734108</v>
      </c>
      <c r="R10" s="52">
        <f t="shared" si="1"/>
        <v>-0.71523377992283965</v>
      </c>
      <c r="S10">
        <f t="shared" si="2"/>
        <v>20.743894222837699</v>
      </c>
      <c r="T10">
        <f t="shared" si="3"/>
        <v>22.076395122837699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24.685385130293</v>
      </c>
      <c r="H11" s="4" cm="1">
        <f t="array" ref="H11">_xll.FDS(D11,"FMA_PE(NTMA,0,,,""PORTAGG"",""MEANR"")")</f>
        <v>19.737642521486599</v>
      </c>
      <c r="I11" cm="1">
        <f t="array" ref="I11">_xll.FDS(D11,"FMA_DIV_YLD(NTMA,NOW,NOW,M,""PORTAGG"",""MEANR"")")</f>
        <v>1.5117190286697899</v>
      </c>
      <c r="J11" s="52" cm="1">
        <f t="array" ref="J11">IFERROR(_xll.FDS(D11,"FG_FCF_YIELD_NTM(0)"),(1/G11*100))</f>
        <v>4.3100195973012099</v>
      </c>
      <c r="K11" s="3" cm="1">
        <f t="array" ref="K11">_xll.FDS(D11,"FMA_EVAL_EBITDA(NTMA,0,,,""PORTAGG"",""MEANR"")")</f>
        <v>13.5615396114652</v>
      </c>
      <c r="L11" cm="1">
        <f t="array" ref="L11">_xll.FDS(D11,"FMA_EVAL_EBIT(LTMA,NOW,NOW,M,""PORTAGG"",""MEANR"")")</f>
        <v>20.3521482704551</v>
      </c>
      <c r="M11">
        <f>HLOOKUP(D11,'Index ROE'!$A$1:$N$25,25,FALSE)</f>
        <v>20.348689231368802</v>
      </c>
      <c r="N11">
        <f>VLOOKUP(A11,'LIQIDITY 2'!$A$3:$E$16,5,FALSE)</f>
        <v>4.5758999999999999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3.2433991</v>
      </c>
      <c r="P11">
        <f>VLOOKUP(E11,GDP_GROWTH!$B$10:$W$165,22,FALSE)</f>
        <v>2.0868572594445189</v>
      </c>
      <c r="Q11">
        <f t="shared" si="0"/>
        <v>-3.0641809713302099</v>
      </c>
      <c r="R11" s="52">
        <f t="shared" si="1"/>
        <v>-0.26588040269878999</v>
      </c>
      <c r="S11">
        <f t="shared" si="2"/>
        <v>15.772789231368801</v>
      </c>
      <c r="T11">
        <f t="shared" si="3"/>
        <v>17.1052901313688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45411</v>
      </c>
      <c r="G12" s="4" cm="1">
        <f t="array" ref="G12">_xll.FDS(D12,"FMA_PE(LTM,0,,,""PORTAGG"",""MEANR"")")</f>
        <v>16.4125280413868</v>
      </c>
      <c r="H12" s="4" cm="1">
        <f t="array" ref="H12">_xll.FDS(D12,"FMA_PE(NTMA,0,,,""PORTAGG"",""MEANR"")")</f>
        <v>14.4832263069592</v>
      </c>
      <c r="I12" cm="1">
        <f t="array" ref="I12">_xll.FDS(D12,"FMA_DIV_YLD(NTMA,NOW,NOW,M,""PORTAGG"",""MEANR"")")</f>
        <v>3.1217976945403798</v>
      </c>
      <c r="J12" s="52" cm="1">
        <f t="array" ref="J12">IFERROR(_xll.FDS(D12,"FG_FCF_YIELD_NTM(0)"),(1/G12*100))</f>
        <v>5.6258996711604601</v>
      </c>
      <c r="K12" s="3" cm="1">
        <f t="array" ref="K12">_xll.FDS(D12,"FMA_EVAL_EBITDA(NTMA,0,,,""PORTAGG"",""MEANR"")")</f>
        <v>9.3184824164748807</v>
      </c>
      <c r="L12" cm="1">
        <f t="array" ref="L12">_xll.FDS(D12,"FMA_EVAL_EBIT(LTMA,NOW,NOW,M,""PORTAGG"",""MEANR"")")</f>
        <v>13.258943353896701</v>
      </c>
      <c r="M12">
        <f>HLOOKUP(D12,'Index ROE'!$A$1:$N$25,25,FALSE)</f>
        <v>13.220962405767001</v>
      </c>
      <c r="N12">
        <f>VLOOKUP(A12,'LIQIDITY 2'!$A$3:$E$16,5,FALSE)</f>
        <v>3.032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8.979769454037978E-2</v>
      </c>
      <c r="R12" s="52">
        <f t="shared" ref="R12:R15" si="5">J12-N12</f>
        <v>2.5938996711604601</v>
      </c>
      <c r="S12">
        <f t="shared" ref="S12:S15" si="6">M12-N12</f>
        <v>10.188962405767001</v>
      </c>
      <c r="T12">
        <f t="shared" ref="T12:T15" si="7">M12-O12</f>
        <v>10.426942405767001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42.8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57.470000000000006</v>
      </c>
      <c r="AC12" cm="1">
        <f t="array" ref="AC12">_xlfn.PERCENTRANK.EXC(_xlfn._xlws.FILTER(AB$3:AB$15, ISNUMBER(AB$3:AB$15)),AB12)*100</f>
        <v>57.099999999999994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18.908270409324199</v>
      </c>
      <c r="H13" s="4" cm="1">
        <f t="array" ref="H13">_xll.FDS(D13,"FMA_PE(NTMA,0,,,""PORTAGG"",""MEANR"")")</f>
        <v>15.642821443417199</v>
      </c>
      <c r="I13" cm="1">
        <f t="array" ref="I13">_xll.FDS(D13,"FMA_DIV_YLD(NTMA,NOW,NOW,M,""PORTAGG"",""MEANR"")")</f>
        <v>2.5912732697575098</v>
      </c>
      <c r="J13" s="52" cm="1">
        <f t="array" ref="J13">IFERROR(_xll.FDS(D13,"FG_FCF_YIELD_NTM(0)"),(1/G13*100))</f>
        <v>3.8414656639684699</v>
      </c>
      <c r="K13" s="3" cm="1">
        <f t="array" ref="K13">_xll.FDS(D13,"FMA_EVAL_EBITDA(NTMA,0,,,""PORTAGG"",""MEANR"")")</f>
        <v>12.3158415634141</v>
      </c>
      <c r="L13" cm="1">
        <f t="array" ref="L13">_xll.FDS(D13,"FMA_EVAL_EBIT(LTMA,NOW,NOW,M,""PORTAGG"",""MEANR"")")</f>
        <v>21.935739657508201</v>
      </c>
      <c r="M13">
        <f>HLOOKUP(D13,'Index ROE'!$A$1:$N$25,25,FALSE)</f>
        <v>12.745985668805799</v>
      </c>
      <c r="N13">
        <f>VLOOKUP(A13,'LIQIDITY 2'!$A$3:$E$16,5,FALSE)</f>
        <v>2.8479999999999999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0.80520855999999996</v>
      </c>
      <c r="P13">
        <f>VLOOKUP(E13,GDP_GROWTH!$B$10:$W$165,22,FALSE)</f>
        <v>1.7793785730007783</v>
      </c>
      <c r="Q13">
        <f t="shared" si="4"/>
        <v>-0.25672673024249004</v>
      </c>
      <c r="R13" s="52">
        <f t="shared" si="5"/>
        <v>0.99346566396847003</v>
      </c>
      <c r="S13">
        <f t="shared" si="6"/>
        <v>9.8979856688057986</v>
      </c>
      <c r="T13">
        <f t="shared" si="7"/>
        <v>11.940777108805799</v>
      </c>
      <c r="U13" cm="1">
        <f t="array" ref="U13">_xlfn.PERCENTRANK.EXC(_xlfn._xlws.FILTER(Q$3:Q$15, ISNUMBER(Q$3:Q$15)),Q13)*100</f>
        <v>50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42.495000000000005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45411</v>
      </c>
      <c r="G14" s="4" cm="1">
        <f t="array" ref="G14">_xll.FDS(D14,"FMA_PE(LTM,0,,,""PORTAGG"",""MEANR"")")</f>
        <v>14.1680494796695</v>
      </c>
      <c r="H14" s="4" cm="1">
        <f t="array" ref="H14">_xll.FDS(D14,"FMA_PE(NTMA,0,,,""PORTAGG"",""MEANR"")")</f>
        <v>16.096139677534801</v>
      </c>
      <c r="I14" cm="1">
        <f t="array" ref="I14">_xll.FDS(D14,"FMA_DIV_YLD(NTMA,NOW,NOW,M,""PORTAGG"",""MEANR"")")</f>
        <v>3.2537793894566098</v>
      </c>
      <c r="J14" s="52" cm="1">
        <f t="array" ref="J14">IFERROR(_xll.FDS(D14,"FG_FCF_YIELD_NTM(0)"),(1/G14*100))</f>
        <v>5.14561942316229</v>
      </c>
      <c r="K14" s="3" cm="1">
        <f t="array" ref="K14">_xll.FDS(D14,"FMA_EVAL_EBITDA(NTMA,0,,,""PORTAGG"",""MEANR"")")</f>
        <v>11.1930070245502</v>
      </c>
      <c r="L14" cm="1">
        <f t="array" ref="L14">_xll.FDS(D14,"FMA_EVAL_EBIT(LTMA,NOW,NOW,M,""PORTAGG"",""MEANR"")")</f>
        <v>15.934580129268401</v>
      </c>
      <c r="M14">
        <f>HLOOKUP(D14,'Index ROE'!$A$1:$N$25,25,FALSE)</f>
        <v>15.368050598586001</v>
      </c>
      <c r="N14">
        <f>VLOOKUP(A14,'LIQIDITY 2'!$A$3:$E$16,5,FALSE)</f>
        <v>2.5070000000000001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0.74677938945660971</v>
      </c>
      <c r="R14" s="52">
        <f t="shared" si="5"/>
        <v>2.6386194231622899</v>
      </c>
      <c r="S14">
        <f t="shared" si="6"/>
        <v>12.861050598586001</v>
      </c>
      <c r="T14">
        <f t="shared" si="7"/>
        <v>10.697896998586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50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61.800000000000004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9.8424226125671499</v>
      </c>
      <c r="H15" s="4" cm="1">
        <f t="array" ref="H15">_xll.FDS(D15,"FMA_PE(NTMA,0,,,""PORTAGG"",""MEANR"")")</f>
        <v>9.4882071735547804</v>
      </c>
      <c r="I15" cm="1">
        <f t="array" ref="I15">_xll.FDS(D15,"FMA_DIV_YLD(NTMA,NOW,NOW,M,""PORTAGG"",""MEANR"")")</f>
        <v>5.3077804874694703</v>
      </c>
      <c r="J15" s="52" cm="1">
        <f t="array" ref="J15">IFERROR(_xll.FDS(D15,"FG_FCF_YIELD_NTM(0)"),(1/G15*100))</f>
        <v>6.4025311320228599</v>
      </c>
      <c r="K15" s="3" cm="1">
        <f t="array" ref="K15">_xll.FDS(D15,"FMA_EVAL_EBITDA(NTMA,0,,,""PORTAGG"",""MEANR"")")</f>
        <v>6.9412008198143997</v>
      </c>
      <c r="L15" cm="1">
        <f t="array" ref="L15">_xll.FDS(D15,"FMA_EVAL_EBIT(LTMA,NOW,NOW,M,""PORTAGG"",""MEANR"")")</f>
        <v>10.808717549766101</v>
      </c>
      <c r="M15">
        <f>HLOOKUP(D15,'Index ROE'!$A$1:$N$25,25,FALSE)</f>
        <v>13.3572177464321</v>
      </c>
      <c r="N15">
        <f>VLOOKUP(A15,'LIQIDITY 2'!$A$3:$E$16,5,FALSE)</f>
        <v>3.84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1.4677804874694704</v>
      </c>
      <c r="R15" s="52">
        <f t="shared" si="5"/>
        <v>2.5625311320228601</v>
      </c>
      <c r="S15">
        <f t="shared" si="6"/>
        <v>9.5172177464321006</v>
      </c>
      <c r="T15">
        <f t="shared" si="7"/>
        <v>12.433358686432101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76.429999999999993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45379</v>
      </c>
      <c r="G19" s="4" cm="1">
        <f t="array" ref="G19">_xll.FDS(D19,"FG_PE(0)")</f>
        <v>13.174056995145399</v>
      </c>
      <c r="H19" s="4" cm="1">
        <f t="array" ref="H19">_xll.FDS(D19,"FG_PE_NTM(0,,,90,0)")</f>
        <v>13.667369821214701</v>
      </c>
      <c r="I19" cm="1">
        <f t="array" ref="I19">_xll.FDS(D19,"FMA_DIV_YLD(NTMA,NOW,NOW,M,""PORTAGG"",""MEANR"")")</f>
        <v>3.4477637921281401</v>
      </c>
      <c r="J19" s="52" cm="1">
        <f t="array" ref="J19">_xll.FDS(D19,"FG_FCF_YIELD_NTM(0)")</f>
        <v>5.1990777221095001</v>
      </c>
      <c r="K19" s="3" cm="1">
        <f t="array" ref="K19">_xll.FDS(D19,"FMA_EVAL_EBITDA(NTMA,0,,,""PORTAGG"",""MEANR"")")</f>
        <v>9.0192474881623497</v>
      </c>
      <c r="L19" cm="1">
        <f t="array" ref="L19">_xll.FDS(D19,"FMA_EVAL_EBIT(LTMA,NOW,NOW,M,""PORTAGG"",""MEANR"")")</f>
        <v>13.261095953189299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45379</v>
      </c>
      <c r="G20" s="4" cm="1">
        <f t="array" ref="G20">_xll.FDS(D20,"FG_PE(0)")</f>
        <v>14.036721493436501</v>
      </c>
      <c r="H20" s="4" cm="1">
        <f t="array" ref="H20">_xll.FDS(D20,"FG_PE_NTM(0,,,90,0)")</f>
        <v>12.4875097221465</v>
      </c>
      <c r="I20" cm="1">
        <f t="array" ref="I20">_xll.FDS(D20,"FMA_DIV_YLD(NTMA,NOW,NOW,M,""PORTAGG"",""MEANR"")")</f>
        <v>3.0711014463720998</v>
      </c>
      <c r="J20" s="52" cm="1">
        <f t="array" ref="J20">_xll.FDS(D20,"FG_FCF_YIELD_NTM(0)")</f>
        <v>5.4316479811392897</v>
      </c>
      <c r="K20" s="3" cm="1">
        <f t="array" ref="K20">_xll.FDS(D20,"FMA_EVAL_EBITDA(NTMA,0,,,""PORTAGG"",""MEANR"")")</f>
        <v>8.8150375836344406</v>
      </c>
      <c r="L20" cm="1">
        <f t="array" ref="L20">_xll.FDS(D20,"FMA_EVAL_EBIT(LTMA,NOW,NOW,M,""PORTAGG"",""MEANR"")")</f>
        <v>14.372786688341099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4.87</v>
      </c>
      <c r="G3" s="26" cm="1">
        <f t="array" ref="G3">_xll.FDSB(C3,"PCTCHG(FG_YIELD(0,,,,""YTM""),FG_YIELD(-1AM,,,,""YTM""))")</f>
        <v>4.8597182999999999</v>
      </c>
      <c r="H3" s="26" cm="1">
        <f t="array" ref="H3">_xll.FDSB(C3,"PCTCHG(FG_YIELD(0,,,,""YTM""),FG_YIELD(-3AM,,,,""YTM""))")</f>
        <v>6.7350491999999997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0.62999999999999989</v>
      </c>
      <c r="S3">
        <f t="shared" ref="S3:S15" si="1">IF(M3&gt; 0, 0, 1)</f>
        <v>0</v>
      </c>
      <c r="T3">
        <f t="shared" ref="T3:T15" si="2">IF(G3&lt;0, 1, 0)</f>
        <v>0</v>
      </c>
      <c r="U3">
        <f t="shared" ref="U3:U15" si="3">IF(H3&lt;0, 1, 0)</f>
        <v>0</v>
      </c>
      <c r="V3" s="47">
        <f t="shared" ref="V3:V15" si="4">SUMPRODUCT($S$1:$U$1,S3:U3)</f>
        <v>0</v>
      </c>
      <c r="X3">
        <f>_xlfn.PERCENTRANK.EXC($V$3:$V$15,V3)*100</f>
        <v>7.1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4.4459999999999997</v>
      </c>
      <c r="G4" s="26" cm="1">
        <f t="array" ref="G4">_xll.FDSB(C4,"PCTCHG(FG_YIELD(0,,,,""YTM""),FG_YIELD(-1AM,,,,""YTM""))")</f>
        <v>9.4534789999999997</v>
      </c>
      <c r="H4" s="26" cm="1">
        <f t="array" ref="H4">_xll.FDSB(C4,"PCTCHG(FG_YIELD(0,,,,""YTM""),FG_YIELD(-3AM,,,,""YTM""))")</f>
        <v>11.652435000000001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-9.6000000000000085E-2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3.7223000000000002</v>
      </c>
      <c r="G5" s="26" cm="1">
        <f t="array" ref="G5">_xll.FDSB(C5,"PCTCHG(FG_YIELD(0,,,,""YTM""),FG_YIELD(-1AM,,,,""YTM""))")</f>
        <v>2.8316471999999999</v>
      </c>
      <c r="H5" s="26" cm="1">
        <f t="array" ref="H5">_xll.FDSB(C5,"PCTCHG(FG_YIELD(0,,,,""YTM""),FG_YIELD(-3AM,,,,""YTM""))")</f>
        <v>10.172858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1.2776999999999998</v>
      </c>
      <c r="S5">
        <f t="shared" si="1"/>
        <v>0</v>
      </c>
      <c r="T5">
        <f t="shared" si="2"/>
        <v>0</v>
      </c>
      <c r="U5">
        <f t="shared" si="3"/>
        <v>0</v>
      </c>
      <c r="V5" s="47">
        <f t="shared" si="4"/>
        <v>0</v>
      </c>
      <c r="X5">
        <f t="shared" si="6"/>
        <v>7.1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2.5609999999999999</v>
      </c>
      <c r="G6" s="26" cm="1">
        <f t="array" ref="G6">_xll.FDSB(C6,"PCTCHG(FG_YIELD(0,,,,""YTM""),FG_YIELD(-1AM,,,,""YTM""))")</f>
        <v>6.4864920000000001</v>
      </c>
      <c r="H6" s="26" cm="1">
        <f t="array" ref="H6">_xll.FDSB(C6,"PCTCHG(FG_YIELD(0,,,,""YTM""),FG_YIELD(-3AM,,,,""YTM""))")</f>
        <v>14.946149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1.9390000000000001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0.89470000000000005</v>
      </c>
      <c r="G7" s="26" cm="1">
        <f t="array" ref="G7">_xll.FDSB(C7,"PCTCHG(FG_YIELD(0,,,,""YTM""),FG_YIELD(-1AM,,,,""YTM""))")</f>
        <v>22.060030000000001</v>
      </c>
      <c r="H7" s="26" cm="1">
        <f t="array" ref="H7">_xll.FDSB(C7,"PCTCHG(FG_YIELD(0,,,,""YTM""),FG_YIELD(-3AM,,,,""YTM""))")</f>
        <v>32.450040000000001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-0.79470000000000007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0.74099999999999999</v>
      </c>
      <c r="G8" s="26" cm="1">
        <f t="array" ref="G8">_xll.FDSB(C8,"PCTCHG(FG_YIELD(0,,,,""YTM""),FG_YIELD(-1AM,,,,""YTM""))")</f>
        <v>1.6460938000000001</v>
      </c>
      <c r="H8" s="26" cm="1">
        <f t="array" ref="H8">_xll.FDSB(C8,"PCTCHG(FG_YIELD(0,,,,""YTM""),FG_YIELD(-3AM,,,,""YTM""))")</f>
        <v>-13.434581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0.75900000000000001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4.306</v>
      </c>
      <c r="G9" s="26" cm="1">
        <f t="array" ref="G9">_xll.FDSB(C9,"PCTCHG(FG_YIELD(0,,,,""YTM""),FG_YIELD(-1AM,,,,""YTM""))")</f>
        <v>5.7725406000000001</v>
      </c>
      <c r="H9" s="26" cm="1">
        <f t="array" ref="H9">_xll.FDSB(C9,"PCTCHG(FG_YIELD(0,,,,""YTM""),FG_YIELD(-3AM,,,,""YTM""))")</f>
        <v>10.466911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0.94399999999999995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4.5758999999999999</v>
      </c>
      <c r="G10" s="26" cm="1">
        <f t="array" ref="G10">_xll.FDSB(C10,"PCTCHG(FG_YIELD(0,,,,""YTM""),FG_YIELD(-1AM,,,,""YTM""))")</f>
        <v>5.0940456000000003</v>
      </c>
      <c r="H10" s="26" cm="1">
        <f t="array" ref="H10">_xll.FDSB(C10,"PCTCHG(FG_YIELD(0,,,,""YTM""),FG_YIELD(-3AM,,,,""YTM""))")</f>
        <v>13.616384999999999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0.92410000000000014</v>
      </c>
      <c r="S10">
        <f t="shared" si="1"/>
        <v>0</v>
      </c>
      <c r="T10">
        <f t="shared" si="2"/>
        <v>0</v>
      </c>
      <c r="U10">
        <f t="shared" si="3"/>
        <v>0</v>
      </c>
      <c r="V10" s="47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4.5758999999999999</v>
      </c>
      <c r="G11" s="26" cm="1">
        <f t="array" ref="G11">_xll.FDSB(C11,"PCTCHG(FG_YIELD(0,,,,""YTM""),FG_YIELD(-1AM,,,,""YTM""))")</f>
        <v>5.0940456000000003</v>
      </c>
      <c r="H11" s="26" cm="1">
        <f t="array" ref="H11">_xll.FDSB(C11,"PCTCHG(FG_YIELD(0,,,,""YTM""),FG_YIELD(-3AM,,,,""YTM""))")</f>
        <v>13.616384999999999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0.92410000000000014</v>
      </c>
      <c r="S11">
        <f t="shared" si="1"/>
        <v>0</v>
      </c>
      <c r="T11">
        <f t="shared" si="2"/>
        <v>0</v>
      </c>
      <c r="U11">
        <f t="shared" si="3"/>
        <v>0</v>
      </c>
      <c r="V11" s="47">
        <f t="shared" si="4"/>
        <v>0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3.032</v>
      </c>
      <c r="G12" s="26" cm="1">
        <f t="array" ref="G12">_xll.FDSB(C12,"PCTCHG(FG_YIELD(0,,,,""YTM""),FG_YIELD(-1AM,,,,""YTM""))")</f>
        <v>3.871194</v>
      </c>
      <c r="H12" s="26" cm="1">
        <f t="array" ref="H12">_xll.FDSB(C12,"PCTCHG(FG_YIELD(0,,,,""YTM""),FG_YIELD(-3AM,,,,""YTM""))")</f>
        <v>10.859238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1.468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2.8479999999999999</v>
      </c>
      <c r="G13" s="26" cm="1">
        <f t="array" ref="G13">_xll.FDSB(C13,"PCTCHG(FG_YIELD(0,,,,""YTM""),FG_YIELD(-1AM,,,,""YTM""))")</f>
        <v>5.2865114000000002</v>
      </c>
      <c r="H13" s="26" cm="1">
        <f t="array" ref="H13">_xll.FDSB(C13,"PCTCHG(FG_YIELD(0,,,,""YTM""),FG_YIELD(-3AM,,,,""YTM""))")</f>
        <v>13.375795999999999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1.6520000000000001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2.5070000000000001</v>
      </c>
      <c r="G14" s="26" cm="1">
        <f t="array" ref="G14">_xll.FDSB(C14,"PCTCHG(FG_YIELD(0,,,,""YTM""),FG_YIELD(-1AM,,,,""YTM""))")</f>
        <v>1.4979733</v>
      </c>
      <c r="H14" s="26" cm="1">
        <f t="array" ref="H14">_xll.FDSB(C14,"PCTCHG(FG_YIELD(0,,,,""YTM""),FG_YIELD(-3AM,,,,""YTM""))")</f>
        <v>13.696147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1.4929999999999999</v>
      </c>
      <c r="S14">
        <f t="shared" si="1"/>
        <v>0</v>
      </c>
      <c r="T14">
        <f t="shared" si="2"/>
        <v>0</v>
      </c>
      <c r="U14">
        <f t="shared" si="3"/>
        <v>0</v>
      </c>
      <c r="V14" s="47">
        <f t="shared" si="4"/>
        <v>0</v>
      </c>
      <c r="X14">
        <f t="shared" si="6"/>
        <v>7.1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3.84</v>
      </c>
      <c r="G15" s="26" cm="1">
        <f t="array" ref="G15">_xll.FDSB(C15,"PCTCHG(FG_YIELD(0,,,,""YTM""),FG_YIELD(-1AM,,,,""YTM""))")</f>
        <v>1.6141802000000001</v>
      </c>
      <c r="H15" s="26" cm="1">
        <f t="array" ref="H15">_xll.FDSB(C15,"PCTCHG(FG_YIELD(0,,,,""YTM""),FG_YIELD(-3AM,,,,""YTM""))")</f>
        <v>1.2124408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0.66000000000000014</v>
      </c>
      <c r="S15">
        <f t="shared" si="1"/>
        <v>0</v>
      </c>
      <c r="T15">
        <f t="shared" si="2"/>
        <v>0</v>
      </c>
      <c r="U15">
        <f t="shared" si="3"/>
        <v>0</v>
      </c>
      <c r="V15" s="47">
        <f t="shared" si="4"/>
        <v>0</v>
      </c>
      <c r="X15">
        <f t="shared" si="6"/>
        <v>7.1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4.5758999999999999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4.87</v>
      </c>
      <c r="H2" cm="1">
        <f t="array" ref="H2">_xll.FDS(B2,"FG_ROE(0)")</f>
        <v>5.6151261828163603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-9.3828148339384354E-3</v>
      </c>
      <c r="L2">
        <f>HLOOKUP(A2,'Yearly returns'!$B$1:$N$128,126,FALSE)</f>
        <v>-31.495863</v>
      </c>
      <c r="M2">
        <f t="shared" ref="M2:M10" si="0">I2-G2</f>
        <v>4.9538973987983246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4.4459999999999997</v>
      </c>
      <c r="H3" cm="1">
        <f t="array" ref="H3">_xll.FDS(B3,"FG_ROE(0)")</f>
        <v>12.8425298344662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40.715109646394801</v>
      </c>
      <c r="K3" s="74">
        <f>HLOOKUP(B3,'Index earnings'!$B$1:$N$25,25,FALSE)</f>
        <v>1.1173841089814562E-2</v>
      </c>
      <c r="L3">
        <f>HLOOKUP(A3,'Yearly returns'!$B$1:$N$128,126,FALSE)</f>
        <v>-29.17446</v>
      </c>
      <c r="M3">
        <f t="shared" si="0"/>
        <v>8.5747332991736993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42.8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3.7223000000000002</v>
      </c>
      <c r="H4" cm="1">
        <f t="array" ref="H4">_xll.FDS(B4,"FG_ROE(0)")</f>
        <v>11.350466311719099</v>
      </c>
      <c r="I4">
        <f>HLOOKUP(B4,'Index ROE'!$B$1:$N$25,24,FALSE)</f>
        <v>12.7516875895064</v>
      </c>
      <c r="J4" cm="1">
        <f t="array" ref="J4">_xll.FDS(B4, "FMA_RBICS_REV_CURRENT(30, LOC, ""PORTAGG"")")</f>
        <v>40.030818174670401</v>
      </c>
      <c r="K4" s="74">
        <f>HLOOKUP(B4,'Index earnings'!$B$1:$N$25,25,FALSE)</f>
        <v>4.0909866878857226E-2</v>
      </c>
      <c r="L4">
        <f>HLOOKUP(A4,'Yearly returns'!$B$1:$N$128,126,FALSE)</f>
        <v>-26.4925</v>
      </c>
      <c r="M4">
        <f t="shared" si="0"/>
        <v>9.0293875895063991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2.5609999999999999</v>
      </c>
      <c r="H5" cm="1">
        <f t="array" ref="H5">_xll.FDS(B5,"FG_ROE(0)")</f>
        <v>12.453989879382499</v>
      </c>
      <c r="I5">
        <f>HLOOKUP(B5,'Index ROE'!$B$1:$N$25,24,FALSE)</f>
        <v>11.983663471687251</v>
      </c>
      <c r="J5" cm="1">
        <f t="array" ref="J5">_xll.FDS(B5, "FMA_RBICS_REV_CURRENT(30, LOC, ""PORTAGG"")")</f>
        <v>22.665656730962102</v>
      </c>
      <c r="K5" s="74">
        <f>HLOOKUP(B5,'Index earnings'!$B$1:$N$25,25,FALSE)</f>
        <v>2.8283081657125564E-2</v>
      </c>
      <c r="L5">
        <f>HLOOKUP(A5,'Yearly returns'!$B$1:$N$128,126,FALSE)</f>
        <v>-37.647525999999999</v>
      </c>
      <c r="M5">
        <f t="shared" si="0"/>
        <v>9.422663471687251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0.89470000000000005</v>
      </c>
      <c r="H6" cm="1">
        <f t="array" ref="H6">_xll.FDS(B6,"FG_ROE(0)")</f>
        <v>9.8360432339311306</v>
      </c>
      <c r="I6">
        <f>HLOOKUP(B6,'Index ROE'!$B$1:$N$25,24,FALSE)</f>
        <v>8.994618118763011</v>
      </c>
      <c r="J6" cm="1">
        <f t="array" ref="J6">_xll.FDS(B6, "FMA_RBICS_REV_CURRENT(30, LOC, ""PORTAGG"")")</f>
        <v>17.709190961878001</v>
      </c>
      <c r="K6" s="74">
        <f>HLOOKUP(B6,'Index earnings'!$B$1:$N$25,25,FALSE)</f>
        <v>2.4097093341992615E-2</v>
      </c>
      <c r="L6">
        <f>HLOOKUP(A6,'Yearly returns'!$B$1:$N$128,126,FALSE)</f>
        <v>-28.85003</v>
      </c>
      <c r="M6">
        <f t="shared" si="0"/>
        <v>8.0999181187630107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57.099999999999994</v>
      </c>
      <c r="R6">
        <f>N6*Assumption!$F$64 + O6*Assumption!$F$61 + P6*Assumption!$F$62 + Q6*Assumption!$F$63</f>
        <v>46.4</v>
      </c>
      <c r="S6" cm="1">
        <f t="array" ref="S6">_xlfn.PERCENTRANK.EXC(_xlfn._xlws.FILTER(R$2:R$14, ISNUMBER(R$2:R$14)),R6)*100</f>
        <v>50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0.74099999999999999</v>
      </c>
      <c r="H7" cm="1">
        <f t="array" ref="H7">_xll.FDS(B7,"FG_ROE(0)")</f>
        <v>24.137684379001598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74">
        <f>HLOOKUP(B7,'Index earnings'!$B$1:$N$25,25,FALSE)</f>
        <v>4.6608631192781802E-2</v>
      </c>
      <c r="L7">
        <f>HLOOKUP(A7,'Yearly returns'!$B$1:$N$128,126,FALSE)</f>
        <v>-21.905063999999999</v>
      </c>
      <c r="M7">
        <f t="shared" si="0"/>
        <v>14.80996443559315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4.306</v>
      </c>
      <c r="H8" cm="1">
        <f t="array" ref="H8">_xll.FDS(B8,"FG_ROE(0)")</f>
        <v>17.0453215924902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74">
        <f>HLOOKUP(B8,'Index earnings'!$B$1:$N$25,25,FALSE)</f>
        <v>3.712710682326259E-3</v>
      </c>
      <c r="L8">
        <f>HLOOKUP(A8,'Yearly returns'!$B$1:$N$128,126,FALSE)</f>
        <v>-27.871100999999999</v>
      </c>
      <c r="M8">
        <f t="shared" si="0"/>
        <v>10.2559649164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64.2</v>
      </c>
      <c r="R8">
        <f>N8*Assumption!$F$64 + O8*Assumption!$F$61 + P8*Assumption!$F$62 + Q8*Assumption!$F$63</f>
        <v>49.95</v>
      </c>
      <c r="S8" cm="1">
        <f t="array" ref="S8">_xlfn.PERCENTRANK.EXC(_xlfn._xlws.FILTER(R$2:R$14, ISNUMBER(R$2:R$14)),R8)*100</f>
        <v>57.099999999999994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4.5758999999999999</v>
      </c>
      <c r="H9" cm="1">
        <f t="array" ref="H9">_xll.FDS(B9,"FG_ROE(0)")</f>
        <v>22.084553882319</v>
      </c>
      <c r="I9">
        <f>HLOOKUP(B9,'Index ROE'!$B$1:$N$25,24,FALSE)</f>
        <v>21.036882269896502</v>
      </c>
      <c r="J9" cm="1">
        <f t="array" ref="J9">_xll.FDS(B9, "FMA_RBICS_REV_CURRENT(30, LOC, ""PORTAGG"")")</f>
        <v>0.90761789180681196</v>
      </c>
      <c r="K9" s="74">
        <f>HLOOKUP(B9,'Index earnings'!$B$1:$N$25,25,FALSE)</f>
        <v>0.12988932861597813</v>
      </c>
      <c r="L9">
        <f>HLOOKUP(A9,'Yearly returns'!$B$1:$N$128,126,FALSE)</f>
        <v>-32.999577000000002</v>
      </c>
      <c r="M9">
        <f t="shared" si="0"/>
        <v>16.460982269896501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4.5758999999999999</v>
      </c>
      <c r="H10" cm="1">
        <f t="array" ref="H10">_xll.FDS(B10,"FG_ROE(0)")</f>
        <v>18.135245392785698</v>
      </c>
      <c r="I10">
        <f>HLOOKUP(B10,'Index ROE'!$B$1:$N$25,24,FALSE)</f>
        <v>16.391058174766847</v>
      </c>
      <c r="J10" cm="1">
        <f t="array" ref="J10">_xll.FDS(B10, "FMA_RBICS_REV_CURRENT(30, LOC, ""PORTAGG"")")</f>
        <v>12.637356457553199</v>
      </c>
      <c r="K10" s="74">
        <f>HLOOKUP(B10,'Index earnings'!$B$1:$N$25,25,FALSE)</f>
        <v>5.9884631689594459E-2</v>
      </c>
      <c r="L10">
        <f>HLOOKUP(A10,'Yearly returns'!$B$1:$N$128,126,FALSE)</f>
        <v>-18.377907</v>
      </c>
      <c r="M10">
        <f t="shared" si="0"/>
        <v>11.815158174766847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3.032</v>
      </c>
      <c r="H11" cm="1">
        <f t="array" ref="H11">_xll.FDS(B11,"FG_ROE(0)")</f>
        <v>12.7686463891215</v>
      </c>
      <c r="I11">
        <f>HLOOKUP(B11,'Index ROE'!$B$1:$N$25,24,FALSE)</f>
        <v>11.16089938202855</v>
      </c>
      <c r="J11" cm="1">
        <f t="array" ref="J11">_xll.FDS(B11, "FMA_RBICS_REV_CURRENT(30, LOC, ""PORTAGG"")")</f>
        <v>10.7535343809749</v>
      </c>
      <c r="K11" s="74">
        <f>HLOOKUP(B11,'Index earnings'!$B$1:$N$25,25,FALSE)</f>
        <v>1.8533351282826072E-2</v>
      </c>
      <c r="L11">
        <f>HLOOKUP(A11,'Yearly returns'!$B$1:$N$128,126,FALSE)</f>
        <v>-23.862099000000001</v>
      </c>
      <c r="M11">
        <f t="shared" ref="M11:M14" si="1">I11-G11</f>
        <v>8.1288993820285498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2.8479999999999999</v>
      </c>
      <c r="H12" cm="1">
        <f t="array" ref="H12">_xll.FDS(B12,"FG_ROE(0)")</f>
        <v>11.6656316836757</v>
      </c>
      <c r="I12">
        <f>HLOOKUP(B12,'Index ROE'!$B$1:$N$25,24,FALSE)</f>
        <v>13.049660814670499</v>
      </c>
      <c r="J12" cm="1">
        <f t="array" ref="J12">_xll.FDS(B12, "FMA_RBICS_REV_CURRENT(30, LOC, ""PORTAGG"")")</f>
        <v>25.182223725343398</v>
      </c>
      <c r="K12" s="74">
        <f>HLOOKUP(B12,'Index earnings'!$B$1:$N$25,25,FALSE)</f>
        <v>3.4801405239490046E-2</v>
      </c>
      <c r="L12">
        <f>HLOOKUP(A12,'Yearly returns'!$B$1:$N$128,126,FALSE)</f>
        <v>-37.972915999999998</v>
      </c>
      <c r="M12">
        <f t="shared" si="1"/>
        <v>10.2016608146705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2.5070000000000001</v>
      </c>
      <c r="H13" cm="1">
        <f t="array" ref="H13">_xll.FDS(B13,"FG_ROE(0)")</f>
        <v>16.288768679183601</v>
      </c>
      <c r="I13">
        <f>HLOOKUP(B13,'Index ROE'!$B$1:$N$25,24,FALSE)</f>
        <v>14.442823056578451</v>
      </c>
      <c r="J13" cm="1">
        <f t="array" ref="J13">_xll.FDS(B13, "FMA_RBICS_REV_CURRENT(30, LOC, ""PORTAGG"")")</f>
        <v>27.199824277955098</v>
      </c>
      <c r="K13" s="74">
        <f>HLOOKUP(B13,'Index earnings'!$B$1:$N$25,25,FALSE)</f>
        <v>2.4305006375947347E-2</v>
      </c>
      <c r="L13">
        <f>HLOOKUP(A13,'Yearly returns'!$B$1:$N$128,126,FALSE)</f>
        <v>-36.708280000000002</v>
      </c>
      <c r="M13">
        <f t="shared" si="1"/>
        <v>11.935823056578451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3.84</v>
      </c>
      <c r="H14" cm="1">
        <f t="array" ref="H14">_xll.FDS(B14,"FG_ROE(0)")</f>
        <v>14.264289744321699</v>
      </c>
      <c r="I14">
        <f>HLOOKUP(B14,'Index ROE'!$B$1:$N$25,24,FALSE)</f>
        <v>9.6445775045501065</v>
      </c>
      <c r="J14" cm="1">
        <f t="array" ref="J14">_xll.FDS(B14, "FMA_RBICS_REV_CURRENT(30, LOC, ""PORTAGG"")")</f>
        <v>36.608914375767398</v>
      </c>
      <c r="K14" s="74">
        <f>HLOOKUP(B14,'Index earnings'!$B$1:$N$25,25,FALSE)</f>
        <v>9.2744046638129074E-3</v>
      </c>
      <c r="L14">
        <f>HLOOKUP(A14,'Yearly returns'!$B$1:$N$128,126,FALSE)</f>
        <v>-28.987461</v>
      </c>
      <c r="M14">
        <f t="shared" si="1"/>
        <v>5.8045775045501067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50</v>
      </c>
      <c r="R14">
        <f>N14*Assumption!$F$64 + O14*Assumption!$F$61 + P14*Assumption!$F$62 + Q14*Assumption!$F$63</f>
        <v>26.774999999999999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89344.91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0.14285714285714285</v>
      </c>
      <c r="J3" s="9">
        <f t="shared" ref="J3:J11" si="2">H3-I3</f>
        <v>0.2142857142857143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-0.92299016841092496</v>
      </c>
      <c r="M3" s="41" cm="1">
        <f t="array" ref="M3">_xll.FDSB(A3,"PERCENT_CHANGE(FMA_EPS(+1,0,,,,""PORTAGG"",""MEAN""),FMA_EPS(+1,-3AM,,,,""PORTAGG"",""MEAN""))")</f>
        <v>-15.8005606207015</v>
      </c>
      <c r="N3" s="3" cm="1">
        <f t="array" ref="N3">_xll.FDS(C3,"FG_TOTAL_RETURNC(0,-1AM)")</f>
        <v>-1.6061604</v>
      </c>
      <c r="O3" s="3" cm="1">
        <f t="array" ref="O3">_xll.FDS(C3,"FG_TOTAL_RETURNC(0,-3AM)")</f>
        <v>-3.3916593000000002</v>
      </c>
      <c r="P3" s="3" cm="1">
        <f t="array" ref="P3">_xll.FDS(C3,"FG_TOTAL_RETURNC(0,-6AM)")</f>
        <v>4.4636725999999998</v>
      </c>
      <c r="Q3" s="9" cm="1">
        <f t="array" ref="Q3">_xll.FDS(C3,"P_PRICE(0)/P_PRICE_HIGH_PR(0,,,,,,""PRICE"",""INTRA"",""52W"")")</f>
        <v>0.87173489999999998</v>
      </c>
      <c r="R3" s="9" cm="1">
        <f t="array" ref="R3">_xll.FDS(C3,"P_PRICE(0)/P_PRICE_low_PR(0,,,,,,""PRICE"",""INTRA"",""52W"")-1")</f>
        <v>8.9931490000000003E-2</v>
      </c>
      <c r="S3" s="3" cm="1">
        <f t="array" ref="S3">_xll.FDS(C3,"FG_TOTAL_RETURNC(0,-12AM)")</f>
        <v>-7.5073185000000002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85.7</v>
      </c>
      <c r="AC3" s="4">
        <f t="shared" ref="AC3:AC15" si="4">_xlfn.PERCENTRANK.EXC($L$3:$L$15,L3)*100</f>
        <v>28.499999999999996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85.7</v>
      </c>
      <c r="AG3" s="4">
        <f ca="1">'Economic Momentum'!R4</f>
        <v>78.5</v>
      </c>
      <c r="AH3" s="4">
        <f t="shared" ref="AH3:AH15" ca="1" si="7">SUMPRODUCT($U$2:$AG$2,U3:AG3)</f>
        <v>9.23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1628427.5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22</v>
      </c>
      <c r="G4" cm="1">
        <f t="array" ref="G4">_xll.FDS(A4,"SIZE(FG_CONSTITUENTS)")</f>
        <v>59</v>
      </c>
      <c r="H4" s="9">
        <f t="shared" si="0"/>
        <v>0.33898305084745761</v>
      </c>
      <c r="I4" s="9">
        <f t="shared" si="1"/>
        <v>0.3728813559322034</v>
      </c>
      <c r="J4" s="9">
        <f t="shared" si="2"/>
        <v>-3.3898305084745783E-2</v>
      </c>
      <c r="K4" s="5" cm="1">
        <f t="array" ref="K4">_xll.FDS(A4,"FMA_PCT_ABOVE_MAVG(200,0,,,,""PORTAGG"")")/100</f>
        <v>0.71186440677966101</v>
      </c>
      <c r="L4" s="41" cm="1">
        <f t="array" ref="L4">_xll.FDSB(A4,"PERCENT_CHANGE(FMA_EPS(+1,0,,,,""PORTAGG"",""MEAN""),FMA_EPS(+1,-1AM,,,,""PORTAGG"",""MEAN""))")</f>
        <v>-0.20608445100002501</v>
      </c>
      <c r="M4" s="41" cm="1">
        <f t="array" ref="M4">_xll.FDSB(A4,"PERCENT_CHANGE(FMA_EPS(+1,0,,,,""PORTAGG"",""MEAN""),FMA_EPS(+1,-3AM,,,,""PORTAGG"",""MEAN""))")</f>
        <v>2.07598582964195</v>
      </c>
      <c r="N4" s="3" cm="1">
        <f t="array" ref="N4">_xll.FDS(C4,"FG_TOTAL_RETURNC(0,-1AM)")</f>
        <v>-2.8548179999999999</v>
      </c>
      <c r="O4" s="3" cm="1">
        <f t="array" ref="O4">_xll.FDS(C4,"FG_TOTAL_RETURNC(0,-3AM)")</f>
        <v>0.9322047</v>
      </c>
      <c r="P4" s="3" cm="1">
        <f t="array" ref="P4">_xll.FDS(C4,"FG_TOTAL_RETURNC(0,-6AM)")</f>
        <v>12.811017</v>
      </c>
      <c r="Q4" s="9" cm="1">
        <f t="array" ref="Q4">_xll.FDS(C4,"P_PRICE(0)/P_PRICE_HIGH_PR(0,,,,,,""PRICE"",""INTRA"",""52W"")")</f>
        <v>0.95127790000000001</v>
      </c>
      <c r="R4" s="9" cm="1">
        <f t="array" ref="R4">_xll.FDS(C4,"P_PRICE(0)/P_PRICE_low_PR(0,,,,,,""PRICE"",""INTRA"",""52W"")-1")</f>
        <v>0.16422296</v>
      </c>
      <c r="S4" s="3" cm="1">
        <f t="array" ref="S4">_xll.FDS(C4,"FG_TOTAL_RETURNC(0,-12AM)")</f>
        <v>8.4038970000000006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42.8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21.4</v>
      </c>
      <c r="Y4" s="201" cm="1">
        <f t="array" ref="Y4">_xlfn.PERCENTRANK.EXC(_xlfn._xlws.FILTER($S$3:$S$15, ISNUMBER($S$3:$S$15)),S4)*100</f>
        <v>28.499999999999996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28.499999999999996</v>
      </c>
      <c r="AC4" s="4">
        <f t="shared" si="4"/>
        <v>50</v>
      </c>
      <c r="AD4" s="4">
        <f t="shared" si="5"/>
        <v>85.7</v>
      </c>
      <c r="AE4" s="4">
        <f t="shared" si="6"/>
        <v>35.699999999999996</v>
      </c>
      <c r="AF4" s="4">
        <f>'Economic Momentum'!Q5</f>
        <v>57.099999999999994</v>
      </c>
      <c r="AG4" s="4">
        <f ca="1">'Economic Momentum'!R5</f>
        <v>14.2</v>
      </c>
      <c r="AH4" s="4">
        <f t="shared" ca="1" si="7"/>
        <v>32.090000000000003</v>
      </c>
      <c r="AJ4" s="3" cm="1">
        <f t="array" aca="1" ref="AJ4" ca="1">_xlfn.PERCENTRANK.EXC(_xlfn._xlws.FILTER($AH$3:$AH$15, ISNUMBER($AH$3:$AH$15)),AH4)*100</f>
        <v>21.4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2685264</v>
      </c>
      <c r="E5" cm="1">
        <f t="array" ref="E5">_xll.FDS(C5,"FMA_COS_UP(""EPS"",""1M"",+1,0,,,""PORTAGG"",""MEANR"")")</f>
        <v>40</v>
      </c>
      <c r="F5" cm="1">
        <f t="array" ref="F5">_xll.FDS(C5,"FMA_COS_DOWN(""EPS"",""1M"",+1,0,,,""PORTAGG"",""MEANR"")")</f>
        <v>32</v>
      </c>
      <c r="G5" cm="1">
        <f t="array" ref="G5">_xll.FDS(A5,"SIZE(FG_CONSTITUENTS)")</f>
        <v>88</v>
      </c>
      <c r="H5" s="9">
        <f t="shared" si="0"/>
        <v>0.45454545454545453</v>
      </c>
      <c r="I5" s="9">
        <f t="shared" si="1"/>
        <v>0.36363636363636365</v>
      </c>
      <c r="J5" s="9">
        <f t="shared" si="2"/>
        <v>9.0909090909090884E-2</v>
      </c>
      <c r="K5" s="5" cm="1">
        <f t="array" ref="K5">_xll.FDS(A5,"FMA_PCT_ABOVE_MAVG(200,0,,,,""PORTAGG"")")/100</f>
        <v>0.63636363636363602</v>
      </c>
      <c r="L5" s="41" cm="1">
        <f t="array" ref="L5">_xll.FDSB(A5,"PERCENT_CHANGE(FMA_EPS(+1,0,,,,""PORTAGG"",""MEAN""),FMA_EPS(+1,-1AM,,,,""PORTAGG"",""MEAN""))")</f>
        <v>-0.53975056379312902</v>
      </c>
      <c r="M5" s="41" cm="1">
        <f t="array" ref="M5">_xll.FDSB(A5,"PERCENT_CHANGE(FMA_EPS(+1,0,,,,""PORTAGG"",""MEAN""),FMA_EPS(+1,-3AM,,,,""PORTAGG"",""MEAN""))")</f>
        <v>-2.8124430229251498</v>
      </c>
      <c r="N5" s="3" cm="1">
        <f t="array" ref="N5">_xll.FDS(C5,"FG_TOTAL_RETURNC(0,-1AM)")</f>
        <v>-1.8401681999999999</v>
      </c>
      <c r="O5" s="3" cm="1">
        <f t="array" ref="O5">_xll.FDS(C5,"FG_TOTAL_RETURNC(0,-3AM)")</f>
        <v>2.6106120000000002</v>
      </c>
      <c r="P5" s="3" cm="1">
        <f t="array" ref="P5">_xll.FDS(C5,"FG_TOTAL_RETURNC(0,-6AM)")</f>
        <v>13.557649</v>
      </c>
      <c r="Q5" s="9" cm="1">
        <f t="array" ref="Q5">_xll.FDS(C5,"P_PRICE(0)/P_PRICE_HIGH_PR(0,,,,,,""PRICE"",""INTRA"",""52W"")")</f>
        <v>0.96685659999999995</v>
      </c>
      <c r="R5" s="9" cm="1">
        <f t="array" ref="R5">_xll.FDS(C5,"P_PRICE(0)/P_PRICE_low_PR(0,,,,,,""PRICE"",""INTRA"",""52W"")-1")</f>
        <v>0.18879341999999999</v>
      </c>
      <c r="S5" s="3" cm="1">
        <f t="array" ref="S5">_xll.FDS(C5,"FG_TOTAL_RETURNC(0,-12AM)")</f>
        <v>10.561716000000001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78.5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57.099999999999994</v>
      </c>
      <c r="Z5" s="4" cm="1">
        <f t="array" ref="Z5">_xlfn.PERCENTRANK.EXC(_xlfn._xlws.FILTER($K$3:$K$15, ISNUMBER($K$3:$K$15)),K5)*100</f>
        <v>28.499999999999996</v>
      </c>
      <c r="AA5" s="4" cm="1">
        <f t="array" ref="AA5">_xlfn.PERCENTRANK.EXC(_xlfn._xlws.FILTER($H$3:$H$15, ISNUMBER($H$3:$H$15)),H5)*100</f>
        <v>64.2</v>
      </c>
      <c r="AB5" s="4" cm="1">
        <f t="array" ref="AB5">_xlfn.PERCENTRANK.EXC(_xlfn._xlws.FILTER($J$3:$J$15, ISNUMBER($J$3:$J$15)),J5)*100</f>
        <v>78.5</v>
      </c>
      <c r="AC5" s="4">
        <f t="shared" si="4"/>
        <v>35.699999999999996</v>
      </c>
      <c r="AD5" s="4">
        <f t="shared" si="5"/>
        <v>28.499999999999996</v>
      </c>
      <c r="AE5" s="4">
        <f t="shared" si="6"/>
        <v>57.099999999999994</v>
      </c>
      <c r="AF5" s="4">
        <f>'Economic Momentum'!Q6</f>
        <v>42.8</v>
      </c>
      <c r="AG5" s="4">
        <f ca="1">'Economic Momentum'!R6</f>
        <v>35.699999999999996</v>
      </c>
      <c r="AH5" s="4">
        <f t="shared" ca="1" si="7"/>
        <v>52.79</v>
      </c>
      <c r="AJ5" s="3" cm="1">
        <f t="array" aca="1" ref="AJ5" ca="1">_xlfn.PERCENTRANK.EXC(_xlfn._xlws.FILTER($AH$3:$AH$15, ISNUMBER($AH$3:$AH$15)),AH5)*100</f>
        <v>50</v>
      </c>
      <c r="AK5">
        <f t="shared" si="8"/>
        <v>2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2229547</v>
      </c>
      <c r="E6" cm="1">
        <f t="array" ref="E6">_xll.FDS(C6,"FMA_COS_UP(""EPS"",""1M"",+1,0,,,""PORTAGG"",""MEANR"")")</f>
        <v>28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58</v>
      </c>
      <c r="H6" s="9">
        <f t="shared" si="0"/>
        <v>0.48275862068965519</v>
      </c>
      <c r="I6" s="9">
        <f t="shared" si="1"/>
        <v>0.41379310344827586</v>
      </c>
      <c r="J6" s="9">
        <f t="shared" si="2"/>
        <v>6.8965517241379337E-2</v>
      </c>
      <c r="K6" s="5" cm="1">
        <f t="array" ref="K6">_xll.FDS(A6,"FMA_PCT_ABOVE_MAVG(200,0,,,,""PORTAGG"")")/100</f>
        <v>0.73684210526315796</v>
      </c>
      <c r="L6" s="41" cm="1">
        <f t="array" ref="L6">_xll.FDSB(A6,"PERCENT_CHANGE(FMA_EPS(+1,0,,,,""PORTAGG"",""MEAN""),FMA_EPS(+1,-1AM,,,,""PORTAGG"",""MEAN""))")</f>
        <v>0.175233652588625</v>
      </c>
      <c r="M6" s="41" cm="1">
        <f t="array" ref="M6">_xll.FDSB(A6,"PERCENT_CHANGE(FMA_EPS(+1,0,,,,""PORTAGG"",""MEAN""),FMA_EPS(+1,-3AM,,,,""PORTAGG"",""MEAN""))")</f>
        <v>-0.782324593252817</v>
      </c>
      <c r="N6" s="3" cm="1">
        <f t="array" ref="N6">_xll.FDS(C6,"FG_TOTAL_RETURNC(0,-1AM)")</f>
        <v>-2.041471</v>
      </c>
      <c r="O6" s="3" cm="1">
        <f t="array" ref="O6">_xll.FDS(C6,"FG_TOTAL_RETURNC(0,-3AM)")</f>
        <v>5.0632954000000003</v>
      </c>
      <c r="P6" s="3" cm="1">
        <f t="array" ref="P6">_xll.FDS(C6,"FG_TOTAL_RETURNC(0,-6AM)")</f>
        <v>18.531872</v>
      </c>
      <c r="Q6" s="9" cm="1">
        <f t="array" ref="Q6">_xll.FDS(C6,"P_PRICE(0)/P_PRICE_HIGH_PR(0,,,,,,""PRICE"",""INTRA"",""52W"")")</f>
        <v>0.96058803999999998</v>
      </c>
      <c r="R6" s="9" cm="1">
        <f t="array" ref="R6">_xll.FDS(C6,"P_PRICE(0)/P_PRICE_low_PR(0,,,,,,""PRICE"",""INTRA"",""52W"")-1")</f>
        <v>0.24306822</v>
      </c>
      <c r="S6" s="3" cm="1">
        <f t="array" ref="S6">_xll.FDS(C6,"FG_TOTAL_RETURNC(0,-12AM)")</f>
        <v>8.6601619999999997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71.399999999999991</v>
      </c>
      <c r="Y6" s="201" cm="1">
        <f t="array" ref="Y6">_xlfn.PERCENTRANK.EXC(_xlfn._xlws.FILTER($S$3:$S$15, ISNUMBER($S$3:$S$15)),S6)*100</f>
        <v>35.699999999999996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85.7</v>
      </c>
      <c r="AB6" s="4" cm="1">
        <f t="array" ref="AB6">_xlfn.PERCENTRANK.EXC(_xlfn._xlws.FILTER($J$3:$J$15, ISNUMBER($J$3:$J$15)),J6)*100</f>
        <v>71.399999999999991</v>
      </c>
      <c r="AC6" s="4">
        <f t="shared" si="4"/>
        <v>64.2</v>
      </c>
      <c r="AD6" s="4">
        <f t="shared" si="5"/>
        <v>42.8</v>
      </c>
      <c r="AE6" s="4">
        <f t="shared" si="6"/>
        <v>50</v>
      </c>
      <c r="AF6" s="4">
        <f>'Economic Momentum'!Q7</f>
        <v>14.2</v>
      </c>
      <c r="AG6" s="4">
        <f ca="1">'Economic Momentum'!R7</f>
        <v>28.499999999999996</v>
      </c>
      <c r="AH6" s="4">
        <f t="shared" ca="1" si="7"/>
        <v>62.84</v>
      </c>
      <c r="AJ6" s="3" cm="1">
        <f t="array" aca="1" ref="AJ6" ca="1">_xlfn.PERCENTRANK.EXC(_xlfn._xlws.FILTER($AH$3:$AH$15, ISNUMBER($AH$3:$AH$15)),AH6)*100</f>
        <v>71.399999999999991</v>
      </c>
      <c r="AK6">
        <f t="shared" si="8"/>
        <v>5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6496513.5</v>
      </c>
      <c r="E7" cm="1">
        <f t="array" ref="E7">_xll.FDS(C7,"FMA_COS_UP(""EPS"",""1M"",+1,0,,,""PORTAGG"",""MEANR"")")</f>
        <v>100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218</v>
      </c>
      <c r="H7" s="9">
        <f t="shared" si="0"/>
        <v>0.45871559633027525</v>
      </c>
      <c r="I7" s="9">
        <f t="shared" si="1"/>
        <v>0.39449541284403672</v>
      </c>
      <c r="J7" s="9">
        <f t="shared" si="2"/>
        <v>6.4220183486238536E-2</v>
      </c>
      <c r="K7" s="5" cm="1">
        <f t="array" ref="K7">_xll.FDS(A7,"FMA_PCT_ABOVE_MAVG(200,0,,,,""PORTAGG"")")/100</f>
        <v>0.701834862385321</v>
      </c>
      <c r="L7" s="41" cm="1">
        <f t="array" ref="L7">_xll.FDSB(A7,"PERCENT_CHANGE(FMA_EPS(+1,0,,,,""PORTAGG"",""MEAN""),FMA_EPS(+1,-1AM,,,,""PORTAGG"",""MEAN""))")</f>
        <v>-1.2458928851291899</v>
      </c>
      <c r="M7" s="41" cm="1">
        <f t="array" ref="M7">_xll.FDSB(A7,"PERCENT_CHANGE(FMA_EPS(+1,0,,,,""PORTAGG"",""MEAN""),FMA_EPS(+1,-3AM,,,,""PORTAGG"",""MEAN""))")</f>
        <v>-1.64354113951465</v>
      </c>
      <c r="N7" s="3" cm="1">
        <f t="array" ref="N7">_xll.FDS(C7,"FG_TOTAL_RETURNC(0,-1AM)")</f>
        <v>-2.0737945999999998</v>
      </c>
      <c r="O7" s="3" cm="1">
        <f t="array" ref="O7">_xll.FDS(C7,"FG_TOTAL_RETURNC(0,-3AM)")</f>
        <v>2.9469251999999999</v>
      </c>
      <c r="P7" s="3" cm="1">
        <f t="array" ref="P7">_xll.FDS(C7,"FG_TOTAL_RETURNC(0,-6AM)")</f>
        <v>13.921379999999999</v>
      </c>
      <c r="Q7" s="9" cm="1">
        <f t="array" ref="Q7">_xll.FDS(C7,"P_PRICE(0)/P_PRICE_HIGH_PR(0,,,,,,""PRICE"",""INTRA"",""52W"")")</f>
        <v>0.95011449999999997</v>
      </c>
      <c r="R7" s="9" cm="1">
        <f t="array" ref="R7">_xll.FDS(C7,"P_PRICE(0)/P_PRICE_low_PR(0,,,,,,""PRICE"",""INTRA"",""52W"")-1")</f>
        <v>0.19702792</v>
      </c>
      <c r="S7" s="3" cm="1">
        <f t="array" ref="S7">_xll.FDS(C7,"FG_TOTAL_RETURNC(0,-12AM)")</f>
        <v>19.981598000000002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35.699999999999996</v>
      </c>
      <c r="W7" s="4" cm="1">
        <f t="array" ref="W7">_xlfn.PERCENTRANK.EXC(_xlfn._xlws.FILTER($O$3:$O$15, ISNUMBER($O$3:$O$15)),O7)*100</f>
        <v>50</v>
      </c>
      <c r="X7" s="4" cm="1">
        <f t="array" ref="X7">_xlfn.PERCENTRANK.EXC(_xlfn._xlws.FILTER($P$3:$P$15, ISNUMBER($P$3:$P$15)),P7)*100</f>
        <v>35.699999999999996</v>
      </c>
      <c r="Y7" s="201" cm="1">
        <f t="array" ref="Y7">_xlfn.PERCENTRANK.EXC(_xlfn._xlws.FILTER($S$3:$S$15, ISNUMBER($S$3:$S$15)),S7)*100</f>
        <v>71.399999999999991</v>
      </c>
      <c r="Z7" s="4" cm="1">
        <f t="array" ref="Z7">_xlfn.PERCENTRANK.EXC(_xlfn._xlws.FILTER($K$3:$K$15, ISNUMBER($K$3:$K$15)),K7)*100</f>
        <v>57.099999999999994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64.2</v>
      </c>
      <c r="AC7" s="4">
        <f t="shared" si="4"/>
        <v>7.1</v>
      </c>
      <c r="AD7" s="4">
        <f t="shared" si="5"/>
        <v>35.699999999999996</v>
      </c>
      <c r="AE7" s="4">
        <f t="shared" si="6"/>
        <v>78.5</v>
      </c>
      <c r="AF7" s="4">
        <f>'Economic Momentum'!Q8</f>
        <v>50</v>
      </c>
      <c r="AG7" s="4">
        <f ca="1">'Economic Momentum'!R8</f>
        <v>7.1</v>
      </c>
      <c r="AH7" s="4">
        <f t="shared" ca="1" si="7"/>
        <v>39.99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2015849.9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19</v>
      </c>
      <c r="G8" cm="1">
        <f t="array" ref="G8">_xll.FDS(A8,"SIZE(FG_CONSTITUENTS)")</f>
        <v>46</v>
      </c>
      <c r="H8" s="9">
        <f t="shared" si="0"/>
        <v>0.45652173913043476</v>
      </c>
      <c r="I8" s="9">
        <f t="shared" si="1"/>
        <v>0.41304347826086957</v>
      </c>
      <c r="J8" s="9">
        <f t="shared" si="2"/>
        <v>4.3478260869565188E-2</v>
      </c>
      <c r="K8" s="5" cm="1">
        <f t="array" ref="K8">_xll.FDS(A8,"FMA_PCT_ABOVE_MAVG(200,0,,,,""PORTAGG"")")/100</f>
        <v>0.57777777777777795</v>
      </c>
      <c r="L8" s="41" cm="1">
        <f t="array" ref="L8">_xll.FDSB(A8,"PERCENT_CHANGE(FMA_EPS(+1,0,,,,""PORTAGG"",""MEAN""),FMA_EPS(+1,-1AM,,,,""PORTAGG"",""MEAN""))")</f>
        <v>1.3004405001933299</v>
      </c>
      <c r="M8" s="41" cm="1">
        <f t="array" ref="M8">_xll.FDSB(A8,"PERCENT_CHANGE(FMA_EPS(+1,0,,,,""PORTAGG"",""MEAN""),FMA_EPS(+1,-3AM,,,,""PORTAGG"",""MEAN""))")</f>
        <v>-3.57451082017021</v>
      </c>
      <c r="N8" s="3" cm="1">
        <f t="array" ref="N8">_xll.FDS(C8,"FG_TOTAL_RETURNC(0,-1AM)")</f>
        <v>-2.3300588000000002</v>
      </c>
      <c r="O8" s="3" cm="1">
        <f t="array" ref="O8">_xll.FDS(C8,"FG_TOTAL_RETURNC(0,-3AM)")</f>
        <v>-3.4650384999999999</v>
      </c>
      <c r="P8" s="3" cm="1">
        <f t="array" ref="P8">_xll.FDS(C8,"FG_TOTAL_RETURNC(0,-6AM)")</f>
        <v>6.1570524999999998</v>
      </c>
      <c r="Q8" s="9" cm="1">
        <f t="array" ref="Q8">_xll.FDS(C8,"P_PRICE(0)/P_PRICE_HIGH_PR(0,,,,,,""PRICE"",""INTRA"",""52W"")")</f>
        <v>0.9336875</v>
      </c>
      <c r="R8" s="9" cm="1">
        <f t="array" ref="R8">_xll.FDS(C8,"P_PRICE(0)/P_PRICE_low_PR(0,,,,,,""PRICE"",""INTRA"",""52W"")-1")</f>
        <v>9.9638939999999995E-2</v>
      </c>
      <c r="S8" s="3" cm="1">
        <f t="array" ref="S8">_xll.FDS(C8,"FG_TOTAL_RETURNC(0,-12AM)")</f>
        <v>-2.7566313999999998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7.1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50</v>
      </c>
      <c r="AC8" s="4">
        <f t="shared" si="4"/>
        <v>92.800000000000011</v>
      </c>
      <c r="AD8" s="4">
        <f t="shared" si="5"/>
        <v>14.2</v>
      </c>
      <c r="AE8" s="4">
        <f t="shared" si="6"/>
        <v>42.8</v>
      </c>
      <c r="AF8" s="4">
        <f>'Economic Momentum'!Q9</f>
        <v>7.1</v>
      </c>
      <c r="AG8" s="4">
        <f ca="1">'Economic Momentum'!R9</f>
        <v>42.8</v>
      </c>
      <c r="AH8" s="4">
        <f t="shared" ca="1" si="7"/>
        <v>12.07</v>
      </c>
      <c r="AJ8" s="3" cm="1">
        <f t="array" aca="1" ref="AJ8" ca="1">_xlfn.PERCENTRANK.EXC(_xlfn._xlws.FILTER($AH$3:$AH$15, ISNUMBER($AH$3:$AH$15)),AH8)*100</f>
        <v>14.2</v>
      </c>
      <c r="AK8">
        <f t="shared" si="8"/>
        <v>1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3173776.3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85</v>
      </c>
      <c r="H9" s="9">
        <f t="shared" si="0"/>
        <v>0.4</v>
      </c>
      <c r="I9" s="9">
        <f t="shared" si="1"/>
        <v>0.45882352941176469</v>
      </c>
      <c r="J9" s="9">
        <f t="shared" si="2"/>
        <v>-5.8823529411764663E-2</v>
      </c>
      <c r="K9" s="5" cm="1">
        <f t="array" ref="K9">_xll.FDS(A9,"FMA_PCT_ABOVE_MAVG(200,0,,,,""PORTAGG"")")/100</f>
        <v>0.65476190476190499</v>
      </c>
      <c r="L9" s="41" cm="1">
        <f t="array" ref="L9">_xll.FDSB(A9,"PERCENT_CHANGE(FMA_EPS(+1,0,,,,""PORTAGG"",""MEAN""),FMA_EPS(+1,-1AM,,,,""PORTAGG"",""MEAN""))")</f>
        <v>0.74648302266719702</v>
      </c>
      <c r="M9" s="41" cm="1">
        <f t="array" ref="M9">_xll.FDSB(A9,"PERCENT_CHANGE(FMA_EPS(+1,0,,,,""PORTAGG"",""MEAN""),FMA_EPS(+1,-3AM,,,,""PORTAGG"",""MEAN""))")</f>
        <v>0.26807541421940001</v>
      </c>
      <c r="N9" s="3" cm="1">
        <f t="array" ref="N9">_xll.FDS(C9,"FG_TOTAL_RETURNC(0,-1AM)")</f>
        <v>3.0276299</v>
      </c>
      <c r="O9" s="3" cm="1">
        <f t="array" ref="O9">_xll.FDS(C9,"FG_TOTAL_RETURNC(0,-3AM)")</f>
        <v>7.9790473000000004</v>
      </c>
      <c r="P9" s="3" cm="1">
        <f t="array" ref="P9">_xll.FDS(C9,"FG_TOTAL_RETURNC(0,-6AM)")</f>
        <v>14.889156</v>
      </c>
      <c r="Q9" s="9" cm="1">
        <f t="array" ref="Q9">_xll.FDS(C9,"P_PRICE(0)/P_PRICE_HIGH_PR(0,,,,,,""PRICE"",""INTRA"",""52W"")")</f>
        <v>0.99800679999999997</v>
      </c>
      <c r="R9" s="9" cm="1">
        <f t="array" ref="R9">_xll.FDS(C9,"P_PRICE(0)/P_PRICE_low_PR(0,,,,,,""PRICE"",""INTRA"",""52W"")-1")</f>
        <v>0.16290641</v>
      </c>
      <c r="S9" s="3" cm="1">
        <f t="array" ref="S9">_xll.FDS(C9,"FG_TOTAL_RETURNC(0,-12AM)")</f>
        <v>9.4742300000000004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50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21.4</v>
      </c>
      <c r="AC9" s="4">
        <f t="shared" si="4"/>
        <v>85.7</v>
      </c>
      <c r="AD9" s="4">
        <f t="shared" si="5"/>
        <v>64.2</v>
      </c>
      <c r="AE9" s="4">
        <f t="shared" si="6"/>
        <v>64.2</v>
      </c>
      <c r="AF9" s="4">
        <f>'Economic Momentum'!Q10</f>
        <v>35.699999999999996</v>
      </c>
      <c r="AG9" s="4">
        <f ca="1">'Economic Momentum'!R10</f>
        <v>50</v>
      </c>
      <c r="AH9" s="4">
        <f t="shared" ca="1" si="7"/>
        <v>77.830000000000013</v>
      </c>
      <c r="AJ9" s="3" cm="1">
        <f t="array" aca="1" ref="AJ9" ca="1">_xlfn.PERCENTRANK.EXC(_xlfn._xlws.FILTER($AH$3:$AH$15, ISNUMBER($AH$3:$AH$15)),AH9)*100</f>
        <v>85.7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52937652</v>
      </c>
      <c r="E10" cm="1">
        <f t="array" ref="E10">_xll.FDS(C10,"FMA_COS_UP(""EPS"",""1M"",+1,0,,,""PORTAGG"",""MEANR"")")</f>
        <v>41</v>
      </c>
      <c r="F10" cm="1">
        <f t="array" ref="F10">_xll.FDS(C10,"FMA_COS_DOWN(""EPS"",""1M"",+1,0,,,""PORTAGG"",""MEANR"")")</f>
        <v>39</v>
      </c>
      <c r="G10" cm="1">
        <f t="array" ref="G10">_xll.FDS(A10,"SIZE(FG_CONSTITUENTS)")</f>
        <v>102</v>
      </c>
      <c r="H10" s="9">
        <f t="shared" si="0"/>
        <v>0.40196078431372551</v>
      </c>
      <c r="I10" s="9">
        <f t="shared" si="1"/>
        <v>0.38235294117647056</v>
      </c>
      <c r="J10" s="9">
        <f t="shared" si="2"/>
        <v>1.9607843137254943E-2</v>
      </c>
      <c r="K10" s="5" cm="1">
        <f t="array" ref="K10">_xll.FDS(A10,"FMA_PCT_ABOVE_MAVG(200,0,,,,""PORTAGG"")")/100</f>
        <v>0.59803921568627505</v>
      </c>
      <c r="L10" s="41" cm="1">
        <f t="array" ref="L10">_xll.FDSB(A10,"PERCENT_CHANGE(FMA_EPS(+1,0,,,,""PORTAGG"",""MEAN""),FMA_EPS(+1,-1AM,,,,""PORTAGG"",""MEAN""))")</f>
        <v>-0.50191135461624503</v>
      </c>
      <c r="M10" s="41" cm="1">
        <f t="array" ref="M10">_xll.FDSB(A10,"PERCENT_CHANGE(FMA_EPS(+1,0,,,,""PORTAGG"",""MEAN""),FMA_EPS(+1,-3AM,,,,""PORTAGG"",""MEAN""))")</f>
        <v>-4.2187498989830298E-2</v>
      </c>
      <c r="N10" s="3" cm="1">
        <f t="array" ref="N10">_xll.FDS(C10,"FG_TOTAL_RETURNC(0,-1AM)")</f>
        <v>-3.2214165000000001</v>
      </c>
      <c r="O10" s="3" cm="1">
        <f t="array" ref="O10">_xll.FDS(C10,"FG_TOTAL_RETURNC(0,-3AM)")</f>
        <v>-0.36140084</v>
      </c>
      <c r="P10" s="3" cm="1">
        <f t="array" ref="P10">_xll.FDS(C10,"FG_TOTAL_RETURNC(0,-6AM)")</f>
        <v>17.910229999999999</v>
      </c>
      <c r="Q10" s="9" cm="1">
        <f t="array" ref="Q10">_xll.FDS(C10,"P_PRICE(0)/P_PRICE_HIGH_PR(0,,,,,,""PRICE"",""INTRA"",""52W"")")</f>
        <v>0.95006007000000003</v>
      </c>
      <c r="R10" s="9" cm="1">
        <f t="array" ref="R10">_xll.FDS(C10,"P_PRICE(0)/P_PRICE_low_PR(0,,,,,,""PRICE"",""INTRA"",""52W"")-1")</f>
        <v>0.35474348</v>
      </c>
      <c r="S10" s="3" cm="1">
        <f t="array" ref="S10">_xll.FDS(C10,"FG_TOTAL_RETURNC(0,-12AM)")</f>
        <v>34.554935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21.4</v>
      </c>
      <c r="X10" s="4" cm="1">
        <f t="array" ref="X10">_xlfn.PERCENTRANK.EXC(_xlfn._xlws.FILTER($P$3:$P$15, ISNUMBER($P$3:$P$15)),P10)*100</f>
        <v>57.099999999999994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21.4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35.699999999999996</v>
      </c>
      <c r="AC10" s="4">
        <f t="shared" si="4"/>
        <v>42.8</v>
      </c>
      <c r="AD10" s="4">
        <f t="shared" si="5"/>
        <v>50</v>
      </c>
      <c r="AE10" s="4">
        <f t="shared" si="6"/>
        <v>85.7</v>
      </c>
      <c r="AF10" s="4">
        <f>'Economic Momentum'!Q11</f>
        <v>64.2</v>
      </c>
      <c r="AG10" s="4">
        <f ca="1">'Economic Momentum'!R11</f>
        <v>57.099999999999994</v>
      </c>
      <c r="AH10" s="4">
        <f t="shared" ca="1" si="7"/>
        <v>34.949999999999996</v>
      </c>
      <c r="AJ10" s="3" cm="1">
        <f t="array" aca="1" ref="AJ10" ca="1">_xlfn.PERCENTRANK.EXC(_xlfn._xlws.FILTER($AH$3:$AH$15, ISNUMBER($AH$3:$AH$15)),AH10)*100</f>
        <v>28.499999999999996</v>
      </c>
      <c r="AK10">
        <f t="shared" si="8"/>
        <v>1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52937652</v>
      </c>
      <c r="E11" cm="1">
        <f t="array" ref="E11">_xll.FDS(C11,"FMA_COS_UP(""EPS"",""1M"",+1,0,,,""PORTAGG"",""MEANR"")")</f>
        <v>223</v>
      </c>
      <c r="F11" cm="1">
        <f t="array" ref="F11">_xll.FDS(C11,"FMA_COS_DOWN(""EPS"",""1M"",+1,0,,,""PORTAGG"",""MEANR"")")</f>
        <v>201</v>
      </c>
      <c r="G11" cm="1">
        <f t="array" ref="G11">_xll.FDS(A11,"SIZE(FG_CONSTITUENTS)")</f>
        <v>504</v>
      </c>
      <c r="H11" s="9">
        <f t="shared" si="0"/>
        <v>0.44246031746031744</v>
      </c>
      <c r="I11" s="9">
        <f t="shared" si="1"/>
        <v>0.39880952380952384</v>
      </c>
      <c r="J11" s="9">
        <f t="shared" si="2"/>
        <v>4.3650793650793607E-2</v>
      </c>
      <c r="K11" s="5" cm="1">
        <f t="array" ref="K11">_xll.FDS(A11,"FMA_PCT_ABOVE_MAVG(200,0,,,,""PORTAGG"")")/100</f>
        <v>0.68662674650698607</v>
      </c>
      <c r="L11" s="41" cm="1">
        <f t="array" ref="L11">_xll.FDSB(A11,"PERCENT_CHANGE(FMA_EPS(+1,0,,,,""PORTAGG"",""MEAN""),FMA_EPS(+1,-1AM,,,,""PORTAGG"",""MEAN""))")</f>
        <v>0.18010972828324301</v>
      </c>
      <c r="M11" s="41" cm="1">
        <f t="array" ref="M11">_xll.FDSB(A11,"PERCENT_CHANGE(FMA_EPS(+1,0,,,,""PORTAGG"",""MEAN""),FMA_EPS(+1,-3AM,,,,""PORTAGG"",""MEAN""))")</f>
        <v>0.286489776429247</v>
      </c>
      <c r="N11" s="3" cm="1">
        <f t="array" ref="N11">_xll.FDS(C11,"FG_TOTAL_RETURNC(0,-1AM)")</f>
        <v>-2.6617109999999999</v>
      </c>
      <c r="O11" s="3" cm="1">
        <f t="array" ref="O11">_xll.FDS(C11,"FG_TOTAL_RETURNC(0,-3AM)")</f>
        <v>2.4800062</v>
      </c>
      <c r="P11" s="3" cm="1">
        <f t="array" ref="P11">_xll.FDS(C11,"FG_TOTAL_RETURNC(0,-6AM)")</f>
        <v>18.086040000000001</v>
      </c>
      <c r="Q11" s="9" cm="1">
        <f t="array" ref="Q11">_xll.FDS(C11,"P_PRICE(0)/P_PRICE_HIGH_PR(0,,,,,,""PRICE"",""INTRA"",""52W"")")</f>
        <v>0.96267705999999997</v>
      </c>
      <c r="R11" s="9" cm="1">
        <f t="array" ref="R11">_xll.FDS(C11,"P_PRICE(0)/P_PRICE_low_PR(0,,,,,,""PRICE"",""INTRA"",""52W"")-1")</f>
        <v>0.25087930000000003</v>
      </c>
      <c r="S11" s="3" cm="1">
        <f t="array" ref="S11">_xll.FDS(C11,"FG_TOTAL_RETURNC(0,-12AM)")</f>
        <v>24.716889999999999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35.699999999999996</v>
      </c>
      <c r="X11" s="4" cm="1">
        <f t="array" ref="X11">_xlfn.PERCENTRANK.EXC(_xlfn._xlws.FILTER($P$3:$P$15, ISNUMBER($P$3:$P$15)),P11)*100</f>
        <v>64.2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50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57.099999999999994</v>
      </c>
      <c r="AC11" s="4">
        <f t="shared" si="4"/>
        <v>71.399999999999991</v>
      </c>
      <c r="AD11" s="4">
        <f t="shared" si="5"/>
        <v>71.399999999999991</v>
      </c>
      <c r="AE11" s="4">
        <f t="shared" si="6"/>
        <v>85.7</v>
      </c>
      <c r="AF11" s="4">
        <f>'Economic Momentum'!Q12</f>
        <v>64.2</v>
      </c>
      <c r="AG11" s="4">
        <f ca="1">'Economic Momentum'!R12</f>
        <v>57.099999999999994</v>
      </c>
      <c r="AH11" s="4">
        <f t="shared" ca="1" si="7"/>
        <v>58.53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2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3280292.3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31</v>
      </c>
      <c r="G12" cm="1">
        <f t="array" ref="G12">_xll.FDS(A12,"SIZE(FG_CONSTITUENTS)")</f>
        <v>63</v>
      </c>
      <c r="H12" s="9">
        <f t="shared" ref="H12:H15" si="9">E12/$G12</f>
        <v>0.42857142857142855</v>
      </c>
      <c r="I12" s="9">
        <f t="shared" ref="I12:I15" si="10">F12/$G12</f>
        <v>0.49206349206349204</v>
      </c>
      <c r="J12" s="9">
        <f t="shared" ref="J12:J15" si="11">H12-I12</f>
        <v>-6.3492063492063489E-2</v>
      </c>
      <c r="K12" s="5" cm="1">
        <f t="array" ref="K12">_xll.FDS(A12,"FMA_PCT_ABOVE_MAVG(200,0,,,,""PORTAGG"")")/100</f>
        <v>0.73015873015873001</v>
      </c>
      <c r="L12" s="41" cm="1">
        <f t="array" ref="L12">_xll.FDSB(A12,"PERCENT_CHANGE(FMA_EPS(+1,0,,,,""PORTAGG"",""MEAN""),FMA_EPS(+1,-1AM,,,,""PORTAGG"",""MEAN""))")</f>
        <v>-0.956558041274437</v>
      </c>
      <c r="M12" s="41" cm="1">
        <f t="array" ref="M12">_xll.FDSB(A12,"PERCENT_CHANGE(FMA_EPS(+1,0,,,,""PORTAGG"",""MEAN""),FMA_EPS(+1,-3AM,,,,""PORTAGG"",""MEAN""))")</f>
        <v>-3.1015717446975501</v>
      </c>
      <c r="N12" s="3" cm="1">
        <f t="array" ref="N12">_xll.FDS(C12,"FG_TOTAL_RETURNC(0,-1AM)")</f>
        <v>-1.587683</v>
      </c>
      <c r="O12" s="3" cm="1">
        <f t="array" ref="O12">_xll.FDS(C12,"FG_TOTAL_RETURNC(0,-3AM)")</f>
        <v>4.3782473</v>
      </c>
      <c r="P12" s="3" cm="1">
        <f t="array" ref="P12">_xll.FDS(C12,"FG_TOTAL_RETURNC(0,-6AM)")</f>
        <v>14.167821999999999</v>
      </c>
      <c r="Q12" s="9" cm="1">
        <f t="array" ref="Q12">_xll.FDS(C12,"P_PRICE(0)/P_PRICE_HIGH_PR(0,,,,,,""PRICE"",""INTRA"",""52W"")")</f>
        <v>0.96214926000000001</v>
      </c>
      <c r="R12" s="9" cm="1">
        <f t="array" ref="R12">_xll.FDS(C12,"P_PRICE(0)/P_PRICE_low_PR(0,,,,,,""PRICE"",""INTRA"",""52W"")-1")</f>
        <v>0.19696975</v>
      </c>
      <c r="S12" s="3" cm="1">
        <f t="array" ref="S12">_xll.FDS(C12,"FG_TOTAL_RETURNC(0,-12AM)")</f>
        <v>6.0333014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64.2</v>
      </c>
      <c r="W12" s="4" cm="1">
        <f t="array" ref="W12">_xlfn.PERCENTRANK.EXC(_xlfn._xlws.FILTER($O$3:$O$15, ISNUMBER($O$3:$O$15)),O12)*100</f>
        <v>64.2</v>
      </c>
      <c r="X12" s="4" cm="1">
        <f t="array" ref="X12">_xlfn.PERCENTRANK.EXC(_xlfn._xlws.FILTER($P$3:$P$15, ISNUMBER($P$3:$P$15)),P12)*100</f>
        <v>42.8</v>
      </c>
      <c r="Y12" s="201" cm="1">
        <f t="array" ref="Y12">_xlfn.PERCENTRANK.EXC(_xlfn._xlws.FILTER($S$3:$S$15, ISNUMBER($S$3:$S$15)),S12)*100</f>
        <v>21.4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50</v>
      </c>
      <c r="AB12" s="4" cm="1">
        <f t="array" ref="AB12">_xlfn.PERCENTRANK.EXC(_xlfn._xlws.FILTER($J$3:$J$15, ISNUMBER($J$3:$J$15)),J12)*100</f>
        <v>14.2</v>
      </c>
      <c r="AC12" s="4">
        <f t="shared" si="4"/>
        <v>14.2</v>
      </c>
      <c r="AD12" s="4">
        <f t="shared" si="5"/>
        <v>21.4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57.78</v>
      </c>
      <c r="AJ12" s="3" cm="1">
        <f t="array" aca="1" ref="AJ12" ca="1">_xlfn.PERCENTRANK.EXC(_xlfn._xlws.FILTER($AH$3:$AH$15, ISNUMBER($AH$3:$AH$15)),AH12)*100</f>
        <v>57.099999999999994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1081992.1000000001</v>
      </c>
      <c r="E13" cm="1">
        <f t="array" ref="E13">_xll.FDS(C13,"FMA_COS_UP(""EPS"",""1M"",+1,0,,,""PORTAGG"",""MEANR"")")</f>
        <v>20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54</v>
      </c>
      <c r="H13" s="9">
        <f t="shared" si="9"/>
        <v>0.37037037037037035</v>
      </c>
      <c r="I13" s="9">
        <f t="shared" si="10"/>
        <v>0.33333333333333331</v>
      </c>
      <c r="J13" s="9">
        <f t="shared" si="11"/>
        <v>3.7037037037037035E-2</v>
      </c>
      <c r="K13" s="5" cm="1">
        <f t="array" ref="K13">_xll.FDS(A13,"FMA_PCT_ABOVE_MAVG(200,0,,,,""PORTAGG"")")/100</f>
        <v>0.66666666666666696</v>
      </c>
      <c r="L13" s="41" cm="1">
        <f t="array" ref="L13">_xll.FDSB(A13,"PERCENT_CHANGE(FMA_EPS(+1,0,,,,""PORTAGG"",""MEAN""),FMA_EPS(+1,-1AM,,,,""PORTAGG"",""MEAN""))")</f>
        <v>-0.93468004121867898</v>
      </c>
      <c r="M13" s="41" cm="1">
        <f t="array" ref="M13">_xll.FDSB(A13,"PERCENT_CHANGE(FMA_EPS(+1,0,,,,""PORTAGG"",""MEAN""),FMA_EPS(+1,-3AM,,,,""PORTAGG"",""MEAN""))")</f>
        <v>0.88814155494233604</v>
      </c>
      <c r="N13" s="3" cm="1">
        <f t="array" ref="N13">_xll.FDS(C13,"FG_TOTAL_RETURNC(0,-1AM)")</f>
        <v>-1.7868042</v>
      </c>
      <c r="O13" s="3" cm="1">
        <f t="array" ref="O13">_xll.FDS(C13,"FG_TOTAL_RETURNC(0,-3AM)")</f>
        <v>5.5652499999999998</v>
      </c>
      <c r="P13" s="3" cm="1">
        <f t="array" ref="P13">_xll.FDS(C13,"FG_TOTAL_RETURNC(0,-6AM)")</f>
        <v>26.027763</v>
      </c>
      <c r="Q13" s="9" cm="1">
        <f t="array" ref="Q13">_xll.FDS(C13,"P_PRICE(0)/P_PRICE_HIGH_PR(0,,,,,,""PRICE"",""INTRA"",""52W"")")</f>
        <v>0.96163019999999999</v>
      </c>
      <c r="R13" s="9" cm="1">
        <f t="array" ref="R13">_xll.FDS(C13,"P_PRICE(0)/P_PRICE_low_PR(0,,,,,,""PRICE"",""INTRA"",""52W"")-1")</f>
        <v>0.33287406000000003</v>
      </c>
      <c r="S13" s="3" cm="1">
        <f t="array" ref="S13">_xll.FDS(C13,"FG_TOTAL_RETURNC(0,-12AM)")</f>
        <v>17.728006000000001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57.099999999999994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42.8</v>
      </c>
      <c r="AC13" s="4">
        <f t="shared" si="4"/>
        <v>21.4</v>
      </c>
      <c r="AD13" s="4">
        <f t="shared" si="5"/>
        <v>78.5</v>
      </c>
      <c r="AE13" s="4">
        <f t="shared" si="6"/>
        <v>28.499999999999996</v>
      </c>
      <c r="AF13" s="4">
        <f>'Economic Momentum'!Q14</f>
        <v>78.5</v>
      </c>
      <c r="AG13" s="4">
        <f ca="1">'Economic Momentum'!R14</f>
        <v>92.800000000000011</v>
      </c>
      <c r="AH13" s="4">
        <f t="shared" ca="1" si="7"/>
        <v>74.23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2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994950.4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45</v>
      </c>
      <c r="H14" s="9">
        <f t="shared" si="9"/>
        <v>0.51111111111111107</v>
      </c>
      <c r="I14" s="9">
        <f t="shared" si="10"/>
        <v>0.24444444444444444</v>
      </c>
      <c r="J14" s="9">
        <f t="shared" si="11"/>
        <v>0.26666666666666661</v>
      </c>
      <c r="K14" s="5" cm="1">
        <f t="array" ref="K14">_xll.FDS(A14,"FMA_PCT_ABOVE_MAVG(200,0,,,,""PORTAGG"")")/100</f>
        <v>0.90697674418604601</v>
      </c>
      <c r="L14" s="41" cm="1">
        <f t="array" ref="L14">_xll.FDSB(A14,"PERCENT_CHANGE(FMA_EPS(+1,0,,,,""PORTAGG"",""MEAN""),FMA_EPS(+1,-1AM,,,,""PORTAGG"",""MEAN""))")</f>
        <v>0.23907070683855899</v>
      </c>
      <c r="M14" s="41" cm="1">
        <f t="array" ref="M14">_xll.FDSB(A14,"PERCENT_CHANGE(FMA_EPS(+1,0,,,,""PORTAGG"",""MEAN""),FMA_EPS(+1,-3AM,,,,""PORTAGG"",""MEAN""))")</f>
        <v>0.12113995877450701</v>
      </c>
      <c r="N14" s="3" cm="1">
        <f t="array" ref="N14">_xll.FDS(C14,"FG_TOTAL_RETURNC(0,-1AM)")</f>
        <v>-1.8149674</v>
      </c>
      <c r="O14" s="3" cm="1">
        <f t="array" ref="O14">_xll.FDS(C14,"FG_TOTAL_RETURNC(0,-3AM)")</f>
        <v>3.8943648</v>
      </c>
      <c r="P14" s="3" cm="1">
        <f t="array" ref="P14">_xll.FDS(C14,"FG_TOTAL_RETURNC(0,-6AM)")</f>
        <v>24.065422000000002</v>
      </c>
      <c r="Q14" s="9" cm="1">
        <f t="array" ref="Q14">_xll.FDS(C14,"P_PRICE(0)/P_PRICE_HIGH_PR(0,,,,,,""PRICE"",""INTRA"",""52W"")")</f>
        <v>0.93719923000000005</v>
      </c>
      <c r="R14" s="9" cm="1">
        <f t="array" ref="R14">_xll.FDS(C14,"P_PRICE(0)/P_PRICE_low_PR(0,,,,,,""PRICE"",""INTRA"",""52W"")-1")</f>
        <v>0.26934993000000002</v>
      </c>
      <c r="S14" s="3" cm="1">
        <f t="array" ref="S14">_xll.FDS(C14,"FG_TOTAL_RETURNC(0,-12AM)")</f>
        <v>9.3475230000000007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85.7</v>
      </c>
      <c r="Y14" s="201" cm="1">
        <f t="array" ref="Y14">_xlfn.PERCENTRANK.EXC(_xlfn._xlws.FILTER($S$3:$S$15, ISNUMBER($S$3:$S$15)),S14)*100</f>
        <v>42.8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92.800000000000011</v>
      </c>
      <c r="AB14" s="4" cm="1">
        <f t="array" ref="AB14">_xlfn.PERCENTRANK.EXC(_xlfn._xlws.FILTER($J$3:$J$15, ISNUMBER($J$3:$J$15)),J14)*100</f>
        <v>92.800000000000011</v>
      </c>
      <c r="AC14" s="4">
        <f t="shared" si="4"/>
        <v>78.5</v>
      </c>
      <c r="AD14" s="4">
        <f t="shared" si="5"/>
        <v>57.099999999999994</v>
      </c>
      <c r="AE14" s="4">
        <f t="shared" si="6"/>
        <v>21.4</v>
      </c>
      <c r="AF14" s="4">
        <f>'Economic Momentum'!Q15</f>
        <v>85.7</v>
      </c>
      <c r="AG14" s="4">
        <f ca="1">'Economic Momentum'!R15</f>
        <v>21.4</v>
      </c>
      <c r="AH14" s="4">
        <f t="shared" ca="1" si="7"/>
        <v>51.4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4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863437.6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9">
        <f t="shared" si="9"/>
        <v>0.34615384615384615</v>
      </c>
      <c r="I15" s="9">
        <f t="shared" si="10"/>
        <v>0.42307692307692307</v>
      </c>
      <c r="J15" s="9">
        <f t="shared" si="11"/>
        <v>-7.6923076923076927E-2</v>
      </c>
      <c r="K15" s="5" cm="1">
        <f t="array" ref="K15">_xll.FDS(A15,"FMA_PCT_ABOVE_MAVG(200,0,,,,""PORTAGG"")")/100</f>
        <v>0.72</v>
      </c>
      <c r="L15" s="41" cm="1">
        <f t="array" ref="L15">_xll.FDSB(A15,"PERCENT_CHANGE(FMA_EPS(+1,0,,,,""PORTAGG"",""MEAN""),FMA_EPS(+1,-1AM,,,,""PORTAGG"",""MEAN""))")</f>
        <v>-0.142981277240605</v>
      </c>
      <c r="M15" s="41" cm="1">
        <f t="array" ref="M15">_xll.FDSB(A15,"PERCENT_CHANGE(FMA_EPS(+1,0,,,,""PORTAGG"",""MEAN""),FMA_EPS(+1,-3AM,,,,""PORTAGG"",""MEAN""))")</f>
        <v>2.1084649729375</v>
      </c>
      <c r="N15" s="3" cm="1">
        <f t="array" ref="N15">_xll.FDS(C15,"FG_TOTAL_RETURNC(0,-1AM)")</f>
        <v>-0.94035864000000002</v>
      </c>
      <c r="O15" s="3" cm="1">
        <f t="array" ref="O15">_xll.FDS(C15,"FG_TOTAL_RETURNC(0,-3AM)")</f>
        <v>9.6342449999999999</v>
      </c>
      <c r="P15" s="3" cm="1">
        <f t="array" ref="P15">_xll.FDS(C15,"FG_TOTAL_RETURNC(0,-6AM)")</f>
        <v>20.786655</v>
      </c>
      <c r="Q15" s="9" cm="1">
        <f t="array" ref="Q15">_xll.FDS(C15,"P_PRICE(0)/P_PRICE_HIGH_PR(0,,,,,,""PRICE"",""INTRA"",""52W"")")</f>
        <v>0.97128559999999997</v>
      </c>
      <c r="R15" s="9" cm="1">
        <f t="array" ref="R15">_xll.FDS(C15,"P_PRICE(0)/P_PRICE_low_PR(0,,,,,,""PRICE"",""INTRA"",""52W"")-1")</f>
        <v>0.27072203</v>
      </c>
      <c r="S15" s="3" cm="1">
        <f t="array" ref="S15">_xll.FDS(C15,"FG_TOTAL_RETURNC(0,-12AM)")</f>
        <v>23.113154999999999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71.399999999999991</v>
      </c>
      <c r="AA15" s="4" cm="1">
        <f t="array" ref="AA15">_xlfn.PERCENTRANK.EXC(_xlfn._xlws.FILTER($H$3:$H$15, ISNUMBER($H$3:$H$15)),H15)*100</f>
        <v>14.2</v>
      </c>
      <c r="AB15" s="4" cm="1">
        <f t="array" ref="AB15">_xlfn.PERCENTRANK.EXC(_xlfn._xlws.FILTER($J$3:$J$15, ISNUMBER($J$3:$J$15)),J15)*100</f>
        <v>7.1</v>
      </c>
      <c r="AC15" s="4">
        <f t="shared" si="4"/>
        <v>57.099999999999994</v>
      </c>
      <c r="AD15" s="4">
        <f t="shared" si="5"/>
        <v>92.800000000000011</v>
      </c>
      <c r="AE15" s="4">
        <f t="shared" si="6"/>
        <v>14.2</v>
      </c>
      <c r="AF15" s="4">
        <f>'Economic Momentum'!Q16</f>
        <v>28.499999999999996</v>
      </c>
      <c r="AG15" s="4">
        <f ca="1">'Economic Momentum'!R16</f>
        <v>85.7</v>
      </c>
      <c r="AH15" s="4">
        <f t="shared" ca="1" si="7"/>
        <v>85.67</v>
      </c>
      <c r="AJ15" s="3" cm="1">
        <f t="array" aca="1" ref="AJ15" ca="1">_xlfn.PERCENTRANK.EXC(_xlfn._xlws.FILTER($AH$3:$AH$15, ISNUMBER($AH$3:$AH$15)),AH15)*100</f>
        <v>92.800000000000011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424</v>
      </c>
      <c r="F18" cm="1">
        <f t="array" ref="F18">_xll.FDS(C18,"FMA_COS_DOWN(""EPS"",""1M"",+1,0,,,""PORTAGG"",""MEANR"")")</f>
        <v>548</v>
      </c>
      <c r="G18" cm="1">
        <f t="array" ref="G18">_xll.FDS(A18,"SIZE(FG_CONSTITUENTS)")</f>
        <v>1280</v>
      </c>
      <c r="H18" s="9">
        <f>E18/$G18</f>
        <v>0.33124999999999999</v>
      </c>
      <c r="I18" s="9">
        <f>F18/$G18</f>
        <v>0.42812499999999998</v>
      </c>
      <c r="J18" s="9">
        <f t="shared" ref="J18" si="13">H18-I18</f>
        <v>-9.6874999999999989E-2</v>
      </c>
      <c r="K18" s="5" cm="1">
        <f t="array" ref="K18">_xll.FDS(A18,"FMA_PCT_ABOVE_MAVG(200,0,,,,""PORTAGG"")")/100</f>
        <v>0.69236883942766303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-1.5599974326433399</v>
      </c>
      <c r="N18" s="3" cm="1">
        <f t="array" ref="N18">_xll.FDS(C18,"FG_TOTAL_RETURNC(0,-1AM)")</f>
        <v>-0.67526699999999995</v>
      </c>
      <c r="O18" s="3" cm="1">
        <f t="array" ref="O18">_xll.FDS(C18,"FG_TOTAL_RETURNC(0,-3AM)")</f>
        <v>4.4860600000000002</v>
      </c>
      <c r="P18" s="3" cm="1">
        <f t="array" ref="P18">_xll.FDS(C18,"FG_TOTAL_RETURNC(0,-6AM)")</f>
        <v>16.064644000000001</v>
      </c>
      <c r="Q18" s="9" cm="1">
        <f t="array" ref="Q18">_xll.FDS(C18,"P_PRICE(0)/P_PRICE_HIGH_PR(0,,,,,,""PRICE"",""INTRA"",""52W"")")</f>
        <v>0.97654180000000002</v>
      </c>
      <c r="R18" s="9" cm="1">
        <f t="array" ref="R18">_xll.FDS(C18,"P_PRICE(0)/P_PRICE_low_PR(0,,,,,,""PRICE"",""INTRA"",""52W"")-1")</f>
        <v>0.20214307000000001</v>
      </c>
      <c r="S18" s="3" cm="1">
        <f t="array" ref="S18">_xll.FDS(C18,"FG_TOTAL_RETURNC(0,-12AM)")</f>
        <v>9.2439540000000004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841</v>
      </c>
      <c r="F19" cm="1">
        <f t="array" ref="F19">_xll.FDS(C19,"FMA_COS_DOWN(""EPS"",""1M"",+1,0,,,""PORTAGG"",""MEANR"")")</f>
        <v>1332</v>
      </c>
      <c r="G19" cm="1">
        <f t="array" ref="G19">_xll.FDS(A19,"SIZE(FG_CONSTITUENTS)")</f>
        <v>1</v>
      </c>
      <c r="H19" s="9">
        <f>E19/$G19</f>
        <v>841</v>
      </c>
      <c r="I19" s="9">
        <f>F19/$G19</f>
        <v>1332</v>
      </c>
      <c r="J19" s="9">
        <f t="shared" ref="J19" si="14">H19-I19</f>
        <v>-491</v>
      </c>
      <c r="K19" s="5" cm="1">
        <f t="array" ref="K19">_xll.FDS(A19,"FMA_PCT_ABOVE_MAVG(200,0,,,,""PORTAGG"")")/100</f>
        <v>0.41552020636285497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-1.9449810555179701</v>
      </c>
      <c r="N19" s="3" cm="1">
        <f t="array" ref="N19">_xll.FDS(C19,"FG_TOTAL_RETURNC(0,-1AM)")</f>
        <v>2.7804136000000002</v>
      </c>
      <c r="O19" s="3" cm="1">
        <f t="array" ref="O19">_xll.FDS(C19,"FG_TOTAL_RETURNC(0,-3AM)")</f>
        <v>9.2355009999999993</v>
      </c>
      <c r="P19" s="3" cm="1">
        <f t="array" ref="P19">_xll.FDS(C19,"FG_TOTAL_RETURNC(0,-6AM)")</f>
        <v>13.972712</v>
      </c>
      <c r="Q19" s="9" cm="1">
        <f t="array" ref="Q19">_xll.FDS(C19,"P_PRICE(0)/P_PRICE_HIGH_PR(0,,,,,,""PRICE"",""INTRA"",""52W"")")</f>
        <v>0.99769324000000004</v>
      </c>
      <c r="R19" s="9" cm="1">
        <f t="array" ref="R19">_xll.FDS(C19,"P_PRICE(0)/P_PRICE_low_PR(0,,,,,,""PRICE"",""INTRA"",""52W"")-1")</f>
        <v>0.154719</v>
      </c>
      <c r="S19" s="3" cm="1">
        <f t="array" ref="S19">_xll.FDS(C19,"FG_TOTAL_RETURNC(0,-12AM)")</f>
        <v>12.947369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634</v>
      </c>
      <c r="F20" cm="1">
        <f t="array" ref="F20">_xll.FDS(C20,"FMA_COS_DOWN(""EPS"",""1M"",+1,0,,,""PORTAGG"",""MEANR"")")</f>
        <v>566</v>
      </c>
      <c r="G20" cm="1">
        <f t="array" ref="G20">_xll.FDS(A20,"SIZE(FG_CONSTITUENTS)")</f>
        <v>1469</v>
      </c>
      <c r="H20" s="9">
        <f t="shared" ref="H20" si="16">E20/$G20</f>
        <v>0.43158611300204219</v>
      </c>
      <c r="I20" s="9">
        <f t="shared" ref="I20" si="17">F20/$G20</f>
        <v>0.38529611980939416</v>
      </c>
      <c r="J20" s="9">
        <f t="shared" ref="J20" si="18">H20-I20</f>
        <v>4.6289993192648038E-2</v>
      </c>
      <c r="K20" s="5" cm="1">
        <f t="array" ref="K20">_xll.FDS(A20,"FMA_PCT_ABOVE_MAVG(200,0,,,,""PORTAGG"")")/100</f>
        <v>0.70793433652530791</v>
      </c>
      <c r="L20" s="41" cm="1">
        <f t="array" ref="L20">_xll.FDSB(A20,"PERCENT_CHANGE(FMA_EPS(+1,0,,,,""PORTAGG"",""MEAN""),FMA_EPS(+1,-1AM,,,,""PORTAGG"",""MEAN""))")</f>
        <v>-0.10206087153422699</v>
      </c>
      <c r="M20" s="41" cm="1">
        <f t="array" ref="M20">_xll.FDSB(A20,"PERCENT_CHANGE(FMA_EPS(+1,0,,,,""PORTAGG"",""MEAN""),FMA_EPS(+1,-3AM,,,,""PORTAGG"",""MEAN""))")</f>
        <v>-0.14275633015309799</v>
      </c>
      <c r="N20" s="3" cm="1">
        <f t="array" ref="N20">_xll.FDS(C20,"FG_TOTAL_RETURNC(0,-1AM)")</f>
        <v>-2.3832738</v>
      </c>
      <c r="O20" s="3" cm="1">
        <f t="array" ref="O20">_xll.FDS(C20,"FG_TOTAL_RETURNC(0,-3AM)")</f>
        <v>2.6603222</v>
      </c>
      <c r="P20" s="3" cm="1">
        <f t="array" ref="P20">_xll.FDS(C20,"FG_TOTAL_RETURNC(0,-6AM)")</f>
        <v>17.004776</v>
      </c>
      <c r="Q20" s="9" cm="1">
        <f t="array" ref="Q20">_xll.FDS(C20,"P_PRICE(0)/P_PRICE_HIGH_PR(0,,,,,,""PRICE"",""INTRA"",""52W"")")</f>
        <v>0.96480469999999996</v>
      </c>
      <c r="R20" s="9" cm="1">
        <f t="array" ref="R20">_xll.FDS(C20,"P_PRICE(0)/P_PRICE_low_PR(0,,,,,,""PRICE"",""INTRA"",""52W"")-1")</f>
        <v>0.22127295</v>
      </c>
      <c r="S20" s="3" cm="1">
        <f t="array" ref="S20">_xll.FDS(C20,"FG_TOTAL_RETURNC(0,-12AM)")</f>
        <v>20.489274999999999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100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218</v>
      </c>
      <c r="H21" s="9">
        <f t="shared" ref="H21:H22" si="20">E21/$G21</f>
        <v>0.45871559633027525</v>
      </c>
      <c r="I21" s="9">
        <f t="shared" ref="I21:I22" si="21">F21/$G21</f>
        <v>0.39449541284403672</v>
      </c>
      <c r="J21" s="9">
        <f t="shared" ref="J21:J22" si="22">H21-I21</f>
        <v>6.4220183486238536E-2</v>
      </c>
      <c r="K21" s="5" cm="1">
        <f t="array" ref="K21">_xll.FDS(A21,"FMA_PCT_ABOVE_MAVG(200,0,,,,""PORTAGG"")")/100</f>
        <v>0.701834862385321</v>
      </c>
      <c r="L21" s="41" cm="1">
        <f t="array" ref="L21">_xll.FDSB(A21,"PERCENT_CHANGE(FMA_EPS(+1,0,,,,""PORTAGG"",""MEAN""),FMA_EPS(+1,-1AM,,,,""PORTAGG"",""MEAN""))")</f>
        <v>-1.2458928851291899</v>
      </c>
      <c r="M21" s="41" cm="1">
        <f t="array" ref="M21">_xll.FDSB(A21,"PERCENT_CHANGE(FMA_EPS(+1,0,,,,""PORTAGG"",""MEAN""),FMA_EPS(+1,-3AM,,,,""PORTAGG"",""MEAN""))")</f>
        <v>-1.64354113951465</v>
      </c>
      <c r="N21" s="3" cm="1">
        <f t="array" ref="N21">_xll.FDS(C21,"FG_TOTAL_RETURNC(0,-1AM)")</f>
        <v>-2.0737945999999998</v>
      </c>
      <c r="O21" s="3" cm="1">
        <f t="array" ref="O21">_xll.FDS(C21,"FG_TOTAL_RETURNC(0,-3AM)")</f>
        <v>2.9469251999999999</v>
      </c>
      <c r="P21" s="3" cm="1">
        <f t="array" ref="P21">_xll.FDS(C21,"FG_TOTAL_RETURNC(0,-6AM)")</f>
        <v>13.921379999999999</v>
      </c>
      <c r="Q21" s="9" cm="1">
        <f t="array" ref="Q21">_xll.FDS(C21,"P_PRICE(0)/P_PRICE_HIGH_PR(0,,,,,,""PRICE"",""INTRA"",""52W"")")</f>
        <v>0.95011449999999997</v>
      </c>
      <c r="R21" s="9" cm="1">
        <f t="array" ref="R21">_xll.FDS(C21,"P_PRICE(0)/P_PRICE_low_PR(0,,,,,,""PRICE"",""INTRA"",""52W"")-1")</f>
        <v>0.19702792</v>
      </c>
      <c r="S21" s="3" cm="1">
        <f t="array" ref="S21">_xll.FDS(C21,"FG_TOTAL_RETURNC(0,-12AM)")</f>
        <v>19.981598000000002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223</v>
      </c>
      <c r="F22" cm="1">
        <f t="array" ref="F22">_xll.FDS(C22,"FMA_COS_DOWN(""EPS"",""1M"",+1,0,,,""PORTAGG"",""MEANR"")")</f>
        <v>201</v>
      </c>
      <c r="G22" cm="1">
        <f t="array" ref="G22">_xll.FDS(A22,"SIZE(FG_CONSTITUENTS)")</f>
        <v>504</v>
      </c>
      <c r="H22" s="9">
        <f t="shared" si="20"/>
        <v>0.44246031746031744</v>
      </c>
      <c r="I22" s="9">
        <f t="shared" si="21"/>
        <v>0.39880952380952384</v>
      </c>
      <c r="J22" s="9">
        <f t="shared" si="22"/>
        <v>4.3650793650793607E-2</v>
      </c>
      <c r="K22" s="5" cm="1">
        <f t="array" ref="K22">_xll.FDS(A22,"FMA_PCT_ABOVE_MAVG(200,0,,,,""PORTAGG"")")/100</f>
        <v>0.68662674650698607</v>
      </c>
      <c r="L22" s="41" cm="1">
        <f t="array" ref="L22">_xll.FDSB(A22,"PERCENT_CHANGE(FMA_EPS(+1,0,,,,""PORTAGG"",""MEAN""),FMA_EPS(+1,-1AM,,,,""PORTAGG"",""MEAN""))")</f>
        <v>0.18010972828324301</v>
      </c>
      <c r="M22" s="41" cm="1">
        <f t="array" ref="M22">_xll.FDSB(A22,"PERCENT_CHANGE(FMA_EPS(+1,0,,,,""PORTAGG"",""MEAN""),FMA_EPS(+1,-3AM,,,,""PORTAGG"",""MEAN""))")</f>
        <v>0.286489776429247</v>
      </c>
      <c r="N22" s="3" cm="1">
        <f t="array" ref="N22">_xll.FDS(C22,"FG_TOTAL_RETURNC(0,-1AM)")</f>
        <v>-2.6617109999999999</v>
      </c>
      <c r="O22" s="3" cm="1">
        <f t="array" ref="O22">_xll.FDS(C22,"FG_TOTAL_RETURNC(0,-3AM)")</f>
        <v>2.4800062</v>
      </c>
      <c r="P22" s="3" cm="1">
        <f t="array" ref="P22">_xll.FDS(C22,"FG_TOTAL_RETURNC(0,-6AM)")</f>
        <v>18.086040000000001</v>
      </c>
      <c r="Q22" s="9" cm="1">
        <f t="array" ref="Q22">_xll.FDS(C22,"P_PRICE(0)/P_PRICE_HIGH_PR(0,,,,,,""PRICE"",""INTRA"",""52W"")")</f>
        <v>0.96267705999999997</v>
      </c>
      <c r="R22" s="9" cm="1">
        <f t="array" ref="R22">_xll.FDS(C22,"P_PRICE(0)/P_PRICE_low_PR(0,,,,,,""PRICE"",""INTRA"",""52W"")-1")</f>
        <v>0.25087930000000003</v>
      </c>
      <c r="S22" s="3" cm="1">
        <f t="array" ref="S22">_xll.FDS(C22,"FG_TOTAL_RETURNC(0,-12AM)")</f>
        <v>24.716889999999999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20</v>
      </c>
      <c r="F23" cm="1">
        <f t="array" ref="F23">_xll.FDS(C23,"FMA_COS_DOWN(""EPS"",""1M"",+1,0,,,""PORTAGG"",""MEANR"")")</f>
        <v>22</v>
      </c>
      <c r="G23" cm="1">
        <f t="array" ref="G23">_xll.FDS(A23,"SIZE(FG_CONSTITUENTS)")</f>
        <v>53</v>
      </c>
      <c r="H23" s="9">
        <f t="shared" ref="H23" si="24">E23/$G23</f>
        <v>0.37735849056603776</v>
      </c>
      <c r="I23" s="9">
        <f t="shared" ref="I23" si="25">F23/$G23</f>
        <v>0.41509433962264153</v>
      </c>
      <c r="J23" s="9">
        <f t="shared" ref="J23" si="26">H23-I23</f>
        <v>-3.7735849056603765E-2</v>
      </c>
      <c r="K23" s="5" cm="1">
        <f t="array" ref="K23">_xll.FDS(A23,"FMA_PCT_ABOVE_MAVG(200,0,,,,""PORTAGG"")")/100</f>
        <v>0.70588235294117696</v>
      </c>
      <c r="L23" s="41" cm="1">
        <f t="array" ref="L23">_xll.FDSB(A23,"PERCENT_CHANGE(FMA_EPS(+1,0,,,,""PORTAGG"",""MEAN""),FMA_EPS(+1,-1AM,,,,""PORTAGG"",""MEAN""))")</f>
        <v>-0.39023393632381198</v>
      </c>
      <c r="M23" s="41" cm="1">
        <f t="array" ref="M23">_xll.FDSB(A23,"PERCENT_CHANGE(FMA_EPS(+1,0,,,,""PORTAGG"",""MEAN""),FMA_EPS(+1,-3AM,,,,""PORTAGG"",""MEAN""))")</f>
        <v>0.54975431686850096</v>
      </c>
      <c r="N23" s="3" cm="1">
        <f t="array" ref="N23">_xll.FDS(C23,"FG_TOTAL_RETURNC(0,-1AM)")</f>
        <v>10.365856000000001</v>
      </c>
      <c r="O23" s="3" cm="1">
        <f t="array" ref="O23">_xll.FDS(C23,"FG_TOTAL_RETURNC(0,-3AM)")</f>
        <v>26.809906000000002</v>
      </c>
      <c r="P23" s="3" cm="1">
        <f t="array" ref="P23">_xll.FDS(C23,"FG_TOTAL_RETURNC(0,-6AM)")</f>
        <v>8.2324739999999998</v>
      </c>
      <c r="Q23" s="9" cm="1">
        <f t="array" ref="Q23">_xll.FDS(C23,"P_PRICE(0)/P_PRICE_HIGH_PR(0,,,,,,""PRICE"",""INTRA"",""52W"")")</f>
        <v>0.88899799999999995</v>
      </c>
      <c r="R23" s="9" cm="1">
        <f t="array" ref="R23">_xll.FDS(C23,"P_PRICE(0)/P_PRICE_low_PR(0,,,,,,""PRICE"",""INTRA"",""52W"")-1")</f>
        <v>0.30153394</v>
      </c>
      <c r="S23" s="3" cm="1">
        <f t="array" ref="S23">_xll.FDS(C23,"FG_TOTAL_RETURNC(0,-12AM)")</f>
        <v>1.2145638000000001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-0.14541567</v>
      </c>
      <c r="E4" s="9">
        <f>HLOOKUP(B4,'Monthly Returns'!$A$1:$Q$134, 132, FALSE)</f>
        <v>0.12396694214876033</v>
      </c>
      <c r="H4" s="9">
        <f>HLOOKUP(B4,'Yearly returns'!$B$1:$N$140, 133, FALSE)</f>
        <v>0.1487603305785124</v>
      </c>
      <c r="I4" s="9">
        <f>HLOOKUP(B4,'Yearly returns'!$B$1:$N$140, 138, FALSE)</f>
        <v>0.188</v>
      </c>
      <c r="J4" s="183">
        <f>1/E4</f>
        <v>8.0666666666666664</v>
      </c>
      <c r="K4" s="185">
        <f>PERCENTRANK($J$4:$J$16,J4)*100</f>
        <v>66.600000000000009</v>
      </c>
      <c r="L4" s="47">
        <f>(1-PERCENTRANK($E$4:$E$16,E4))*100</f>
        <v>75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79.174999999999997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-0.24045050000000001</v>
      </c>
      <c r="E5" s="9">
        <f>HLOOKUP(B5,'Monthly Returns'!$A$1:$Q$134, 132, FALSE)</f>
        <v>0.12396694214876033</v>
      </c>
      <c r="H5" s="9">
        <f>HLOOKUP(B5,'Yearly returns'!$B$1:$N$140, 133, FALSE)</f>
        <v>0.14049586776859505</v>
      </c>
      <c r="I5" s="9">
        <f>HLOOKUP(B5,'Yearly returns'!$B$1:$N$140, 138, FALSE)</f>
        <v>0.59799999999999998</v>
      </c>
      <c r="J5" s="183">
        <f t="shared" ref="J5:J16" si="0">1/E5</f>
        <v>8.0666666666666664</v>
      </c>
      <c r="K5" s="185">
        <f t="shared" ref="K5:K16" si="1">PERCENTRANK($J$4:$J$16,J5)*100</f>
        <v>66.600000000000009</v>
      </c>
      <c r="L5" s="47">
        <f t="shared" ref="L5:L16" si="2">(1-PERCENTRANK($E$4:$E$16,E5))*100</f>
        <v>75</v>
      </c>
      <c r="M5" s="47">
        <f t="shared" ref="M5:M16" si="3">(1-PERCENTRANK($H$4:$H$16,H5))*100</f>
        <v>50</v>
      </c>
      <c r="N5" s="47">
        <f t="shared" ref="N5:N16" si="4">(1-PERCENTRANK($I$4:$I$16,I5))*100</f>
        <v>58.400000000000006</v>
      </c>
      <c r="P5">
        <f>L5*Assumption!$E$53 + M5*Assumption!$F$53 + N5*Assumption!$G$53</f>
        <v>60.45</v>
      </c>
      <c r="R5" cm="1">
        <f t="array" ref="R5">_xlfn.PERCENTRANK.EXC(_xlfn._xlws.FILTER(P$4:P$16, ISNUMBER(P$4:P$16)),P5)*100</f>
        <v>71.399999999999991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-0.24849129</v>
      </c>
      <c r="E6" s="9">
        <f>HLOOKUP(B6,'Monthly Returns'!$A$1:$Q$134, 132, FALSE)</f>
        <v>0.13223140495867769</v>
      </c>
      <c r="H6" s="9">
        <f>HLOOKUP(B6,'Yearly returns'!$B$1:$N$140, 133, FALSE)</f>
        <v>0.15702479338842976</v>
      </c>
      <c r="I6" s="9">
        <f>HLOOKUP(B6,'Yearly returns'!$B$1:$N$140, 138, FALSE)</f>
        <v>0.65500000000000003</v>
      </c>
      <c r="J6" s="183">
        <f t="shared" si="0"/>
        <v>7.5625</v>
      </c>
      <c r="K6" s="185">
        <f t="shared" si="1"/>
        <v>50</v>
      </c>
      <c r="L6" s="47">
        <f t="shared" si="2"/>
        <v>58.400000000000006</v>
      </c>
      <c r="M6" s="47">
        <f t="shared" si="3"/>
        <v>33.4</v>
      </c>
      <c r="N6" s="47">
        <f t="shared" si="4"/>
        <v>50</v>
      </c>
      <c r="P6">
        <f>L6*Assumption!$E$53 + M6*Assumption!$F$53 + N6*Assumption!$G$53</f>
        <v>47.95</v>
      </c>
      <c r="R6" cm="1">
        <f t="array" ref="R6">_xlfn.PERCENTRANK.EXC(_xlfn._xlws.FILTER(P$4:P$16, ISNUMBER(P$4:P$16)),P6)*100</f>
        <v>50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-0.22155464</v>
      </c>
      <c r="E7" s="9">
        <f>HLOOKUP(B7,'Monthly Returns'!$A$1:$Q$134, 132, FALSE)</f>
        <v>0.18181818181818182</v>
      </c>
      <c r="H7" s="9">
        <f>HLOOKUP(B7,'Yearly returns'!$B$1:$N$140, 133, FALSE)</f>
        <v>0.23140495867768596</v>
      </c>
      <c r="I7" s="9">
        <f>HLOOKUP(B7,'Yearly returns'!$B$1:$N$140, 138, FALSE)</f>
        <v>0.59</v>
      </c>
      <c r="J7" s="183">
        <f t="shared" si="0"/>
        <v>5.5</v>
      </c>
      <c r="K7" s="185">
        <f t="shared" si="1"/>
        <v>0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41.699999999999996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-0.11169124</v>
      </c>
      <c r="E8" s="9">
        <f>HLOOKUP(B8,'Monthly Returns'!$A$1:$Q$134, 132, FALSE)</f>
        <v>8.2644628099173556E-2</v>
      </c>
      <c r="H8" s="9">
        <f>HLOOKUP(B8,'Yearly returns'!$B$1:$N$140, 133, FALSE)</f>
        <v>0.11570247933884298</v>
      </c>
      <c r="I8" s="9">
        <f>HLOOKUP(B8,'Yearly returns'!$B$1:$N$140, 138, FALSE)</f>
        <v>0.86799999999999999</v>
      </c>
      <c r="J8" s="183">
        <f t="shared" si="0"/>
        <v>12.1</v>
      </c>
      <c r="K8" s="185">
        <f t="shared" si="1"/>
        <v>100</v>
      </c>
      <c r="L8" s="47">
        <f t="shared" si="2"/>
        <v>100</v>
      </c>
      <c r="M8" s="47">
        <f t="shared" si="3"/>
        <v>58.400000000000006</v>
      </c>
      <c r="N8" s="47">
        <f t="shared" si="4"/>
        <v>0</v>
      </c>
      <c r="P8">
        <f>L8*Assumption!$E$53 + M8*Assumption!$F$53 + N8*Assumption!$G$53</f>
        <v>39.6</v>
      </c>
      <c r="R8" cm="1">
        <f t="array" ref="R8">_xlfn.PERCENTRANK.EXC(_xlfn._xlws.FILTER(P$4:P$16, ISNUMBER(P$4:P$16)),P8)*100</f>
        <v>14.2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-9.1261629999999996E-2</v>
      </c>
      <c r="E9" s="9">
        <f>HLOOKUP(B9,'Monthly Returns'!$A$1:$Q$134, 132, FALSE)</f>
        <v>0.13223140495867769</v>
      </c>
      <c r="H9" s="9">
        <f>HLOOKUP(B9,'Yearly returns'!$B$1:$N$140, 133, FALSE)</f>
        <v>8.2644628099173556E-2</v>
      </c>
      <c r="I9" s="9">
        <f>HLOOKUP(B9,'Yearly returns'!$B$1:$N$140, 138, FALSE)</f>
        <v>0.221</v>
      </c>
      <c r="J9" s="183">
        <f t="shared" si="0"/>
        <v>7.5625</v>
      </c>
      <c r="K9" s="185">
        <f t="shared" si="1"/>
        <v>50</v>
      </c>
      <c r="L9" s="47">
        <f t="shared" si="2"/>
        <v>58.400000000000006</v>
      </c>
      <c r="M9" s="47">
        <f t="shared" si="3"/>
        <v>91.7</v>
      </c>
      <c r="N9" s="47">
        <f t="shared" si="4"/>
        <v>91.7</v>
      </c>
      <c r="P9">
        <f>L9*Assumption!$E$53 + M9*Assumption!$F$53 + N9*Assumption!$G$53</f>
        <v>83.375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-0.21266508000000001</v>
      </c>
      <c r="E10" s="9">
        <f>HLOOKUP(B10,'Monthly Returns'!$A$1:$Q$134, 132, FALSE)</f>
        <v>9.9173553719008267E-2</v>
      </c>
      <c r="H10" s="9">
        <f>HLOOKUP(B10,'Yearly returns'!$B$1:$N$140, 133, FALSE)</f>
        <v>0.18181818181818182</v>
      </c>
      <c r="I10" s="9">
        <f>HLOOKUP(B10,'Yearly returns'!$B$1:$N$140, 138, FALSE)</f>
        <v>0.68</v>
      </c>
      <c r="J10" s="183">
        <f t="shared" si="0"/>
        <v>10.083333333333334</v>
      </c>
      <c r="K10" s="185">
        <f t="shared" si="1"/>
        <v>83.3</v>
      </c>
      <c r="L10" s="47">
        <f t="shared" si="2"/>
        <v>83.399999999999991</v>
      </c>
      <c r="M10" s="47">
        <f t="shared" si="3"/>
        <v>25</v>
      </c>
      <c r="N10" s="47">
        <f t="shared" si="4"/>
        <v>33.4</v>
      </c>
      <c r="P10">
        <f>L10*Assumption!$E$53 + M10*Assumption!$F$53 + N10*Assumption!$G$53</f>
        <v>43.8</v>
      </c>
      <c r="R10" cm="1">
        <f t="array" ref="R10">_xlfn.PERCENTRANK.EXC(_xlfn._xlws.FILTER(P$4:P$16, ISNUMBER(P$4:P$16)),P10)*100</f>
        <v>35.699999999999996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-0.13868505</v>
      </c>
      <c r="E11" s="9">
        <f>HLOOKUP(B11,'Monthly Returns'!$A$1:$Q$134, 132, FALSE)</f>
        <v>0.14049586776859505</v>
      </c>
      <c r="H11" s="9">
        <f>HLOOKUP(B11,'Yearly returns'!$B$1:$N$140, 133, FALSE)</f>
        <v>8.2644628099173556E-2</v>
      </c>
      <c r="I11" s="9">
        <f>HLOOKUP(B11,'Yearly returns'!$B$1:$N$140, 138, FALSE)</f>
        <v>0.77800000000000002</v>
      </c>
      <c r="J11" s="183">
        <f t="shared" si="0"/>
        <v>7.117647058823529</v>
      </c>
      <c r="K11" s="185">
        <f t="shared" si="1"/>
        <v>25</v>
      </c>
      <c r="L11" s="47">
        <f t="shared" si="2"/>
        <v>41.7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41.7</v>
      </c>
      <c r="R11" cm="1">
        <f t="array" ref="R11">_xlfn.PERCENTRANK.EXC(_xlfn._xlws.FILTER(P$4:P$16, ISNUMBER(P$4:P$16)),P11)*100</f>
        <v>28.499999999999996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-0.18024837000000002</v>
      </c>
      <c r="E12" s="9">
        <f>HLOOKUP(B12,'Monthly Returns'!$A$1:$Q$134, 132, FALSE)</f>
        <v>9.0909090909090912E-2</v>
      </c>
      <c r="H12" s="9">
        <f>HLOOKUP(B12,'Yearly returns'!$B$1:$N$140, 133, FALSE)</f>
        <v>4.9586776859504134E-2</v>
      </c>
      <c r="I12" s="9">
        <f>HLOOKUP(B12,'Yearly returns'!$B$1:$N$140, 138, FALSE)</f>
        <v>0.83599999999999997</v>
      </c>
      <c r="J12" s="183">
        <f t="shared" si="0"/>
        <v>11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8.3999999999999968</v>
      </c>
      <c r="P12">
        <f>L12*Assumption!$E$53 + M12*Assumption!$F$53 + N12*Assumption!$G$53</f>
        <v>52.124999999999993</v>
      </c>
      <c r="R12" cm="1">
        <f t="array" ref="R12">_xlfn.PERCENTRANK.EXC(_xlfn._xlws.FILTER(P$4:P$16, ISNUMBER(P$4:P$16)),P12)*100</f>
        <v>64.2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-0.23869015000000002</v>
      </c>
      <c r="E13" s="9">
        <f>HLOOKUP(B13,'Monthly Returns'!$A$1:$Q$134, 132, FALSE)</f>
        <v>0.14049586776859505</v>
      </c>
      <c r="H13" s="9">
        <f>HLOOKUP(B13,'Yearly returns'!$B$1:$N$140, 133, FALSE)</f>
        <v>9.9173553719008267E-2</v>
      </c>
      <c r="I13" s="9">
        <f>HLOOKUP(B13,'Yearly returns'!$B$1:$N$140, 138, FALSE)</f>
        <v>0.52400000000000002</v>
      </c>
      <c r="J13" s="183">
        <f t="shared" si="0"/>
        <v>7.117647058823529</v>
      </c>
      <c r="K13" s="185">
        <f t="shared" si="1"/>
        <v>25</v>
      </c>
      <c r="L13" s="47">
        <f t="shared" si="2"/>
        <v>41.7</v>
      </c>
      <c r="M13" s="47">
        <f t="shared" si="3"/>
        <v>75</v>
      </c>
      <c r="N13" s="47">
        <f t="shared" si="4"/>
        <v>83.399999999999991</v>
      </c>
      <c r="P13">
        <f>L13*Assumption!$E$53 + M13*Assumption!$F$53 + N13*Assumption!$G$53</f>
        <v>70.875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-0.19026261999999999</v>
      </c>
      <c r="E14" s="9">
        <f>HLOOKUP(B14,'Monthly Returns'!$A$1:$Q$134, 132, FALSE)</f>
        <v>0.14049586776859505</v>
      </c>
      <c r="H14" s="9">
        <f>HLOOKUP(B14,'Yearly returns'!$B$1:$N$140, 133, FALSE)</f>
        <v>9.9173553719008267E-2</v>
      </c>
      <c r="I14" s="9">
        <f>HLOOKUP(B14,'Yearly returns'!$B$1:$N$140, 138, FALSE)</f>
        <v>0.67200000000000004</v>
      </c>
      <c r="J14" s="183">
        <f t="shared" si="0"/>
        <v>7.117647058823529</v>
      </c>
      <c r="K14" s="185">
        <f t="shared" si="1"/>
        <v>25</v>
      </c>
      <c r="L14" s="47">
        <f t="shared" si="2"/>
        <v>41.7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50.025000000000006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-0.20536000000000001</v>
      </c>
      <c r="E15" s="9">
        <f>HLOOKUP(B15,'Monthly Returns'!$A$1:$Q$134, 132, FALSE)</f>
        <v>0.1487603305785124</v>
      </c>
      <c r="H15" s="9">
        <f>HLOOKUP(B15,'Yearly returns'!$B$1:$N$140, 133, FALSE)</f>
        <v>0.18181818181818182</v>
      </c>
      <c r="I15" s="9">
        <f>HLOOKUP(B15,'Yearly returns'!$B$1:$N$140, 138, FALSE)</f>
        <v>0.59</v>
      </c>
      <c r="J15" s="183">
        <f t="shared" si="0"/>
        <v>6.7222222222222223</v>
      </c>
      <c r="K15" s="185">
        <f t="shared" si="1"/>
        <v>16.600000000000001</v>
      </c>
      <c r="L15" s="47">
        <f t="shared" si="2"/>
        <v>16.700000000000003</v>
      </c>
      <c r="M15" s="47">
        <f t="shared" si="3"/>
        <v>25</v>
      </c>
      <c r="N15" s="47">
        <f t="shared" si="4"/>
        <v>75</v>
      </c>
      <c r="P15">
        <f>L15*Assumption!$E$53 + M15*Assumption!$F$53 + N15*Assumption!$G$53</f>
        <v>47.924999999999997</v>
      </c>
      <c r="R15" cm="1">
        <f t="array" ref="R15">_xlfn.PERCENTRANK.EXC(_xlfn._xlws.FILTER(P$4:P$16, ISNUMBER(P$4:P$16)),P15)*100</f>
        <v>42.8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-0.25275124000000004</v>
      </c>
      <c r="E16" s="9">
        <f>HLOOKUP(B16,'Monthly Returns'!$A$1:$Q$134, 132, FALSE)</f>
        <v>0.18181818181818182</v>
      </c>
      <c r="H16" s="9">
        <f>HLOOKUP(B16,'Yearly returns'!$B$1:$N$140, 133, FALSE)</f>
        <v>0.256198347107438</v>
      </c>
      <c r="I16" s="9">
        <f>HLOOKUP(B16,'Yearly returns'!$B$1:$N$140, 138, FALSE)</f>
        <v>0.71299999999999997</v>
      </c>
      <c r="J16" s="183">
        <f t="shared" si="0"/>
        <v>5.5</v>
      </c>
      <c r="K16" s="185">
        <f t="shared" si="1"/>
        <v>0</v>
      </c>
      <c r="L16" s="47">
        <f t="shared" si="2"/>
        <v>8.3999999999999968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14.6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0.31900000000000001</v>
      </c>
      <c r="G5" s="141" cm="1">
        <f t="array" ref="G5">_xll.FDSZ(C5,"FG_PRICE(0)")</f>
        <v>44.72</v>
      </c>
      <c r="H5" s="141" cm="1">
        <f t="array" ref="H5">_xll.FDSZ(C5,"FG_PRICE_MAVG(0,,,,30)")</f>
        <v>44.89376</v>
      </c>
      <c r="I5" s="141" cm="1">
        <f t="array" ref="I5">_xll.FDSZ(C5,"FG_PRICE_MAVG(0,,,,60)")</f>
        <v>45.197629999999997</v>
      </c>
      <c r="J5" s="141" cm="1">
        <f t="array" ref="J5">_xll.FDSZ(C5,"FG_PRICE_MAVG(0,,,,200)")</f>
        <v>45.623539999999998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839</v>
      </c>
      <c r="S5" s="7" cm="1">
        <f t="array" ref="S5">_xll.FDSZ($R5,"FG_PRICE(0)")</f>
        <v>377.73090000000002</v>
      </c>
      <c r="T5" s="7" cm="1">
        <f t="array" ref="T5">_xll.FDSZ($R5,"FG_PRICE(0)")</f>
        <v>377.73090000000002</v>
      </c>
      <c r="U5" s="7" cm="1">
        <f t="array" ref="U5">_xll.FDSZ($R5,"FG_PRICE(0)")</f>
        <v>377.73090000000002</v>
      </c>
      <c r="V5" s="7" cm="1">
        <f t="array" ref="V5">_xll.FDSZ($R5,"FG_PRICE(0)")</f>
        <v>377.73090000000002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0.22900000000000001</v>
      </c>
      <c r="G6" s="141" cm="1">
        <f t="array" ref="G6">_xll.FDSZ(C6,"FG_PRICE(0)")</f>
        <v>23.82</v>
      </c>
      <c r="H6" s="141" cm="1">
        <f t="array" ref="H6">_xll.FDSZ(C6,"FG_PRICE_MAVG(0,,,,30)")</f>
        <v>24.050999999999998</v>
      </c>
      <c r="I6" s="141" cm="1">
        <f t="array" ref="I6">_xll.FDSZ(C6,"FG_PRICE_MAVG(0,,,,60)")</f>
        <v>24.009167000000001</v>
      </c>
      <c r="J6" s="141" cm="1">
        <f t="array" ref="J6">_xll.FDSZ(C6,"FG_PRICE_MAVG(0,,,,200)")</f>
        <v>22.89575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840</v>
      </c>
      <c r="S6" s="7" cm="1">
        <f t="array" ref="S6">_xll.FDSZ($R6,"FG_PRICE(0)")</f>
        <v>346.82925</v>
      </c>
      <c r="T6" s="7" cm="1">
        <f t="array" ref="T6">_xll.FDSZ($R6,"FG_PRICE(0)")</f>
        <v>346.82925</v>
      </c>
      <c r="U6" s="7" cm="1">
        <f t="array" ref="U6">_xll.FDSZ($R6,"FG_PRICE(0)")</f>
        <v>346.82925</v>
      </c>
      <c r="V6" s="7" cm="1">
        <f t="array" ref="V6">_xll.FDSZ($R6,"FG_PRICE(0)")</f>
        <v>346.82925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0.27</v>
      </c>
      <c r="G7" s="141" cm="1">
        <f t="array" ref="G7">_xll.FDSZ(C7,"FG_PRICE(0)")</f>
        <v>37.340000000000003</v>
      </c>
      <c r="H7" s="141" cm="1">
        <f t="array" ref="H7">_xll.FDSZ(C7,"FG_PRICE_MAVG(0,,,,30)")</f>
        <v>37.634999999999998</v>
      </c>
      <c r="I7" s="141" cm="1">
        <f t="array" ref="I7">_xll.FDSZ(C7,"FG_PRICE_MAVG(0,,,,60)")</f>
        <v>37.3215</v>
      </c>
      <c r="J7" s="141" cm="1">
        <f t="array" ref="J7">_xll.FDSZ(C7,"FG_PRICE_MAVG(0,,,,200)")</f>
        <v>35.4649</v>
      </c>
      <c r="L7">
        <f t="shared" si="0"/>
        <v>0</v>
      </c>
      <c r="M7">
        <f t="shared" si="1"/>
        <v>1</v>
      </c>
      <c r="N7">
        <f t="shared" si="2"/>
        <v>1</v>
      </c>
      <c r="P7">
        <f t="shared" si="3"/>
        <v>2</v>
      </c>
      <c r="R7" t="s">
        <v>841</v>
      </c>
      <c r="S7" s="7" cm="1">
        <f t="array" ref="S7">_xll.FDSZ($R7,"FG_PRICE(0)")</f>
        <v>286.13522</v>
      </c>
      <c r="T7" s="7" cm="1">
        <f t="array" ref="T7">_xll.FDSZ($R7,"FG_PRICE(0)")</f>
        <v>286.13522</v>
      </c>
      <c r="U7" s="7" cm="1">
        <f t="array" ref="U7">_xll.FDSZ($R7,"FG_PRICE(0)")</f>
        <v>286.13522</v>
      </c>
      <c r="V7" s="7" cm="1">
        <f t="array" ref="V7">_xll.FDSZ($R7,"FG_PRICE(0)")</f>
        <v>286.13522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0.31900000000000001</v>
      </c>
      <c r="G8" s="141" cm="1">
        <f t="array" ref="G8">_xll.FDSZ(C8,"FG_PRICE(0)")</f>
        <v>30.71</v>
      </c>
      <c r="H8" s="141" cm="1">
        <f t="array" ref="H8">_xll.FDSZ(C8,"FG_PRICE_MAVG(0,,,,30)")</f>
        <v>30.948333999999999</v>
      </c>
      <c r="I8" s="141" cm="1">
        <f t="array" ref="I8">_xll.FDSZ(C8,"FG_PRICE_MAVG(0,,,,60)")</f>
        <v>30.651167000000001</v>
      </c>
      <c r="J8" s="141" cm="1">
        <f t="array" ref="J8">_xll.FDSZ(C8,"FG_PRICE_MAVG(0,,,,200)")</f>
        <v>28.640650000000001</v>
      </c>
      <c r="L8">
        <f t="shared" si="0"/>
        <v>0</v>
      </c>
      <c r="M8">
        <f t="shared" si="1"/>
        <v>1</v>
      </c>
      <c r="N8">
        <f t="shared" si="2"/>
        <v>1</v>
      </c>
      <c r="P8">
        <f t="shared" si="3"/>
        <v>2</v>
      </c>
      <c r="R8" t="s">
        <v>838</v>
      </c>
      <c r="S8" s="7" cm="1">
        <f t="array" ref="S8">_xll.FDSZ($R8,"FG_PRICE(0)")</f>
        <v>9.6876119999999997</v>
      </c>
      <c r="T8" s="7" cm="1">
        <f t="array" ref="T8">_xll.FDSZ($R8,"FG_PRICE(0)")</f>
        <v>9.6876119999999997</v>
      </c>
      <c r="U8" s="7" cm="1">
        <f t="array" ref="U8">_xll.FDSZ($R8,"FG_PRICE(0)")</f>
        <v>9.6876119999999997</v>
      </c>
      <c r="V8" s="7" cm="1">
        <f t="array" ref="V8">_xll.FDSZ($R8,"FG_PRICE(0)")</f>
        <v>9.6876119999999997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0.22900000000000001</v>
      </c>
      <c r="G9" s="141" cm="1">
        <f t="array" ref="G9">_xll.FDSZ(C9,"FG_PRICE(0)")</f>
        <v>68.47</v>
      </c>
      <c r="H9" s="141" cm="1">
        <f t="array" ref="H9">_xll.FDSZ(C9,"FG_PRICE_MAVG(0,,,,30)")</f>
        <v>69.053340000000006</v>
      </c>
      <c r="I9" s="141" cm="1">
        <f t="array" ref="I9">_xll.FDSZ(C9,"FG_PRICE_MAVG(0,,,,60)")</f>
        <v>69.030333999999996</v>
      </c>
      <c r="J9" s="141" cm="1">
        <f t="array" ref="J9">_xll.FDSZ(C9,"FG_PRICE_MAVG(0,,,,200)")</f>
        <v>64.176850000000002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174.45685</v>
      </c>
      <c r="T9" s="7" cm="1">
        <f t="array" ref="T9">_xll.FDSZ($R9,"FG_PRICE(0)")</f>
        <v>174.45685</v>
      </c>
      <c r="U9" s="7" cm="1">
        <f t="array" ref="U9">_xll.FDSZ($R9,"FG_PRICE(0)")</f>
        <v>174.45685</v>
      </c>
      <c r="V9" s="7" cm="1">
        <f t="array" ref="V9">_xll.FDSZ($R9,"FG_PRICE(0)")</f>
        <v>174.45685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0.221</v>
      </c>
      <c r="G10" s="141" cm="1">
        <f t="array" ref="G10">_xll.FDSZ(C10,"FG_PRICE(0)")</f>
        <v>45.69</v>
      </c>
      <c r="H10" s="141" cm="1">
        <f t="array" ref="H10">_xll.FDSZ(C10,"FG_PRICE_MAVG(0,,,,30)")</f>
        <v>46.329334000000003</v>
      </c>
      <c r="I10" s="141" cm="1">
        <f t="array" ref="I10">_xll.FDSZ(C10,"FG_PRICE_MAVG(0,,,,60)")</f>
        <v>46.812829999999998</v>
      </c>
      <c r="J10" s="141" cm="1">
        <f t="array" ref="J10">_xll.FDSZ(C10,"FG_PRICE_MAVG(0,,,,200)")</f>
        <v>45.932450000000003</v>
      </c>
      <c r="L10">
        <f t="shared" si="0"/>
        <v>0</v>
      </c>
      <c r="M10">
        <f t="shared" si="1"/>
        <v>0</v>
      </c>
      <c r="N10">
        <f t="shared" si="2"/>
        <v>0</v>
      </c>
      <c r="P10">
        <f t="shared" si="3"/>
        <v>0</v>
      </c>
      <c r="R10" t="s">
        <v>843</v>
      </c>
      <c r="S10" s="7" cm="1">
        <f t="array" ref="S10">_xll.FDSZ($R10,"FG_PRICE(0)")</f>
        <v>307.55954000000003</v>
      </c>
      <c r="T10" s="7" cm="1">
        <f t="array" ref="T10">_xll.FDSZ($R10,"FG_PRICE(0)")</f>
        <v>307.55954000000003</v>
      </c>
      <c r="U10" s="7" cm="1">
        <f t="array" ref="U10">_xll.FDSZ($R10,"FG_PRICE(0)")</f>
        <v>307.55954000000003</v>
      </c>
      <c r="V10" s="7" cm="1">
        <f t="array" ref="V10">_xll.FDSZ($R10,"FG_PRICE(0)")</f>
        <v>307.55954000000003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0.72899999999999998</v>
      </c>
      <c r="G11" s="141" cm="1">
        <f t="array" ref="G11">_xll.FDSZ(C11,"FG_PRICE(0)")</f>
        <v>35.049999999999997</v>
      </c>
      <c r="H11" s="141" cm="1">
        <f t="array" ref="H11">_xll.FDSZ(C11,"FG_PRICE_MAVG(0,,,,30)")</f>
        <v>34.102333000000002</v>
      </c>
      <c r="I11" s="141" cm="1">
        <f t="array" ref="I11">_xll.FDSZ(C11,"FG_PRICE_MAVG(0,,,,60)")</f>
        <v>33.502167</v>
      </c>
      <c r="J11" s="141" cm="1">
        <f t="array" ref="J11">_xll.FDSZ(C11,"FG_PRICE_MAVG(0,,,,200)")</f>
        <v>32.538899999999998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124.43375399999999</v>
      </c>
      <c r="T11" s="7" cm="1">
        <f t="array" ref="T11">_xll.FDSZ($R11,"FG_PRICE(0)")</f>
        <v>124.43375399999999</v>
      </c>
      <c r="U11" s="7" cm="1">
        <f t="array" ref="U11">_xll.FDSZ($R11,"FG_PRICE(0)")</f>
        <v>124.43375399999999</v>
      </c>
      <c r="V11" s="7" cm="1">
        <f t="array" ref="V11">_xll.FDSZ($R11,"FG_PRICE(0)")</f>
        <v>124.43375399999999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0.18</v>
      </c>
      <c r="G12" s="141" cm="1">
        <f t="array" ref="G12">_xll.FDSZ(C12,"FG_PRICE(0)")</f>
        <v>426.9</v>
      </c>
      <c r="H12" s="141" cm="1">
        <f t="array" ref="H12">_xll.FDSZ(C12,"FG_PRICE_MAVG(0,,,,30)")</f>
        <v>434.52166999999997</v>
      </c>
      <c r="I12" s="141" cm="1">
        <f t="array" ref="I12">_xll.FDSZ(C12,"FG_PRICE_MAVG(0,,,,60)")</f>
        <v>435.64983999999998</v>
      </c>
      <c r="J12" s="141" cm="1">
        <f t="array" ref="J12">_xll.FDSZ(C12,"FG_PRICE_MAVG(0,,,,200)")</f>
        <v>398.452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381.23178000000001</v>
      </c>
      <c r="T12" s="7" cm="1">
        <f t="array" ref="T12">_xll.FDSZ($R12,"FG_PRICE(0)")</f>
        <v>381.23178000000001</v>
      </c>
      <c r="U12" s="7" cm="1">
        <f t="array" ref="U12">_xll.FDSZ($R12,"FG_PRICE(0)")</f>
        <v>381.23178000000001</v>
      </c>
      <c r="V12" s="7" cm="1">
        <f t="array" ref="V12">_xll.FDSZ($R12,"FG_PRICE(0)")</f>
        <v>381.23178000000001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0.17199999999999999</v>
      </c>
      <c r="G13" s="141" cm="1">
        <f t="array" ref="G13">_xll.FDSZ(C13,"FG_PRICE(0)")</f>
        <v>505.03</v>
      </c>
      <c r="H13" s="141" cm="1">
        <f t="array" ref="H13">_xll.FDSZ(C13,"FG_PRICE_MAVG(0,,,,30)")</f>
        <v>511.47699999999998</v>
      </c>
      <c r="I13" s="141" cm="1">
        <f t="array" ref="I13">_xll.FDSZ(C13,"FG_PRICE_MAVG(0,,,,60)")</f>
        <v>509.33550000000002</v>
      </c>
      <c r="J13" s="141" cm="1">
        <f t="array" ref="J13">_xll.FDSZ(C13,"FG_PRICE_MAVG(0,,,,200)")</f>
        <v>468.86394999999999</v>
      </c>
      <c r="L13">
        <f t="shared" si="0"/>
        <v>0</v>
      </c>
      <c r="M13">
        <f t="shared" si="1"/>
        <v>0</v>
      </c>
      <c r="N13">
        <f t="shared" si="2"/>
        <v>1</v>
      </c>
      <c r="P13">
        <f t="shared" si="3"/>
        <v>1</v>
      </c>
      <c r="R13" t="s">
        <v>845</v>
      </c>
      <c r="S13" s="7" cm="1">
        <f t="array" ref="S13">_xll.FDSZ($R13,"FG_PRICE(0)")</f>
        <v>381.23178000000001</v>
      </c>
      <c r="T13" s="7" cm="1">
        <f t="array" ref="T13">_xll.FDSZ($R13,"FG_PRICE(0)")</f>
        <v>381.23178000000001</v>
      </c>
      <c r="U13" s="7" cm="1">
        <f t="array" ref="U13">_xll.FDSZ($R13,"FG_PRICE(0)")</f>
        <v>381.23178000000001</v>
      </c>
      <c r="V13" s="7" cm="1">
        <f t="array" ref="V13">_xll.FDSZ($R13,"FG_PRICE(0)")</f>
        <v>381.23178000000001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0.29499999999999998</v>
      </c>
      <c r="G14" s="141" cm="1">
        <f t="array" ref="G14">_xll.FDSZ(C14,"FG_PRICE(0)")</f>
        <v>40.29</v>
      </c>
      <c r="H14" s="141" cm="1">
        <f t="array" ref="H14">_xll.FDSZ(C14,"FG_PRICE_MAVG(0,,,,30)")</f>
        <v>40.575000000000003</v>
      </c>
      <c r="I14" s="141" cm="1">
        <f t="array" ref="I14">_xll.FDSZ(C14,"FG_PRICE_MAVG(0,,,,60)")</f>
        <v>40.378999999999998</v>
      </c>
      <c r="J14" s="141" cm="1">
        <f t="array" ref="J14">_xll.FDSZ(C14,"FG_PRICE_MAVG(0,,,,200)")</f>
        <v>38.176074999999997</v>
      </c>
      <c r="L14">
        <f t="shared" si="0"/>
        <v>0</v>
      </c>
      <c r="M14">
        <f t="shared" si="1"/>
        <v>0</v>
      </c>
      <c r="N14">
        <f t="shared" si="2"/>
        <v>1</v>
      </c>
      <c r="P14">
        <f t="shared" si="3"/>
        <v>1</v>
      </c>
      <c r="R14" t="s">
        <v>845</v>
      </c>
      <c r="S14" s="7" cm="1">
        <f t="array" ref="S14">_xll.FDSZ($R14,"FG_PRICE(0)")</f>
        <v>381.23178000000001</v>
      </c>
      <c r="T14" s="7" cm="1">
        <f t="array" ref="T14">_xll.FDSZ($R14,"FG_PRICE(0)")</f>
        <v>381.23178000000001</v>
      </c>
      <c r="U14" s="7" cm="1">
        <f t="array" ref="U14">_xll.FDSZ($R14,"FG_PRICE(0)")</f>
        <v>381.23178000000001</v>
      </c>
      <c r="V14" s="7" cm="1">
        <f t="array" ref="V14">_xll.FDSZ($R14,"FG_PRICE(0)")</f>
        <v>381.23178000000001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0.31900000000000001</v>
      </c>
      <c r="G15" s="141" cm="1">
        <f t="array" ref="G15">_xll.FDSZ(C15,"FG_PRICE(0)")</f>
        <v>48.37</v>
      </c>
      <c r="H15" s="141" cm="1">
        <f t="array" ref="H15">_xll.FDSZ(C15,"FG_PRICE_MAVG(0,,,,30)")</f>
        <v>48.725333999999997</v>
      </c>
      <c r="I15" s="141" cm="1">
        <f t="array" ref="I15">_xll.FDSZ(C15,"FG_PRICE_MAVG(0,,,,60)")</f>
        <v>48.282249999999998</v>
      </c>
      <c r="J15" s="141" cm="1">
        <f t="array" ref="J15">_xll.FDSZ(C15,"FG_PRICE_MAVG(0,,,,200)")</f>
        <v>43.574176999999999</v>
      </c>
      <c r="L15">
        <f t="shared" si="0"/>
        <v>0</v>
      </c>
      <c r="M15">
        <f t="shared" si="1"/>
        <v>1</v>
      </c>
      <c r="N15">
        <f t="shared" si="2"/>
        <v>1</v>
      </c>
      <c r="P15">
        <f t="shared" si="3"/>
        <v>2</v>
      </c>
      <c r="R15" t="s">
        <v>845</v>
      </c>
      <c r="S15" s="7" cm="1">
        <f t="array" ref="S15">_xll.FDSZ($R15,"FG_PRICE(0)")</f>
        <v>381.23178000000001</v>
      </c>
      <c r="T15" s="7" cm="1">
        <f t="array" ref="T15">_xll.FDSZ($R15,"FG_PRICE(0)")</f>
        <v>381.23178000000001</v>
      </c>
      <c r="U15" s="7" cm="1">
        <f t="array" ref="U15">_xll.FDSZ($R15,"FG_PRICE(0)")</f>
        <v>381.23178000000001</v>
      </c>
      <c r="V15" s="7" cm="1">
        <f t="array" ref="V15">_xll.FDSZ($R15,"FG_PRICE(0)")</f>
        <v>381.23178000000001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0.34399999999999997</v>
      </c>
      <c r="G16" s="141" cm="1">
        <f t="array" ref="G16">_xll.FDSZ(C16,"FG_PRICE(0)")</f>
        <v>38.950000000000003</v>
      </c>
      <c r="H16" s="141" cm="1">
        <f t="array" ref="H16">_xll.FDSZ(C16,"FG_PRICE_MAVG(0,,,,30)")</f>
        <v>39.485832000000002</v>
      </c>
      <c r="I16" s="141" cm="1">
        <f t="array" ref="I16">_xll.FDSZ(C16,"FG_PRICE_MAVG(0,,,,60)")</f>
        <v>39.455081999999997</v>
      </c>
      <c r="J16" s="141" cm="1">
        <f t="array" ref="J16">_xll.FDSZ(C16,"FG_PRICE_MAVG(0,,,,200)")</f>
        <v>36.296550000000003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381.23178000000001</v>
      </c>
      <c r="T16" s="7" cm="1">
        <f t="array" ref="T16">_xll.FDSZ($R16,"FG_PRICE(0)")</f>
        <v>381.23178000000001</v>
      </c>
      <c r="U16" s="7" cm="1">
        <f t="array" ref="U16">_xll.FDSZ($R16,"FG_PRICE(0)")</f>
        <v>381.23178000000001</v>
      </c>
      <c r="V16" s="7" cm="1">
        <f t="array" ref="V16">_xll.FDSZ($R16,"FG_PRICE(0)")</f>
        <v>381.23178000000001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0.36</v>
      </c>
      <c r="G17" s="141" cm="1">
        <f t="array" ref="G17">_xll.FDSZ(C17,"FG_PRICE(0)")</f>
        <v>36.869999999999997</v>
      </c>
      <c r="H17" s="141" cm="1">
        <f t="array" ref="H17">_xll.FDSZ(C17,"FG_PRICE_MAVG(0,,,,30)")</f>
        <v>36.991</v>
      </c>
      <c r="I17" s="141" cm="1">
        <f t="array" ref="I17">_xll.FDSZ(C17,"FG_PRICE_MAVG(0,,,,60)")</f>
        <v>36.347667999999999</v>
      </c>
      <c r="J17" s="141" cm="1">
        <f t="array" ref="J17">_xll.FDSZ(C17,"FG_PRICE_MAVG(0,,,,200)")</f>
        <v>33.361550000000001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845</v>
      </c>
      <c r="S17" s="7" cm="1">
        <f t="array" ref="S17">_xll.FDSZ($R17,"FG_PRICE(0)")</f>
        <v>381.23178000000001</v>
      </c>
      <c r="T17" s="7" cm="1">
        <f t="array" ref="T17">_xll.FDSZ($R17,"FG_PRICE(0)")</f>
        <v>381.23178000000001</v>
      </c>
      <c r="U17" s="7" cm="1">
        <f t="array" ref="U17">_xll.FDSZ($R17,"FG_PRICE(0)")</f>
        <v>381.23178000000001</v>
      </c>
      <c r="V17" s="7" cm="1">
        <f t="array" ref="V17">_xll.FDSZ($R17,"FG_PRICE(0)")</f>
        <v>381.23178000000001</v>
      </c>
    </row>
    <row r="19" spans="1:22" x14ac:dyDescent="0.35">
      <c r="K19" s="1" t="s">
        <v>906</v>
      </c>
      <c r="L19" s="1">
        <f>SUM(L5:L17)</f>
        <v>1</v>
      </c>
      <c r="M19" s="1">
        <f t="shared" ref="M19:N19" si="4">SUM(M5:M17)</f>
        <v>5</v>
      </c>
      <c r="N19" s="1">
        <f t="shared" si="4"/>
        <v>11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7.6923076923076927E-2</v>
      </c>
      <c r="M22" s="182">
        <f t="shared" ref="M22:N22" si="6">M19/M20</f>
        <v>0.38461538461538464</v>
      </c>
      <c r="N22" s="182">
        <f t="shared" si="6"/>
        <v>0.84615384615384615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118.08</v>
      </c>
      <c r="D3" cm="1">
        <f t="array" ref="D3">_xll.FDS($A3,"FG_PRICE_MAVG(0,,,,30)")</f>
        <v>107.600334</v>
      </c>
      <c r="E3" s="47" cm="1">
        <f t="array" ref="E3">_xll.FDS($A3,"FG_PRICE_CHANGE(0,-1AM)")</f>
        <v>14.741035856573699</v>
      </c>
      <c r="F3" s="47" cm="1">
        <f t="array" ref="F3">_xll.FDS($A3,"FG_PRICE_CHANGE(0,-3AM)")</f>
        <v>-8.2018191712664201</v>
      </c>
      <c r="G3" s="47" cm="1">
        <f t="array" ref="G3">_xll.FDS($A3,"FG_PRICE_CHANGE(0,-6AM)")</f>
        <v>-5.9648005096758698</v>
      </c>
      <c r="H3" s="47" cm="1">
        <f t="array" ref="H3">_xll.FDS($A3,"FG_PRICE_CHANGE(0,-1AY)")</f>
        <v>11.3857183284596</v>
      </c>
      <c r="I3" s="47" cm="1">
        <f t="array" ref="I3">_xll.FDS($A3,"FG_PRICE(0)/MAX(FG_PRICE(0,-1AY))")</f>
        <v>0.81908990011098803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-1</v>
      </c>
      <c r="T3">
        <f>S3</f>
        <v>-1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4.4939999999999998</v>
      </c>
      <c r="D4" cm="1">
        <f t="array" ref="D4">_xll.FDS($A4,"FG_PRICE_MAVG(0,,,,30)")</f>
        <v>4.3009333999999999</v>
      </c>
      <c r="E4" s="47" cm="1">
        <f t="array" ref="E4">_xll.FDS($A4,"FG_PRICE_CHANGE(0,-1AM)")</f>
        <v>10.4176904176904</v>
      </c>
      <c r="F4" s="47" cm="1">
        <f t="array" ref="F4">_xll.FDS($A4,"FG_PRICE_CHANGE(0,-3AM)")</f>
        <v>17.597801910244701</v>
      </c>
      <c r="G4" s="47" cm="1">
        <f t="array" ref="G4">_xll.FDS($A4,"FG_PRICE_CHANGE(0,-6AM)")</f>
        <v>22.552495227706601</v>
      </c>
      <c r="H4" s="47" cm="1">
        <f t="array" ref="H4">_xll.FDS($A4,"FG_PRICE_CHANGE(0,-1AY)")</f>
        <v>16.787941787941801</v>
      </c>
      <c r="I4" s="47" cm="1">
        <f t="array" ref="I4">_xll.FDS($A4,"FG_PRICE(0)/MAX(FG_PRICE(0,-1AY))")</f>
        <v>0.96458467482292298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-1</v>
      </c>
      <c r="T4">
        <f t="shared" ref="T4:T5" si="0">S4</f>
        <v>-1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-5.2003974826101302</v>
      </c>
      <c r="H5" s="47" cm="1">
        <f t="array" ref="H5">_xll.FDS($A5,"FG_PRICE_CHANGE(0,-1AY)")</f>
        <v>8.9593908629441703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5.8650000000000002</v>
      </c>
      <c r="D6" cm="1">
        <f t="array" ref="D6">_xll.FDS($A6,"FG_PRICE_MAVG(0,,,,30)")</f>
        <v>5.6344165999999998</v>
      </c>
      <c r="E6" s="47" cm="1">
        <f t="array" ref="E6">_xll.FDS($A6,"FG_PRICE_CHANGE(0,-1AM)")</f>
        <v>7.5653370013755197</v>
      </c>
      <c r="F6" s="47" cm="1">
        <f t="array" ref="F6">_xll.FDS($A6,"FG_PRICE_CHANGE(0,-3AM)")</f>
        <v>-2.20925385577323</v>
      </c>
      <c r="G6" s="47" cm="1">
        <f t="array" ref="G6">_xll.FDS($A6,"FG_PRICE_CHANGE(0,-6AM)")</f>
        <v>3.7135278514588901</v>
      </c>
      <c r="H6" s="47" cm="1">
        <f t="array" ref="H6">_xll.FDS($A6,"FG_PRICE_CHANGE(0,-1AY)")</f>
        <v>-1.51133501259446</v>
      </c>
      <c r="I6" s="47" cm="1">
        <f t="array" ref="I6">_xll.FDS($A6,"FG_PRICE(0)/MAX(FG_PRICE(0,-1AY))")</f>
        <v>0.77145675764551103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3895</v>
      </c>
      <c r="D7" cm="1">
        <f t="array" ref="D7">_xll.FDS($A7,"FG_PRICE_MAVG(0,,,,30)")</f>
        <v>4254.2334000000001</v>
      </c>
      <c r="E7" s="47" cm="1">
        <f t="array" ref="E7">_xll.FDS($A7,"FG_PRICE_CHANGE(0,-1AM)")</f>
        <v>-12.7464157706093</v>
      </c>
      <c r="F7" s="47" cm="1">
        <f t="array" ref="F7">_xll.FDS($A7,"FG_PRICE_CHANGE(0,-3AM)")</f>
        <v>2.8247096092925101</v>
      </c>
      <c r="G7" s="47" cm="1">
        <f t="array" ref="G7">_xll.FDS($A7,"FG_PRICE_CHANGE(0,-6AM)")</f>
        <v>6.4789502460360904</v>
      </c>
      <c r="H7" s="47" cm="1">
        <f t="array" ref="H7">_xll.FDS($A7,"FG_PRICE_CHANGE(0,-1AY)")</f>
        <v>-3.0129482071713198</v>
      </c>
      <c r="I7" s="47" cm="1">
        <f t="array" ref="I7">_xll.FDS($A7,"FG_PRICE(0)/MAX(FG_PRICE(0,-1AY))")</f>
        <v>0.85062240663900401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952</v>
      </c>
      <c r="D8" cm="1">
        <f t="array" ref="D8">_xll.FDS($A8,"FG_PRICE_MAVG(0,,,,30)")</f>
        <v>938.9</v>
      </c>
      <c r="E8" s="47" cm="1">
        <f t="array" ref="E8">_xll.FDS($A8,"FG_PRICE_CHANGE(0,-1AM)")</f>
        <v>2.3655913978494598</v>
      </c>
      <c r="F8" s="47" cm="1">
        <f t="array" ref="F8">_xll.FDS($A8,"FG_PRICE_CHANGE(0,-3AM)")</f>
        <v>4.6153846153846203</v>
      </c>
      <c r="G8" s="47" cm="1">
        <f t="array" ref="G8">_xll.FDS($A8,"FG_PRICE_CHANGE(0,-6AM)")</f>
        <v>2.69687162891046</v>
      </c>
      <c r="H8" s="47" cm="1">
        <f t="array" ref="H8">_xll.FDS($A8,"FG_PRICE_CHANGE(0,-1AY)")</f>
        <v>-9.7630331753554493</v>
      </c>
      <c r="I8" s="47" cm="1">
        <f t="array" ref="I8">_xll.FDS($A8,"FG_PRICE(0)/MAX(FG_PRICE(0,-1AY))")</f>
        <v>0.84247787610619496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18405</v>
      </c>
      <c r="D9" cm="1">
        <f t="array" ref="D9">_xll.FDS($A9,"FG_PRICE_MAVG(0,,,,30)")</f>
        <v>17869.5</v>
      </c>
      <c r="E9" s="47" cm="1">
        <f t="array" ref="E9">_xll.FDS($A9,"FG_PRICE_CHANGE(0,-1AM)")</f>
        <v>8.2647058823529491</v>
      </c>
      <c r="F9" s="47" cm="1">
        <f t="array" ref="F9">_xll.FDS($A9,"FG_PRICE_CHANGE(0,-3AM)")</f>
        <v>14.1395348837209</v>
      </c>
      <c r="G9" s="47" cm="1">
        <f t="array" ref="G9">_xll.FDS($A9,"FG_PRICE_CHANGE(0,-6AM)")</f>
        <v>3.4860837784649998</v>
      </c>
      <c r="H9" s="47" cm="1">
        <f t="array" ref="H9">_xll.FDS($A9,"FG_PRICE_CHANGE(0,-1AY)")</f>
        <v>-24.056117185888201</v>
      </c>
      <c r="I9" s="47" cm="1">
        <f t="array" ref="I9">_xll.FDS($A9,"FG_PRICE(0)/MAX(FG_PRICE(0,-1AY))")</f>
        <v>0.73326693227091599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1</v>
      </c>
      <c r="T9">
        <f t="shared" ref="T9" si="1">S9</f>
        <v>1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946</v>
      </c>
      <c r="D10" cm="1">
        <f t="array" ref="D10">_xll.FDS($A10,"FG_PRICE_MAVG(0,,,,30)")</f>
        <v>1020.6</v>
      </c>
      <c r="E10" s="47" cm="1">
        <f t="array" ref="E10">_xll.FDS($A10,"FG_PRICE_CHANGE(0,-1AM)")</f>
        <v>-7.7972709551656898</v>
      </c>
      <c r="F10" s="47" cm="1">
        <f t="array" ref="F10">_xll.FDS($A10,"FG_PRICE_CHANGE(0,-3AM)")</f>
        <v>-2.2727272727272698</v>
      </c>
      <c r="G10" s="47" cm="1">
        <f t="array" ref="G10">_xll.FDS($A10,"FG_PRICE_CHANGE(0,-6AM)")</f>
        <v>-16.209034543844101</v>
      </c>
      <c r="H10" s="47" cm="1">
        <f t="array" ref="H10">_xll.FDS($A10,"FG_PRICE_CHANGE(0,-1AY)")</f>
        <v>-35.426621160409603</v>
      </c>
      <c r="I10" s="47" cm="1">
        <f t="array" ref="I10">_xll.FDS($A10,"FG_PRICE(0)/MAX(FG_PRICE(0,-1AY))")</f>
        <v>0.57930189834660095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570.5</v>
      </c>
      <c r="D11" cm="1">
        <f t="array" ref="D11">_xll.FDS($A11,"FG_PRICE_MAVG(0,,,,30)")</f>
        <v>609.39</v>
      </c>
      <c r="E11" s="47" cm="1">
        <f t="array" ref="E11">_xll.FDS($A11,"FG_PRICE_CHANGE(0,-1AM)")</f>
        <v>-11.399285603354601</v>
      </c>
      <c r="F11" s="47" cm="1">
        <f t="array" ref="F11">_xll.FDS($A11,"FG_PRICE_CHANGE(0,-3AM)")</f>
        <v>-13.652187074315099</v>
      </c>
      <c r="G11" s="47" cm="1">
        <f t="array" ref="G11">_xll.FDS($A11,"FG_PRICE_CHANGE(0,-6AM)")</f>
        <v>-23.422818791946298</v>
      </c>
      <c r="H11" s="47" cm="1">
        <f t="array" ref="H11">_xll.FDS($A11,"FG_PRICE_CHANGE(0,-1AY)")</f>
        <v>-17.747981545559401</v>
      </c>
      <c r="I11" s="47" cm="1">
        <f t="array" ref="I11">_xll.FDS($A11,"FG_PRICE(0)/MAX(FG_PRICE(0,-1AY))")</f>
        <v>0.74731464500917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0.96773726000000004</v>
      </c>
      <c r="D12" cm="1">
        <f t="array" ref="D12">_xll.FDS($A12,"FG_PRICE_MAVG(0,,,,30)")</f>
        <v>0.96595323</v>
      </c>
      <c r="E12" s="47" cm="1">
        <f t="array" ref="E12">_xll.FDS($A12,"FG_PRICE_CHANGE(0,-1AM)")</f>
        <v>0.90710293170925804</v>
      </c>
      <c r="F12" s="47" cm="1">
        <f t="array" ref="F12">_xll.FDS($A12,"FG_PRICE_CHANGE(0,-3AM)")</f>
        <v>-0.55138470467868095</v>
      </c>
      <c r="G12" s="47" cm="1">
        <f t="array" ref="G12">_xll.FDS($A12,"FG_PRICE_CHANGE(0,-6AM)")</f>
        <v>-5.5777929705241602</v>
      </c>
      <c r="H12" s="47" cm="1">
        <f t="array" ref="H12">_xll.FDS($A12,"FG_PRICE_CHANGE(0,-1AY)")</f>
        <v>-9.5777329654913608</v>
      </c>
      <c r="I12" s="47" cm="1">
        <f t="array" ref="I12">_xll.FDS($A12,"FG_PRICE(0)/MAX(FG_PRICE(0,-1AY))")</f>
        <v>0.90422267034508597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41761</v>
      </c>
      <c r="B2" s="3" cm="1">
        <f t="array" ref="B2:B122">_xll.FDS(B1,"FMA_PE(LTMA,-10AY,0,AM,""PORTAGG"",""MEANR"")")</f>
        <v>18.108130290989902</v>
      </c>
      <c r="C2" s="3" cm="1">
        <f t="array" ref="C2:C122">_xll.FDS(C1,"FMA_PE(LTMA,-10AY,0,AM,""PORTAGG"",""MEANR"")")</f>
        <v>15.231693050812099</v>
      </c>
      <c r="D2" s="3" cm="1">
        <f t="array" ref="D2:D122">_xll.FDS(D1,"FMA_PE(LTMA,-10AY,0,AM,""PORTAGG"",""MEANR"")")</f>
        <v>16.374325786381</v>
      </c>
      <c r="E2" s="3" cm="1">
        <f t="array" ref="E2:E122">_xll.FDS(E1,"FMA_PE(LTMA,-10AY,0,AM,""PORTAGG"",""MEANR"")")</f>
        <v>14.6330415699914</v>
      </c>
      <c r="F2" s="3" cm="1">
        <f t="array" ref="F2:F122">_xll.FDS(F1,"FMA_PE(LTMA,-10AY,0,AM,""PORTAGG"",""MEANR"")")</f>
        <v>15.281219950093799</v>
      </c>
      <c r="G2" s="3" cm="1">
        <f t="array" ref="G2:G122">_xll.FDS(G1,"FMA_PE(LTMA,-10AY,0,AM,""PORTAGG"",""MEANR"")")</f>
        <v>17.125061312620801</v>
      </c>
      <c r="H2" s="3" cm="1">
        <f t="array" ref="H2:H122">_xll.FDS(H1,"FMA_PE(LTMA,-10AY,0,AM,""PORTAGG"",""MEANR"")")</f>
        <v>14.3893722187413</v>
      </c>
      <c r="I2" s="3" cm="1">
        <f t="array" ref="I2:I122">_xll.FDS(I1,"FMA_PE(LTMA,-10AY,0,AM,""PORTAGG"",""MEANR"")")</f>
        <v>18.7783283384728</v>
      </c>
      <c r="J2" s="3" cm="1">
        <f t="array" ref="J2:J122">_xll.FDS(J1,"FMA_PE(LTMA,-10AY,0,AM,""PORTAGG"",""MEANR"")")</f>
        <v>16.237206265538699</v>
      </c>
      <c r="K2" s="3" cm="1">
        <f t="array" ref="K2:K122">_xll.FDS(K1,"FMA_PE(LTMA,-10AY,0,AM,""PORTAGG"",""MEANR"")")</f>
        <v>15.817404028698</v>
      </c>
      <c r="L2" s="3" cm="1">
        <f t="array" ref="L2:L122">_xll.FDS(L1,"FMA_PE(LTMA,-10AY,0,AM,""PORTAGG"",""MEANR"")")</f>
        <v>16.883858252727801</v>
      </c>
      <c r="M2" s="3" cm="1">
        <f t="array" ref="M2:M122">_xll.FDS(M1,"FMA_PE(LTMA,-10AY,0,AM,""PORTAGG"",""MEANR"")")</f>
        <v>15.445727716658901</v>
      </c>
      <c r="N2" s="3" cm="1">
        <f t="array" ref="N2:N122">_xll.FDS(N1,"FMA_PE(LTMA,-10AY,0,AM,""PORTAGG"",""MEANR"")")</f>
        <v>17.1929215138145</v>
      </c>
    </row>
    <row r="3" spans="1:14" x14ac:dyDescent="0.35">
      <c r="A3" s="2">
        <v>41792</v>
      </c>
      <c r="B3" s="3">
        <v>17.975358180846499</v>
      </c>
      <c r="C3" s="3">
        <v>15.204250744114701</v>
      </c>
      <c r="D3" s="3">
        <v>16.154519889074699</v>
      </c>
      <c r="E3" s="3">
        <v>14.7103616554671</v>
      </c>
      <c r="F3" s="3">
        <v>15.259207101356299</v>
      </c>
      <c r="G3" s="3">
        <v>17.232766810708299</v>
      </c>
      <c r="H3" s="3">
        <v>14.406414221875799</v>
      </c>
      <c r="I3" s="3">
        <v>18.890578073987701</v>
      </c>
      <c r="J3" s="3">
        <v>16.292304951655801</v>
      </c>
      <c r="K3" s="3">
        <v>15.8472157864156</v>
      </c>
      <c r="L3" s="3">
        <v>16.836351806348901</v>
      </c>
      <c r="M3" s="3">
        <v>15.7004483448681</v>
      </c>
      <c r="N3" s="3">
        <v>17.139794166847999</v>
      </c>
    </row>
    <row r="4" spans="1:14" x14ac:dyDescent="0.35">
      <c r="A4" s="2">
        <v>41822</v>
      </c>
      <c r="B4" s="3">
        <v>17.986800800310299</v>
      </c>
      <c r="C4" s="3">
        <v>15.1974125289981</v>
      </c>
      <c r="D4" s="3">
        <v>16.3296899007584</v>
      </c>
      <c r="E4" s="3">
        <v>14.6262255952975</v>
      </c>
      <c r="F4" s="3">
        <v>15.3998304129211</v>
      </c>
      <c r="G4" s="3">
        <v>17.1865185124846</v>
      </c>
      <c r="H4" s="3">
        <v>14.410630249834</v>
      </c>
      <c r="I4" s="3">
        <v>19.1639114833091</v>
      </c>
      <c r="J4" s="3">
        <v>16.453260986941899</v>
      </c>
      <c r="K4" s="3">
        <v>15.6895243831332</v>
      </c>
      <c r="L4" s="3">
        <v>16.812155446071401</v>
      </c>
      <c r="M4" s="3">
        <v>15.820228869740101</v>
      </c>
      <c r="N4" s="3">
        <v>17.5592076226811</v>
      </c>
    </row>
    <row r="5" spans="1:14" x14ac:dyDescent="0.35">
      <c r="A5" s="2">
        <v>41852</v>
      </c>
      <c r="B5" s="3">
        <v>17.925069511933099</v>
      </c>
      <c r="C5" s="3">
        <v>15.4155976462339</v>
      </c>
      <c r="D5" s="3">
        <v>16.2794343638855</v>
      </c>
      <c r="E5" s="3">
        <v>14.063880587556501</v>
      </c>
      <c r="F5" s="3">
        <v>15.2311492823174</v>
      </c>
      <c r="G5" s="3">
        <v>17.125028779583499</v>
      </c>
      <c r="H5" s="3">
        <v>14.226461885939299</v>
      </c>
      <c r="I5" s="3">
        <v>18.904589760736101</v>
      </c>
      <c r="J5" s="3">
        <v>16.140922439269499</v>
      </c>
      <c r="K5" s="3">
        <v>15.1796147206156</v>
      </c>
      <c r="L5" s="3">
        <v>16.306555488908401</v>
      </c>
      <c r="M5" s="3">
        <v>15.8265445072361</v>
      </c>
      <c r="N5" s="3">
        <v>17.014809151495001</v>
      </c>
    </row>
    <row r="6" spans="1:14" x14ac:dyDescent="0.35">
      <c r="A6" s="2">
        <v>41884</v>
      </c>
      <c r="B6" s="3">
        <v>17.903166350677399</v>
      </c>
      <c r="C6" s="3">
        <v>15.5130631923622</v>
      </c>
      <c r="D6" s="3">
        <v>16.4838988188231</v>
      </c>
      <c r="E6" s="3">
        <v>14.173129786256601</v>
      </c>
      <c r="F6" s="3">
        <v>15.1368848158286</v>
      </c>
      <c r="G6" s="3">
        <v>17.451003624885299</v>
      </c>
      <c r="H6" s="3">
        <v>14.2933320289831</v>
      </c>
      <c r="I6" s="3">
        <v>19.505878239428</v>
      </c>
      <c r="J6" s="3">
        <v>16.5094161621161</v>
      </c>
      <c r="K6" s="3">
        <v>15.408492303410499</v>
      </c>
      <c r="L6" s="3">
        <v>16.663191399612302</v>
      </c>
      <c r="M6" s="3">
        <v>15.837432735270999</v>
      </c>
      <c r="N6" s="3">
        <v>17.6013722125609</v>
      </c>
    </row>
    <row r="7" spans="1:14" x14ac:dyDescent="0.35">
      <c r="A7" s="2">
        <v>41914</v>
      </c>
      <c r="B7" s="3">
        <v>17.896096299170502</v>
      </c>
      <c r="C7" s="3">
        <v>14.692858282172001</v>
      </c>
      <c r="D7" s="3">
        <v>15.8042400044588</v>
      </c>
      <c r="E7" s="3">
        <v>13.746589646606701</v>
      </c>
      <c r="F7" s="3">
        <v>15.066906252020001</v>
      </c>
      <c r="G7" s="3">
        <v>17.056475673078499</v>
      </c>
      <c r="H7" s="3">
        <v>13.6041001815952</v>
      </c>
      <c r="I7" s="3">
        <v>19.102651447968899</v>
      </c>
      <c r="J7" s="3">
        <v>16.224063495519601</v>
      </c>
      <c r="K7" s="3">
        <v>15.0008586070776</v>
      </c>
      <c r="L7" s="3">
        <v>16.411208103420801</v>
      </c>
      <c r="M7" s="3">
        <v>15.6583682915239</v>
      </c>
      <c r="N7" s="3">
        <v>17.0003573237253</v>
      </c>
    </row>
    <row r="8" spans="1:14" x14ac:dyDescent="0.35">
      <c r="A8" s="2">
        <v>41943</v>
      </c>
      <c r="B8" s="3">
        <v>18.392277620366201</v>
      </c>
      <c r="C8" s="3">
        <v>15.364104482655501</v>
      </c>
      <c r="D8" s="3">
        <v>15.696874634514399</v>
      </c>
      <c r="E8" s="3">
        <v>13.767551041923101</v>
      </c>
      <c r="F8" s="3">
        <v>15.3501722772435</v>
      </c>
      <c r="G8" s="3">
        <v>17.308016603520802</v>
      </c>
      <c r="H8" s="3">
        <v>13.793979569051199</v>
      </c>
      <c r="I8" s="3">
        <v>19.710921824452299</v>
      </c>
      <c r="J8" s="3">
        <v>16.734122955994199</v>
      </c>
      <c r="K8" s="3">
        <v>14.9429776821522</v>
      </c>
      <c r="L8" s="3">
        <v>16.955936255440299</v>
      </c>
      <c r="M8" s="3">
        <v>16.336045081890401</v>
      </c>
      <c r="N8" s="3">
        <v>17.220136655284598</v>
      </c>
    </row>
    <row r="9" spans="1:14" x14ac:dyDescent="0.35">
      <c r="A9" s="2">
        <v>41975</v>
      </c>
      <c r="B9" s="3">
        <v>18.688800177486499</v>
      </c>
      <c r="C9" s="3">
        <v>14.413129781421</v>
      </c>
      <c r="D9" s="3">
        <v>15.6531409713052</v>
      </c>
      <c r="E9" s="3">
        <v>14.519028429823299</v>
      </c>
      <c r="F9" s="3">
        <v>16.0343550326829</v>
      </c>
      <c r="G9" s="3">
        <v>17.591520673199501</v>
      </c>
      <c r="H9" s="3">
        <v>14.054061747926699</v>
      </c>
      <c r="I9" s="3">
        <v>20.408398387659801</v>
      </c>
      <c r="J9" s="3">
        <v>17.142264193878699</v>
      </c>
      <c r="K9" s="3">
        <v>15.4835753463286</v>
      </c>
      <c r="L9" s="3">
        <v>17.9953422513959</v>
      </c>
      <c r="M9" s="3">
        <v>17.276734481544</v>
      </c>
      <c r="N9" s="3">
        <v>18.876489781610701</v>
      </c>
    </row>
    <row r="10" spans="1:14" x14ac:dyDescent="0.35">
      <c r="A10" s="2">
        <v>42006</v>
      </c>
      <c r="B10" s="3">
        <v>19.2341389813833</v>
      </c>
      <c r="C10" s="3">
        <v>14.8442549418679</v>
      </c>
      <c r="D10" s="3">
        <v>15.707015656399999</v>
      </c>
      <c r="E10" s="3">
        <v>14.231859602878901</v>
      </c>
      <c r="F10" s="3">
        <v>15.885694894027001</v>
      </c>
      <c r="G10" s="3">
        <v>17.1892387956023</v>
      </c>
      <c r="H10" s="3">
        <v>13.6760489520509</v>
      </c>
      <c r="I10" s="3">
        <v>20.069196892801799</v>
      </c>
      <c r="J10" s="3">
        <v>17.2880609023596</v>
      </c>
      <c r="K10" s="3">
        <v>15.009791213125499</v>
      </c>
      <c r="L10" s="3">
        <v>17.529095243753101</v>
      </c>
      <c r="M10" s="3">
        <v>17.561130428326699</v>
      </c>
      <c r="N10" s="3">
        <v>18.346663817029398</v>
      </c>
    </row>
    <row r="11" spans="1:14" x14ac:dyDescent="0.35">
      <c r="A11" s="2">
        <v>42037</v>
      </c>
      <c r="B11" s="3">
        <v>19.909815857752399</v>
      </c>
      <c r="C11" s="3">
        <v>15.3192814996625</v>
      </c>
      <c r="D11" s="3">
        <v>16.065621085923802</v>
      </c>
      <c r="E11" s="3">
        <v>15.6308827754166</v>
      </c>
      <c r="F11" s="3">
        <v>15.4327125866144</v>
      </c>
      <c r="G11" s="3">
        <v>16.728552506411098</v>
      </c>
      <c r="H11" s="3">
        <v>14.254788353056799</v>
      </c>
      <c r="I11" s="3">
        <v>19.619891193274398</v>
      </c>
      <c r="J11" s="3">
        <v>16.953220624971301</v>
      </c>
      <c r="K11" s="3">
        <v>16.241585185954499</v>
      </c>
      <c r="L11" s="3">
        <v>18.667231429809501</v>
      </c>
      <c r="M11" s="3">
        <v>18.6957667778568</v>
      </c>
      <c r="N11" s="3">
        <v>23.7028701352368</v>
      </c>
    </row>
    <row r="12" spans="1:14" x14ac:dyDescent="0.35">
      <c r="A12" s="2">
        <v>42065</v>
      </c>
      <c r="B12" s="3">
        <v>20.5325507955841</v>
      </c>
      <c r="C12" s="3">
        <v>16.232329115129499</v>
      </c>
      <c r="D12" s="3">
        <v>17.043199605978501</v>
      </c>
      <c r="E12" s="3">
        <v>16.480557955827798</v>
      </c>
      <c r="F12" s="3">
        <v>16.9197408010976</v>
      </c>
      <c r="G12" s="3">
        <v>17.987528827752101</v>
      </c>
      <c r="H12" s="3">
        <v>15.183665914117199</v>
      </c>
      <c r="I12" s="3">
        <v>20.798737876331</v>
      </c>
      <c r="J12" s="3">
        <v>17.606448800389199</v>
      </c>
      <c r="K12" s="3">
        <v>17.534266263045101</v>
      </c>
      <c r="L12" s="3">
        <v>20.121649527133901</v>
      </c>
      <c r="M12" s="3">
        <v>20.267643669078701</v>
      </c>
      <c r="N12" s="3">
        <v>45.067581341095099</v>
      </c>
    </row>
    <row r="13" spans="1:14" x14ac:dyDescent="0.35">
      <c r="A13" s="2">
        <v>42096</v>
      </c>
      <c r="B13" s="3">
        <v>20.270112697210699</v>
      </c>
      <c r="C13" s="3">
        <v>16.264467527338599</v>
      </c>
      <c r="D13" s="3">
        <v>17.095456503967</v>
      </c>
      <c r="E13" s="3">
        <v>16.5142576521012</v>
      </c>
      <c r="F13" s="3">
        <v>16.846137982127001</v>
      </c>
      <c r="G13" s="3">
        <v>18.028330397076001</v>
      </c>
      <c r="H13" s="3">
        <v>15.260198360748401</v>
      </c>
      <c r="I13" s="3">
        <v>20.457636356411999</v>
      </c>
      <c r="J13" s="3">
        <v>17.486201614717402</v>
      </c>
      <c r="K13" s="3">
        <v>17.570205694985201</v>
      </c>
      <c r="L13" s="3">
        <v>19.935824790479</v>
      </c>
      <c r="M13" s="3">
        <v>19.957723936774499</v>
      </c>
      <c r="N13" s="3">
        <v>42.280248173087699</v>
      </c>
    </row>
    <row r="14" spans="1:14" x14ac:dyDescent="0.35">
      <c r="A14" s="2">
        <v>42125</v>
      </c>
      <c r="B14" s="3">
        <v>20.100081515401499</v>
      </c>
      <c r="C14" s="3">
        <v>16.3273988245437</v>
      </c>
      <c r="D14" s="3">
        <v>17.350591641290301</v>
      </c>
      <c r="E14" s="3">
        <v>16.2020950800914</v>
      </c>
      <c r="F14" s="3">
        <v>16.885021062558799</v>
      </c>
      <c r="G14" s="3">
        <v>18.082348748538799</v>
      </c>
      <c r="H14" s="3">
        <v>15.568486125708001</v>
      </c>
      <c r="I14" s="3">
        <v>20.3971550159239</v>
      </c>
      <c r="J14" s="3">
        <v>17.554037573883701</v>
      </c>
      <c r="K14" s="3">
        <v>17.461324903749102</v>
      </c>
      <c r="L14" s="3">
        <v>19.626413295004198</v>
      </c>
      <c r="M14" s="3">
        <v>19.256250603648301</v>
      </c>
      <c r="N14" s="3">
        <v>39.584429081175003</v>
      </c>
    </row>
    <row r="15" spans="1:14" x14ac:dyDescent="0.35">
      <c r="A15" s="2">
        <v>42157</v>
      </c>
      <c r="B15" s="3">
        <v>20.0634534268453</v>
      </c>
      <c r="C15" s="3">
        <v>16.0775032477246</v>
      </c>
      <c r="D15" s="3">
        <v>17.269033942556501</v>
      </c>
      <c r="E15" s="3">
        <v>15.8548107780096</v>
      </c>
      <c r="F15" s="3">
        <v>17.162260122912699</v>
      </c>
      <c r="G15" s="3">
        <v>18.071561489541399</v>
      </c>
      <c r="H15" s="3">
        <v>15.7058175924941</v>
      </c>
      <c r="I15" s="3">
        <v>20.245711861732801</v>
      </c>
      <c r="J15" s="3">
        <v>17.5197629327171</v>
      </c>
      <c r="K15" s="3">
        <v>17.3905134409748</v>
      </c>
      <c r="L15" s="3">
        <v>19.340540197059202</v>
      </c>
      <c r="M15" s="3">
        <v>19.235160646602701</v>
      </c>
      <c r="N15" s="3">
        <v>36.615436107193702</v>
      </c>
    </row>
    <row r="16" spans="1:14" x14ac:dyDescent="0.35">
      <c r="A16" s="2">
        <v>42187</v>
      </c>
      <c r="B16" s="3">
        <v>19.8755888358466</v>
      </c>
      <c r="C16" s="3">
        <v>16.060629673591801</v>
      </c>
      <c r="D16" s="3">
        <v>17.084285553942699</v>
      </c>
      <c r="E16" s="3">
        <v>15.471700557444001</v>
      </c>
      <c r="F16" s="3">
        <v>16.830358136769402</v>
      </c>
      <c r="G16" s="3">
        <v>17.8155523923486</v>
      </c>
      <c r="H16" s="3">
        <v>15.5181994991463</v>
      </c>
      <c r="I16" s="3">
        <v>19.945281380103701</v>
      </c>
      <c r="J16" s="3">
        <v>17.388139830441599</v>
      </c>
      <c r="K16" s="3">
        <v>16.9947151139488</v>
      </c>
      <c r="L16" s="3">
        <v>18.9265659133696</v>
      </c>
      <c r="M16" s="3">
        <v>18.559482320071101</v>
      </c>
      <c r="N16" s="3">
        <v>33.483948253963</v>
      </c>
    </row>
    <row r="17" spans="1:14" x14ac:dyDescent="0.35">
      <c r="A17" s="2">
        <v>42216</v>
      </c>
      <c r="B17" s="3">
        <v>19.847708531534799</v>
      </c>
      <c r="C17" s="3">
        <v>16.191762694742501</v>
      </c>
      <c r="D17" s="3">
        <v>17.022938383267199</v>
      </c>
      <c r="E17" s="3">
        <v>15.4623519316004</v>
      </c>
      <c r="F17" s="3">
        <v>16.859083023359101</v>
      </c>
      <c r="G17" s="3">
        <v>18.215554285285901</v>
      </c>
      <c r="H17" s="3">
        <v>15.7515100816941</v>
      </c>
      <c r="I17" s="3">
        <v>20.426985610299699</v>
      </c>
      <c r="J17" s="3">
        <v>17.528289292212399</v>
      </c>
      <c r="K17" s="3">
        <v>17.1919416855132</v>
      </c>
      <c r="L17" s="3">
        <v>19.009612755602401</v>
      </c>
      <c r="M17" s="3">
        <v>18.4990183364309</v>
      </c>
      <c r="N17" s="3">
        <v>31.332838227190699</v>
      </c>
    </row>
    <row r="18" spans="1:14" x14ac:dyDescent="0.35">
      <c r="A18" s="2">
        <v>42249</v>
      </c>
      <c r="B18" s="3">
        <v>19.0898536285193</v>
      </c>
      <c r="C18" s="3">
        <v>15.2459392026459</v>
      </c>
      <c r="D18" s="3">
        <v>16.3891778052202</v>
      </c>
      <c r="E18" s="3">
        <v>14.2259130469486</v>
      </c>
      <c r="F18" s="3">
        <v>15.4129519374117</v>
      </c>
      <c r="G18" s="3">
        <v>17.164727201336099</v>
      </c>
      <c r="H18" s="3">
        <v>14.8802816481184</v>
      </c>
      <c r="I18" s="3">
        <v>19.3870895563117</v>
      </c>
      <c r="J18" s="3">
        <v>16.683664395732901</v>
      </c>
      <c r="K18" s="3">
        <v>15.912535445349</v>
      </c>
      <c r="L18" s="3">
        <v>17.2815494756593</v>
      </c>
      <c r="M18" s="3">
        <v>17.2628706460922</v>
      </c>
      <c r="N18" s="3">
        <v>27.509221203403399</v>
      </c>
    </row>
    <row r="19" spans="1:14" x14ac:dyDescent="0.35">
      <c r="A19" s="2">
        <v>42279</v>
      </c>
      <c r="B19" s="3">
        <v>18.610096778714301</v>
      </c>
      <c r="C19" s="3">
        <v>15.12316260996</v>
      </c>
      <c r="D19" s="3">
        <v>16.379755799467599</v>
      </c>
      <c r="E19" s="3">
        <v>13.6947369017506</v>
      </c>
      <c r="F19" s="3">
        <v>15.056033931794399</v>
      </c>
      <c r="G19" s="3">
        <v>17.010568067186199</v>
      </c>
      <c r="H19" s="3">
        <v>15.108163670465199</v>
      </c>
      <c r="I19" s="3">
        <v>19.263553972015501</v>
      </c>
      <c r="J19" s="3">
        <v>16.649623432428101</v>
      </c>
      <c r="K19" s="3">
        <v>15.5019152118394</v>
      </c>
      <c r="L19" s="3">
        <v>16.641171054896098</v>
      </c>
      <c r="M19" s="3">
        <v>16.468132530313198</v>
      </c>
      <c r="N19" s="3">
        <v>24.845951245741301</v>
      </c>
    </row>
    <row r="20" spans="1:14" x14ac:dyDescent="0.35">
      <c r="A20" s="2">
        <v>42310</v>
      </c>
      <c r="B20" s="3">
        <v>19.457896082348402</v>
      </c>
      <c r="C20" s="3">
        <v>15.4412406768356</v>
      </c>
      <c r="D20" s="3">
        <v>16.7204964227452</v>
      </c>
      <c r="E20" s="3">
        <v>14.6330114932519</v>
      </c>
      <c r="F20" s="3">
        <v>15.609844926429499</v>
      </c>
      <c r="G20" s="3">
        <v>17.782865329835602</v>
      </c>
      <c r="H20" s="3">
        <v>15.8246467399563</v>
      </c>
      <c r="I20" s="3">
        <v>20.506348264550098</v>
      </c>
      <c r="J20" s="3">
        <v>17.598090927023399</v>
      </c>
      <c r="K20" s="3">
        <v>16.4666872068833</v>
      </c>
      <c r="L20" s="3">
        <v>17.5381283282994</v>
      </c>
      <c r="M20" s="3">
        <v>17.187815068443399</v>
      </c>
      <c r="N20" s="3">
        <v>23.188437667277501</v>
      </c>
    </row>
    <row r="21" spans="1:14" x14ac:dyDescent="0.35">
      <c r="A21" s="2">
        <v>42340</v>
      </c>
      <c r="B21" s="3">
        <v>19.680910549911999</v>
      </c>
      <c r="C21" s="3">
        <v>15.7423354493408</v>
      </c>
      <c r="D21" s="3">
        <v>16.711677585629001</v>
      </c>
      <c r="E21" s="3">
        <v>14.7833833027717</v>
      </c>
      <c r="F21" s="3">
        <v>16.3177436832115</v>
      </c>
      <c r="G21" s="3">
        <v>17.685297775773599</v>
      </c>
      <c r="H21" s="3">
        <v>16.078371498813599</v>
      </c>
      <c r="I21" s="3">
        <v>20.492084887525301</v>
      </c>
      <c r="J21" s="3">
        <v>17.402706239233598</v>
      </c>
      <c r="K21" s="3">
        <v>16.348060767586698</v>
      </c>
      <c r="L21" s="3">
        <v>18.049743927083199</v>
      </c>
      <c r="M21" s="3">
        <v>16.985008428207401</v>
      </c>
      <c r="N21" s="3">
        <v>21.196970267586298</v>
      </c>
    </row>
    <row r="22" spans="1:14" x14ac:dyDescent="0.35">
      <c r="A22" s="2">
        <v>42369</v>
      </c>
      <c r="B22" s="3">
        <v>19.861775829977301</v>
      </c>
      <c r="C22" s="3">
        <v>16.060762601513002</v>
      </c>
      <c r="D22" s="3">
        <v>15.7794491987031</v>
      </c>
      <c r="E22" s="3">
        <v>14.0285507216998</v>
      </c>
      <c r="F22" s="3">
        <v>15.7241220272528</v>
      </c>
      <c r="G22" s="3">
        <v>17.378177511790401</v>
      </c>
      <c r="H22" s="3">
        <v>15.672884588555499</v>
      </c>
      <c r="I22" s="3">
        <v>20.348969660295399</v>
      </c>
      <c r="J22" s="3">
        <v>17.142314327194399</v>
      </c>
      <c r="K22" s="3">
        <v>15.4220750370538</v>
      </c>
      <c r="L22" s="3">
        <v>16.870638649553101</v>
      </c>
      <c r="M22" s="3">
        <v>16.016258065652501</v>
      </c>
      <c r="N22" s="3">
        <v>17.961443208994901</v>
      </c>
    </row>
    <row r="23" spans="1:14" x14ac:dyDescent="0.35">
      <c r="A23" s="2">
        <v>42402</v>
      </c>
      <c r="B23" s="3">
        <v>19.172675010356699</v>
      </c>
      <c r="C23" s="3">
        <v>15.1862790034575</v>
      </c>
      <c r="D23" s="3">
        <v>15.091818288108801</v>
      </c>
      <c r="E23" s="3">
        <v>12.6567806411144</v>
      </c>
      <c r="F23" s="3">
        <v>14.8422952433768</v>
      </c>
      <c r="G23" s="3">
        <v>16.558900935831002</v>
      </c>
      <c r="H23" s="3">
        <v>14.9729009831049</v>
      </c>
      <c r="I23" s="3">
        <v>18.405291032593102</v>
      </c>
      <c r="J23" s="3">
        <v>16.2966838906097</v>
      </c>
      <c r="K23" s="3">
        <v>14.3168970531099</v>
      </c>
      <c r="L23" s="3">
        <v>16.1100824424955</v>
      </c>
      <c r="M23" s="3">
        <v>14.4039914412014</v>
      </c>
      <c r="N23" s="3">
        <v>14.641912605872999</v>
      </c>
    </row>
    <row r="24" spans="1:14" x14ac:dyDescent="0.35">
      <c r="A24" s="2">
        <v>42431</v>
      </c>
      <c r="B24" s="3">
        <v>19.2864901240881</v>
      </c>
      <c r="C24" s="3">
        <v>15.0190860365137</v>
      </c>
      <c r="D24" s="3">
        <v>15.761937694990101</v>
      </c>
      <c r="E24" s="3">
        <v>12.704833004843801</v>
      </c>
      <c r="F24" s="3">
        <v>13.8920939709518</v>
      </c>
      <c r="G24" s="3">
        <v>16.633868455111699</v>
      </c>
      <c r="H24" s="3">
        <v>15.5517879352289</v>
      </c>
      <c r="I24" s="3">
        <v>18.261339795830999</v>
      </c>
      <c r="J24" s="3">
        <v>16.188193427520002</v>
      </c>
      <c r="K24" s="3">
        <v>15.1778584439352</v>
      </c>
      <c r="L24" s="3">
        <v>16.419616766226699</v>
      </c>
      <c r="M24" s="3">
        <v>15.601495082395999</v>
      </c>
      <c r="N24" s="3">
        <v>15.415609695320301</v>
      </c>
    </row>
    <row r="25" spans="1:14" x14ac:dyDescent="0.35">
      <c r="A25" s="2">
        <v>42461</v>
      </c>
      <c r="B25" s="3">
        <v>19.333984789593998</v>
      </c>
      <c r="C25" s="3">
        <v>15.099939008049301</v>
      </c>
      <c r="D25" s="3">
        <v>16.001157655848001</v>
      </c>
      <c r="E25" s="3">
        <v>12.7367373784601</v>
      </c>
      <c r="F25" s="3">
        <v>13.711784284268999</v>
      </c>
      <c r="G25" s="3">
        <v>16.5964163990059</v>
      </c>
      <c r="H25" s="3">
        <v>15.7247270423721</v>
      </c>
      <c r="I25" s="3">
        <v>18.444790260331001</v>
      </c>
      <c r="J25" s="3">
        <v>16.445215307047398</v>
      </c>
      <c r="K25" s="3">
        <v>15.098238696891199</v>
      </c>
      <c r="L25" s="3">
        <v>16.3502918095853</v>
      </c>
      <c r="M25" s="3">
        <v>15.5496259742074</v>
      </c>
      <c r="N25" s="3">
        <v>15.206613016825999</v>
      </c>
    </row>
    <row r="26" spans="1:14" x14ac:dyDescent="0.35">
      <c r="A26" s="2">
        <v>42492</v>
      </c>
      <c r="B26" s="3">
        <v>19.4031640926577</v>
      </c>
      <c r="C26" s="3">
        <v>15.4582140352921</v>
      </c>
      <c r="D26" s="3">
        <v>16.3938459020248</v>
      </c>
      <c r="E26" s="3">
        <v>12.8878589967513</v>
      </c>
      <c r="F26" s="3">
        <v>13.6483585984328</v>
      </c>
      <c r="G26" s="3">
        <v>16.846144409823001</v>
      </c>
      <c r="H26" s="3">
        <v>15.961427449496201</v>
      </c>
      <c r="I26" s="3">
        <v>18.370166925323499</v>
      </c>
      <c r="J26" s="3">
        <v>16.565182572190999</v>
      </c>
      <c r="K26" s="3">
        <v>15.1939138342562</v>
      </c>
      <c r="L26" s="3">
        <v>16.239977260584801</v>
      </c>
      <c r="M26" s="3">
        <v>15.6363720432732</v>
      </c>
      <c r="N26" s="3">
        <v>15.219438811467199</v>
      </c>
    </row>
    <row r="27" spans="1:14" x14ac:dyDescent="0.35">
      <c r="A27" s="2">
        <v>42523</v>
      </c>
      <c r="B27" s="3">
        <v>19.7988057482114</v>
      </c>
      <c r="C27" s="3">
        <v>15.648647816638899</v>
      </c>
      <c r="D27" s="3">
        <v>16.702211594410102</v>
      </c>
      <c r="E27" s="3">
        <v>12.917382615452199</v>
      </c>
      <c r="F27" s="3">
        <v>13.994019370104001</v>
      </c>
      <c r="G27" s="3">
        <v>17.120606282064099</v>
      </c>
      <c r="H27" s="3">
        <v>15.9582725160023</v>
      </c>
      <c r="I27" s="3">
        <v>18.655485699417</v>
      </c>
      <c r="J27" s="3">
        <v>16.793681796435301</v>
      </c>
      <c r="K27" s="3">
        <v>15.206563442582601</v>
      </c>
      <c r="L27" s="3">
        <v>16.314278002621698</v>
      </c>
      <c r="M27" s="3">
        <v>15.541318843131499</v>
      </c>
      <c r="N27" s="3">
        <v>15.0544460899201</v>
      </c>
    </row>
    <row r="28" spans="1:14" x14ac:dyDescent="0.35">
      <c r="A28" s="2">
        <v>42552</v>
      </c>
      <c r="B28" s="3">
        <v>19.7077987621199</v>
      </c>
      <c r="C28" s="3">
        <v>15.7835404267062</v>
      </c>
      <c r="D28" s="3">
        <v>16.793466531645301</v>
      </c>
      <c r="E28" s="3">
        <v>12.705984699086001</v>
      </c>
      <c r="F28" s="3">
        <v>13.7030448296098</v>
      </c>
      <c r="G28" s="3">
        <v>17.203716797535701</v>
      </c>
      <c r="H28" s="3">
        <v>16.3512579053777</v>
      </c>
      <c r="I28" s="3">
        <v>18.644045727668701</v>
      </c>
      <c r="J28" s="3">
        <v>16.9159239183927</v>
      </c>
      <c r="K28" s="3">
        <v>14.851521350003001</v>
      </c>
      <c r="L28" s="3">
        <v>15.8183783091024</v>
      </c>
      <c r="M28" s="3">
        <v>15.4538294040505</v>
      </c>
      <c r="N28" s="3">
        <v>14.425996843363199</v>
      </c>
    </row>
    <row r="29" spans="1:14" x14ac:dyDescent="0.35">
      <c r="A29" s="2">
        <v>42584</v>
      </c>
      <c r="B29" s="3">
        <v>20.514790380211601</v>
      </c>
      <c r="C29" s="3">
        <v>16.4465914947539</v>
      </c>
      <c r="D29" s="3">
        <v>17.144798417829001</v>
      </c>
      <c r="E29" s="3">
        <v>12.992080581803901</v>
      </c>
      <c r="F29" s="3">
        <v>13.9347523635371</v>
      </c>
      <c r="G29" s="3">
        <v>17.514464027632801</v>
      </c>
      <c r="H29" s="3">
        <v>16.6044356516786</v>
      </c>
      <c r="I29" s="3">
        <v>19.332313229007301</v>
      </c>
      <c r="J29" s="3">
        <v>17.3232905936507</v>
      </c>
      <c r="K29" s="3">
        <v>14.8843662408689</v>
      </c>
      <c r="L29" s="3">
        <v>15.9295296018543</v>
      </c>
      <c r="M29" s="3">
        <v>15.645493567132901</v>
      </c>
      <c r="N29" s="3">
        <v>14.410588763674101</v>
      </c>
    </row>
    <row r="30" spans="1:14" x14ac:dyDescent="0.35">
      <c r="A30" s="2">
        <v>42615</v>
      </c>
      <c r="B30" s="3">
        <v>20.963367602413001</v>
      </c>
      <c r="C30" s="3">
        <v>16.3823856602455</v>
      </c>
      <c r="D30" s="3">
        <v>17.6838143347528</v>
      </c>
      <c r="E30" s="3">
        <v>13.4928239289522</v>
      </c>
      <c r="F30" s="3">
        <v>14.381164911327</v>
      </c>
      <c r="G30" s="3">
        <v>17.997480192462302</v>
      </c>
      <c r="H30" s="3">
        <v>17.149282739420901</v>
      </c>
      <c r="I30" s="3">
        <v>19.605800662066599</v>
      </c>
      <c r="J30" s="3">
        <v>17.6159089870747</v>
      </c>
      <c r="K30" s="3">
        <v>15.1507258838969</v>
      </c>
      <c r="L30" s="3">
        <v>16.416986301033202</v>
      </c>
      <c r="M30" s="3">
        <v>16.2003736307799</v>
      </c>
      <c r="N30" s="3">
        <v>15.1038076396175</v>
      </c>
    </row>
    <row r="31" spans="1:14" x14ac:dyDescent="0.35">
      <c r="A31" s="2">
        <v>42643</v>
      </c>
      <c r="B31" s="3">
        <v>20.957196712321199</v>
      </c>
      <c r="C31" s="3">
        <v>16.7199617585058</v>
      </c>
      <c r="D31" s="3">
        <v>17.8787659375175</v>
      </c>
      <c r="E31" s="3">
        <v>13.577312567197</v>
      </c>
      <c r="F31" s="3">
        <v>14.1918651950187</v>
      </c>
      <c r="G31" s="3">
        <v>18.027024872288099</v>
      </c>
      <c r="H31" s="3">
        <v>17.073490822109001</v>
      </c>
      <c r="I31" s="3">
        <v>19.971558870214999</v>
      </c>
      <c r="J31" s="3">
        <v>17.747222765192799</v>
      </c>
      <c r="K31" s="3">
        <v>14.8789840518654</v>
      </c>
      <c r="L31" s="3">
        <v>16.156385409687001</v>
      </c>
      <c r="M31" s="3">
        <v>16.4554693449696</v>
      </c>
      <c r="N31" s="3">
        <v>14.6807457855707</v>
      </c>
    </row>
    <row r="32" spans="1:14" x14ac:dyDescent="0.35">
      <c r="A32" s="2">
        <v>42676</v>
      </c>
      <c r="B32" s="3">
        <v>19.835976665847799</v>
      </c>
      <c r="C32" s="3">
        <v>16.577319982003701</v>
      </c>
      <c r="D32" s="3">
        <v>18.026967456385201</v>
      </c>
      <c r="E32" s="3">
        <v>13.4731178222521</v>
      </c>
      <c r="F32" s="3">
        <v>14.5904436329419</v>
      </c>
      <c r="G32" s="3">
        <v>17.476030037450599</v>
      </c>
      <c r="H32" s="3">
        <v>16.5034677517509</v>
      </c>
      <c r="I32" s="3">
        <v>19.5264868388176</v>
      </c>
      <c r="J32" s="3">
        <v>17.389518809459101</v>
      </c>
      <c r="K32" s="3">
        <v>14.7118875571187</v>
      </c>
      <c r="L32" s="3">
        <v>15.542672939896599</v>
      </c>
      <c r="M32" s="3">
        <v>17.0437142550816</v>
      </c>
      <c r="N32" s="3">
        <v>14.3865363647128</v>
      </c>
    </row>
    <row r="33" spans="1:14" x14ac:dyDescent="0.35">
      <c r="A33" s="2">
        <v>42706</v>
      </c>
      <c r="B33" s="3">
        <v>20.019952467457099</v>
      </c>
      <c r="C33" s="3">
        <v>17.0762607591871</v>
      </c>
      <c r="D33" s="3">
        <v>18.797750976536499</v>
      </c>
      <c r="E33" s="3">
        <v>13.5491630343979</v>
      </c>
      <c r="F33" s="3">
        <v>15.857984844771201</v>
      </c>
      <c r="G33" s="3">
        <v>17.330844736036301</v>
      </c>
      <c r="H33" s="3">
        <v>16.368469835686501</v>
      </c>
      <c r="I33" s="3">
        <v>19.626646221637799</v>
      </c>
      <c r="J33" s="3">
        <v>18.2194455870168</v>
      </c>
      <c r="K33" s="3">
        <v>14.867259728894799</v>
      </c>
      <c r="L33" s="3">
        <v>15.2558604741705</v>
      </c>
      <c r="M33" s="3">
        <v>17.300439509619501</v>
      </c>
      <c r="N33" s="3">
        <v>14.4867861339462</v>
      </c>
    </row>
    <row r="34" spans="1:14" x14ac:dyDescent="0.35">
      <c r="A34" s="2">
        <v>42734</v>
      </c>
      <c r="B34" s="3">
        <v>19.970582364952801</v>
      </c>
      <c r="C34" s="3">
        <v>17.7086539390355</v>
      </c>
      <c r="D34" s="3">
        <v>19.369708934889001</v>
      </c>
      <c r="E34" s="3">
        <v>14.7976712735815</v>
      </c>
      <c r="F34" s="3">
        <v>16.336549755412999</v>
      </c>
      <c r="G34" s="3">
        <v>18.2312249975706</v>
      </c>
      <c r="H34" s="3">
        <v>17.205071876992399</v>
      </c>
      <c r="I34" s="3">
        <v>20.294120577380198</v>
      </c>
      <c r="J34" s="3">
        <v>18.788878288081499</v>
      </c>
      <c r="K34" s="3">
        <v>15.7881796008571</v>
      </c>
      <c r="L34" s="3">
        <v>16.299934821553101</v>
      </c>
      <c r="M34" s="3">
        <v>18.185910729348599</v>
      </c>
      <c r="N34" s="3">
        <v>27.659464864347701</v>
      </c>
    </row>
    <row r="35" spans="1:14" x14ac:dyDescent="0.35">
      <c r="A35" s="2">
        <v>42768</v>
      </c>
      <c r="B35" s="3">
        <v>20.383330145619801</v>
      </c>
      <c r="C35" s="3">
        <v>17.598656246158701</v>
      </c>
      <c r="D35" s="3">
        <v>19.564261286662401</v>
      </c>
      <c r="E35" s="3">
        <v>14.850859106216999</v>
      </c>
      <c r="F35" s="3">
        <v>16.123682824413901</v>
      </c>
      <c r="G35" s="3">
        <v>18.4724657014612</v>
      </c>
      <c r="H35" s="3">
        <v>17.074875399993399</v>
      </c>
      <c r="I35" s="3">
        <v>21.2135605098375</v>
      </c>
      <c r="J35" s="3">
        <v>18.915935227557501</v>
      </c>
      <c r="K35" s="3">
        <v>15.539747531659</v>
      </c>
      <c r="L35" s="3">
        <v>16.078996850955701</v>
      </c>
      <c r="M35" s="3">
        <v>18.402765980420099</v>
      </c>
      <c r="N35" s="3">
        <v>19.8595363780715</v>
      </c>
    </row>
    <row r="36" spans="1:14" x14ac:dyDescent="0.35">
      <c r="A36" s="2">
        <v>42796</v>
      </c>
      <c r="B36" s="3">
        <v>19.696710911217899</v>
      </c>
      <c r="C36" s="3">
        <v>17.531828215507002</v>
      </c>
      <c r="D36" s="3">
        <v>19.405225016620701</v>
      </c>
      <c r="E36" s="3">
        <v>15.0032823118263</v>
      </c>
      <c r="F36" s="3">
        <v>15.985496206818199</v>
      </c>
      <c r="G36" s="3">
        <v>19.677341823528501</v>
      </c>
      <c r="H36" s="3">
        <v>17.377368649495601</v>
      </c>
      <c r="I36" s="3">
        <v>21.7189090157928</v>
      </c>
      <c r="J36" s="3">
        <v>19.508875142614599</v>
      </c>
      <c r="K36" s="3">
        <v>15.6200861752374</v>
      </c>
      <c r="L36" s="3">
        <v>16.4344944810755</v>
      </c>
      <c r="M36" s="3">
        <v>17.453262624164299</v>
      </c>
      <c r="N36" s="3">
        <v>85.569365789149003</v>
      </c>
    </row>
    <row r="37" spans="1:14" x14ac:dyDescent="0.35">
      <c r="A37" s="2">
        <v>42825</v>
      </c>
      <c r="B37" s="3">
        <v>19.7808677360449</v>
      </c>
      <c r="C37" s="3">
        <v>17.388445541750801</v>
      </c>
      <c r="D37" s="3">
        <v>19.1093046046532</v>
      </c>
      <c r="E37" s="3">
        <v>14.970578196584301</v>
      </c>
      <c r="F37" s="3">
        <v>15.7187584660595</v>
      </c>
      <c r="G37" s="3">
        <v>19.483665613401101</v>
      </c>
      <c r="H37" s="3">
        <v>17.120569438288801</v>
      </c>
      <c r="I37" s="3">
        <v>21.662846506715901</v>
      </c>
      <c r="J37" s="3">
        <v>19.3434696885449</v>
      </c>
      <c r="K37" s="3">
        <v>15.6742006521623</v>
      </c>
      <c r="L37" s="3">
        <v>16.5201736815972</v>
      </c>
      <c r="M37" s="3">
        <v>17.604933401968399</v>
      </c>
      <c r="N37" s="3">
        <v>78.854228642247094</v>
      </c>
    </row>
    <row r="38" spans="1:14" x14ac:dyDescent="0.35">
      <c r="A38" s="2">
        <v>42857</v>
      </c>
      <c r="B38" s="3">
        <v>19.975890924784999</v>
      </c>
      <c r="C38" s="3">
        <v>17.317397790703499</v>
      </c>
      <c r="D38" s="3">
        <v>18.7773509587985</v>
      </c>
      <c r="E38" s="3">
        <v>14.903167292867099</v>
      </c>
      <c r="F38" s="3">
        <v>15.637682856754999</v>
      </c>
      <c r="G38" s="3">
        <v>19.453566049785501</v>
      </c>
      <c r="H38" s="3">
        <v>16.8581633143651</v>
      </c>
      <c r="I38" s="3">
        <v>21.773082919122</v>
      </c>
      <c r="J38" s="3">
        <v>19.225501655557402</v>
      </c>
      <c r="K38" s="3">
        <v>15.802035949508801</v>
      </c>
      <c r="L38" s="3">
        <v>16.715285019380499</v>
      </c>
      <c r="M38" s="3">
        <v>17.676391260113299</v>
      </c>
      <c r="N38" s="3">
        <v>71.314590769020697</v>
      </c>
    </row>
    <row r="39" spans="1:14" x14ac:dyDescent="0.35">
      <c r="A39" s="2">
        <v>42888</v>
      </c>
      <c r="B39" s="3">
        <v>20.003494554571599</v>
      </c>
      <c r="C39" s="3">
        <v>16.921810799211901</v>
      </c>
      <c r="D39" s="3">
        <v>18.429527159460001</v>
      </c>
      <c r="E39" s="3">
        <v>14.8415014924809</v>
      </c>
      <c r="F39" s="3">
        <v>15.774348211501099</v>
      </c>
      <c r="G39" s="3">
        <v>19.626188078677899</v>
      </c>
      <c r="H39" s="3">
        <v>16.802054132181901</v>
      </c>
      <c r="I39" s="3">
        <v>22.1022740381737</v>
      </c>
      <c r="J39" s="3">
        <v>19.238310359635999</v>
      </c>
      <c r="K39" s="3">
        <v>15.827294319432999</v>
      </c>
      <c r="L39" s="3">
        <v>16.7707809086025</v>
      </c>
      <c r="M39" s="3">
        <v>18.152882914302701</v>
      </c>
      <c r="N39" s="3">
        <v>64.028562094599295</v>
      </c>
    </row>
    <row r="40" spans="1:14" x14ac:dyDescent="0.35">
      <c r="A40" s="2">
        <v>42916</v>
      </c>
      <c r="B40" s="3">
        <v>20.101254626645499</v>
      </c>
      <c r="C40" s="3">
        <v>16.791029596471201</v>
      </c>
      <c r="D40" s="3">
        <v>18.057522337090699</v>
      </c>
      <c r="E40" s="3">
        <v>14.4898674106417</v>
      </c>
      <c r="F40" s="3">
        <v>15.561407587874699</v>
      </c>
      <c r="G40" s="3">
        <v>19.342347661175499</v>
      </c>
      <c r="H40" s="3">
        <v>16.421619961282801</v>
      </c>
      <c r="I40" s="3">
        <v>21.637729586664602</v>
      </c>
      <c r="J40" s="3">
        <v>19.082911078838698</v>
      </c>
      <c r="K40" s="3">
        <v>15.5101231229392</v>
      </c>
      <c r="L40" s="3">
        <v>16.4737540777456</v>
      </c>
      <c r="M40" s="3">
        <v>17.499000383484798</v>
      </c>
      <c r="N40" s="3">
        <v>57.3506552325927</v>
      </c>
    </row>
    <row r="41" spans="1:14" x14ac:dyDescent="0.35">
      <c r="A41" s="2">
        <v>42949</v>
      </c>
      <c r="B41" s="3">
        <v>20.4977938531242</v>
      </c>
      <c r="C41" s="3">
        <v>16.837931170875901</v>
      </c>
      <c r="D41" s="3">
        <v>18.054574758418099</v>
      </c>
      <c r="E41" s="3">
        <v>14.322316107842999</v>
      </c>
      <c r="F41" s="3">
        <v>15.4741362387861</v>
      </c>
      <c r="G41" s="3">
        <v>19.4135123180221</v>
      </c>
      <c r="H41" s="3">
        <v>16.4249194411553</v>
      </c>
      <c r="I41" s="3">
        <v>22.1338561555336</v>
      </c>
      <c r="J41" s="3">
        <v>19.1887776017787</v>
      </c>
      <c r="K41" s="3">
        <v>15.5049701570947</v>
      </c>
      <c r="L41" s="3">
        <v>16.6910072811845</v>
      </c>
      <c r="M41" s="3">
        <v>17.135568730055599</v>
      </c>
      <c r="N41" s="3">
        <v>49.988068394177603</v>
      </c>
    </row>
    <row r="42" spans="1:14" x14ac:dyDescent="0.35">
      <c r="A42" s="2">
        <v>42979</v>
      </c>
      <c r="B42" s="3">
        <v>20.609137960041501</v>
      </c>
      <c r="C42" s="3">
        <v>16.621429923767</v>
      </c>
      <c r="D42" s="3">
        <v>17.527426507056902</v>
      </c>
      <c r="E42" s="3">
        <v>14.135047138466399</v>
      </c>
      <c r="F42" s="3">
        <v>14.971999226263399</v>
      </c>
      <c r="G42" s="3">
        <v>19.144466438426399</v>
      </c>
      <c r="H42" s="3">
        <v>16.103619870065</v>
      </c>
      <c r="I42" s="3">
        <v>22.3062549192523</v>
      </c>
      <c r="J42" s="3">
        <v>19.0917620071552</v>
      </c>
      <c r="K42" s="3">
        <v>15.528032370634</v>
      </c>
      <c r="L42" s="3">
        <v>16.601672298103399</v>
      </c>
      <c r="M42" s="3">
        <v>16.975588664667701</v>
      </c>
      <c r="N42" s="3">
        <v>42.932874403175397</v>
      </c>
    </row>
    <row r="43" spans="1:14" x14ac:dyDescent="0.35">
      <c r="A43" s="2">
        <v>43010</v>
      </c>
      <c r="B43" s="3">
        <v>20.608078168022502</v>
      </c>
      <c r="C43" s="3">
        <v>16.4645883282646</v>
      </c>
      <c r="D43" s="3">
        <v>17.693683728383998</v>
      </c>
      <c r="E43" s="3">
        <v>14.6769211131309</v>
      </c>
      <c r="F43" s="3">
        <v>15.0176899315799</v>
      </c>
      <c r="G43" s="3">
        <v>19.541293255385199</v>
      </c>
      <c r="H43" s="3">
        <v>15.874149157153299</v>
      </c>
      <c r="I43" s="3">
        <v>22.3165953143751</v>
      </c>
      <c r="J43" s="3">
        <v>19.383469713161201</v>
      </c>
      <c r="K43" s="3">
        <v>15.981986908627601</v>
      </c>
      <c r="L43" s="3">
        <v>17.114021729883699</v>
      </c>
      <c r="M43" s="3">
        <v>17.732195046767799</v>
      </c>
      <c r="N43" s="3">
        <v>36.123299820162501</v>
      </c>
    </row>
    <row r="44" spans="1:14" x14ac:dyDescent="0.35">
      <c r="A44" s="2">
        <v>43041</v>
      </c>
      <c r="B44" s="3">
        <v>21.270148377792999</v>
      </c>
      <c r="C44" s="3">
        <v>16.721160185163399</v>
      </c>
      <c r="D44" s="3">
        <v>17.591188063020802</v>
      </c>
      <c r="E44" s="3">
        <v>15.4351958862639</v>
      </c>
      <c r="F44" s="3">
        <v>15.6501340153415</v>
      </c>
      <c r="G44" s="3">
        <v>20.332302239362601</v>
      </c>
      <c r="H44" s="3">
        <v>15.617573432135</v>
      </c>
      <c r="I44" s="3">
        <v>22.805575479508899</v>
      </c>
      <c r="J44" s="3">
        <v>19.602513091968</v>
      </c>
      <c r="K44" s="3">
        <v>16.347018277550401</v>
      </c>
      <c r="L44" s="3">
        <v>17.347109642533098</v>
      </c>
      <c r="M44" s="3">
        <v>18.5314882946621</v>
      </c>
      <c r="N44" s="3">
        <v>29.067407289041601</v>
      </c>
    </row>
    <row r="45" spans="1:14" x14ac:dyDescent="0.35">
      <c r="A45" s="2">
        <v>43070</v>
      </c>
      <c r="B45" s="3">
        <v>21.560923949059902</v>
      </c>
      <c r="C45" s="3">
        <v>16.643239141631099</v>
      </c>
      <c r="D45" s="3">
        <v>17.315556170383999</v>
      </c>
      <c r="E45" s="3">
        <v>15.172717455383101</v>
      </c>
      <c r="F45" s="3">
        <v>16.111850124842601</v>
      </c>
      <c r="G45" s="3">
        <v>20.3191407844838</v>
      </c>
      <c r="H45" s="3">
        <v>15.0729034916162</v>
      </c>
      <c r="I45" s="3">
        <v>23.0806527278178</v>
      </c>
      <c r="J45" s="3">
        <v>19.991053194272901</v>
      </c>
      <c r="K45" s="3">
        <v>15.972070810649999</v>
      </c>
      <c r="L45" s="3">
        <v>16.974758562429901</v>
      </c>
      <c r="M45" s="3">
        <v>17.821688902872602</v>
      </c>
      <c r="N45" s="3">
        <v>22.241134483824201</v>
      </c>
    </row>
    <row r="46" spans="1:14" x14ac:dyDescent="0.35">
      <c r="A46" s="2">
        <v>43102</v>
      </c>
      <c r="B46" s="3">
        <v>22.3863928904936</v>
      </c>
      <c r="C46" s="3">
        <v>16.8027528424055</v>
      </c>
      <c r="D46" s="3">
        <v>17.108331880665901</v>
      </c>
      <c r="E46" s="3">
        <v>15.208856979783899</v>
      </c>
      <c r="F46" s="3">
        <v>16.3473463194346</v>
      </c>
      <c r="G46" s="3">
        <v>20.730821841520601</v>
      </c>
      <c r="H46" s="3">
        <v>15.477396232280199</v>
      </c>
      <c r="I46" s="3">
        <v>23.9026396351078</v>
      </c>
      <c r="J46" s="3">
        <v>20.393389587658099</v>
      </c>
      <c r="K46" s="3">
        <v>15.919121663842301</v>
      </c>
      <c r="L46" s="3">
        <v>17.204680683280099</v>
      </c>
      <c r="M46" s="3">
        <v>17.909336198887701</v>
      </c>
      <c r="N46" s="3">
        <v>15.007122606226799</v>
      </c>
    </row>
    <row r="47" spans="1:14" x14ac:dyDescent="0.35">
      <c r="A47" s="2">
        <v>43133</v>
      </c>
      <c r="B47" s="3">
        <v>22.462839133314201</v>
      </c>
      <c r="C47" s="3">
        <v>16.920882425996901</v>
      </c>
      <c r="D47" s="3">
        <v>16.3939027219064</v>
      </c>
      <c r="E47" s="3">
        <v>14.7787830038189</v>
      </c>
      <c r="F47" s="3">
        <v>16.446358399567899</v>
      </c>
      <c r="G47" s="3">
        <v>21.507578164466999</v>
      </c>
      <c r="H47" s="3">
        <v>15.0783485898368</v>
      </c>
      <c r="I47" s="3">
        <v>24.1449957666679</v>
      </c>
      <c r="J47" s="3">
        <v>20.422211009689601</v>
      </c>
      <c r="K47" s="3">
        <v>16.098504504713901</v>
      </c>
      <c r="L47" s="3">
        <v>17.280780092077801</v>
      </c>
      <c r="M47" s="3">
        <v>18.737164181478398</v>
      </c>
      <c r="N47" s="3">
        <v>15.4206696166956</v>
      </c>
    </row>
    <row r="48" spans="1:14" x14ac:dyDescent="0.35">
      <c r="A48" s="2">
        <v>43161</v>
      </c>
      <c r="B48" s="3">
        <v>22.5797765761439</v>
      </c>
      <c r="C48" s="3">
        <v>16.509358407469701</v>
      </c>
      <c r="D48" s="3">
        <v>15.8114070627831</v>
      </c>
      <c r="E48" s="3">
        <v>14.1641193569388</v>
      </c>
      <c r="F48" s="3">
        <v>14.4091154825721</v>
      </c>
      <c r="G48" s="3">
        <v>21.110063184241401</v>
      </c>
      <c r="H48" s="3">
        <v>13.8558218942637</v>
      </c>
      <c r="I48" s="3">
        <v>24.078848334065899</v>
      </c>
      <c r="J48" s="3">
        <v>19.753213097976001</v>
      </c>
      <c r="K48" s="3">
        <v>15.5409620442201</v>
      </c>
      <c r="L48" s="3">
        <v>16.589704813915102</v>
      </c>
      <c r="M48" s="3">
        <v>16.881574777400701</v>
      </c>
      <c r="N48" s="3">
        <v>14.169621227811399</v>
      </c>
    </row>
    <row r="49" spans="1:14" x14ac:dyDescent="0.35">
      <c r="A49" s="2">
        <v>43192</v>
      </c>
      <c r="B49" s="3">
        <v>22.3697684703432</v>
      </c>
      <c r="C49" s="3">
        <v>16.259469171208298</v>
      </c>
      <c r="D49" s="3">
        <v>15.633779599435901</v>
      </c>
      <c r="E49" s="3">
        <v>14.086836384701799</v>
      </c>
      <c r="F49" s="3">
        <v>14.2422035250036</v>
      </c>
      <c r="G49" s="3">
        <v>20.664905463094499</v>
      </c>
      <c r="H49" s="3">
        <v>13.883035044854701</v>
      </c>
      <c r="I49" s="3">
        <v>23.444168938299999</v>
      </c>
      <c r="J49" s="3">
        <v>19.307200820789301</v>
      </c>
      <c r="K49" s="3">
        <v>15.457147325593001</v>
      </c>
      <c r="L49" s="3">
        <v>16.545540012619401</v>
      </c>
      <c r="M49" s="3">
        <v>16.823102716466799</v>
      </c>
      <c r="N49" s="3">
        <v>14.0587293457525</v>
      </c>
    </row>
    <row r="50" spans="1:14" x14ac:dyDescent="0.35">
      <c r="A50" s="2">
        <v>43222</v>
      </c>
      <c r="B50" s="3">
        <v>22.350548016800602</v>
      </c>
      <c r="C50" s="3">
        <v>16.3255871941649</v>
      </c>
      <c r="D50" s="3">
        <v>15.585389477915299</v>
      </c>
      <c r="E50" s="3">
        <v>14.2157166214675</v>
      </c>
      <c r="F50" s="3">
        <v>14.271580540628801</v>
      </c>
      <c r="G50" s="3">
        <v>20.273290170717299</v>
      </c>
      <c r="H50" s="3">
        <v>14.038072769168</v>
      </c>
      <c r="I50" s="3">
        <v>23.1613921121887</v>
      </c>
      <c r="J50" s="3">
        <v>19.020607298345301</v>
      </c>
      <c r="K50" s="3">
        <v>15.6086138873161</v>
      </c>
      <c r="L50" s="3">
        <v>16.575274464601598</v>
      </c>
      <c r="M50" s="3">
        <v>16.823140576838899</v>
      </c>
      <c r="N50" s="3">
        <v>14.2203411644906</v>
      </c>
    </row>
    <row r="51" spans="1:14" x14ac:dyDescent="0.35">
      <c r="A51" s="2">
        <v>43252</v>
      </c>
      <c r="B51" s="3">
        <v>22.426551250118202</v>
      </c>
      <c r="C51" s="3">
        <v>16.131253831061301</v>
      </c>
      <c r="D51" s="3">
        <v>15.517045871110501</v>
      </c>
      <c r="E51" s="3">
        <v>14.089543033653401</v>
      </c>
      <c r="F51" s="3">
        <v>14.089716303669199</v>
      </c>
      <c r="G51" s="3">
        <v>19.696156425107102</v>
      </c>
      <c r="H51" s="3">
        <v>13.9999159097642</v>
      </c>
      <c r="I51" s="3">
        <v>23.295388468917899</v>
      </c>
      <c r="J51" s="3">
        <v>18.923641124726199</v>
      </c>
      <c r="K51" s="3">
        <v>15.448668833230901</v>
      </c>
      <c r="L51" s="3">
        <v>16.636581306373699</v>
      </c>
      <c r="M51" s="3">
        <v>16.627663504387201</v>
      </c>
      <c r="N51" s="3">
        <v>13.597939479651799</v>
      </c>
    </row>
    <row r="52" spans="1:14" x14ac:dyDescent="0.35">
      <c r="A52" s="2">
        <v>43283</v>
      </c>
      <c r="B52" s="3">
        <v>22.830954576632401</v>
      </c>
      <c r="C52" s="3">
        <v>16.2270507520333</v>
      </c>
      <c r="D52" s="3">
        <v>15.487184988162101</v>
      </c>
      <c r="E52" s="3">
        <v>13.8508321862918</v>
      </c>
      <c r="F52" s="3">
        <v>13.839633646233301</v>
      </c>
      <c r="G52" s="3">
        <v>19.161921544786502</v>
      </c>
      <c r="H52" s="3">
        <v>13.7469804591362</v>
      </c>
      <c r="I52" s="3">
        <v>23.038854474863101</v>
      </c>
      <c r="J52" s="3">
        <v>18.607245220424701</v>
      </c>
      <c r="K52" s="3">
        <v>15.08851417222</v>
      </c>
      <c r="L52" s="3">
        <v>16.451531439236401</v>
      </c>
      <c r="M52" s="3">
        <v>16.383416493606902</v>
      </c>
      <c r="N52" s="3">
        <v>13.208132437887601</v>
      </c>
    </row>
    <row r="53" spans="1:14" x14ac:dyDescent="0.35">
      <c r="A53" s="2">
        <v>43314</v>
      </c>
      <c r="B53" s="3">
        <v>22.765982717962199</v>
      </c>
      <c r="C53" s="3">
        <v>16.288892450235799</v>
      </c>
      <c r="D53" s="3">
        <v>15.4753547728446</v>
      </c>
      <c r="E53" s="3">
        <v>14.0499871003615</v>
      </c>
      <c r="F53" s="3">
        <v>13.864964071172199</v>
      </c>
      <c r="G53" s="3">
        <v>19.240095536672701</v>
      </c>
      <c r="H53" s="3">
        <v>13.785502524423</v>
      </c>
      <c r="I53" s="3">
        <v>23.089427153271401</v>
      </c>
      <c r="J53" s="3">
        <v>18.6282873437993</v>
      </c>
      <c r="K53" s="3">
        <v>15.2191353597114</v>
      </c>
      <c r="L53" s="3">
        <v>16.7623906011179</v>
      </c>
      <c r="M53" s="3">
        <v>16.519610395306898</v>
      </c>
      <c r="N53" s="3">
        <v>13.090684140067401</v>
      </c>
    </row>
    <row r="54" spans="1:14" x14ac:dyDescent="0.35">
      <c r="A54" s="2">
        <v>43343</v>
      </c>
      <c r="B54" s="3">
        <v>23.757388864391</v>
      </c>
      <c r="C54" s="3">
        <v>16.359794784017701</v>
      </c>
      <c r="D54" s="3">
        <v>15.238977878050401</v>
      </c>
      <c r="E54" s="3">
        <v>14.021403360529799</v>
      </c>
      <c r="F54" s="3">
        <v>13.650650473683299</v>
      </c>
      <c r="G54" s="3">
        <v>18.797701941154699</v>
      </c>
      <c r="H54" s="3">
        <v>13.5125453110635</v>
      </c>
      <c r="I54" s="3">
        <v>23.462207281979499</v>
      </c>
      <c r="J54" s="3">
        <v>18.701689354028201</v>
      </c>
      <c r="K54" s="3">
        <v>15.0320387753647</v>
      </c>
      <c r="L54" s="3">
        <v>16.600732905253501</v>
      </c>
      <c r="M54" s="3">
        <v>16.8131756196541</v>
      </c>
      <c r="N54" s="3">
        <v>12.4458594415345</v>
      </c>
    </row>
    <row r="55" spans="1:14" x14ac:dyDescent="0.35">
      <c r="A55" s="2">
        <v>43375</v>
      </c>
      <c r="B55" s="3">
        <v>23.696606759584601</v>
      </c>
      <c r="C55" s="3">
        <v>15.8821470517217</v>
      </c>
      <c r="D55" s="3">
        <v>15.0059873608733</v>
      </c>
      <c r="E55" s="3">
        <v>13.9436012027067</v>
      </c>
      <c r="F55" s="3">
        <v>14.0166290879885</v>
      </c>
      <c r="G55" s="3">
        <v>18.512045247353001</v>
      </c>
      <c r="H55" s="3">
        <v>13.551860877142699</v>
      </c>
      <c r="I55" s="3">
        <v>23.2557032608781</v>
      </c>
      <c r="J55" s="3">
        <v>18.6215769662697</v>
      </c>
      <c r="K55" s="3">
        <v>15.0306538233816</v>
      </c>
      <c r="L55" s="3">
        <v>16.268808921067698</v>
      </c>
      <c r="M55" s="3">
        <v>16.8650697893525</v>
      </c>
      <c r="N55" s="3">
        <v>12.220597772099801</v>
      </c>
    </row>
    <row r="56" spans="1:14" x14ac:dyDescent="0.35">
      <c r="A56" s="2">
        <v>43406</v>
      </c>
      <c r="B56" s="3">
        <v>22.824232228699</v>
      </c>
      <c r="C56" s="3">
        <v>15.3092180816754</v>
      </c>
      <c r="D56" s="3">
        <v>14.2201797377882</v>
      </c>
      <c r="E56" s="3">
        <v>13.1625388688089</v>
      </c>
      <c r="F56" s="3">
        <v>12.9119129900646</v>
      </c>
      <c r="G56" s="3">
        <v>17.992982509938599</v>
      </c>
      <c r="H56" s="3">
        <v>12.861120610642001</v>
      </c>
      <c r="I56" s="3">
        <v>21.1234186000788</v>
      </c>
      <c r="J56" s="3">
        <v>17.325055341558802</v>
      </c>
      <c r="K56" s="3">
        <v>14.1901749458689</v>
      </c>
      <c r="L56" s="3">
        <v>15.666116999648001</v>
      </c>
      <c r="M56" s="3">
        <v>15.4743853477997</v>
      </c>
      <c r="N56" s="3">
        <v>11.550165738910399</v>
      </c>
    </row>
    <row r="57" spans="1:14" x14ac:dyDescent="0.35">
      <c r="A57" s="2">
        <v>43434</v>
      </c>
      <c r="B57" s="3">
        <v>22.721928670499</v>
      </c>
      <c r="C57" s="3">
        <v>14.8672537208656</v>
      </c>
      <c r="D57" s="3">
        <v>14.054323813252999</v>
      </c>
      <c r="E57" s="3">
        <v>12.8828774173161</v>
      </c>
      <c r="F57" s="3">
        <v>12.8279675403355</v>
      </c>
      <c r="G57" s="3">
        <v>17.703786659699499</v>
      </c>
      <c r="H57" s="3">
        <v>12.550971483693401</v>
      </c>
      <c r="I57" s="3">
        <v>20.752725692926798</v>
      </c>
      <c r="J57" s="3">
        <v>17.253370587726302</v>
      </c>
      <c r="K57" s="3">
        <v>13.753071887567099</v>
      </c>
      <c r="L57" s="3">
        <v>15.412775614075001</v>
      </c>
      <c r="M57" s="3">
        <v>14.8233032959828</v>
      </c>
      <c r="N57" s="3">
        <v>11.2217000747596</v>
      </c>
    </row>
    <row r="58" spans="1:14" x14ac:dyDescent="0.35">
      <c r="A58" s="2">
        <v>43467</v>
      </c>
      <c r="B58" s="3">
        <v>22.962534244819398</v>
      </c>
      <c r="C58" s="3">
        <v>14.364122280702199</v>
      </c>
      <c r="D58" s="3">
        <v>13.154744344796701</v>
      </c>
      <c r="E58" s="3">
        <v>12.0344250862795</v>
      </c>
      <c r="F58" s="3">
        <v>11.476921960416</v>
      </c>
      <c r="G58" s="3">
        <v>16.168791852455598</v>
      </c>
      <c r="H58" s="3">
        <v>11.8987722850793</v>
      </c>
      <c r="I58" s="3">
        <v>18.802860317448499</v>
      </c>
      <c r="J58" s="3">
        <v>15.507960854477901</v>
      </c>
      <c r="K58" s="3">
        <v>12.801929184412099</v>
      </c>
      <c r="L58" s="3">
        <v>14.224832651970001</v>
      </c>
      <c r="M58" s="3">
        <v>13.775025982413799</v>
      </c>
      <c r="N58" s="3">
        <v>10.3882536252733</v>
      </c>
    </row>
    <row r="59" spans="1:14" x14ac:dyDescent="0.35">
      <c r="A59" s="2">
        <v>43497</v>
      </c>
      <c r="B59" s="3">
        <v>23.279819858548802</v>
      </c>
      <c r="C59" s="3">
        <v>15.2545673380389</v>
      </c>
      <c r="D59" s="3">
        <v>14.517087878377501</v>
      </c>
      <c r="E59" s="3">
        <v>12.840174060001001</v>
      </c>
      <c r="F59" s="3">
        <v>12.161371341043701</v>
      </c>
      <c r="G59" s="3">
        <v>17.6000232415279</v>
      </c>
      <c r="H59" s="3">
        <v>12.6629991530125</v>
      </c>
      <c r="I59" s="3">
        <v>20.304407141964901</v>
      </c>
      <c r="J59" s="3">
        <v>16.696369537999399</v>
      </c>
      <c r="K59" s="3">
        <v>13.835205523177301</v>
      </c>
      <c r="L59" s="3">
        <v>15.2677384156241</v>
      </c>
      <c r="M59" s="3">
        <v>16.234872799480801</v>
      </c>
      <c r="N59" s="3">
        <v>11.036770973470899</v>
      </c>
    </row>
    <row r="60" spans="1:14" x14ac:dyDescent="0.35">
      <c r="A60" s="2">
        <v>43525</v>
      </c>
      <c r="B60" s="3">
        <v>24.185431785191199</v>
      </c>
      <c r="C60" s="3">
        <v>15.9237833795216</v>
      </c>
      <c r="D60" s="3">
        <v>14.733920888522301</v>
      </c>
      <c r="E60" s="3">
        <v>13.2358567209154</v>
      </c>
      <c r="F60" s="3">
        <v>12.7022799934721</v>
      </c>
      <c r="G60" s="3">
        <v>18.3575359207335</v>
      </c>
      <c r="H60" s="3">
        <v>12.9360870157105</v>
      </c>
      <c r="I60" s="3">
        <v>20.921913392507498</v>
      </c>
      <c r="J60" s="3">
        <v>17.127818458014499</v>
      </c>
      <c r="K60" s="3">
        <v>14.582210770583901</v>
      </c>
      <c r="L60" s="3">
        <v>16.160365939624601</v>
      </c>
      <c r="M60" s="3">
        <v>18.161036712129398</v>
      </c>
      <c r="N60" s="3">
        <v>11.2968756302449</v>
      </c>
    </row>
    <row r="61" spans="1:14" x14ac:dyDescent="0.35">
      <c r="A61" s="2">
        <v>43557</v>
      </c>
      <c r="B61" s="3">
        <v>24.2125973675053</v>
      </c>
      <c r="C61" s="3">
        <v>15.8881666854362</v>
      </c>
      <c r="D61" s="3">
        <v>14.7400815223202</v>
      </c>
      <c r="E61" s="3">
        <v>13.2165489905488</v>
      </c>
      <c r="F61" s="3">
        <v>12.726771235671899</v>
      </c>
      <c r="G61" s="3">
        <v>18.283265910928399</v>
      </c>
      <c r="H61" s="3">
        <v>12.9967648121398</v>
      </c>
      <c r="I61" s="3">
        <v>21.120917789561702</v>
      </c>
      <c r="J61" s="3">
        <v>17.179191274486602</v>
      </c>
      <c r="K61" s="3">
        <v>14.585015040554</v>
      </c>
      <c r="L61" s="3">
        <v>16.1978162729385</v>
      </c>
      <c r="M61" s="3">
        <v>17.874247943597901</v>
      </c>
      <c r="N61" s="3">
        <v>11.341278165985701</v>
      </c>
    </row>
    <row r="62" spans="1:14" x14ac:dyDescent="0.35">
      <c r="A62" s="2">
        <v>43587</v>
      </c>
      <c r="B62" s="3">
        <v>24.284876252118298</v>
      </c>
      <c r="C62" s="3">
        <v>15.8643858845174</v>
      </c>
      <c r="D62" s="3">
        <v>14.5791874097022</v>
      </c>
      <c r="E62" s="3">
        <v>13.403955547455899</v>
      </c>
      <c r="F62" s="3">
        <v>12.7899329167057</v>
      </c>
      <c r="G62" s="3">
        <v>18.274156808541701</v>
      </c>
      <c r="H62" s="3">
        <v>12.974154580746401</v>
      </c>
      <c r="I62" s="3">
        <v>21.394773611098501</v>
      </c>
      <c r="J62" s="3">
        <v>17.264393808974599</v>
      </c>
      <c r="K62" s="3">
        <v>14.653270735695401</v>
      </c>
      <c r="L62" s="3">
        <v>16.340435405765</v>
      </c>
      <c r="M62" s="3">
        <v>17.827335966058001</v>
      </c>
      <c r="N62" s="3">
        <v>11.3282508370533</v>
      </c>
    </row>
    <row r="63" spans="1:14" x14ac:dyDescent="0.35">
      <c r="A63" s="2">
        <v>43616</v>
      </c>
      <c r="B63" s="3">
        <v>24.2756481212711</v>
      </c>
      <c r="C63" s="3">
        <v>15.913793143409499</v>
      </c>
      <c r="D63" s="3">
        <v>14.3717500238412</v>
      </c>
      <c r="E63" s="3">
        <v>13.089620118325101</v>
      </c>
      <c r="F63" s="3">
        <v>12.6047285191562</v>
      </c>
      <c r="G63" s="3">
        <v>18.048041672357801</v>
      </c>
      <c r="H63" s="3">
        <v>12.811136814780101</v>
      </c>
      <c r="I63" s="3">
        <v>20.791920606647501</v>
      </c>
      <c r="J63" s="3">
        <v>16.869952553776901</v>
      </c>
      <c r="K63" s="3">
        <v>14.325010705574901</v>
      </c>
      <c r="L63" s="3">
        <v>16.0237908636588</v>
      </c>
      <c r="M63" s="3">
        <v>16.971715131244402</v>
      </c>
      <c r="N63" s="3">
        <v>10.836667034931001</v>
      </c>
    </row>
    <row r="64" spans="1:14" x14ac:dyDescent="0.35">
      <c r="A64" s="2">
        <v>43648</v>
      </c>
      <c r="B64" s="3">
        <v>24.755867624956402</v>
      </c>
      <c r="C64" s="3">
        <v>16.2780421292263</v>
      </c>
      <c r="D64" s="3">
        <v>14.4974834768697</v>
      </c>
      <c r="E64" s="3">
        <v>13.5025796602411</v>
      </c>
      <c r="F64" s="3">
        <v>13.015782534061501</v>
      </c>
      <c r="G64" s="3">
        <v>18.431167982049502</v>
      </c>
      <c r="H64" s="3">
        <v>13.1405769413123</v>
      </c>
      <c r="I64" s="3">
        <v>21.806219156064198</v>
      </c>
      <c r="J64" s="3">
        <v>17.5117311097592</v>
      </c>
      <c r="K64" s="3">
        <v>14.7240382173658</v>
      </c>
      <c r="L64" s="3">
        <v>16.444635031077599</v>
      </c>
      <c r="M64" s="3">
        <v>17.211771439231502</v>
      </c>
      <c r="N64" s="3">
        <v>11.149396432321801</v>
      </c>
    </row>
    <row r="65" spans="1:14" x14ac:dyDescent="0.35">
      <c r="A65" s="2">
        <v>43679</v>
      </c>
      <c r="B65" s="3">
        <v>25.4183300791344</v>
      </c>
      <c r="C65" s="3">
        <v>16.444072563301798</v>
      </c>
      <c r="D65" s="3">
        <v>14.3726991654181</v>
      </c>
      <c r="E65" s="3">
        <v>13.4258317322727</v>
      </c>
      <c r="F65" s="3">
        <v>12.858455870972</v>
      </c>
      <c r="G65" s="3">
        <v>18.249473955742399</v>
      </c>
      <c r="H65" s="3">
        <v>12.974312612146401</v>
      </c>
      <c r="I65" s="3">
        <v>21.740363451591602</v>
      </c>
      <c r="J65" s="3">
        <v>17.4926407257115</v>
      </c>
      <c r="K65" s="3">
        <v>14.588479542227001</v>
      </c>
      <c r="L65" s="3">
        <v>16.3989457147716</v>
      </c>
      <c r="M65" s="3">
        <v>16.602151412973999</v>
      </c>
      <c r="N65" s="3">
        <v>11.061561296291099</v>
      </c>
    </row>
    <row r="66" spans="1:14" x14ac:dyDescent="0.35">
      <c r="A66" s="2">
        <v>43706</v>
      </c>
      <c r="B66" s="3">
        <v>27.6180524236735</v>
      </c>
      <c r="C66" s="3">
        <v>16.249530543814299</v>
      </c>
      <c r="D66" s="3">
        <v>14.421813003017499</v>
      </c>
      <c r="E66" s="3">
        <v>13.518890503231299</v>
      </c>
      <c r="F66" s="3">
        <v>12.7294124117303</v>
      </c>
      <c r="G66" s="3">
        <v>18.2372817421703</v>
      </c>
      <c r="H66" s="3">
        <v>12.789561767045701</v>
      </c>
      <c r="I66" s="3">
        <v>21.836873922545799</v>
      </c>
      <c r="J66" s="3">
        <v>17.521408277328099</v>
      </c>
      <c r="K66" s="3">
        <v>14.772551100727901</v>
      </c>
      <c r="L66" s="3">
        <v>16.526079618977398</v>
      </c>
      <c r="M66" s="3">
        <v>15.795433568539901</v>
      </c>
      <c r="N66" s="3">
        <v>11.1152851854124</v>
      </c>
    </row>
    <row r="67" spans="1:14" x14ac:dyDescent="0.35">
      <c r="A67" s="2">
        <v>43740</v>
      </c>
      <c r="B67" s="3">
        <v>28.7019335651262</v>
      </c>
      <c r="C67" s="3">
        <v>16.764211847314701</v>
      </c>
      <c r="D67" s="3">
        <v>14.430572776475</v>
      </c>
      <c r="E67" s="3">
        <v>13.709261234476701</v>
      </c>
      <c r="F67" s="3">
        <v>13.4625017134177</v>
      </c>
      <c r="G67" s="3">
        <v>18.013469475645302</v>
      </c>
      <c r="H67" s="3">
        <v>12.791279917767699</v>
      </c>
      <c r="I67" s="3">
        <v>21.680640908406399</v>
      </c>
      <c r="J67" s="3">
        <v>17.4783123256354</v>
      </c>
      <c r="K67" s="3">
        <v>14.705243568961601</v>
      </c>
      <c r="L67" s="3">
        <v>16.6650590908637</v>
      </c>
      <c r="M67" s="3">
        <v>16.081552916792699</v>
      </c>
      <c r="N67" s="3">
        <v>11.018851565792501</v>
      </c>
    </row>
    <row r="68" spans="1:14" x14ac:dyDescent="0.35">
      <c r="A68" s="2">
        <v>43770</v>
      </c>
      <c r="B68" s="3">
        <v>28.8281061316689</v>
      </c>
      <c r="C68" s="3">
        <v>17.2934364679023</v>
      </c>
      <c r="D68" s="3">
        <v>14.8354397786325</v>
      </c>
      <c r="E68" s="3">
        <v>14.8613488169956</v>
      </c>
      <c r="F68" s="3">
        <v>14.0736389709863</v>
      </c>
      <c r="G68" s="3">
        <v>18.757811016930098</v>
      </c>
      <c r="H68" s="3">
        <v>13.3082324119919</v>
      </c>
      <c r="I68" s="3">
        <v>23.136450892986499</v>
      </c>
      <c r="J68" s="3">
        <v>18.491143303028501</v>
      </c>
      <c r="K68" s="3">
        <v>15.6943298828082</v>
      </c>
      <c r="L68" s="3">
        <v>17.459749430727399</v>
      </c>
      <c r="M68" s="3">
        <v>16.833018469482301</v>
      </c>
      <c r="N68" s="3">
        <v>11.772032273090501</v>
      </c>
    </row>
    <row r="69" spans="1:14" x14ac:dyDescent="0.35">
      <c r="A69" s="2">
        <v>43801</v>
      </c>
      <c r="B69" s="3">
        <v>31.2605902820656</v>
      </c>
      <c r="C69" s="3">
        <v>17.838864206053501</v>
      </c>
      <c r="D69" s="3">
        <v>15.0601094635783</v>
      </c>
      <c r="E69" s="3">
        <v>14.992487335852701</v>
      </c>
      <c r="F69" s="3">
        <v>14.953164083073499</v>
      </c>
      <c r="G69" s="3">
        <v>18.857845352889299</v>
      </c>
      <c r="H69" s="3">
        <v>13.4318197849716</v>
      </c>
      <c r="I69" s="3">
        <v>23.938896028631302</v>
      </c>
      <c r="J69" s="3">
        <v>18.956183032486798</v>
      </c>
      <c r="K69" s="3">
        <v>15.8484901880189</v>
      </c>
      <c r="L69" s="3">
        <v>17.820014465956401</v>
      </c>
      <c r="M69" s="3">
        <v>15.6867913285685</v>
      </c>
      <c r="N69" s="3">
        <v>11.659972286352801</v>
      </c>
    </row>
    <row r="70" spans="1:14" x14ac:dyDescent="0.35">
      <c r="A70" s="2">
        <v>43832</v>
      </c>
      <c r="B70" s="3">
        <v>32.302439839281099</v>
      </c>
      <c r="C70" s="3">
        <v>17.755309784250102</v>
      </c>
      <c r="D70" s="3">
        <v>15.296682316589299</v>
      </c>
      <c r="E70" s="3">
        <v>15.616788159175799</v>
      </c>
      <c r="F70" s="3">
        <v>15.3103004572472</v>
      </c>
      <c r="G70" s="3">
        <v>19.605901386681602</v>
      </c>
      <c r="H70" s="3">
        <v>14.200552320380099</v>
      </c>
      <c r="I70" s="3">
        <v>25.8603433051364</v>
      </c>
      <c r="J70" s="3">
        <v>20.035693687687701</v>
      </c>
      <c r="K70" s="3">
        <v>16.658235434997199</v>
      </c>
      <c r="L70" s="3">
        <v>18.892177719227998</v>
      </c>
      <c r="M70" s="3">
        <v>16.537419513821199</v>
      </c>
      <c r="N70" s="3">
        <v>12.2610093228592</v>
      </c>
    </row>
    <row r="71" spans="1:14" x14ac:dyDescent="0.35">
      <c r="A71" s="2">
        <v>43861</v>
      </c>
      <c r="B71" s="3">
        <v>32.637837937192003</v>
      </c>
      <c r="C71" s="3">
        <v>18.446037941219998</v>
      </c>
      <c r="D71" s="3">
        <v>15.3686742646582</v>
      </c>
      <c r="E71" s="3">
        <v>15.0341086969967</v>
      </c>
      <c r="F71" s="3">
        <v>15.041330177921999</v>
      </c>
      <c r="G71" s="3">
        <v>19.678318617266399</v>
      </c>
      <c r="H71" s="3">
        <v>13.7741619897626</v>
      </c>
      <c r="I71" s="3">
        <v>25.579730013334601</v>
      </c>
      <c r="J71" s="3">
        <v>19.6689283170853</v>
      </c>
      <c r="K71" s="3">
        <v>16.0515710526366</v>
      </c>
      <c r="L71" s="3">
        <v>18.421976303676999</v>
      </c>
      <c r="M71" s="3">
        <v>13.8178467867798</v>
      </c>
      <c r="N71" s="3">
        <v>11.986559374222301</v>
      </c>
    </row>
    <row r="72" spans="1:14" x14ac:dyDescent="0.35">
      <c r="A72" s="2">
        <v>43892</v>
      </c>
      <c r="B72" s="3">
        <v>30.963572965020301</v>
      </c>
      <c r="C72" s="3">
        <v>16.924438410766999</v>
      </c>
      <c r="D72" s="3">
        <v>14.425297688829399</v>
      </c>
      <c r="E72" s="3">
        <v>14.0178515535555</v>
      </c>
      <c r="F72" s="3">
        <v>13.983556780993901</v>
      </c>
      <c r="G72" s="3">
        <v>18.0383905041082</v>
      </c>
      <c r="H72" s="3">
        <v>12.3493385402897</v>
      </c>
      <c r="I72" s="3">
        <v>23.9683015493566</v>
      </c>
      <c r="J72" s="3">
        <v>18.026609984736499</v>
      </c>
      <c r="K72" s="3">
        <v>14.6494664161015</v>
      </c>
      <c r="L72" s="3">
        <v>17.345988899571601</v>
      </c>
      <c r="M72" s="3">
        <v>12.9183329692365</v>
      </c>
      <c r="N72" s="3">
        <v>11.308363842621899</v>
      </c>
    </row>
    <row r="73" spans="1:14" x14ac:dyDescent="0.35">
      <c r="A73" s="2">
        <v>43923</v>
      </c>
      <c r="B73" s="3">
        <v>30.5251263498211</v>
      </c>
      <c r="C73" s="3">
        <v>16.3746024873832</v>
      </c>
      <c r="D73" s="3">
        <v>14.211790308577401</v>
      </c>
      <c r="E73" s="3">
        <v>13.7912256086356</v>
      </c>
      <c r="F73" s="3">
        <v>13.5919136103995</v>
      </c>
      <c r="G73" s="3">
        <v>17.810674381915899</v>
      </c>
      <c r="H73" s="3">
        <v>12.3800208535898</v>
      </c>
      <c r="I73" s="3">
        <v>23.4250574237773</v>
      </c>
      <c r="J73" s="3">
        <v>17.576310961761401</v>
      </c>
      <c r="K73" s="3">
        <v>14.358128536283999</v>
      </c>
      <c r="L73" s="3">
        <v>16.850811532628001</v>
      </c>
      <c r="M73" s="3">
        <v>13.0133642732712</v>
      </c>
      <c r="N73" s="3">
        <v>11.1124847902777</v>
      </c>
    </row>
    <row r="74" spans="1:14" x14ac:dyDescent="0.35">
      <c r="A74" s="2">
        <v>43952</v>
      </c>
      <c r="B74" s="3">
        <v>31.463126035920499</v>
      </c>
      <c r="C74" s="3">
        <v>17.082438749356101</v>
      </c>
      <c r="D74" s="3">
        <v>15.5747218081999</v>
      </c>
      <c r="E74" s="3">
        <v>15.067650539654201</v>
      </c>
      <c r="F74" s="3">
        <v>14.243638336405899</v>
      </c>
      <c r="G74" s="3">
        <v>18.6034651660968</v>
      </c>
      <c r="H74" s="3">
        <v>13.5297762003452</v>
      </c>
      <c r="I74" s="3">
        <v>24.938638907738198</v>
      </c>
      <c r="J74" s="3">
        <v>19.194077178120398</v>
      </c>
      <c r="K74" s="3">
        <v>15.9257249143082</v>
      </c>
      <c r="L74" s="3">
        <v>17.8263059835798</v>
      </c>
      <c r="M74" s="3">
        <v>14.6082507336295</v>
      </c>
      <c r="N74" s="3">
        <v>12.607820897661201</v>
      </c>
    </row>
    <row r="75" spans="1:14" x14ac:dyDescent="0.35">
      <c r="A75" s="2">
        <v>43984</v>
      </c>
      <c r="B75" s="3">
        <v>32.071212939508598</v>
      </c>
      <c r="C75" s="3">
        <v>18.2282920349428</v>
      </c>
      <c r="D75" s="3">
        <v>16.9986711324953</v>
      </c>
      <c r="E75" s="3">
        <v>16.631323768033099</v>
      </c>
      <c r="F75" s="3">
        <v>15.852043180139701</v>
      </c>
      <c r="G75" s="3">
        <v>19.199766373821699</v>
      </c>
      <c r="H75" s="3">
        <v>14.775823960986299</v>
      </c>
      <c r="I75" s="3">
        <v>26.671408345173401</v>
      </c>
      <c r="J75" s="3">
        <v>20.617769391711899</v>
      </c>
      <c r="K75" s="3">
        <v>17.3879026588207</v>
      </c>
      <c r="L75" s="3">
        <v>18.737244617828299</v>
      </c>
      <c r="M75" s="3">
        <v>16.164890340255901</v>
      </c>
      <c r="N75" s="3">
        <v>15.066258565708701</v>
      </c>
    </row>
    <row r="76" spans="1:14" x14ac:dyDescent="0.35">
      <c r="A76" s="2">
        <v>44014</v>
      </c>
      <c r="B76" s="3">
        <v>32.806938412357297</v>
      </c>
      <c r="C76" s="3">
        <v>18.669898551177301</v>
      </c>
      <c r="D76" s="3">
        <v>17.424769145146101</v>
      </c>
      <c r="E76" s="3">
        <v>17.969493827927401</v>
      </c>
      <c r="F76" s="3">
        <v>16.899773511530601</v>
      </c>
      <c r="G76" s="3">
        <v>19.7118619811028</v>
      </c>
      <c r="H76" s="3">
        <v>15.3088729985573</v>
      </c>
      <c r="I76" s="3">
        <v>27.975321176151201</v>
      </c>
      <c r="J76" s="3">
        <v>21.367157655738399</v>
      </c>
      <c r="K76" s="3">
        <v>18.965655791646</v>
      </c>
      <c r="L76" s="3">
        <v>19.7521423634253</v>
      </c>
      <c r="M76" s="3">
        <v>17.564006972394299</v>
      </c>
      <c r="N76" s="3">
        <v>17.0037692368536</v>
      </c>
    </row>
    <row r="77" spans="1:14" x14ac:dyDescent="0.35">
      <c r="A77" s="2">
        <v>44043</v>
      </c>
      <c r="B77" s="3">
        <v>33.675229284007102</v>
      </c>
      <c r="C77" s="3">
        <v>18.9843454772302</v>
      </c>
      <c r="D77" s="3">
        <v>17.9754654025799</v>
      </c>
      <c r="E77" s="3">
        <v>18.497753877400701</v>
      </c>
      <c r="F77" s="3">
        <v>17.3845613454213</v>
      </c>
      <c r="G77" s="3">
        <v>19.909446344079601</v>
      </c>
      <c r="H77" s="3">
        <v>15.417495818249</v>
      </c>
      <c r="I77" s="3">
        <v>28.717693811545999</v>
      </c>
      <c r="J77" s="3">
        <v>22.089259303246799</v>
      </c>
      <c r="K77" s="3">
        <v>20.768184236616701</v>
      </c>
      <c r="L77" s="3">
        <v>20.104972927773801</v>
      </c>
      <c r="M77" s="3">
        <v>16.8692196325316</v>
      </c>
      <c r="N77" s="3">
        <v>17.002658339409098</v>
      </c>
    </row>
    <row r="78" spans="1:14" x14ac:dyDescent="0.35">
      <c r="A78" s="2">
        <v>44076</v>
      </c>
      <c r="B78" s="3">
        <v>33.984509917083201</v>
      </c>
      <c r="C78" s="3">
        <v>19.8330556100697</v>
      </c>
      <c r="D78" s="3">
        <v>18.461951081953</v>
      </c>
      <c r="E78" s="3">
        <v>20.349926383215902</v>
      </c>
      <c r="F78" s="3">
        <v>19.028778076171498</v>
      </c>
      <c r="G78" s="3">
        <v>20.778515484554202</v>
      </c>
      <c r="H78" s="3">
        <v>16.632437777099401</v>
      </c>
      <c r="I78" s="3">
        <v>32.184083480395898</v>
      </c>
      <c r="J78" s="3">
        <v>24.138397707502399</v>
      </c>
      <c r="K78" s="3">
        <v>22.871474750740401</v>
      </c>
      <c r="L78" s="3">
        <v>21.640505775354399</v>
      </c>
      <c r="M78" s="3">
        <v>17.3667046659214</v>
      </c>
      <c r="N78" s="3">
        <v>17.917007219788299</v>
      </c>
    </row>
    <row r="79" spans="1:14" x14ac:dyDescent="0.35">
      <c r="A79" s="2">
        <v>44106</v>
      </c>
      <c r="B79" s="3">
        <v>33.918621758193403</v>
      </c>
      <c r="C79" s="3">
        <v>19.031166905424101</v>
      </c>
      <c r="D79" s="3">
        <v>18.405911721345198</v>
      </c>
      <c r="E79" s="3">
        <v>20.332411253317801</v>
      </c>
      <c r="F79" s="3">
        <v>19.898498977061902</v>
      </c>
      <c r="G79" s="3">
        <v>20.8093810688801</v>
      </c>
      <c r="H79" s="3">
        <v>16.8155783266292</v>
      </c>
      <c r="I79" s="3">
        <v>30.539924198361899</v>
      </c>
      <c r="J79" s="3">
        <v>23.5187739830432</v>
      </c>
      <c r="K79" s="3">
        <v>23.294809099129399</v>
      </c>
      <c r="L79" s="3">
        <v>22.107645528984801</v>
      </c>
      <c r="M79" s="3">
        <v>18.013685342095801</v>
      </c>
      <c r="N79" s="3">
        <v>18.115127925755001</v>
      </c>
    </row>
    <row r="80" spans="1:14" x14ac:dyDescent="0.35">
      <c r="A80" s="2">
        <v>44137</v>
      </c>
      <c r="B80" s="3">
        <v>34.9252148090087</v>
      </c>
      <c r="C80" s="3">
        <v>19.663483019924399</v>
      </c>
      <c r="D80" s="3">
        <v>18.1208857842288</v>
      </c>
      <c r="E80" s="3">
        <v>18.729802889623102</v>
      </c>
      <c r="F80" s="3">
        <v>20.515820450151399</v>
      </c>
      <c r="G80" s="3">
        <v>19.9442921098399</v>
      </c>
      <c r="H80" s="3">
        <v>15.911455608404999</v>
      </c>
      <c r="I80" s="3">
        <v>29.852328085723101</v>
      </c>
      <c r="J80" s="3">
        <v>23.110586266462601</v>
      </c>
      <c r="K80" s="3">
        <v>23.449414005426899</v>
      </c>
      <c r="L80" s="3">
        <v>21.9285396761599</v>
      </c>
      <c r="M80" s="3">
        <v>15.287679474202999</v>
      </c>
      <c r="N80" s="3">
        <v>18.429099367585199</v>
      </c>
    </row>
    <row r="81" spans="1:14" x14ac:dyDescent="0.35">
      <c r="A81" s="2">
        <v>44167</v>
      </c>
      <c r="B81" s="3">
        <v>36.299983787174199</v>
      </c>
      <c r="C81" s="3">
        <v>22.452444355626302</v>
      </c>
      <c r="D81" s="3">
        <v>19.922585393042699</v>
      </c>
      <c r="E81" s="3">
        <v>20.763491791179</v>
      </c>
      <c r="F81" s="3">
        <v>22.404536447550299</v>
      </c>
      <c r="G81" s="3">
        <v>21.050522352610699</v>
      </c>
      <c r="H81" s="3">
        <v>18.970206491746598</v>
      </c>
      <c r="I81" s="3">
        <v>33.667203603793297</v>
      </c>
      <c r="J81" s="3">
        <v>25.6629103643278</v>
      </c>
      <c r="K81" s="3">
        <v>28.267565715007098</v>
      </c>
      <c r="L81" s="3">
        <v>25.7656020435399</v>
      </c>
      <c r="M81" s="3">
        <v>16.997922823188699</v>
      </c>
      <c r="N81" s="3">
        <v>22.4806884673098</v>
      </c>
    </row>
    <row r="82" spans="1:14" x14ac:dyDescent="0.35">
      <c r="A82" s="2">
        <v>44196</v>
      </c>
      <c r="B82" s="3">
        <v>37.928037510666698</v>
      </c>
      <c r="C82" s="3">
        <v>22.9540612302639</v>
      </c>
      <c r="D82" s="3">
        <v>20.367488124811899</v>
      </c>
      <c r="E82" s="3">
        <v>22.126768463538401</v>
      </c>
      <c r="F82" s="3">
        <v>23.610767776269899</v>
      </c>
      <c r="G82" s="3">
        <v>22.0192335076548</v>
      </c>
      <c r="H82" s="3">
        <v>19.730954737660301</v>
      </c>
      <c r="I82" s="3">
        <v>35.237273739519601</v>
      </c>
      <c r="J82" s="3">
        <v>27.423472938300399</v>
      </c>
      <c r="K82" s="3">
        <v>28.8602295434066</v>
      </c>
      <c r="L82" s="3">
        <v>27.348340406567701</v>
      </c>
      <c r="M82" s="3">
        <v>17.910529458665199</v>
      </c>
      <c r="N82" s="3">
        <v>23.3237130000973</v>
      </c>
    </row>
    <row r="83" spans="1:14" x14ac:dyDescent="0.35">
      <c r="A83" s="2">
        <v>44229</v>
      </c>
      <c r="B83" s="3">
        <v>36.703173140064003</v>
      </c>
      <c r="C83" s="3">
        <v>22.8469284619961</v>
      </c>
      <c r="D83" s="3">
        <v>20.736849437171799</v>
      </c>
      <c r="E83" s="3">
        <v>21.255084315534202</v>
      </c>
      <c r="F83" s="3">
        <v>23.326733161298399</v>
      </c>
      <c r="G83" s="3">
        <v>21.458888163430899</v>
      </c>
      <c r="H83" s="3">
        <v>19.302171554775001</v>
      </c>
      <c r="I83" s="3">
        <v>35.432102935633303</v>
      </c>
      <c r="J83" s="3">
        <v>27.073045185462199</v>
      </c>
      <c r="K83" s="3">
        <v>27.9249097423791</v>
      </c>
      <c r="L83" s="3">
        <v>28.012226718925699</v>
      </c>
      <c r="M83" s="3">
        <v>18.2452449030203</v>
      </c>
      <c r="N83" s="3">
        <v>20.548504768383498</v>
      </c>
    </row>
    <row r="84" spans="1:14" x14ac:dyDescent="0.35">
      <c r="A84" s="2">
        <v>44257</v>
      </c>
      <c r="B84" s="3">
        <v>34.456898562588499</v>
      </c>
      <c r="C84" s="3">
        <v>21.811092560206301</v>
      </c>
      <c r="D84" s="3">
        <v>19.995350406465501</v>
      </c>
      <c r="E84" s="3">
        <v>20.279052596745998</v>
      </c>
      <c r="F84" s="3">
        <v>21.662826726344701</v>
      </c>
      <c r="G84" s="3">
        <v>20.513319044897798</v>
      </c>
      <c r="H84" s="3">
        <v>18.7974605704886</v>
      </c>
      <c r="I84" s="3">
        <v>32.9384531889039</v>
      </c>
      <c r="J84" s="3">
        <v>26.289682189473801</v>
      </c>
      <c r="K84" s="3">
        <v>27.003572658467402</v>
      </c>
      <c r="L84" s="3">
        <v>28.873583441852801</v>
      </c>
      <c r="M84" s="3">
        <v>17.6844553333924</v>
      </c>
      <c r="N84" s="3">
        <v>20.268248787889799</v>
      </c>
    </row>
    <row r="85" spans="1:14" x14ac:dyDescent="0.35">
      <c r="A85" s="2">
        <v>44287</v>
      </c>
      <c r="B85" s="3">
        <v>34.442091134783396</v>
      </c>
      <c r="C85" s="3">
        <v>21.301203867256501</v>
      </c>
      <c r="D85" s="3">
        <v>19.611244996882402</v>
      </c>
      <c r="E85" s="3">
        <v>20.077686621953099</v>
      </c>
      <c r="F85" s="3">
        <v>21.3136890627908</v>
      </c>
      <c r="G85" s="3">
        <v>20.455490339632501</v>
      </c>
      <c r="H85" s="3">
        <v>18.2153961897661</v>
      </c>
      <c r="I85" s="3">
        <v>32.671643338802497</v>
      </c>
      <c r="J85" s="3">
        <v>26.0393846125538</v>
      </c>
      <c r="K85" s="3">
        <v>26.301859821595102</v>
      </c>
      <c r="L85" s="3">
        <v>28.641000200566499</v>
      </c>
      <c r="M85" s="3">
        <v>18.167370462360498</v>
      </c>
      <c r="N85" s="3">
        <v>19.789567172347599</v>
      </c>
    </row>
    <row r="86" spans="1:14" x14ac:dyDescent="0.35">
      <c r="A86" s="2">
        <v>44316</v>
      </c>
      <c r="B86" s="3">
        <v>34.585075352735799</v>
      </c>
      <c r="C86" s="3">
        <v>21.039286925786801</v>
      </c>
      <c r="D86" s="3">
        <v>19.224525940490299</v>
      </c>
      <c r="E86" s="3">
        <v>19.391804433119098</v>
      </c>
      <c r="F86" s="3">
        <v>20.721540113306201</v>
      </c>
      <c r="G86" s="3">
        <v>20.110864417268701</v>
      </c>
      <c r="H86" s="3">
        <v>17.6665425410864</v>
      </c>
      <c r="I86" s="3">
        <v>32.148346261999599</v>
      </c>
      <c r="J86" s="3">
        <v>25.579834145149</v>
      </c>
      <c r="K86" s="3">
        <v>25.448476627022099</v>
      </c>
      <c r="L86" s="3">
        <v>27.891523756189699</v>
      </c>
      <c r="M86" s="3">
        <v>17.840118062631401</v>
      </c>
      <c r="N86" s="3">
        <v>19.107018182520498</v>
      </c>
    </row>
    <row r="87" spans="1:14" x14ac:dyDescent="0.35">
      <c r="A87" s="2">
        <v>44349</v>
      </c>
      <c r="B87" s="3">
        <v>35.126153926177899</v>
      </c>
      <c r="C87" s="3">
        <v>20.716549492017101</v>
      </c>
      <c r="D87" s="3">
        <v>18.791551525740001</v>
      </c>
      <c r="E87" s="3">
        <v>18.8347128292178</v>
      </c>
      <c r="F87" s="3">
        <v>20.272067917896699</v>
      </c>
      <c r="G87" s="3">
        <v>20.6647159601951</v>
      </c>
      <c r="H87" s="3">
        <v>17.141362337805901</v>
      </c>
      <c r="I87" s="3">
        <v>31.413797916125699</v>
      </c>
      <c r="J87" s="3">
        <v>25.0545039635347</v>
      </c>
      <c r="K87" s="3">
        <v>24.599959282005099</v>
      </c>
      <c r="L87" s="3">
        <v>27.0791605446551</v>
      </c>
      <c r="M87" s="3">
        <v>17.860381383319901</v>
      </c>
      <c r="N87" s="3">
        <v>18.577168104571498</v>
      </c>
    </row>
    <row r="88" spans="1:14" x14ac:dyDescent="0.35">
      <c r="A88" s="2">
        <v>44379</v>
      </c>
      <c r="B88" s="3">
        <v>36.274885341334198</v>
      </c>
      <c r="C88" s="3">
        <v>19.875008846007699</v>
      </c>
      <c r="D88" s="3">
        <v>18.430154729592498</v>
      </c>
      <c r="E88" s="3">
        <v>18.327172922818701</v>
      </c>
      <c r="F88" s="3">
        <v>19.794340172724901</v>
      </c>
      <c r="G88" s="3">
        <v>20.859253667377001</v>
      </c>
      <c r="H88" s="3">
        <v>16.340141489350401</v>
      </c>
      <c r="I88" s="3">
        <v>32.017160918153301</v>
      </c>
      <c r="J88" s="3">
        <v>24.929872511305799</v>
      </c>
      <c r="K88" s="3">
        <v>23.6069044409013</v>
      </c>
      <c r="L88" s="3">
        <v>26.571106760310698</v>
      </c>
      <c r="M88" s="3">
        <v>18.006169775958799</v>
      </c>
      <c r="N88" s="3">
        <v>17.976648403876101</v>
      </c>
    </row>
    <row r="89" spans="1:14" x14ac:dyDescent="0.35">
      <c r="A89" s="2">
        <v>44410</v>
      </c>
      <c r="B89" s="3">
        <v>36.6478209249019</v>
      </c>
      <c r="C89" s="3">
        <v>19.337244201420699</v>
      </c>
      <c r="D89" s="3">
        <v>17.727067906441999</v>
      </c>
      <c r="E89" s="3">
        <v>17.505908045763299</v>
      </c>
      <c r="F89" s="3">
        <v>19.1456109240637</v>
      </c>
      <c r="G89" s="3">
        <v>21.021944885344901</v>
      </c>
      <c r="H89" s="3">
        <v>15.4381954227522</v>
      </c>
      <c r="I89" s="3">
        <v>31.3742768493771</v>
      </c>
      <c r="J89" s="3">
        <v>24.0971966568518</v>
      </c>
      <c r="K89" s="3">
        <v>22.2273698160229</v>
      </c>
      <c r="L89" s="3">
        <v>26.318004682594701</v>
      </c>
      <c r="M89" s="3">
        <v>17.562195005901899</v>
      </c>
      <c r="N89" s="3">
        <v>17.0765361175438</v>
      </c>
    </row>
    <row r="90" spans="1:14" x14ac:dyDescent="0.35">
      <c r="A90" s="2">
        <v>44441</v>
      </c>
      <c r="B90" s="3">
        <v>38.536245744968902</v>
      </c>
      <c r="C90" s="3">
        <v>19.069141734847101</v>
      </c>
      <c r="D90" s="3">
        <v>17.234448928166</v>
      </c>
      <c r="E90" s="3">
        <v>16.883722011949601</v>
      </c>
      <c r="F90" s="3">
        <v>18.5019323029695</v>
      </c>
      <c r="G90" s="3">
        <v>21.216398574969599</v>
      </c>
      <c r="H90" s="3">
        <v>14.7806556206308</v>
      </c>
      <c r="I90" s="3">
        <v>31.761633267370701</v>
      </c>
      <c r="J90" s="3">
        <v>24.0324316937368</v>
      </c>
      <c r="K90" s="3">
        <v>21.131547685556299</v>
      </c>
      <c r="L90" s="3">
        <v>26.0121858234175</v>
      </c>
      <c r="M90" s="3">
        <v>17.664898456393701</v>
      </c>
      <c r="N90" s="3">
        <v>15.663461351919301</v>
      </c>
    </row>
    <row r="91" spans="1:14" x14ac:dyDescent="0.35">
      <c r="A91" s="2">
        <v>44470</v>
      </c>
      <c r="B91" s="3">
        <v>38.9620878831889</v>
      </c>
      <c r="C91" s="3">
        <v>18.2803166402758</v>
      </c>
      <c r="D91" s="3">
        <v>16.414442449437601</v>
      </c>
      <c r="E91" s="3">
        <v>15.830232476553</v>
      </c>
      <c r="F91" s="3">
        <v>17.857753278507701</v>
      </c>
      <c r="G91" s="3">
        <v>20.0012053258354</v>
      </c>
      <c r="H91" s="3">
        <v>13.861542407415</v>
      </c>
      <c r="I91" s="3">
        <v>30.3830951349556</v>
      </c>
      <c r="J91" s="3">
        <v>23.065472637632102</v>
      </c>
      <c r="K91" s="3">
        <v>19.506856824237701</v>
      </c>
      <c r="L91" s="3">
        <v>24.1534486772699</v>
      </c>
      <c r="M91" s="3">
        <v>16.9584364347388</v>
      </c>
      <c r="N91" s="3">
        <v>14.6199042510871</v>
      </c>
    </row>
    <row r="92" spans="1:14" x14ac:dyDescent="0.35">
      <c r="A92" s="2">
        <v>44502</v>
      </c>
      <c r="B92" s="3">
        <v>39.088368825337703</v>
      </c>
      <c r="C92" s="3">
        <v>18.417408294965899</v>
      </c>
      <c r="D92" s="3">
        <v>16.615266948920102</v>
      </c>
      <c r="E92" s="3">
        <v>15.722330454956801</v>
      </c>
      <c r="F92" s="3">
        <v>17.631099275267001</v>
      </c>
      <c r="G92" s="3">
        <v>20.881610185615902</v>
      </c>
      <c r="H92" s="3">
        <v>13.507613114298101</v>
      </c>
      <c r="I92" s="3">
        <v>31.613952019387899</v>
      </c>
      <c r="J92" s="3">
        <v>23.363645774186701</v>
      </c>
      <c r="K92" s="3">
        <v>18.8719134126484</v>
      </c>
      <c r="L92" s="3">
        <v>24.679727500742999</v>
      </c>
      <c r="M92" s="3">
        <v>16.510405614528999</v>
      </c>
      <c r="N92" s="3">
        <v>14.1076786940882</v>
      </c>
    </row>
    <row r="93" spans="1:14" x14ac:dyDescent="0.35">
      <c r="A93" s="2">
        <v>44532</v>
      </c>
      <c r="B93" s="3">
        <v>37.719501503191097</v>
      </c>
      <c r="C93" s="3">
        <v>17.540446240713901</v>
      </c>
      <c r="D93" s="3">
        <v>15.581049971047699</v>
      </c>
      <c r="E93" s="3">
        <v>14.176912737839199</v>
      </c>
      <c r="F93" s="3">
        <v>16.317115225533001</v>
      </c>
      <c r="G93" s="3">
        <v>20.435624014175701</v>
      </c>
      <c r="H93" s="3">
        <v>12.516607100834801</v>
      </c>
      <c r="I93" s="3">
        <v>31.3546243036782</v>
      </c>
      <c r="J93" s="3">
        <v>22.663028378109001</v>
      </c>
      <c r="K93" s="3">
        <v>17.4091144508692</v>
      </c>
      <c r="L93" s="3">
        <v>22.673140783265701</v>
      </c>
      <c r="M93" s="3">
        <v>16.3018392672552</v>
      </c>
      <c r="N93" s="3">
        <v>12.360301569667699</v>
      </c>
    </row>
    <row r="94" spans="1:14" x14ac:dyDescent="0.35">
      <c r="A94" s="2">
        <v>44561</v>
      </c>
      <c r="B94" s="3">
        <v>39.354945247696399</v>
      </c>
      <c r="C94" s="3">
        <v>17.8166424238212</v>
      </c>
      <c r="D94" s="3">
        <v>15.405205419386901</v>
      </c>
      <c r="E94" s="3">
        <v>14.1378654604296</v>
      </c>
      <c r="F94" s="3">
        <v>16.101975487859601</v>
      </c>
      <c r="G94" s="3">
        <v>21.667037632477498</v>
      </c>
      <c r="H94" s="3">
        <v>12.3879421136839</v>
      </c>
      <c r="I94" s="3">
        <v>31.9012291369718</v>
      </c>
      <c r="J94" s="3">
        <v>23.234786305679101</v>
      </c>
      <c r="K94" s="3">
        <v>17.203833399749598</v>
      </c>
      <c r="L94" s="3">
        <v>22.689109706604</v>
      </c>
      <c r="M94" s="3">
        <v>16.889818917305099</v>
      </c>
      <c r="N94" s="3">
        <v>12.067455386839599</v>
      </c>
    </row>
    <row r="95" spans="1:14" x14ac:dyDescent="0.35">
      <c r="A95" s="2">
        <v>44594</v>
      </c>
      <c r="B95" s="3">
        <v>37.1934545303208</v>
      </c>
      <c r="C95" s="3">
        <v>15.9844572655712</v>
      </c>
      <c r="D95" s="3">
        <v>15.487317630393701</v>
      </c>
      <c r="E95" s="3">
        <v>13.6845270983269</v>
      </c>
      <c r="F95" s="3">
        <v>15.3854503604481</v>
      </c>
      <c r="G95" s="3">
        <v>20.4272811443691</v>
      </c>
      <c r="H95" s="3">
        <v>12.841626031391099</v>
      </c>
      <c r="I95" s="3">
        <v>29.079965075327799</v>
      </c>
      <c r="J95" s="3">
        <v>22.086916951947799</v>
      </c>
      <c r="K95" s="3">
        <v>16.5633505415583</v>
      </c>
      <c r="L95" s="3">
        <v>20.504207541670301</v>
      </c>
      <c r="M95" s="3">
        <v>12.4573617813152</v>
      </c>
      <c r="N95" s="3">
        <v>12.0741594935383</v>
      </c>
    </row>
    <row r="96" spans="1:14" x14ac:dyDescent="0.35">
      <c r="A96" s="2">
        <v>44622</v>
      </c>
      <c r="B96" s="3">
        <v>35.29146727549</v>
      </c>
      <c r="C96" s="3">
        <v>15.691815489133001</v>
      </c>
      <c r="D96" s="3">
        <v>15.2478468782994</v>
      </c>
      <c r="E96" s="3">
        <v>12.4550625525802</v>
      </c>
      <c r="F96" s="3">
        <v>14.671127507821</v>
      </c>
      <c r="G96" s="3">
        <v>18.472868895945901</v>
      </c>
      <c r="H96" s="3">
        <v>12.540001762382801</v>
      </c>
      <c r="I96" s="3">
        <v>26.698558382993301</v>
      </c>
      <c r="J96" s="3">
        <v>20.715832183899298</v>
      </c>
      <c r="K96" s="3">
        <v>15.4093063775623</v>
      </c>
      <c r="L96" s="3">
        <v>18.329355259581099</v>
      </c>
      <c r="M96" s="3">
        <v>11.624445167727901</v>
      </c>
      <c r="N96" s="3">
        <v>10.6162195837854</v>
      </c>
    </row>
    <row r="97" spans="1:14" x14ac:dyDescent="0.35">
      <c r="A97" s="2">
        <v>44652</v>
      </c>
      <c r="B97" s="3">
        <v>35.014480592642002</v>
      </c>
      <c r="C97" s="3">
        <v>15.796153789093999</v>
      </c>
      <c r="D97" s="3">
        <v>15.0357474837891</v>
      </c>
      <c r="E97" s="3">
        <v>12.4501370702888</v>
      </c>
      <c r="F97" s="3">
        <v>14.6117555010958</v>
      </c>
      <c r="G97" s="3">
        <v>18.589014742865398</v>
      </c>
      <c r="H97" s="3">
        <v>12.3043941304961</v>
      </c>
      <c r="I97" s="3">
        <v>26.836569054978298</v>
      </c>
      <c r="J97" s="3">
        <v>20.716079435839202</v>
      </c>
      <c r="K97" s="3">
        <v>15.257676853254599</v>
      </c>
      <c r="L97" s="3">
        <v>18.576489183127599</v>
      </c>
      <c r="M97" s="3">
        <v>12.100532750238299</v>
      </c>
      <c r="N97" s="3">
        <v>10.582352330359001</v>
      </c>
    </row>
    <row r="98" spans="1:14" x14ac:dyDescent="0.35">
      <c r="A98" s="2">
        <v>44683</v>
      </c>
      <c r="B98" s="3">
        <v>34.532113984442297</v>
      </c>
      <c r="C98" s="3">
        <v>15.3638432933574</v>
      </c>
      <c r="D98" s="3">
        <v>14.557137885836701</v>
      </c>
      <c r="E98" s="3">
        <v>12.1762348565286</v>
      </c>
      <c r="F98" s="3">
        <v>14.341235159756801</v>
      </c>
      <c r="G98" s="3">
        <v>18.425571726417701</v>
      </c>
      <c r="H98" s="3">
        <v>12.0366402172096</v>
      </c>
      <c r="I98" s="3">
        <v>25.932407845006399</v>
      </c>
      <c r="J98" s="3">
        <v>20.0343894546493</v>
      </c>
      <c r="K98" s="3">
        <v>14.762193387090999</v>
      </c>
      <c r="L98" s="3">
        <v>18.1741293565603</v>
      </c>
      <c r="M98" s="3">
        <v>12.1815908050144</v>
      </c>
      <c r="N98" s="3">
        <v>10.316189274652</v>
      </c>
    </row>
    <row r="99" spans="1:14" x14ac:dyDescent="0.35">
      <c r="A99" s="2">
        <v>44714</v>
      </c>
      <c r="B99" s="3">
        <v>33.6683481877483</v>
      </c>
      <c r="C99" s="3">
        <v>14.9708453202546</v>
      </c>
      <c r="D99" s="3">
        <v>14.336086299442</v>
      </c>
      <c r="E99" s="3">
        <v>12.1579998615973</v>
      </c>
      <c r="F99" s="3">
        <v>14.254503725960401</v>
      </c>
      <c r="G99" s="3">
        <v>18.169543828581599</v>
      </c>
      <c r="H99" s="3">
        <v>11.713358226175</v>
      </c>
      <c r="I99" s="3">
        <v>25.5151793421504</v>
      </c>
      <c r="J99" s="3">
        <v>19.807157158932299</v>
      </c>
      <c r="K99" s="3">
        <v>14.4031629596836</v>
      </c>
      <c r="L99" s="3">
        <v>18.611193782361902</v>
      </c>
      <c r="M99" s="3">
        <v>13.878795234463601</v>
      </c>
      <c r="N99" s="3">
        <v>10.0136719423804</v>
      </c>
    </row>
    <row r="100" spans="1:14" x14ac:dyDescent="0.35">
      <c r="A100" s="2">
        <v>44743</v>
      </c>
      <c r="B100" s="3">
        <v>32.770681768836198</v>
      </c>
      <c r="C100" s="3">
        <v>13.9861244999995</v>
      </c>
      <c r="D100" s="3">
        <v>13.4335584086702</v>
      </c>
      <c r="E100" s="3">
        <v>11.377824534828701</v>
      </c>
      <c r="F100" s="3">
        <v>13.7562360343812</v>
      </c>
      <c r="G100" s="3">
        <v>17.572476820138998</v>
      </c>
      <c r="H100" s="3">
        <v>11.100034995698801</v>
      </c>
      <c r="I100" s="3">
        <v>24.1734814448847</v>
      </c>
      <c r="J100" s="3">
        <v>18.821682458849001</v>
      </c>
      <c r="K100" s="3">
        <v>13.5290358512684</v>
      </c>
      <c r="L100" s="3">
        <v>18.014375807422901</v>
      </c>
      <c r="M100" s="3">
        <v>13.306934710617099</v>
      </c>
      <c r="N100" s="3">
        <v>9.3205218249476491</v>
      </c>
    </row>
    <row r="101" spans="1:14" x14ac:dyDescent="0.35">
      <c r="A101" s="2">
        <v>44775</v>
      </c>
      <c r="B101" s="3">
        <v>33.283008204634299</v>
      </c>
      <c r="C101" s="3">
        <v>14.5588573780147</v>
      </c>
      <c r="D101" s="3">
        <v>13.255335328093601</v>
      </c>
      <c r="E101" s="3">
        <v>11.4812121913303</v>
      </c>
      <c r="F101" s="3">
        <v>13.8481329891897</v>
      </c>
      <c r="G101" s="3">
        <v>18.263179122670302</v>
      </c>
      <c r="H101" s="3">
        <v>10.9420632876098</v>
      </c>
      <c r="I101" s="3">
        <v>25.584960473336299</v>
      </c>
      <c r="J101" s="3">
        <v>19.231103026722899</v>
      </c>
      <c r="K101" s="3">
        <v>13.278667465195101</v>
      </c>
      <c r="L101" s="3">
        <v>19.6049252927894</v>
      </c>
      <c r="M101" s="3">
        <v>14.584985758011401</v>
      </c>
      <c r="N101" s="3">
        <v>8.9547699024628091</v>
      </c>
    </row>
    <row r="102" spans="1:14" x14ac:dyDescent="0.35">
      <c r="A102" s="2">
        <v>44806</v>
      </c>
      <c r="B102" s="3">
        <v>34.272559961336398</v>
      </c>
      <c r="C102" s="3">
        <v>14.130471376196001</v>
      </c>
      <c r="D102" s="3">
        <v>12.770141994763801</v>
      </c>
      <c r="E102" s="3">
        <v>10.794892485824599</v>
      </c>
      <c r="F102" s="3">
        <v>13.6686075076923</v>
      </c>
      <c r="G102" s="3">
        <v>17.901274086306302</v>
      </c>
      <c r="H102" s="3">
        <v>10.275909798449399</v>
      </c>
      <c r="I102" s="3">
        <v>24.488897986318001</v>
      </c>
      <c r="J102" s="3">
        <v>18.543543501665201</v>
      </c>
      <c r="K102" s="3">
        <v>12.541496883950099</v>
      </c>
      <c r="L102" s="3">
        <v>18.444319438954899</v>
      </c>
      <c r="M102" s="3">
        <v>14.4771349967777</v>
      </c>
      <c r="N102" s="3">
        <v>8.5164120764443805</v>
      </c>
    </row>
    <row r="103" spans="1:14" x14ac:dyDescent="0.35">
      <c r="A103" s="2">
        <v>44834</v>
      </c>
      <c r="B103" s="3">
        <v>31.706509206833498</v>
      </c>
      <c r="C103" s="3">
        <v>13.221839173757299</v>
      </c>
      <c r="D103" s="3">
        <v>12.168939639528601</v>
      </c>
      <c r="E103" s="3">
        <v>10.125806244332701</v>
      </c>
      <c r="F103" s="3">
        <v>12.9355938544323</v>
      </c>
      <c r="G103" s="3">
        <v>16.9641631423621</v>
      </c>
      <c r="H103" s="3">
        <v>9.4862558295630901</v>
      </c>
      <c r="I103" s="3">
        <v>22.695700995371698</v>
      </c>
      <c r="J103" s="3">
        <v>17.265555669944099</v>
      </c>
      <c r="K103" s="3">
        <v>11.4728680650455</v>
      </c>
      <c r="L103" s="3">
        <v>17.0934099382482</v>
      </c>
      <c r="M103" s="3">
        <v>14.3106335372338</v>
      </c>
      <c r="N103" s="3">
        <v>8.0290029775019107</v>
      </c>
    </row>
    <row r="104" spans="1:14" x14ac:dyDescent="0.35">
      <c r="A104" s="2">
        <v>44867</v>
      </c>
      <c r="B104" s="3">
        <v>31.346659235042701</v>
      </c>
      <c r="C104" s="3">
        <v>13.752321841010801</v>
      </c>
      <c r="D104" s="3">
        <v>12.413533578122999</v>
      </c>
      <c r="E104" s="3">
        <v>10.498298275162799</v>
      </c>
      <c r="F104" s="3">
        <v>13.3096290941177</v>
      </c>
      <c r="G104" s="3">
        <v>18.3536321364051</v>
      </c>
      <c r="H104" s="3">
        <v>9.5068723310385597</v>
      </c>
      <c r="I104" s="3">
        <v>22.4232012180297</v>
      </c>
      <c r="J104" s="3">
        <v>17.602665100181699</v>
      </c>
      <c r="K104" s="3">
        <v>11.7537820789461</v>
      </c>
      <c r="L104" s="3">
        <v>18.1507602333817</v>
      </c>
      <c r="M104" s="3">
        <v>13.4713106697508</v>
      </c>
      <c r="N104" s="3">
        <v>8.1304143398502209</v>
      </c>
    </row>
    <row r="105" spans="1:14" x14ac:dyDescent="0.35">
      <c r="A105" s="2">
        <v>44897</v>
      </c>
      <c r="B105" s="3">
        <v>29.939964850498502</v>
      </c>
      <c r="C105" s="3">
        <v>14.4123445577826</v>
      </c>
      <c r="D105" s="3">
        <v>12.884439154145699</v>
      </c>
      <c r="E105" s="3">
        <v>11.0713833727759</v>
      </c>
      <c r="F105" s="3">
        <v>13.367458262541399</v>
      </c>
      <c r="G105" s="3">
        <v>19.969911298981302</v>
      </c>
      <c r="H105" s="3">
        <v>9.9880876774812997</v>
      </c>
      <c r="I105" s="3">
        <v>24.0273413937452</v>
      </c>
      <c r="J105" s="3">
        <v>18.618234210038</v>
      </c>
      <c r="K105" s="3">
        <v>12.224204248825201</v>
      </c>
      <c r="L105" s="3">
        <v>18.449923731403601</v>
      </c>
      <c r="M105" s="3">
        <v>14.531764656902499</v>
      </c>
      <c r="N105" s="3">
        <v>7.8833570699169799</v>
      </c>
    </row>
    <row r="106" spans="1:14" x14ac:dyDescent="0.35">
      <c r="A106" s="2">
        <v>44925</v>
      </c>
      <c r="B106" s="3">
        <v>29.0383466191266</v>
      </c>
      <c r="C106" s="3">
        <v>14.028935884858701</v>
      </c>
      <c r="D106" s="3">
        <v>12.043371448190801</v>
      </c>
      <c r="E106" s="3">
        <v>10.4151947731043</v>
      </c>
      <c r="F106" s="3">
        <v>12.744945320550601</v>
      </c>
      <c r="G106" s="3">
        <v>20.0573075428435</v>
      </c>
      <c r="H106" s="3">
        <v>9.5638330350159304</v>
      </c>
      <c r="I106" s="3">
        <v>22.730733998146199</v>
      </c>
      <c r="J106" s="3">
        <v>17.410593947244099</v>
      </c>
      <c r="K106" s="3">
        <v>11.528603092361701</v>
      </c>
      <c r="L106" s="3">
        <v>17.656634384665701</v>
      </c>
      <c r="M106" s="3">
        <v>15.442569714848499</v>
      </c>
      <c r="N106" s="3">
        <v>7.3748312726828997</v>
      </c>
    </row>
    <row r="107" spans="1:14" x14ac:dyDescent="0.35">
      <c r="A107" s="2">
        <v>44959</v>
      </c>
      <c r="B107" s="3">
        <v>30.2398565566725</v>
      </c>
      <c r="C107" s="3">
        <v>15.034607848316</v>
      </c>
      <c r="D107" s="3">
        <v>12.902719075337499</v>
      </c>
      <c r="E107" s="3">
        <v>11.7850189821641</v>
      </c>
      <c r="F107" s="3">
        <v>13.353265828304</v>
      </c>
      <c r="G107" s="3">
        <v>20.686347237393999</v>
      </c>
      <c r="H107" s="3">
        <v>10.085222430680799</v>
      </c>
      <c r="I107" s="3">
        <v>26.568130152574199</v>
      </c>
      <c r="J107" s="3">
        <v>18.9704971928013</v>
      </c>
      <c r="K107" s="3">
        <v>13.011028364334701</v>
      </c>
      <c r="L107" s="3">
        <v>19.895995963671599</v>
      </c>
      <c r="M107" s="3">
        <v>28.353856853552401</v>
      </c>
      <c r="N107" s="3">
        <v>8.2561636382750905</v>
      </c>
    </row>
    <row r="108" spans="1:14" x14ac:dyDescent="0.35">
      <c r="A108" s="2">
        <v>44987</v>
      </c>
      <c r="B108" s="3">
        <v>29.542158079234</v>
      </c>
      <c r="C108" s="3">
        <v>14.259637181088101</v>
      </c>
      <c r="D108" s="3">
        <v>12.6011905879376</v>
      </c>
      <c r="E108" s="3">
        <v>11.3411959962247</v>
      </c>
      <c r="F108" s="3">
        <v>13.663120501700501</v>
      </c>
      <c r="G108" s="3">
        <v>20.683010784898102</v>
      </c>
      <c r="H108" s="3">
        <v>10.2614785407048</v>
      </c>
      <c r="I108" s="3">
        <v>25.235112198666201</v>
      </c>
      <c r="J108" s="3">
        <v>18.061750563904098</v>
      </c>
      <c r="K108" s="3">
        <v>12.9116911972026</v>
      </c>
      <c r="L108" s="3">
        <v>20.636290750578901</v>
      </c>
      <c r="M108" s="3">
        <v>25.582871582260299</v>
      </c>
      <c r="N108" s="3">
        <v>8.29634666434956</v>
      </c>
    </row>
    <row r="109" spans="1:14" x14ac:dyDescent="0.35">
      <c r="A109" s="2">
        <v>45016</v>
      </c>
      <c r="B109" s="3">
        <v>28.946948632173601</v>
      </c>
      <c r="C109" s="3">
        <v>14.2408176993964</v>
      </c>
      <c r="D109" s="3">
        <v>12.640946906146601</v>
      </c>
      <c r="E109" s="3">
        <v>11.3853145706614</v>
      </c>
      <c r="F109" s="3">
        <v>13.652838072802799</v>
      </c>
      <c r="G109" s="3">
        <v>20.4309085273748</v>
      </c>
      <c r="H109" s="3">
        <v>10.2535167773826</v>
      </c>
      <c r="I109" s="3">
        <v>25.682759558324999</v>
      </c>
      <c r="J109" s="3">
        <v>18.216286372407499</v>
      </c>
      <c r="K109" s="3">
        <v>12.990378976540599</v>
      </c>
      <c r="L109" s="3">
        <v>20.359285442614301</v>
      </c>
      <c r="M109" s="3">
        <v>24.4401119167084</v>
      </c>
      <c r="N109" s="3">
        <v>8.2993344340549502</v>
      </c>
    </row>
    <row r="110" spans="1:14" x14ac:dyDescent="0.35">
      <c r="A110" s="2">
        <v>45048</v>
      </c>
      <c r="B110" s="3">
        <v>28.5104210211592</v>
      </c>
      <c r="C110" s="3">
        <v>14.331143116388899</v>
      </c>
      <c r="D110" s="3">
        <v>12.773443736509099</v>
      </c>
      <c r="E110" s="3">
        <v>11.3813157474414</v>
      </c>
      <c r="F110" s="3">
        <v>13.8110043236964</v>
      </c>
      <c r="G110" s="3">
        <v>20.2513557244502</v>
      </c>
      <c r="H110" s="3">
        <v>10.351030448701</v>
      </c>
      <c r="I110" s="3">
        <v>25.576324259893902</v>
      </c>
      <c r="J110" s="3">
        <v>18.258524983483799</v>
      </c>
      <c r="K110" s="3">
        <v>13.174698208673799</v>
      </c>
      <c r="L110" s="3">
        <v>19.754829154305899</v>
      </c>
      <c r="M110" s="3">
        <v>23.260629064716699</v>
      </c>
      <c r="N110" s="3">
        <v>8.3199480787452202</v>
      </c>
    </row>
    <row r="111" spans="1:14" x14ac:dyDescent="0.35">
      <c r="A111" s="2">
        <v>45079</v>
      </c>
      <c r="B111" s="3">
        <v>26.870361171647499</v>
      </c>
      <c r="C111" s="3">
        <v>14.3006014082232</v>
      </c>
      <c r="D111" s="3">
        <v>12.895362110163701</v>
      </c>
      <c r="E111" s="3">
        <v>11.2752590979744</v>
      </c>
      <c r="F111" s="3">
        <v>14.152215779692501</v>
      </c>
      <c r="G111" s="3">
        <v>19.6827548274603</v>
      </c>
      <c r="H111" s="3">
        <v>10.304006490982101</v>
      </c>
      <c r="I111" s="3">
        <v>26.575446392666699</v>
      </c>
      <c r="J111" s="3">
        <v>18.606112061491</v>
      </c>
      <c r="K111" s="3">
        <v>13.128657614099501</v>
      </c>
      <c r="L111" s="3">
        <v>19.446004406601901</v>
      </c>
      <c r="M111" s="3">
        <v>22.008261134072502</v>
      </c>
      <c r="N111" s="3">
        <v>8.4117543314041097</v>
      </c>
    </row>
    <row r="112" spans="1:14" x14ac:dyDescent="0.35">
      <c r="A112" s="2">
        <v>45107</v>
      </c>
      <c r="B112" s="3">
        <v>26.094790804207101</v>
      </c>
      <c r="C112" s="3">
        <v>14.6024219137249</v>
      </c>
      <c r="D112" s="3">
        <v>13.039288621772601</v>
      </c>
      <c r="E112" s="3">
        <v>11.306251665562201</v>
      </c>
      <c r="F112" s="3">
        <v>14.5900759292971</v>
      </c>
      <c r="G112" s="3">
        <v>19.296185024986599</v>
      </c>
      <c r="H112" s="3">
        <v>10.3685714075866</v>
      </c>
      <c r="I112" s="3">
        <v>27.2777332015275</v>
      </c>
      <c r="J112" s="3">
        <v>19.137326623151498</v>
      </c>
      <c r="K112" s="3">
        <v>13.301282096373701</v>
      </c>
      <c r="L112" s="3">
        <v>19.235825772443601</v>
      </c>
      <c r="M112" s="3">
        <v>20.917985230084099</v>
      </c>
      <c r="N112" s="3">
        <v>8.5992910678854404</v>
      </c>
    </row>
    <row r="113" spans="1:25" x14ac:dyDescent="0.35">
      <c r="A113" s="2">
        <v>45140</v>
      </c>
      <c r="B113" s="3">
        <v>25.282782703799501</v>
      </c>
      <c r="C113" s="3">
        <v>14.980180932233999</v>
      </c>
      <c r="D113" s="3">
        <v>13.426785909169</v>
      </c>
      <c r="E113" s="3">
        <v>11.2458969378368</v>
      </c>
      <c r="F113" s="3">
        <v>14.662547888474601</v>
      </c>
      <c r="G113" s="3">
        <v>19.092023405626598</v>
      </c>
      <c r="H113" s="3">
        <v>10.533903091652199</v>
      </c>
      <c r="I113" s="3">
        <v>26.756669464903901</v>
      </c>
      <c r="J113" s="3">
        <v>19.508238686438499</v>
      </c>
      <c r="K113" s="3">
        <v>13.280674001619101</v>
      </c>
      <c r="L113" s="3">
        <v>18.908803170724401</v>
      </c>
      <c r="M113" s="3">
        <v>19.343508338293098</v>
      </c>
      <c r="N113" s="3">
        <v>8.3976228644242497</v>
      </c>
    </row>
    <row r="114" spans="1:25" x14ac:dyDescent="0.35">
      <c r="A114" s="2">
        <v>45170</v>
      </c>
      <c r="B114" s="3">
        <v>24.818406143067701</v>
      </c>
      <c r="C114" s="3">
        <v>15.1076587386803</v>
      </c>
      <c r="D114" s="3">
        <v>13.659225175889</v>
      </c>
      <c r="E114" s="3">
        <v>11.253587212099101</v>
      </c>
      <c r="F114" s="3">
        <v>14.861547645597801</v>
      </c>
      <c r="G114" s="3">
        <v>18.888645292324899</v>
      </c>
      <c r="H114" s="3">
        <v>10.5162325430029</v>
      </c>
      <c r="I114" s="3">
        <v>26.788855398691201</v>
      </c>
      <c r="J114" s="3">
        <v>19.5870354719391</v>
      </c>
      <c r="K114" s="3">
        <v>13.278895182410899</v>
      </c>
      <c r="L114" s="3">
        <v>17.816981810806901</v>
      </c>
      <c r="M114" s="3">
        <v>17.937565796420799</v>
      </c>
      <c r="N114" s="3">
        <v>8.3880642204020202</v>
      </c>
    </row>
    <row r="115" spans="1:25" x14ac:dyDescent="0.35">
      <c r="A115" s="2">
        <v>45201</v>
      </c>
      <c r="B115" s="3">
        <v>23.7120110120463</v>
      </c>
      <c r="C115" s="3">
        <v>14.752456185850599</v>
      </c>
      <c r="D115" s="3">
        <v>13.1229051632082</v>
      </c>
      <c r="E115" s="3">
        <v>10.983803795239099</v>
      </c>
      <c r="F115" s="3">
        <v>14.754868043707299</v>
      </c>
      <c r="G115" s="3">
        <v>18.253373016505599</v>
      </c>
      <c r="H115" s="3">
        <v>10.478259554630901</v>
      </c>
      <c r="I115" s="3">
        <v>26.118234864025901</v>
      </c>
      <c r="J115" s="3">
        <v>19.062316159246901</v>
      </c>
      <c r="K115" s="3">
        <v>12.861978049573301</v>
      </c>
      <c r="L115" s="3">
        <v>16.567214272111499</v>
      </c>
      <c r="M115" s="3">
        <v>16.5641488501895</v>
      </c>
      <c r="N115" s="3">
        <v>8.1549081542426496</v>
      </c>
    </row>
    <row r="116" spans="1:25" x14ac:dyDescent="0.35">
      <c r="A116" s="2">
        <v>45232</v>
      </c>
      <c r="B116" s="3">
        <v>22.740313429575298</v>
      </c>
      <c r="C116" s="3">
        <v>14.634843380888199</v>
      </c>
      <c r="D116" s="3">
        <v>13.4085574651321</v>
      </c>
      <c r="E116" s="3">
        <v>10.8800832153798</v>
      </c>
      <c r="F116" s="3">
        <v>14.844407697114001</v>
      </c>
      <c r="G116" s="3">
        <v>17.767315828455502</v>
      </c>
      <c r="H116" s="3">
        <v>10.4819161986388</v>
      </c>
      <c r="I116" s="3">
        <v>26.084460977146701</v>
      </c>
      <c r="J116" s="3">
        <v>19.347608879130402</v>
      </c>
      <c r="K116" s="3">
        <v>12.8726596238141</v>
      </c>
      <c r="L116" s="3">
        <v>16.043035080014199</v>
      </c>
      <c r="M116" s="3">
        <v>15.841697131437799</v>
      </c>
      <c r="N116" s="3">
        <v>8.1606036786413707</v>
      </c>
    </row>
    <row r="117" spans="1:25" x14ac:dyDescent="0.35">
      <c r="A117" s="2">
        <v>45261</v>
      </c>
      <c r="B117" s="3">
        <v>23.494172483537898</v>
      </c>
      <c r="C117" s="3">
        <v>15.264364993702801</v>
      </c>
      <c r="D117" s="3">
        <v>14.008204465871</v>
      </c>
      <c r="E117" s="3">
        <v>11.684111540700201</v>
      </c>
      <c r="F117" s="3">
        <v>15.2550273351572</v>
      </c>
      <c r="G117" s="3">
        <v>18.022588578050499</v>
      </c>
      <c r="H117" s="3">
        <v>10.930177863040299</v>
      </c>
      <c r="I117" s="3">
        <v>27.727625121785</v>
      </c>
      <c r="J117" s="3">
        <v>20.5743720594247</v>
      </c>
      <c r="K117" s="3">
        <v>13.5488907039725</v>
      </c>
      <c r="L117" s="3">
        <v>16.399544050320301</v>
      </c>
      <c r="M117" s="3">
        <v>17.554472603931501</v>
      </c>
      <c r="N117" s="3">
        <v>8.6323095144898101</v>
      </c>
    </row>
    <row r="118" spans="1:25" x14ac:dyDescent="0.35">
      <c r="A118" s="2">
        <v>45293</v>
      </c>
      <c r="B118" s="3">
        <v>24.0395379241886</v>
      </c>
      <c r="C118" s="3">
        <v>16.618861985263599</v>
      </c>
      <c r="D118" s="3">
        <v>14.5437091055149</v>
      </c>
      <c r="E118" s="3">
        <v>11.953660713278399</v>
      </c>
      <c r="F118" s="3">
        <v>15.2493388114812</v>
      </c>
      <c r="G118" s="3">
        <v>18.337412778345499</v>
      </c>
      <c r="H118" s="3">
        <v>11.266850145783099</v>
      </c>
      <c r="I118" s="3">
        <v>28.672295849144799</v>
      </c>
      <c r="J118" s="3">
        <v>21.6151554030372</v>
      </c>
      <c r="K118" s="3">
        <v>14.054890903998</v>
      </c>
      <c r="L118" s="3">
        <v>16.4124883144659</v>
      </c>
      <c r="M118" s="3">
        <v>17.820423095539901</v>
      </c>
      <c r="N118" s="3">
        <v>8.9163305712883094</v>
      </c>
    </row>
    <row r="119" spans="1:25" x14ac:dyDescent="0.35">
      <c r="A119" s="2">
        <v>45324</v>
      </c>
      <c r="B119" s="3">
        <v>23.416418503694</v>
      </c>
      <c r="C119" s="3">
        <v>16.642716893394098</v>
      </c>
      <c r="D119" s="3">
        <v>14.6714893488687</v>
      </c>
      <c r="E119" s="3">
        <v>12.0550782803247</v>
      </c>
      <c r="F119" s="3">
        <v>16.378212684622699</v>
      </c>
      <c r="G119" s="3">
        <v>18.595350590152499</v>
      </c>
      <c r="H119" s="3">
        <v>11.2653162133566</v>
      </c>
      <c r="I119" s="3">
        <v>30.0126951396668</v>
      </c>
      <c r="J119" s="3">
        <v>22.391893901646</v>
      </c>
      <c r="K119" s="3">
        <v>14.398592196533899</v>
      </c>
      <c r="L119" s="3">
        <v>17.4294383647354</v>
      </c>
      <c r="M119" s="3">
        <v>15.241489553565099</v>
      </c>
      <c r="N119" s="3">
        <v>9.0844682599550506</v>
      </c>
    </row>
    <row r="120" spans="1:25" x14ac:dyDescent="0.35">
      <c r="A120" s="2">
        <v>45352</v>
      </c>
      <c r="B120" s="3">
        <v>23.705185225555301</v>
      </c>
      <c r="C120" s="3">
        <v>16.6292710635032</v>
      </c>
      <c r="D120" s="3">
        <v>14.888683331714301</v>
      </c>
      <c r="E120" s="3">
        <v>12.5160536940372</v>
      </c>
      <c r="F120" s="3">
        <v>17.088781402603502</v>
      </c>
      <c r="G120" s="3">
        <v>19.1959389699973</v>
      </c>
      <c r="H120" s="3">
        <v>11.449783938788901</v>
      </c>
      <c r="I120" s="3">
        <v>30.373822417465298</v>
      </c>
      <c r="J120" s="3">
        <v>22.796398434069602</v>
      </c>
      <c r="K120" s="3">
        <v>15.493329268336799</v>
      </c>
      <c r="L120" s="3">
        <v>18.499676655960702</v>
      </c>
      <c r="M120" s="3">
        <v>15.9463011205657</v>
      </c>
      <c r="N120" s="3">
        <v>9.3594574464565294</v>
      </c>
    </row>
    <row r="121" spans="1:25" x14ac:dyDescent="0.35">
      <c r="A121" s="2">
        <v>45384</v>
      </c>
      <c r="B121" s="3">
        <v>24.116478481852099</v>
      </c>
      <c r="C121" s="3">
        <v>16.680104353746401</v>
      </c>
      <c r="D121" s="3">
        <v>14.950468737772001</v>
      </c>
      <c r="E121" s="3">
        <v>12.575870407054801</v>
      </c>
      <c r="F121" s="3">
        <v>16.9404761080044</v>
      </c>
      <c r="G121" s="3">
        <v>19.079873678011701</v>
      </c>
      <c r="H121" s="3">
        <v>11.529353004662299</v>
      </c>
      <c r="I121" s="3">
        <v>29.970483138963498</v>
      </c>
      <c r="J121" s="3">
        <v>22.693862933418099</v>
      </c>
      <c r="K121" s="3">
        <v>15.4890504918787</v>
      </c>
      <c r="L121" s="3">
        <v>18.399031577225202</v>
      </c>
      <c r="M121" s="3">
        <v>16.0402770983994</v>
      </c>
      <c r="N121" s="3">
        <v>9.4569744424315001</v>
      </c>
    </row>
    <row r="122" spans="1:25" x14ac:dyDescent="0.35">
      <c r="A122" s="2">
        <v>45411</v>
      </c>
      <c r="B122" s="3">
        <v>24.378377768557101</v>
      </c>
      <c r="C122" s="3">
        <v>16.578015721477399</v>
      </c>
      <c r="D122" s="3">
        <v>14.831300575463199</v>
      </c>
      <c r="E122" s="3">
        <v>12.523178254597999</v>
      </c>
      <c r="F122" s="3">
        <v>16.7366488977103</v>
      </c>
      <c r="G122" s="3">
        <v>18.802873714991598</v>
      </c>
      <c r="H122" s="3">
        <v>11.627598242648499</v>
      </c>
      <c r="I122" s="3">
        <v>29.294189676453101</v>
      </c>
      <c r="J122" s="3">
        <v>22.286487056156702</v>
      </c>
      <c r="K122" s="3">
        <v>15.439206134642401</v>
      </c>
      <c r="L122" s="3">
        <v>18.126501012798101</v>
      </c>
      <c r="M122" s="3">
        <v>16.048119918410499</v>
      </c>
      <c r="N122" s="3">
        <v>9.4356093976469904</v>
      </c>
    </row>
    <row r="124" spans="1:25" x14ac:dyDescent="0.35">
      <c r="A124" s="2" t="s">
        <v>91</v>
      </c>
      <c r="B124" s="3" cm="1">
        <f t="array" ref="B124">MIN(_xlfn._xlws.FILTER(B1:B122, ISNUMBER(B1:B122)))</f>
        <v>17.896096299170502</v>
      </c>
      <c r="C124" s="3" cm="1">
        <f t="array" ref="C124">MIN(_xlfn._xlws.FILTER(C1:C122, ISNUMBER(C1:C122)))</f>
        <v>13.221839173757299</v>
      </c>
      <c r="D124" s="3" cm="1">
        <f t="array" ref="D124">MIN(_xlfn._xlws.FILTER(D1:D122, ISNUMBER(D1:D122)))</f>
        <v>12.043371448190801</v>
      </c>
      <c r="E124" s="3" cm="1">
        <f t="array" ref="E124">MIN(_xlfn._xlws.FILTER(E1:E122, ISNUMBER(E1:E122)))</f>
        <v>10.125806244332701</v>
      </c>
      <c r="F124" s="3" cm="1">
        <f t="array" ref="F124">MIN(_xlfn._xlws.FILTER(F1:F122, ISNUMBER(F1:F122)))</f>
        <v>11.476921960416</v>
      </c>
      <c r="G124" s="3" cm="1">
        <f t="array" ref="G124">MIN(_xlfn._xlws.FILTER(G1:G122, ISNUMBER(G1:G122)))</f>
        <v>16.168791852455598</v>
      </c>
      <c r="H124" s="3" cm="1">
        <f t="array" ref="H124">MIN(_xlfn._xlws.FILTER(H1:H122, ISNUMBER(H1:H122)))</f>
        <v>9.4862558295630901</v>
      </c>
      <c r="I124" s="3" cm="1">
        <f t="array" ref="I124">MIN(_xlfn._xlws.FILTER(I1:I122, ISNUMBER(I1:I122)))</f>
        <v>18.261339795830999</v>
      </c>
      <c r="J124" s="3" cm="1">
        <f t="array" ref="J124">MIN(_xlfn._xlws.FILTER(J1:J122, ISNUMBER(J1:J122)))</f>
        <v>15.507960854477901</v>
      </c>
      <c r="K124" s="3" cm="1">
        <f t="array" ref="K124">MIN(_xlfn._xlws.FILTER(K1:K122, ISNUMBER(K1:K122)))</f>
        <v>11.4728680650455</v>
      </c>
      <c r="L124" s="3" cm="1">
        <f t="array" ref="L124">MIN(_xlfn._xlws.FILTER(L1:L122, ISNUMBER(L1:L122)))</f>
        <v>14.224832651970001</v>
      </c>
      <c r="M124" s="3" cm="1">
        <f t="array" ref="M124">MIN(_xlfn._xlws.FILTER(M1:M122, ISNUMBER(M1:M122)))</f>
        <v>11.624445167727901</v>
      </c>
      <c r="N124" s="3" cm="1">
        <f t="array" ref="N124">MIN(_xlfn._xlws.FILTER(N1:N122, ISNUMBER(N1:N122)))</f>
        <v>7.3748312726828997</v>
      </c>
    </row>
    <row r="125" spans="1:25" x14ac:dyDescent="0.35">
      <c r="A125" s="2" t="s">
        <v>92</v>
      </c>
      <c r="B125" s="3" cm="1">
        <f t="array" ref="B125">MAX(_xlfn._xlws.FILTER(B1:B122, ISNUMBER(B1:B122)))</f>
        <v>39.354945247696399</v>
      </c>
      <c r="C125" s="3" cm="1">
        <f t="array" ref="C125">MAX(_xlfn._xlws.FILTER(C1:C122, ISNUMBER(C1:C122)))</f>
        <v>22.9540612302639</v>
      </c>
      <c r="D125" s="3" cm="1">
        <f t="array" ref="D125">MAX(_xlfn._xlws.FILTER(D1:D122, ISNUMBER(D1:D122)))</f>
        <v>20.736849437171799</v>
      </c>
      <c r="E125" s="3" cm="1">
        <f t="array" ref="E125">MAX(_xlfn._xlws.FILTER(E1:E122, ISNUMBER(E1:E122)))</f>
        <v>22.126768463538401</v>
      </c>
      <c r="F125" s="3" cm="1">
        <f t="array" ref="F125">MAX(_xlfn._xlws.FILTER(F1:F122, ISNUMBER(F1:F122)))</f>
        <v>23.610767776269899</v>
      </c>
      <c r="G125" s="3" cm="1">
        <f t="array" ref="G125">MAX(_xlfn._xlws.FILTER(G1:G122, ISNUMBER(G1:G122)))</f>
        <v>22.0192335076548</v>
      </c>
      <c r="H125" s="3" cm="1">
        <f t="array" ref="H125">MAX(_xlfn._xlws.FILTER(H1:H122, ISNUMBER(H1:H122)))</f>
        <v>19.730954737660301</v>
      </c>
      <c r="I125" s="3" cm="1">
        <f t="array" ref="I125">MAX(_xlfn._xlws.FILTER(I1:I122, ISNUMBER(I1:I122)))</f>
        <v>35.432102935633303</v>
      </c>
      <c r="J125" s="3" cm="1">
        <f t="array" ref="J125">MAX(_xlfn._xlws.FILTER(J1:J122, ISNUMBER(J1:J122)))</f>
        <v>27.423472938300399</v>
      </c>
      <c r="K125" s="3" cm="1">
        <f t="array" ref="K125">MAX(_xlfn._xlws.FILTER(K1:K122, ISNUMBER(K1:K122)))</f>
        <v>28.8602295434066</v>
      </c>
      <c r="L125" s="3" cm="1">
        <f t="array" ref="L125">MAX(_xlfn._xlws.FILTER(L1:L122, ISNUMBER(L1:L122)))</f>
        <v>28.873583441852801</v>
      </c>
      <c r="M125" s="3" cm="1">
        <f t="array" ref="M125">MAX(_xlfn._xlws.FILTER(M1:M122, ISNUMBER(M1:M122)))</f>
        <v>28.353856853552401</v>
      </c>
      <c r="N125" s="3" cm="1">
        <f t="array" ref="N125">MAX(_xlfn._xlws.FILTER(N1:N122, ISNUMBER(N1:N122)))</f>
        <v>85.569365789149003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0.53200000000000003</v>
      </c>
      <c r="C127" s="9" cm="1">
        <f t="array" ref="C127">_xlfn.PERCENTRANK.EXC(_xlfn._xlws.FILTER(C1:C122, ISNUMBER(C1:C122)),C121)</f>
        <v>0.66300000000000003</v>
      </c>
      <c r="D127" s="9" cm="1">
        <f t="array" ref="D127">_xlfn.PERCENTRANK.EXC(_xlfn._xlws.FILTER(D1:D122, ISNUMBER(D1:D122)),D121)</f>
        <v>0.32700000000000001</v>
      </c>
      <c r="E127" s="9" cm="1">
        <f t="array" ref="E127">_xlfn.PERCENTRANK.EXC(_xlfn._xlws.FILTER(E1:E122, ISNUMBER(E1:E122)),E121)</f>
        <v>0.22900000000000001</v>
      </c>
      <c r="F127" s="9" cm="1">
        <f t="array" ref="F127">_xlfn.PERCENTRANK.EXC(_xlfn._xlws.FILTER(F1:F122, ISNUMBER(F1:F122)),F121)</f>
        <v>0.84399999999999997</v>
      </c>
      <c r="G127" s="9" cm="1">
        <f t="array" ref="G127">_xlfn.PERCENTRANK.EXC(_xlfn._xlws.FILTER(G1:G122, ISNUMBER(G1:G122)),G121)</f>
        <v>0.57299999999999995</v>
      </c>
      <c r="H127" s="9" cm="1">
        <f t="array" ref="H127">_xlfn.PERCENTRANK.EXC(_xlfn._xlws.FILTER(H1:H122, ISNUMBER(H1:H122)),H121)</f>
        <v>0.18</v>
      </c>
      <c r="I127" s="9" cm="1">
        <f t="array" ref="I127">_xlfn.PERCENTRANK.EXC(_xlfn._xlws.FILTER(I1:I122, ISNUMBER(I1:I122)),I121)</f>
        <v>0.84399999999999997</v>
      </c>
      <c r="J127" s="9" cm="1">
        <f t="array" ref="J127">_xlfn.PERCENTRANK.EXC(_xlfn._xlws.FILTER(J1:J122, ISNUMBER(J1:J122)),J121)</f>
        <v>0.85199999999999998</v>
      </c>
      <c r="K127" s="9" cm="1">
        <f t="array" ref="K127">_xlfn.PERCENTRANK.EXC(_xlfn._xlws.FILTER(K1:K122, ISNUMBER(K1:K122)),K121)</f>
        <v>0.52400000000000002</v>
      </c>
      <c r="L127" s="9" cm="1">
        <f t="array" ref="L127">_xlfn.PERCENTRANK.EXC(_xlfn._xlws.FILTER(L1:L122, ISNUMBER(L1:L122)),L121)</f>
        <v>0.63900000000000001</v>
      </c>
      <c r="M127" s="9" cm="1">
        <f t="array" ref="M127">_xlfn.PERCENTRANK.EXC(_xlfn._xlws.FILTER(M1:M122, ISNUMBER(M1:M122)),M121)</f>
        <v>0.32700000000000001</v>
      </c>
      <c r="N127" s="9" cm="1">
        <f t="array" ref="N127">_xlfn.PERCENTRANK.EXC(_xlfn._xlws.FILTER(N1:N122, ISNUMBER(N1:N122)),N121)</f>
        <v>0.188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41761</v>
      </c>
      <c r="B2" s="3" cm="1">
        <f t="array" ref="B2:B122">_xll.FDS(B1,"FMA_PE(NTMA,-10AY,0,AM,""PORTAGG"",""MEANR"")")</f>
        <v>17.732776643829599</v>
      </c>
      <c r="C2" s="3" cm="1">
        <f t="array" ref="C2:C122">_xll.FDS(C1,"FMA_PE(NTMA,-10AY,0,AM,""PORTAGG"",""MEANR"")")</f>
        <v>14.272151506525599</v>
      </c>
      <c r="D2" s="3" cm="1">
        <f t="array" ref="D2:D122">_xll.FDS(D1,"FMA_PE(NTMA,-10AY,0,AM,""PORTAGG"",""MEANR"")")</f>
        <v>15.041731315027899</v>
      </c>
      <c r="E2" s="3" cm="1">
        <f t="array" ref="E2:E122">_xll.FDS(E1,"FMA_PE(NTMA,-10AY,0,AM,""PORTAGG"",""MEANR"")")</f>
        <v>13.0187563084919</v>
      </c>
      <c r="F2" s="3" cm="1">
        <f t="array" ref="F2:F122">_xll.FDS(F1,"FMA_PE(NTMA,-10AY,0,AM,""PORTAGG"",""MEANR"")")</f>
        <v>13.0292388408046</v>
      </c>
      <c r="G2" s="3" cm="1">
        <f t="array" ref="G2:G122">_xll.FDS(G1,"FMA_PE(NTMA,-10AY,0,AM,""PORTAGG"",""MEANR"")")</f>
        <v>16.189017613505602</v>
      </c>
      <c r="H2" s="3" cm="1">
        <f t="array" ref="H2:H122">_xll.FDS(H1,"FMA_PE(NTMA,-10AY,0,AM,""PORTAGG"",""MEANR"")")</f>
        <v>13.6001519615146</v>
      </c>
      <c r="I2" s="3" cm="1">
        <f t="array" ref="I2:I122">_xll.FDS(I1,"FMA_PE(NTMA,-10AY,0,AM,""PORTAGG"",""MEANR"")")</f>
        <v>16.676264867038199</v>
      </c>
      <c r="J2" s="3" cm="1">
        <f t="array" ref="J2:J122">_xll.FDS(J1,"FMA_PE(NTMA,-10AY,0,AM,""PORTAGG"",""MEANR"")")</f>
        <v>14.9807407222394</v>
      </c>
      <c r="K2" s="3" cm="1">
        <f t="array" ref="K2:K122">_xll.FDS(K1,"FMA_PE(NTMA,-10AY,0,AM,""PORTAGG"",""MEANR"")")</f>
        <v>14.017625601842701</v>
      </c>
      <c r="L2" s="3" cm="1">
        <f t="array" ref="L2:L122">_xll.FDS(L1,"FMA_PE(NTMA,-10AY,0,AM,""PORTAGG"",""MEANR"")")</f>
        <v>14.045131680247501</v>
      </c>
      <c r="M2" s="3" cm="1">
        <f t="array" ref="M2:M122">_xll.FDS(M1,"FMA_PE(NTMA,-10AY,0,AM,""PORTAGG"",""MEANR"")")</f>
        <v>15.644408150570399</v>
      </c>
      <c r="N2" s="3" cm="1">
        <f t="array" ref="N2:N122">_xll.FDS(N1,"FMA_PE(NTMA,-10AY,0,AM,""PORTAGG"",""MEANR"")")</f>
        <v>14.0708482211635</v>
      </c>
    </row>
    <row r="3" spans="1:14" x14ac:dyDescent="0.35">
      <c r="A3" s="2">
        <v>41792</v>
      </c>
      <c r="B3" s="3">
        <v>17.231832425470699</v>
      </c>
      <c r="C3" s="3">
        <v>14.349410985274</v>
      </c>
      <c r="D3" s="3">
        <v>14.6814380898771</v>
      </c>
      <c r="E3" s="3">
        <v>13.3517696020626</v>
      </c>
      <c r="F3" s="3">
        <v>13.4233263399243</v>
      </c>
      <c r="G3" s="3">
        <v>16.390149982999102</v>
      </c>
      <c r="H3" s="3">
        <v>13.7055821817354</v>
      </c>
      <c r="I3" s="3">
        <v>17.155028454877002</v>
      </c>
      <c r="J3" s="3">
        <v>15.1895550927497</v>
      </c>
      <c r="K3" s="3">
        <v>14.250614574718901</v>
      </c>
      <c r="L3" s="3">
        <v>14.371489247740399</v>
      </c>
      <c r="M3" s="3">
        <v>15.795132021904999</v>
      </c>
      <c r="N3" s="3">
        <v>14.1787715491187</v>
      </c>
    </row>
    <row r="4" spans="1:14" x14ac:dyDescent="0.35">
      <c r="A4" s="2">
        <v>41822</v>
      </c>
      <c r="B4" s="3">
        <v>17.262981905273101</v>
      </c>
      <c r="C4" s="3">
        <v>14.4067952592009</v>
      </c>
      <c r="D4" s="3">
        <v>15.116140424034</v>
      </c>
      <c r="E4" s="3">
        <v>13.1896637881069</v>
      </c>
      <c r="F4" s="3">
        <v>13.967489773241899</v>
      </c>
      <c r="G4" s="3">
        <v>16.156575695510199</v>
      </c>
      <c r="H4" s="3">
        <v>13.733008663097101</v>
      </c>
      <c r="I4" s="3">
        <v>17.6790313058892</v>
      </c>
      <c r="J4" s="3">
        <v>15.457746012371</v>
      </c>
      <c r="K4" s="3">
        <v>14.004938297634601</v>
      </c>
      <c r="L4" s="3">
        <v>14.5712641308179</v>
      </c>
      <c r="M4" s="3">
        <v>15.6091426227437</v>
      </c>
      <c r="N4" s="3">
        <v>14.6440192324189</v>
      </c>
    </row>
    <row r="5" spans="1:14" x14ac:dyDescent="0.35">
      <c r="A5" s="2">
        <v>41852</v>
      </c>
      <c r="B5" s="3">
        <v>17.0318048653562</v>
      </c>
      <c r="C5" s="3">
        <v>14.820428742963699</v>
      </c>
      <c r="D5" s="3">
        <v>14.974445291437601</v>
      </c>
      <c r="E5" s="3">
        <v>12.3347824705966</v>
      </c>
      <c r="F5" s="3">
        <v>13.8186266306269</v>
      </c>
      <c r="G5" s="3">
        <v>15.872720686406099</v>
      </c>
      <c r="H5" s="3">
        <v>13.4185458223909</v>
      </c>
      <c r="I5" s="3">
        <v>17.160382821996802</v>
      </c>
      <c r="J5" s="3">
        <v>14.8567439167192</v>
      </c>
      <c r="K5" s="3">
        <v>13.2550003021884</v>
      </c>
      <c r="L5" s="3">
        <v>13.861251922258599</v>
      </c>
      <c r="M5" s="3">
        <v>15.1825336425474</v>
      </c>
      <c r="N5" s="3">
        <v>13.650025963865399</v>
      </c>
    </row>
    <row r="6" spans="1:14" x14ac:dyDescent="0.35">
      <c r="A6" s="2">
        <v>41884</v>
      </c>
      <c r="B6" s="3">
        <v>17.2683823358289</v>
      </c>
      <c r="C6" s="3">
        <v>14.928562815343801</v>
      </c>
      <c r="D6" s="3">
        <v>15.2184041606117</v>
      </c>
      <c r="E6" s="3">
        <v>12.6041489848115</v>
      </c>
      <c r="F6" s="3">
        <v>13.770027631002799</v>
      </c>
      <c r="G6" s="3">
        <v>16.224264445807702</v>
      </c>
      <c r="H6" s="3">
        <v>13.546076718006701</v>
      </c>
      <c r="I6" s="3">
        <v>17.912910104811399</v>
      </c>
      <c r="J6" s="3">
        <v>15.3293096670329</v>
      </c>
      <c r="K6" s="3">
        <v>13.646072903789999</v>
      </c>
      <c r="L6" s="3">
        <v>14.540083392580501</v>
      </c>
      <c r="M6" s="3">
        <v>14.70130714263</v>
      </c>
      <c r="N6" s="3">
        <v>13.765435472895399</v>
      </c>
    </row>
    <row r="7" spans="1:14" x14ac:dyDescent="0.35">
      <c r="A7" s="2">
        <v>41914</v>
      </c>
      <c r="B7" s="3">
        <v>17.103097642656898</v>
      </c>
      <c r="C7" s="3">
        <v>13.8930270607942</v>
      </c>
      <c r="D7" s="3">
        <v>14.269709826880201</v>
      </c>
      <c r="E7" s="3">
        <v>12.143376106209599</v>
      </c>
      <c r="F7" s="3">
        <v>13.598790971501799</v>
      </c>
      <c r="G7" s="3">
        <v>15.6569411422182</v>
      </c>
      <c r="H7" s="3">
        <v>12.698632086703901</v>
      </c>
      <c r="I7" s="3">
        <v>17.150068643351599</v>
      </c>
      <c r="J7" s="3">
        <v>14.819944147349799</v>
      </c>
      <c r="K7" s="3">
        <v>13.1426031359153</v>
      </c>
      <c r="L7" s="3">
        <v>14.208842458003801</v>
      </c>
      <c r="M7" s="3">
        <v>14.1609398125215</v>
      </c>
      <c r="N7" s="3">
        <v>13.015833105756</v>
      </c>
    </row>
    <row r="8" spans="1:14" x14ac:dyDescent="0.35">
      <c r="A8" s="2">
        <v>41943</v>
      </c>
      <c r="B8" s="3">
        <v>17.607549460587101</v>
      </c>
      <c r="C8" s="3">
        <v>14.617147750157599</v>
      </c>
      <c r="D8" s="3">
        <v>14.3528473978999</v>
      </c>
      <c r="E8" s="3">
        <v>12.2997736717441</v>
      </c>
      <c r="F8" s="3">
        <v>13.9869905302651</v>
      </c>
      <c r="G8" s="3">
        <v>15.9486062855683</v>
      </c>
      <c r="H8" s="3">
        <v>13.160472896626599</v>
      </c>
      <c r="I8" s="3">
        <v>17.6885889608936</v>
      </c>
      <c r="J8" s="3">
        <v>15.4981269408046</v>
      </c>
      <c r="K8" s="3">
        <v>13.2064043588754</v>
      </c>
      <c r="L8" s="3">
        <v>14.6029947441027</v>
      </c>
      <c r="M8" s="3">
        <v>14.6907340445612</v>
      </c>
      <c r="N8" s="3">
        <v>12.859005925144</v>
      </c>
    </row>
    <row r="9" spans="1:14" x14ac:dyDescent="0.35">
      <c r="A9" s="2">
        <v>41975</v>
      </c>
      <c r="B9" s="3">
        <v>17.829801613862202</v>
      </c>
      <c r="C9" s="3">
        <v>13.849321500852801</v>
      </c>
      <c r="D9" s="3">
        <v>14.680526675183801</v>
      </c>
      <c r="E9" s="3">
        <v>13.0930456275818</v>
      </c>
      <c r="F9" s="3">
        <v>14.6175854294484</v>
      </c>
      <c r="G9" s="3">
        <v>16.094764856478999</v>
      </c>
      <c r="H9" s="3">
        <v>13.734826114618</v>
      </c>
      <c r="I9" s="3">
        <v>18.146893574691401</v>
      </c>
      <c r="J9" s="3">
        <v>15.8667160088321</v>
      </c>
      <c r="K9" s="3">
        <v>13.942844077187701</v>
      </c>
      <c r="L9" s="3">
        <v>15.1548320005601</v>
      </c>
      <c r="M9" s="3">
        <v>15.6010117186958</v>
      </c>
      <c r="N9" s="3">
        <v>13.0475231517668</v>
      </c>
    </row>
    <row r="10" spans="1:14" x14ac:dyDescent="0.35">
      <c r="A10" s="2">
        <v>42006</v>
      </c>
      <c r="B10" s="3">
        <v>18.361301367891201</v>
      </c>
      <c r="C10" s="3">
        <v>14.6262194220997</v>
      </c>
      <c r="D10" s="3">
        <v>15.6006677092602</v>
      </c>
      <c r="E10" s="3">
        <v>12.7825272234926</v>
      </c>
      <c r="F10" s="3">
        <v>14.2217382053288</v>
      </c>
      <c r="G10" s="3">
        <v>15.655050190752901</v>
      </c>
      <c r="H10" s="3">
        <v>13.727401882670399</v>
      </c>
      <c r="I10" s="3">
        <v>17.408571989658899</v>
      </c>
      <c r="J10" s="3">
        <v>15.96244162404</v>
      </c>
      <c r="K10" s="3">
        <v>13.728956554690701</v>
      </c>
      <c r="L10" s="3">
        <v>14.741588188038101</v>
      </c>
      <c r="M10" s="3">
        <v>15.580527381065</v>
      </c>
      <c r="N10" s="3">
        <v>12.346541166952401</v>
      </c>
    </row>
    <row r="11" spans="1:14" x14ac:dyDescent="0.35">
      <c r="A11" s="2">
        <v>42037</v>
      </c>
      <c r="B11" s="3">
        <v>19.030196470775898</v>
      </c>
      <c r="C11" s="3">
        <v>15.363492681352501</v>
      </c>
      <c r="D11" s="3">
        <v>16.7549046132679</v>
      </c>
      <c r="E11" s="3">
        <v>14.1354279086665</v>
      </c>
      <c r="F11" s="3">
        <v>13.942149638975099</v>
      </c>
      <c r="G11" s="3">
        <v>16.4042838772585</v>
      </c>
      <c r="H11" s="3">
        <v>15.0367030378154</v>
      </c>
      <c r="I11" s="3">
        <v>17.0770248813762</v>
      </c>
      <c r="J11" s="3">
        <v>16.2395778352994</v>
      </c>
      <c r="K11" s="3">
        <v>15.3626031173056</v>
      </c>
      <c r="L11" s="3">
        <v>15.6774422149401</v>
      </c>
      <c r="M11" s="3">
        <v>16.1874705395003</v>
      </c>
      <c r="N11" s="3">
        <v>13.939873977767901</v>
      </c>
    </row>
    <row r="12" spans="1:14" x14ac:dyDescent="0.35">
      <c r="A12" s="2">
        <v>42065</v>
      </c>
      <c r="B12" s="3">
        <v>19.3327779272723</v>
      </c>
      <c r="C12" s="3">
        <v>16.388957808927699</v>
      </c>
      <c r="D12" s="3">
        <v>17.4932582853572</v>
      </c>
      <c r="E12" s="3">
        <v>14.8489553960263</v>
      </c>
      <c r="F12" s="3">
        <v>15.1097656184477</v>
      </c>
      <c r="G12" s="3">
        <v>17.600191529780201</v>
      </c>
      <c r="H12" s="3">
        <v>15.7035693996053</v>
      </c>
      <c r="I12" s="3">
        <v>18.251465161177101</v>
      </c>
      <c r="J12" s="3">
        <v>16.996306032602</v>
      </c>
      <c r="K12" s="3">
        <v>16.268784045321802</v>
      </c>
      <c r="L12" s="3">
        <v>17.069929616648199</v>
      </c>
      <c r="M12" s="3">
        <v>17.3272944996524</v>
      </c>
      <c r="N12" s="3">
        <v>15.468649459201901</v>
      </c>
    </row>
    <row r="13" spans="1:14" x14ac:dyDescent="0.35">
      <c r="A13" s="2">
        <v>42096</v>
      </c>
      <c r="B13" s="3">
        <v>18.4899205739579</v>
      </c>
      <c r="C13" s="3">
        <v>16.2523775221701</v>
      </c>
      <c r="D13" s="3">
        <v>17.097597827314299</v>
      </c>
      <c r="E13" s="3">
        <v>15.401928977175</v>
      </c>
      <c r="F13" s="3">
        <v>15.3071373737643</v>
      </c>
      <c r="G13" s="3">
        <v>17.700005445857901</v>
      </c>
      <c r="H13" s="3">
        <v>15.477416127627899</v>
      </c>
      <c r="I13" s="3">
        <v>17.593070299862401</v>
      </c>
      <c r="J13" s="3">
        <v>16.4721081381795</v>
      </c>
      <c r="K13" s="3">
        <v>16.6037523299544</v>
      </c>
      <c r="L13" s="3">
        <v>17.294174076805898</v>
      </c>
      <c r="M13" s="3">
        <v>17.021679845371601</v>
      </c>
      <c r="N13" s="3">
        <v>15.938831017770701</v>
      </c>
    </row>
    <row r="14" spans="1:14" x14ac:dyDescent="0.35">
      <c r="A14" s="2">
        <v>42125</v>
      </c>
      <c r="B14" s="3">
        <v>18.319896868661999</v>
      </c>
      <c r="C14" s="3">
        <v>16.253407960068099</v>
      </c>
      <c r="D14" s="3">
        <v>17.3653448047375</v>
      </c>
      <c r="E14" s="3">
        <v>14.5569971956958</v>
      </c>
      <c r="F14" s="3">
        <v>15.6616916730624</v>
      </c>
      <c r="G14" s="3">
        <v>17.7436319002889</v>
      </c>
      <c r="H14" s="3">
        <v>16.012448695116699</v>
      </c>
      <c r="I14" s="3">
        <v>18.0048963080168</v>
      </c>
      <c r="J14" s="3">
        <v>16.704581786323399</v>
      </c>
      <c r="K14" s="3">
        <v>16.309646923235299</v>
      </c>
      <c r="L14" s="3">
        <v>16.888361282154701</v>
      </c>
      <c r="M14" s="3">
        <v>15.84340237342</v>
      </c>
      <c r="N14" s="3">
        <v>15.788450623779999</v>
      </c>
    </row>
    <row r="15" spans="1:14" x14ac:dyDescent="0.35">
      <c r="A15" s="2">
        <v>42157</v>
      </c>
      <c r="B15" s="3">
        <v>18.4427739911964</v>
      </c>
      <c r="C15" s="3">
        <v>15.5328034849651</v>
      </c>
      <c r="D15" s="3">
        <v>16.6452698225959</v>
      </c>
      <c r="E15" s="3">
        <v>13.985119779781501</v>
      </c>
      <c r="F15" s="3">
        <v>16.291582524659201</v>
      </c>
      <c r="G15" s="3">
        <v>17.618650276781999</v>
      </c>
      <c r="H15" s="3">
        <v>15.867627173211901</v>
      </c>
      <c r="I15" s="3">
        <v>17.997479901394399</v>
      </c>
      <c r="J15" s="3">
        <v>16.545222995592798</v>
      </c>
      <c r="K15" s="3">
        <v>16.089004438781199</v>
      </c>
      <c r="L15" s="3">
        <v>16.729236261855299</v>
      </c>
      <c r="M15" s="3">
        <v>16.397913696694498</v>
      </c>
      <c r="N15" s="3">
        <v>15.6846195934283</v>
      </c>
    </row>
    <row r="16" spans="1:14" x14ac:dyDescent="0.35">
      <c r="A16" s="2">
        <v>42187</v>
      </c>
      <c r="B16" s="3">
        <v>18.228977258252399</v>
      </c>
      <c r="C16" s="3">
        <v>15.484137540631099</v>
      </c>
      <c r="D16" s="3">
        <v>15.9393195822104</v>
      </c>
      <c r="E16" s="3">
        <v>13.519098478916799</v>
      </c>
      <c r="F16" s="3">
        <v>15.540953649367101</v>
      </c>
      <c r="G16" s="3">
        <v>17.041634530551001</v>
      </c>
      <c r="H16" s="3">
        <v>15.1399987260779</v>
      </c>
      <c r="I16" s="3">
        <v>17.621617023977699</v>
      </c>
      <c r="J16" s="3">
        <v>16.216784793952801</v>
      </c>
      <c r="K16" s="3">
        <v>15.323708489622801</v>
      </c>
      <c r="L16" s="3">
        <v>16.320336337111801</v>
      </c>
      <c r="M16" s="3">
        <v>15.585678649782899</v>
      </c>
      <c r="N16" s="3">
        <v>14.8304003267738</v>
      </c>
    </row>
    <row r="17" spans="1:14" x14ac:dyDescent="0.35">
      <c r="A17" s="2">
        <v>42216</v>
      </c>
      <c r="B17" s="3">
        <v>18.3374247523085</v>
      </c>
      <c r="C17" s="3">
        <v>15.6963684051369</v>
      </c>
      <c r="D17" s="3">
        <v>15.658348117453601</v>
      </c>
      <c r="E17" s="3">
        <v>13.7553346204986</v>
      </c>
      <c r="F17" s="3">
        <v>15.5549826524311</v>
      </c>
      <c r="G17" s="3">
        <v>17.728659361365199</v>
      </c>
      <c r="H17" s="3">
        <v>15.402920468491301</v>
      </c>
      <c r="I17" s="3">
        <v>18.625859724397898</v>
      </c>
      <c r="J17" s="3">
        <v>16.428470716538602</v>
      </c>
      <c r="K17" s="3">
        <v>15.7846630693225</v>
      </c>
      <c r="L17" s="3">
        <v>16.8091333988136</v>
      </c>
      <c r="M17" s="3">
        <v>15.968217591357099</v>
      </c>
      <c r="N17" s="3">
        <v>15.466617764074799</v>
      </c>
    </row>
    <row r="18" spans="1:14" x14ac:dyDescent="0.35">
      <c r="A18" s="2">
        <v>42249</v>
      </c>
      <c r="B18" s="3">
        <v>17.369847295822598</v>
      </c>
      <c r="C18" s="3">
        <v>14.2032335059901</v>
      </c>
      <c r="D18" s="3">
        <v>14.5717354189962</v>
      </c>
      <c r="E18" s="3">
        <v>12.2147332895522</v>
      </c>
      <c r="F18" s="3">
        <v>13.523617360332899</v>
      </c>
      <c r="G18" s="3">
        <v>16.217947979842201</v>
      </c>
      <c r="H18" s="3">
        <v>13.9958032710912</v>
      </c>
      <c r="I18" s="3">
        <v>17.199220287202699</v>
      </c>
      <c r="J18" s="3">
        <v>15.1700180373308</v>
      </c>
      <c r="K18" s="3">
        <v>14.059097292756499</v>
      </c>
      <c r="L18" s="3">
        <v>14.6799995288895</v>
      </c>
      <c r="M18" s="3">
        <v>14.626177787822099</v>
      </c>
      <c r="N18" s="3">
        <v>14.1812911102444</v>
      </c>
    </row>
    <row r="19" spans="1:14" x14ac:dyDescent="0.35">
      <c r="A19" s="2">
        <v>42279</v>
      </c>
      <c r="B19" s="3">
        <v>16.970063539864601</v>
      </c>
      <c r="C19" s="3">
        <v>14.2968851204463</v>
      </c>
      <c r="D19" s="3">
        <v>14.4606031738619</v>
      </c>
      <c r="E19" s="3">
        <v>11.756789812537599</v>
      </c>
      <c r="F19" s="3">
        <v>13.291897807468899</v>
      </c>
      <c r="G19" s="3">
        <v>16.005431541492801</v>
      </c>
      <c r="H19" s="3">
        <v>14.481413155393099</v>
      </c>
      <c r="I19" s="3">
        <v>17.1770994663732</v>
      </c>
      <c r="J19" s="3">
        <v>15.211116793077</v>
      </c>
      <c r="K19" s="3">
        <v>13.8827690699177</v>
      </c>
      <c r="L19" s="3">
        <v>14.341953096562801</v>
      </c>
      <c r="M19" s="3">
        <v>14.1462302046591</v>
      </c>
      <c r="N19" s="3">
        <v>13.9538705482463</v>
      </c>
    </row>
    <row r="20" spans="1:14" x14ac:dyDescent="0.35">
      <c r="A20" s="2">
        <v>42310</v>
      </c>
      <c r="B20" s="3">
        <v>18.022505068403699</v>
      </c>
      <c r="C20" s="3">
        <v>14.8307803318691</v>
      </c>
      <c r="D20" s="3">
        <v>14.847790165172601</v>
      </c>
      <c r="E20" s="3">
        <v>13.495827429863001</v>
      </c>
      <c r="F20" s="3">
        <v>14.0802344337816</v>
      </c>
      <c r="G20" s="3">
        <v>17.017197268755002</v>
      </c>
      <c r="H20" s="3">
        <v>15.303811310986701</v>
      </c>
      <c r="I20" s="3">
        <v>18.785406741872499</v>
      </c>
      <c r="J20" s="3">
        <v>16.487475255798302</v>
      </c>
      <c r="K20" s="3">
        <v>15.233282300745</v>
      </c>
      <c r="L20" s="3">
        <v>15.958145123517699</v>
      </c>
      <c r="M20" s="3">
        <v>15.474261318345601</v>
      </c>
      <c r="N20" s="3">
        <v>14.807836787053899</v>
      </c>
    </row>
    <row r="21" spans="1:14" x14ac:dyDescent="0.35">
      <c r="A21" s="2">
        <v>42340</v>
      </c>
      <c r="B21" s="3">
        <v>18.2413498091375</v>
      </c>
      <c r="C21" s="3">
        <v>15.2884076259548</v>
      </c>
      <c r="D21" s="3">
        <v>14.643968615173099</v>
      </c>
      <c r="E21" s="3">
        <v>13.940509236378899</v>
      </c>
      <c r="F21" s="3">
        <v>14.7085174491649</v>
      </c>
      <c r="G21" s="3">
        <v>17.070812639216399</v>
      </c>
      <c r="H21" s="3">
        <v>15.4917227649773</v>
      </c>
      <c r="I21" s="3">
        <v>18.732791053706599</v>
      </c>
      <c r="J21" s="3">
        <v>16.244538515703798</v>
      </c>
      <c r="K21" s="3">
        <v>15.2721773433601</v>
      </c>
      <c r="L21" s="3">
        <v>16.3718246820535</v>
      </c>
      <c r="M21" s="3">
        <v>15.7283948526117</v>
      </c>
      <c r="N21" s="3">
        <v>14.9516794743883</v>
      </c>
    </row>
    <row r="22" spans="1:14" x14ac:dyDescent="0.35">
      <c r="A22" s="2">
        <v>42369</v>
      </c>
      <c r="B22" s="3">
        <v>18.2879518587097</v>
      </c>
      <c r="C22" s="3">
        <v>15.7577891400844</v>
      </c>
      <c r="D22" s="3">
        <v>14.121858270811501</v>
      </c>
      <c r="E22" s="3">
        <v>13.350964590216501</v>
      </c>
      <c r="F22" s="3">
        <v>14.059202899593901</v>
      </c>
      <c r="G22" s="3">
        <v>16.878889370263501</v>
      </c>
      <c r="H22" s="3">
        <v>15.2053139260079</v>
      </c>
      <c r="I22" s="3">
        <v>18.458821535757501</v>
      </c>
      <c r="J22" s="3">
        <v>15.991430392029001</v>
      </c>
      <c r="K22" s="3">
        <v>14.552502668719599</v>
      </c>
      <c r="L22" s="3">
        <v>15.3744123294909</v>
      </c>
      <c r="M22" s="3">
        <v>14.9750159777383</v>
      </c>
      <c r="N22" s="3">
        <v>14.0570435212574</v>
      </c>
    </row>
    <row r="23" spans="1:14" x14ac:dyDescent="0.35">
      <c r="A23" s="2">
        <v>42402</v>
      </c>
      <c r="B23" s="3">
        <v>17.4588365002923</v>
      </c>
      <c r="C23" s="3">
        <v>15.242237207661599</v>
      </c>
      <c r="D23" s="3">
        <v>14.043600509503101</v>
      </c>
      <c r="E23" s="3">
        <v>12.111429652792401</v>
      </c>
      <c r="F23" s="3">
        <v>13.2311853480482</v>
      </c>
      <c r="G23" s="3">
        <v>16.097933913877799</v>
      </c>
      <c r="H23" s="3">
        <v>15.220451157783099</v>
      </c>
      <c r="I23" s="3">
        <v>16.932019190833699</v>
      </c>
      <c r="J23" s="3">
        <v>15.5099438140132</v>
      </c>
      <c r="K23" s="3">
        <v>13.8696200548675</v>
      </c>
      <c r="L23" s="3">
        <v>14.789441111801301</v>
      </c>
      <c r="M23" s="3">
        <v>14.2028329502654</v>
      </c>
      <c r="N23" s="3">
        <v>12.6448694813719</v>
      </c>
    </row>
    <row r="24" spans="1:14" x14ac:dyDescent="0.35">
      <c r="A24" s="2">
        <v>42431</v>
      </c>
      <c r="B24" s="3">
        <v>17.717295715434201</v>
      </c>
      <c r="C24" s="3">
        <v>15.5850789755047</v>
      </c>
      <c r="D24" s="3">
        <v>15.0680929454423</v>
      </c>
      <c r="E24" s="3">
        <v>12.497595792608299</v>
      </c>
      <c r="F24" s="3">
        <v>12.8048523670451</v>
      </c>
      <c r="G24" s="3">
        <v>16.597234471213302</v>
      </c>
      <c r="H24" s="3">
        <v>15.8060576407697</v>
      </c>
      <c r="I24" s="3">
        <v>17.3941317982739</v>
      </c>
      <c r="J24" s="3">
        <v>15.516736353630501</v>
      </c>
      <c r="K24" s="3">
        <v>14.4252392714425</v>
      </c>
      <c r="L24" s="3">
        <v>15.170562441021101</v>
      </c>
      <c r="M24" s="3">
        <v>15.2940450005614</v>
      </c>
      <c r="N24" s="3">
        <v>13.131858782322199</v>
      </c>
    </row>
    <row r="25" spans="1:14" x14ac:dyDescent="0.35">
      <c r="A25" s="2">
        <v>42461</v>
      </c>
      <c r="B25" s="3">
        <v>18.4156126192307</v>
      </c>
      <c r="C25" s="3">
        <v>15.4658529260418</v>
      </c>
      <c r="D25" s="3">
        <v>15.888085104134399</v>
      </c>
      <c r="E25" s="3">
        <v>12.5186064134994</v>
      </c>
      <c r="F25" s="3">
        <v>12.3706974096579</v>
      </c>
      <c r="G25" s="3">
        <v>16.218897521325299</v>
      </c>
      <c r="H25" s="3">
        <v>16.005416729352401</v>
      </c>
      <c r="I25" s="3">
        <v>18.086192954736202</v>
      </c>
      <c r="J25" s="3">
        <v>16.500463546018398</v>
      </c>
      <c r="K25" s="3">
        <v>14.184321111574</v>
      </c>
      <c r="L25" s="3">
        <v>15.1497446213715</v>
      </c>
      <c r="M25" s="3">
        <v>14.9967251926417</v>
      </c>
      <c r="N25" s="3">
        <v>12.8388132228063</v>
      </c>
    </row>
    <row r="26" spans="1:14" x14ac:dyDescent="0.35">
      <c r="A26" s="2">
        <v>42492</v>
      </c>
      <c r="B26" s="3">
        <v>18.649684045540901</v>
      </c>
      <c r="C26" s="3">
        <v>16.182644653987801</v>
      </c>
      <c r="D26" s="3">
        <v>16.566737269203699</v>
      </c>
      <c r="E26" s="3">
        <v>12.783519364869599</v>
      </c>
      <c r="F26" s="3">
        <v>12.462463198689401</v>
      </c>
      <c r="G26" s="3">
        <v>16.768211584722099</v>
      </c>
      <c r="H26" s="3">
        <v>16.193381736648401</v>
      </c>
      <c r="I26" s="3">
        <v>17.610419030530402</v>
      </c>
      <c r="J26" s="3">
        <v>16.522677016730398</v>
      </c>
      <c r="K26" s="3">
        <v>14.525693654775701</v>
      </c>
      <c r="L26" s="3">
        <v>14.952016308262101</v>
      </c>
      <c r="M26" s="3">
        <v>15.1822982812898</v>
      </c>
      <c r="N26" s="3">
        <v>13.2585854472278</v>
      </c>
    </row>
    <row r="27" spans="1:14" x14ac:dyDescent="0.35">
      <c r="A27" s="2">
        <v>42523</v>
      </c>
      <c r="B27" s="3">
        <v>19.466106592304801</v>
      </c>
      <c r="C27" s="3">
        <v>16.1426177171933</v>
      </c>
      <c r="D27" s="3">
        <v>16.6434288888791</v>
      </c>
      <c r="E27" s="3">
        <v>12.6261681515776</v>
      </c>
      <c r="F27" s="3">
        <v>13.319479225459601</v>
      </c>
      <c r="G27" s="3">
        <v>17.093931808900901</v>
      </c>
      <c r="H27" s="3">
        <v>15.705564883702699</v>
      </c>
      <c r="I27" s="3">
        <v>18.044834942600001</v>
      </c>
      <c r="J27" s="3">
        <v>16.646735389828901</v>
      </c>
      <c r="K27" s="3">
        <v>14.4378592739486</v>
      </c>
      <c r="L27" s="3">
        <v>15.1741962855371</v>
      </c>
      <c r="M27" s="3">
        <v>14.912467453017801</v>
      </c>
      <c r="N27" s="3">
        <v>13.001294051426299</v>
      </c>
    </row>
    <row r="28" spans="1:14" x14ac:dyDescent="0.35">
      <c r="A28" s="2">
        <v>42552</v>
      </c>
      <c r="B28" s="3">
        <v>19.059687665176</v>
      </c>
      <c r="C28" s="3">
        <v>15.999973819414</v>
      </c>
      <c r="D28" s="3">
        <v>16.292351603394</v>
      </c>
      <c r="E28" s="3">
        <v>12.0769572673331</v>
      </c>
      <c r="F28" s="3">
        <v>12.681855577317201</v>
      </c>
      <c r="G28" s="3">
        <v>16.895370900134999</v>
      </c>
      <c r="H28" s="3">
        <v>16.1076551566143</v>
      </c>
      <c r="I28" s="3">
        <v>17.709323828794599</v>
      </c>
      <c r="J28" s="3">
        <v>16.527476292901198</v>
      </c>
      <c r="K28" s="3">
        <v>13.698228787221201</v>
      </c>
      <c r="L28" s="3">
        <v>14.211112750830999</v>
      </c>
      <c r="M28" s="3">
        <v>14.6967790020612</v>
      </c>
      <c r="N28" s="3">
        <v>11.8557083830139</v>
      </c>
    </row>
    <row r="29" spans="1:14" x14ac:dyDescent="0.35">
      <c r="A29" s="2">
        <v>42584</v>
      </c>
      <c r="B29" s="3">
        <v>20.175804553897201</v>
      </c>
      <c r="C29" s="3">
        <v>16.720923031568599</v>
      </c>
      <c r="D29" s="3">
        <v>16.2667611332622</v>
      </c>
      <c r="E29" s="3">
        <v>12.5243317023189</v>
      </c>
      <c r="F29" s="3">
        <v>13.1558416661815</v>
      </c>
      <c r="G29" s="3">
        <v>17.045264577676999</v>
      </c>
      <c r="H29" s="3">
        <v>15.9896006682044</v>
      </c>
      <c r="I29" s="3">
        <v>18.572366153214599</v>
      </c>
      <c r="J29" s="3">
        <v>16.8203507195242</v>
      </c>
      <c r="K29" s="3">
        <v>13.802586952752501</v>
      </c>
      <c r="L29" s="3">
        <v>14.4745079306054</v>
      </c>
      <c r="M29" s="3">
        <v>14.9210766395263</v>
      </c>
      <c r="N29" s="3">
        <v>11.9270074380262</v>
      </c>
    </row>
    <row r="30" spans="1:14" x14ac:dyDescent="0.35">
      <c r="A30" s="2">
        <v>42615</v>
      </c>
      <c r="B30" s="3">
        <v>20.6958794495932</v>
      </c>
      <c r="C30" s="3">
        <v>16.209943809243299</v>
      </c>
      <c r="D30" s="3">
        <v>16.442436133462898</v>
      </c>
      <c r="E30" s="3">
        <v>13.0598123735016</v>
      </c>
      <c r="F30" s="3">
        <v>13.636063568928</v>
      </c>
      <c r="G30" s="3">
        <v>17.441950034232502</v>
      </c>
      <c r="H30" s="3">
        <v>16.273392913453801</v>
      </c>
      <c r="I30" s="3">
        <v>18.589342164540799</v>
      </c>
      <c r="J30" s="3">
        <v>16.835398779399501</v>
      </c>
      <c r="K30" s="3">
        <v>14.265122056874</v>
      </c>
      <c r="L30" s="3">
        <v>15.3407069268504</v>
      </c>
      <c r="M30" s="3">
        <v>15.646165017013701</v>
      </c>
      <c r="N30" s="3">
        <v>12.5206266110849</v>
      </c>
    </row>
    <row r="31" spans="1:14" x14ac:dyDescent="0.35">
      <c r="A31" s="2">
        <v>42643</v>
      </c>
      <c r="B31" s="3">
        <v>20.268189641831601</v>
      </c>
      <c r="C31" s="3">
        <v>16.2714200349259</v>
      </c>
      <c r="D31" s="3">
        <v>16.106254223097501</v>
      </c>
      <c r="E31" s="3">
        <v>12.875623321802999</v>
      </c>
      <c r="F31" s="3">
        <v>13.353674536845601</v>
      </c>
      <c r="G31" s="3">
        <v>17.132075768127802</v>
      </c>
      <c r="H31" s="3">
        <v>15.7154072811657</v>
      </c>
      <c r="I31" s="3">
        <v>18.668613979402501</v>
      </c>
      <c r="J31" s="3">
        <v>16.649022243530698</v>
      </c>
      <c r="K31" s="3">
        <v>13.8718181444197</v>
      </c>
      <c r="L31" s="3">
        <v>14.963041658227301</v>
      </c>
      <c r="M31" s="3">
        <v>15.7653590079957</v>
      </c>
      <c r="N31" s="3">
        <v>11.780334821756799</v>
      </c>
    </row>
    <row r="32" spans="1:14" x14ac:dyDescent="0.35">
      <c r="A32" s="2">
        <v>42676</v>
      </c>
      <c r="B32" s="3">
        <v>18.635698579700598</v>
      </c>
      <c r="C32" s="3">
        <v>15.5349502029581</v>
      </c>
      <c r="D32" s="3">
        <v>15.5923191469439</v>
      </c>
      <c r="E32" s="3">
        <v>12.5570757971599</v>
      </c>
      <c r="F32" s="3">
        <v>13.5934930415781</v>
      </c>
      <c r="G32" s="3">
        <v>16.290386461966701</v>
      </c>
      <c r="H32" s="3">
        <v>14.658445635728899</v>
      </c>
      <c r="I32" s="3">
        <v>17.9190441908042</v>
      </c>
      <c r="J32" s="3">
        <v>16.042710384804799</v>
      </c>
      <c r="K32" s="3">
        <v>13.6503625274544</v>
      </c>
      <c r="L32" s="3">
        <v>14.414467046808699</v>
      </c>
      <c r="M32" s="3">
        <v>15.6854356723475</v>
      </c>
      <c r="N32" s="3">
        <v>11.5622685063906</v>
      </c>
    </row>
    <row r="33" spans="1:14" x14ac:dyDescent="0.35">
      <c r="A33" s="2">
        <v>42706</v>
      </c>
      <c r="B33" s="3">
        <v>18.7150183102484</v>
      </c>
      <c r="C33" s="3">
        <v>15.6786481105494</v>
      </c>
      <c r="D33" s="3">
        <v>15.870162857001301</v>
      </c>
      <c r="E33" s="3">
        <v>12.628264072240301</v>
      </c>
      <c r="F33" s="3">
        <v>14.607022815118899</v>
      </c>
      <c r="G33" s="3">
        <v>16.156219282481501</v>
      </c>
      <c r="H33" s="3">
        <v>14.1545278968975</v>
      </c>
      <c r="I33" s="3">
        <v>17.758664971224199</v>
      </c>
      <c r="J33" s="3">
        <v>16.618730474998099</v>
      </c>
      <c r="K33" s="3">
        <v>13.754137392797499</v>
      </c>
      <c r="L33" s="3">
        <v>14.2262921960439</v>
      </c>
      <c r="M33" s="3">
        <v>15.958798335709</v>
      </c>
      <c r="N33" s="3">
        <v>12.014925970761</v>
      </c>
    </row>
    <row r="34" spans="1:14" x14ac:dyDescent="0.35">
      <c r="A34" s="2">
        <v>42734</v>
      </c>
      <c r="B34" s="3">
        <v>18.482568007984501</v>
      </c>
      <c r="C34" s="3">
        <v>15.7804147186182</v>
      </c>
      <c r="D34" s="3">
        <v>15.7399936479628</v>
      </c>
      <c r="E34" s="3">
        <v>13.638581726329701</v>
      </c>
      <c r="F34" s="3">
        <v>14.666066308776999</v>
      </c>
      <c r="G34" s="3">
        <v>16.782175135433</v>
      </c>
      <c r="H34" s="3">
        <v>14.451056544209401</v>
      </c>
      <c r="I34" s="3">
        <v>18.047091871645399</v>
      </c>
      <c r="J34" s="3">
        <v>16.8042774932923</v>
      </c>
      <c r="K34" s="3">
        <v>14.5703388121852</v>
      </c>
      <c r="L34" s="3">
        <v>15.0459531872303</v>
      </c>
      <c r="M34" s="3">
        <v>16.404672303361401</v>
      </c>
      <c r="N34" s="3">
        <v>13.5567131574021</v>
      </c>
    </row>
    <row r="35" spans="1:14" x14ac:dyDescent="0.35">
      <c r="A35" s="2">
        <v>42768</v>
      </c>
      <c r="B35" s="3">
        <v>18.950504977051001</v>
      </c>
      <c r="C35" s="3">
        <v>15.7108740791112</v>
      </c>
      <c r="D35" s="3">
        <v>15.9468781765618</v>
      </c>
      <c r="E35" s="3">
        <v>13.6462745393601</v>
      </c>
      <c r="F35" s="3">
        <v>14.248345446442499</v>
      </c>
      <c r="G35" s="3">
        <v>17.080770195780101</v>
      </c>
      <c r="H35" s="3">
        <v>14.233106148390499</v>
      </c>
      <c r="I35" s="3">
        <v>19.213126496913802</v>
      </c>
      <c r="J35" s="3">
        <v>17.068678961972299</v>
      </c>
      <c r="K35" s="3">
        <v>14.2573670506018</v>
      </c>
      <c r="L35" s="3">
        <v>15.040780008388801</v>
      </c>
      <c r="M35" s="3">
        <v>16.467043017763</v>
      </c>
      <c r="N35" s="3">
        <v>12.8118639170438</v>
      </c>
    </row>
    <row r="36" spans="1:14" x14ac:dyDescent="0.35">
      <c r="A36" s="2">
        <v>42796</v>
      </c>
      <c r="B36" s="3">
        <v>18.347183175054798</v>
      </c>
      <c r="C36" s="3">
        <v>15.860719146284501</v>
      </c>
      <c r="D36" s="3">
        <v>16.0098934201473</v>
      </c>
      <c r="E36" s="3">
        <v>13.9458762728349</v>
      </c>
      <c r="F36" s="3">
        <v>14.393874101916699</v>
      </c>
      <c r="G36" s="3">
        <v>17.624880409314201</v>
      </c>
      <c r="H36" s="3">
        <v>14.5113071990582</v>
      </c>
      <c r="I36" s="3">
        <v>20.105725732187601</v>
      </c>
      <c r="J36" s="3">
        <v>17.7879748431195</v>
      </c>
      <c r="K36" s="3">
        <v>14.452601109075401</v>
      </c>
      <c r="L36" s="3">
        <v>15.684765094497299</v>
      </c>
      <c r="M36" s="3">
        <v>16.486128073414601</v>
      </c>
      <c r="N36" s="3">
        <v>13.237421207053499</v>
      </c>
    </row>
    <row r="37" spans="1:14" x14ac:dyDescent="0.35">
      <c r="A37" s="2">
        <v>42825</v>
      </c>
      <c r="B37" s="3">
        <v>19.0001722152101</v>
      </c>
      <c r="C37" s="3">
        <v>15.859258738362501</v>
      </c>
      <c r="D37" s="3">
        <v>15.8540727266835</v>
      </c>
      <c r="E37" s="3">
        <v>14.064418048950801</v>
      </c>
      <c r="F37" s="3">
        <v>13.7674669359031</v>
      </c>
      <c r="G37" s="3">
        <v>17.404040424910299</v>
      </c>
      <c r="H37" s="3">
        <v>14.419069474235799</v>
      </c>
      <c r="I37" s="3">
        <v>20.148536930708701</v>
      </c>
      <c r="J37" s="3">
        <v>17.509620263058899</v>
      </c>
      <c r="K37" s="3">
        <v>14.9122561126064</v>
      </c>
      <c r="L37" s="3">
        <v>16.086544809033001</v>
      </c>
      <c r="M37" s="3">
        <v>17.151096401234199</v>
      </c>
      <c r="N37" s="3">
        <v>13.682327478082</v>
      </c>
    </row>
    <row r="38" spans="1:14" x14ac:dyDescent="0.35">
      <c r="A38" s="2">
        <v>42857</v>
      </c>
      <c r="B38" s="3">
        <v>19.575196429143102</v>
      </c>
      <c r="C38" s="3">
        <v>16.0456589520495</v>
      </c>
      <c r="D38" s="3">
        <v>15.707441355283301</v>
      </c>
      <c r="E38" s="3">
        <v>13.9850514592169</v>
      </c>
      <c r="F38" s="3">
        <v>14.021358609789401</v>
      </c>
      <c r="G38" s="3">
        <v>17.729243710120901</v>
      </c>
      <c r="H38" s="3">
        <v>14.384096891802701</v>
      </c>
      <c r="I38" s="3">
        <v>20.562325805989499</v>
      </c>
      <c r="J38" s="3">
        <v>17.467566153952902</v>
      </c>
      <c r="K38" s="3">
        <v>15.295847860205701</v>
      </c>
      <c r="L38" s="3">
        <v>16.495263185256601</v>
      </c>
      <c r="M38" s="3">
        <v>17.191336710595099</v>
      </c>
      <c r="N38" s="3">
        <v>13.4532173712084</v>
      </c>
    </row>
    <row r="39" spans="1:14" x14ac:dyDescent="0.35">
      <c r="A39" s="2">
        <v>42888</v>
      </c>
      <c r="B39" s="3">
        <v>19.480954592760799</v>
      </c>
      <c r="C39" s="3">
        <v>15.399654337939999</v>
      </c>
      <c r="D39" s="3">
        <v>15.5123585292512</v>
      </c>
      <c r="E39" s="3">
        <v>13.929161446858</v>
      </c>
      <c r="F39" s="3">
        <v>14.617758926844701</v>
      </c>
      <c r="G39" s="3">
        <v>18.2644958815692</v>
      </c>
      <c r="H39" s="3">
        <v>14.841669767300401</v>
      </c>
      <c r="I39" s="3">
        <v>21.202752457200699</v>
      </c>
      <c r="J39" s="3">
        <v>17.669984548328699</v>
      </c>
      <c r="K39" s="3">
        <v>15.2634708736995</v>
      </c>
      <c r="L39" s="3">
        <v>16.396469374384999</v>
      </c>
      <c r="M39" s="3">
        <v>18.0717772891166</v>
      </c>
      <c r="N39" s="3">
        <v>13.3007485007019</v>
      </c>
    </row>
    <row r="40" spans="1:14" x14ac:dyDescent="0.35">
      <c r="A40" s="2">
        <v>42916</v>
      </c>
      <c r="B40" s="3">
        <v>19.518948958517601</v>
      </c>
      <c r="C40" s="3">
        <v>15.4265713988627</v>
      </c>
      <c r="D40" s="3">
        <v>15.231540248211999</v>
      </c>
      <c r="E40" s="3">
        <v>13.2857038333978</v>
      </c>
      <c r="F40" s="3">
        <v>14.302704841609501</v>
      </c>
      <c r="G40" s="3">
        <v>17.735162563020001</v>
      </c>
      <c r="H40" s="3">
        <v>14.3989278646626</v>
      </c>
      <c r="I40" s="3">
        <v>20.051943145317701</v>
      </c>
      <c r="J40" s="3">
        <v>17.413959423677198</v>
      </c>
      <c r="K40" s="3">
        <v>14.543953728786899</v>
      </c>
      <c r="L40" s="3">
        <v>15.641227161239399</v>
      </c>
      <c r="M40" s="3">
        <v>16.463775501159599</v>
      </c>
      <c r="N40" s="3">
        <v>12.9922537854392</v>
      </c>
    </row>
    <row r="41" spans="1:14" x14ac:dyDescent="0.35">
      <c r="A41" s="2">
        <v>42949</v>
      </c>
      <c r="B41" s="3">
        <v>19.834553783903502</v>
      </c>
      <c r="C41" s="3">
        <v>15.743840882496899</v>
      </c>
      <c r="D41" s="3">
        <v>15.7381849336334</v>
      </c>
      <c r="E41" s="3">
        <v>13.1130350898072</v>
      </c>
      <c r="F41" s="3">
        <v>14.2995574843511</v>
      </c>
      <c r="G41" s="3">
        <v>17.921341746828599</v>
      </c>
      <c r="H41" s="3">
        <v>14.7861131314944</v>
      </c>
      <c r="I41" s="3">
        <v>20.729434777288901</v>
      </c>
      <c r="J41" s="3">
        <v>17.665567488862202</v>
      </c>
      <c r="K41" s="3">
        <v>14.538353100709299</v>
      </c>
      <c r="L41" s="3">
        <v>15.9477544720355</v>
      </c>
      <c r="M41" s="3">
        <v>16.105715742066199</v>
      </c>
      <c r="N41" s="3">
        <v>13.4698141552726</v>
      </c>
    </row>
    <row r="42" spans="1:14" x14ac:dyDescent="0.35">
      <c r="A42" s="2">
        <v>42979</v>
      </c>
      <c r="B42" s="3">
        <v>19.920576353659499</v>
      </c>
      <c r="C42" s="3">
        <v>15.6384385009527</v>
      </c>
      <c r="D42" s="3">
        <v>15.376854398938899</v>
      </c>
      <c r="E42" s="3">
        <v>13.013661405267699</v>
      </c>
      <c r="F42" s="3">
        <v>13.729705411020401</v>
      </c>
      <c r="G42" s="3">
        <v>17.4885502054535</v>
      </c>
      <c r="H42" s="3">
        <v>14.6286836464253</v>
      </c>
      <c r="I42" s="3">
        <v>20.699306723768899</v>
      </c>
      <c r="J42" s="3">
        <v>17.5139583604644</v>
      </c>
      <c r="K42" s="3">
        <v>14.551085269345201</v>
      </c>
      <c r="L42" s="3">
        <v>15.690942441898599</v>
      </c>
      <c r="M42" s="3">
        <v>15.965060274012</v>
      </c>
      <c r="N42" s="3">
        <v>13.3394042700422</v>
      </c>
    </row>
    <row r="43" spans="1:14" x14ac:dyDescent="0.35">
      <c r="A43" s="2">
        <v>43010</v>
      </c>
      <c r="B43" s="3">
        <v>19.770162422771801</v>
      </c>
      <c r="C43" s="3">
        <v>15.569095181375101</v>
      </c>
      <c r="D43" s="3">
        <v>15.8486252727532</v>
      </c>
      <c r="E43" s="3">
        <v>13.7255432536385</v>
      </c>
      <c r="F43" s="3">
        <v>13.970790715059101</v>
      </c>
      <c r="G43" s="3">
        <v>17.845915740192101</v>
      </c>
      <c r="H43" s="3">
        <v>14.6027332244273</v>
      </c>
      <c r="I43" s="3">
        <v>20.361997468499698</v>
      </c>
      <c r="J43" s="3">
        <v>17.787458430882602</v>
      </c>
      <c r="K43" s="3">
        <v>15.175629652283</v>
      </c>
      <c r="L43" s="3">
        <v>16.125057672266799</v>
      </c>
      <c r="M43" s="3">
        <v>16.8215283710074</v>
      </c>
      <c r="N43" s="3">
        <v>13.7935170514119</v>
      </c>
    </row>
    <row r="44" spans="1:14" x14ac:dyDescent="0.35">
      <c r="A44" s="2">
        <v>43041</v>
      </c>
      <c r="B44" s="3">
        <v>20.3137661841577</v>
      </c>
      <c r="C44" s="3">
        <v>15.9003462526956</v>
      </c>
      <c r="D44" s="3">
        <v>15.9007674031129</v>
      </c>
      <c r="E44" s="3">
        <v>14.2606535275374</v>
      </c>
      <c r="F44" s="3">
        <v>14.8140174654812</v>
      </c>
      <c r="G44" s="3">
        <v>17.922290344868198</v>
      </c>
      <c r="H44" s="3">
        <v>14.5385449273302</v>
      </c>
      <c r="I44" s="3">
        <v>20.771463889636198</v>
      </c>
      <c r="J44" s="3">
        <v>17.948547531851201</v>
      </c>
      <c r="K44" s="3">
        <v>15.427793685745</v>
      </c>
      <c r="L44" s="3">
        <v>16.296696988704401</v>
      </c>
      <c r="M44" s="3">
        <v>17.318599186107701</v>
      </c>
      <c r="N44" s="3">
        <v>13.738090731398801</v>
      </c>
    </row>
    <row r="45" spans="1:14" x14ac:dyDescent="0.35">
      <c r="A45" s="2">
        <v>43070</v>
      </c>
      <c r="B45" s="3">
        <v>20.219087083514399</v>
      </c>
      <c r="C45" s="3">
        <v>15.862145218841301</v>
      </c>
      <c r="D45" s="3">
        <v>15.923504995357799</v>
      </c>
      <c r="E45" s="3">
        <v>13.732268501705599</v>
      </c>
      <c r="F45" s="3">
        <v>14.750436436626099</v>
      </c>
      <c r="G45" s="3">
        <v>17.6115320037995</v>
      </c>
      <c r="H45" s="3">
        <v>14.119368464593601</v>
      </c>
      <c r="I45" s="3">
        <v>20.810782546182899</v>
      </c>
      <c r="J45" s="3">
        <v>18.196290372400799</v>
      </c>
      <c r="K45" s="3">
        <v>14.8890691457655</v>
      </c>
      <c r="L45" s="3">
        <v>15.764051327794601</v>
      </c>
      <c r="M45" s="3">
        <v>16.345888881215799</v>
      </c>
      <c r="N45" s="3">
        <v>13.2668277987846</v>
      </c>
    </row>
    <row r="46" spans="1:14" x14ac:dyDescent="0.35">
      <c r="A46" s="2">
        <v>43102</v>
      </c>
      <c r="B46" s="3">
        <v>20.913623346611502</v>
      </c>
      <c r="C46" s="3">
        <v>16.002619082966699</v>
      </c>
      <c r="D46" s="3">
        <v>15.8462372173361</v>
      </c>
      <c r="E46" s="3">
        <v>13.6940107552476</v>
      </c>
      <c r="F46" s="3">
        <v>14.699251213672399</v>
      </c>
      <c r="G46" s="3">
        <v>17.688162578970001</v>
      </c>
      <c r="H46" s="3">
        <v>14.7072229616047</v>
      </c>
      <c r="I46" s="3">
        <v>21.134818332369999</v>
      </c>
      <c r="J46" s="3">
        <v>18.244153544755999</v>
      </c>
      <c r="K46" s="3">
        <v>14.733184113976799</v>
      </c>
      <c r="L46" s="3">
        <v>15.8747719347115</v>
      </c>
      <c r="M46" s="3">
        <v>16.112772774172399</v>
      </c>
      <c r="N46" s="3">
        <v>12.9098230633379</v>
      </c>
    </row>
    <row r="47" spans="1:14" x14ac:dyDescent="0.35">
      <c r="A47" s="2">
        <v>43133</v>
      </c>
      <c r="B47" s="3">
        <v>20.9643662464545</v>
      </c>
      <c r="C47" s="3">
        <v>15.9032455761203</v>
      </c>
      <c r="D47" s="3">
        <v>14.9050084693492</v>
      </c>
      <c r="E47" s="3">
        <v>13.4818469676368</v>
      </c>
      <c r="F47" s="3">
        <v>14.824058295345001</v>
      </c>
      <c r="G47" s="3">
        <v>17.342758821493501</v>
      </c>
      <c r="H47" s="3">
        <v>14.145621020314</v>
      </c>
      <c r="I47" s="3">
        <v>20.8845307369388</v>
      </c>
      <c r="J47" s="3">
        <v>17.456793164370801</v>
      </c>
      <c r="K47" s="3">
        <v>14.883011983911</v>
      </c>
      <c r="L47" s="3">
        <v>16.011029812541999</v>
      </c>
      <c r="M47" s="3">
        <v>16.473281584193501</v>
      </c>
      <c r="N47" s="3">
        <v>13.065464242630901</v>
      </c>
    </row>
    <row r="48" spans="1:14" x14ac:dyDescent="0.35">
      <c r="A48" s="2">
        <v>43161</v>
      </c>
      <c r="B48" s="3">
        <v>20.254594308011001</v>
      </c>
      <c r="C48" s="3">
        <v>15.3294363410676</v>
      </c>
      <c r="D48" s="3">
        <v>14.283873676519701</v>
      </c>
      <c r="E48" s="3">
        <v>12.601035925087</v>
      </c>
      <c r="F48" s="3">
        <v>12.8016957965391</v>
      </c>
      <c r="G48" s="3">
        <v>16.012439647369099</v>
      </c>
      <c r="H48" s="3">
        <v>12.809925528928501</v>
      </c>
      <c r="I48" s="3">
        <v>20.642610483319199</v>
      </c>
      <c r="J48" s="3">
        <v>16.718629415762699</v>
      </c>
      <c r="K48" s="3">
        <v>14.1847968466843</v>
      </c>
      <c r="L48" s="3">
        <v>15.1871700478783</v>
      </c>
      <c r="M48" s="3">
        <v>15.754175907265299</v>
      </c>
      <c r="N48" s="3">
        <v>12.304692368396701</v>
      </c>
    </row>
    <row r="49" spans="1:14" x14ac:dyDescent="0.35">
      <c r="A49" s="2">
        <v>43192</v>
      </c>
      <c r="B49" s="3">
        <v>19.939052317639401</v>
      </c>
      <c r="C49" s="3">
        <v>14.713941488510599</v>
      </c>
      <c r="D49" s="3">
        <v>14.000402760760499</v>
      </c>
      <c r="E49" s="3">
        <v>12.7571192386101</v>
      </c>
      <c r="F49" s="3">
        <v>12.707530558025001</v>
      </c>
      <c r="G49" s="3">
        <v>16.077422996270901</v>
      </c>
      <c r="H49" s="3">
        <v>13.214151070556699</v>
      </c>
      <c r="I49" s="3">
        <v>19.173702443229001</v>
      </c>
      <c r="J49" s="3">
        <v>15.9458644670963</v>
      </c>
      <c r="K49" s="3">
        <v>14.197910499258199</v>
      </c>
      <c r="L49" s="3">
        <v>15.355985564399001</v>
      </c>
      <c r="M49" s="3">
        <v>15.8088925977044</v>
      </c>
      <c r="N49" s="3">
        <v>12.4245778462623</v>
      </c>
    </row>
    <row r="50" spans="1:14" x14ac:dyDescent="0.35">
      <c r="A50" s="2">
        <v>43222</v>
      </c>
      <c r="B50" s="3">
        <v>20.193780480733501</v>
      </c>
      <c r="C50" s="3">
        <v>15.310702094383499</v>
      </c>
      <c r="D50" s="3">
        <v>14.1107317693331</v>
      </c>
      <c r="E50" s="3">
        <v>13.3777548183061</v>
      </c>
      <c r="F50" s="3">
        <v>13.1895254054524</v>
      </c>
      <c r="G50" s="3">
        <v>16.154070829715401</v>
      </c>
      <c r="H50" s="3">
        <v>13.758210333462401</v>
      </c>
      <c r="I50" s="3">
        <v>19.391005560711601</v>
      </c>
      <c r="J50" s="3">
        <v>15.9608316491843</v>
      </c>
      <c r="K50" s="3">
        <v>14.8208463333581</v>
      </c>
      <c r="L50" s="3">
        <v>15.649940817218701</v>
      </c>
      <c r="M50" s="3">
        <v>15.981173209402</v>
      </c>
      <c r="N50" s="3">
        <v>13.1617917573454</v>
      </c>
    </row>
    <row r="51" spans="1:14" x14ac:dyDescent="0.35">
      <c r="A51" s="2">
        <v>43252</v>
      </c>
      <c r="B51" s="3">
        <v>20.490978005756901</v>
      </c>
      <c r="C51" s="3">
        <v>15.035679281273101</v>
      </c>
      <c r="D51" s="3">
        <v>14.1750368162333</v>
      </c>
      <c r="E51" s="3">
        <v>13.1606055802944</v>
      </c>
      <c r="F51" s="3">
        <v>12.9500813214387</v>
      </c>
      <c r="G51" s="3">
        <v>15.689540932587001</v>
      </c>
      <c r="H51" s="3">
        <v>13.6334728503001</v>
      </c>
      <c r="I51" s="3">
        <v>20.393196250070499</v>
      </c>
      <c r="J51" s="3">
        <v>16.3485048016767</v>
      </c>
      <c r="K51" s="3">
        <v>14.441501121108599</v>
      </c>
      <c r="L51" s="3">
        <v>15.8200460711922</v>
      </c>
      <c r="M51" s="3">
        <v>15.570142521265099</v>
      </c>
      <c r="N51" s="3">
        <v>11.742044653925401</v>
      </c>
    </row>
    <row r="52" spans="1:14" x14ac:dyDescent="0.35">
      <c r="A52" s="2">
        <v>43283</v>
      </c>
      <c r="B52" s="3">
        <v>21.109551881207299</v>
      </c>
      <c r="C52" s="3">
        <v>15.392999127242</v>
      </c>
      <c r="D52" s="3">
        <v>14.2362035326613</v>
      </c>
      <c r="E52" s="3">
        <v>12.6551530958979</v>
      </c>
      <c r="F52" s="3">
        <v>12.6616870991746</v>
      </c>
      <c r="G52" s="3">
        <v>15.4454320982768</v>
      </c>
      <c r="H52" s="3">
        <v>13.0949434402468</v>
      </c>
      <c r="I52" s="3">
        <v>20.239007527991401</v>
      </c>
      <c r="J52" s="3">
        <v>16.154838077367799</v>
      </c>
      <c r="K52" s="3">
        <v>13.8257766445246</v>
      </c>
      <c r="L52" s="3">
        <v>15.377215944557699</v>
      </c>
      <c r="M52" s="3">
        <v>15.183393516715</v>
      </c>
      <c r="N52" s="3">
        <v>11.2610184652365</v>
      </c>
    </row>
    <row r="53" spans="1:14" x14ac:dyDescent="0.35">
      <c r="A53" s="2">
        <v>43314</v>
      </c>
      <c r="B53" s="3">
        <v>20.854744261873599</v>
      </c>
      <c r="C53" s="3">
        <v>15.521467401302999</v>
      </c>
      <c r="D53" s="3">
        <v>14.135509501053299</v>
      </c>
      <c r="E53" s="3">
        <v>12.9749138485058</v>
      </c>
      <c r="F53" s="3">
        <v>12.8948111470092</v>
      </c>
      <c r="G53" s="3">
        <v>16.2688416507258</v>
      </c>
      <c r="H53" s="3">
        <v>13.0263077546348</v>
      </c>
      <c r="I53" s="3">
        <v>20.504691281006199</v>
      </c>
      <c r="J53" s="3">
        <v>16.505117404364</v>
      </c>
      <c r="K53" s="3">
        <v>14.0496036708931</v>
      </c>
      <c r="L53" s="3">
        <v>15.889090440005701</v>
      </c>
      <c r="M53" s="3">
        <v>15.4466694800236</v>
      </c>
      <c r="N53" s="3">
        <v>11.306230302660101</v>
      </c>
    </row>
    <row r="54" spans="1:14" x14ac:dyDescent="0.35">
      <c r="A54" s="2">
        <v>43343</v>
      </c>
      <c r="B54" s="3">
        <v>22.0706051942858</v>
      </c>
      <c r="C54" s="3">
        <v>15.6920441685479</v>
      </c>
      <c r="D54" s="3">
        <v>13.8050323583318</v>
      </c>
      <c r="E54" s="3">
        <v>12.848778393306301</v>
      </c>
      <c r="F54" s="3">
        <v>12.6994134229768</v>
      </c>
      <c r="G54" s="3">
        <v>16.032058781663199</v>
      </c>
      <c r="H54" s="3">
        <v>12.635829076154399</v>
      </c>
      <c r="I54" s="3">
        <v>21.143952225625799</v>
      </c>
      <c r="J54" s="3">
        <v>16.8103827441345</v>
      </c>
      <c r="K54" s="3">
        <v>13.7846595155505</v>
      </c>
      <c r="L54" s="3">
        <v>15.4862825689879</v>
      </c>
      <c r="M54" s="3">
        <v>15.8653631698662</v>
      </c>
      <c r="N54" s="3">
        <v>10.5885717201615</v>
      </c>
    </row>
    <row r="55" spans="1:14" x14ac:dyDescent="0.35">
      <c r="A55" s="2">
        <v>43375</v>
      </c>
      <c r="B55" s="3">
        <v>21.608628772655301</v>
      </c>
      <c r="C55" s="3">
        <v>15.0558347028478</v>
      </c>
      <c r="D55" s="3">
        <v>13.5208818502454</v>
      </c>
      <c r="E55" s="3">
        <v>12.7006760792686</v>
      </c>
      <c r="F55" s="3">
        <v>13.3874349816557</v>
      </c>
      <c r="G55" s="3">
        <v>16.0254333105499</v>
      </c>
      <c r="H55" s="3">
        <v>12.683080070550499</v>
      </c>
      <c r="I55" s="3">
        <v>20.8682097263403</v>
      </c>
      <c r="J55" s="3">
        <v>16.825820620343301</v>
      </c>
      <c r="K55" s="3">
        <v>13.765322495854299</v>
      </c>
      <c r="L55" s="3">
        <v>14.9325696312241</v>
      </c>
      <c r="M55" s="3">
        <v>15.8235302616642</v>
      </c>
      <c r="N55" s="3">
        <v>10.5105541138501</v>
      </c>
    </row>
    <row r="56" spans="1:14" x14ac:dyDescent="0.35">
      <c r="A56" s="2">
        <v>43406</v>
      </c>
      <c r="B56" s="3">
        <v>20.314925312088299</v>
      </c>
      <c r="C56" s="3">
        <v>14.391214580640201</v>
      </c>
      <c r="D56" s="3">
        <v>12.629501922295599</v>
      </c>
      <c r="E56" s="3">
        <v>11.8116826163144</v>
      </c>
      <c r="F56" s="3">
        <v>12.116717220033101</v>
      </c>
      <c r="G56" s="3">
        <v>15.717762503358401</v>
      </c>
      <c r="H56" s="3">
        <v>11.866566645645801</v>
      </c>
      <c r="I56" s="3">
        <v>18.8850673113004</v>
      </c>
      <c r="J56" s="3">
        <v>15.569295059131401</v>
      </c>
      <c r="K56" s="3">
        <v>12.836682800551101</v>
      </c>
      <c r="L56" s="3">
        <v>14.217537255862601</v>
      </c>
      <c r="M56" s="3">
        <v>14.6065068232269</v>
      </c>
      <c r="N56" s="3">
        <v>9.9400295615815892</v>
      </c>
    </row>
    <row r="57" spans="1:14" x14ac:dyDescent="0.35">
      <c r="A57" s="2">
        <v>43434</v>
      </c>
      <c r="B57" s="3">
        <v>19.9671800715046</v>
      </c>
      <c r="C57" s="3">
        <v>14.057780519792001</v>
      </c>
      <c r="D57" s="3">
        <v>12.675442121711299</v>
      </c>
      <c r="E57" s="3">
        <v>11.526251013224099</v>
      </c>
      <c r="F57" s="3">
        <v>12.2456849881368</v>
      </c>
      <c r="G57" s="3">
        <v>15.646935610208001</v>
      </c>
      <c r="H57" s="3">
        <v>11.704956023789499</v>
      </c>
      <c r="I57" s="3">
        <v>18.811449863360099</v>
      </c>
      <c r="J57" s="3">
        <v>15.7392730597703</v>
      </c>
      <c r="K57" s="3">
        <v>12.5043562104057</v>
      </c>
      <c r="L57" s="3">
        <v>14.122416896252</v>
      </c>
      <c r="M57" s="3">
        <v>14.149254482645199</v>
      </c>
      <c r="N57" s="3">
        <v>9.6810525954438997</v>
      </c>
    </row>
    <row r="58" spans="1:14" x14ac:dyDescent="0.35">
      <c r="A58" s="2">
        <v>43467</v>
      </c>
      <c r="B58" s="3">
        <v>20.027997103867602</v>
      </c>
      <c r="C58" s="3">
        <v>13.730810069772</v>
      </c>
      <c r="D58" s="3">
        <v>12.1586267630018</v>
      </c>
      <c r="E58" s="3">
        <v>10.9421979170739</v>
      </c>
      <c r="F58" s="3">
        <v>11.1004679303178</v>
      </c>
      <c r="G58" s="3">
        <v>14.477190948760001</v>
      </c>
      <c r="H58" s="3">
        <v>11.353668314145899</v>
      </c>
      <c r="I58" s="3">
        <v>17.281583910738501</v>
      </c>
      <c r="J58" s="3">
        <v>14.4292822610686</v>
      </c>
      <c r="K58" s="3">
        <v>11.7676627110851</v>
      </c>
      <c r="L58" s="3">
        <v>13.0392585900945</v>
      </c>
      <c r="M58" s="3">
        <v>13.3207519495955</v>
      </c>
      <c r="N58" s="3">
        <v>9.15309727874026</v>
      </c>
    </row>
    <row r="59" spans="1:14" x14ac:dyDescent="0.35">
      <c r="A59" s="2">
        <v>43497</v>
      </c>
      <c r="B59" s="3">
        <v>20.458687412802099</v>
      </c>
      <c r="C59" s="3">
        <v>14.618089844254101</v>
      </c>
      <c r="D59" s="3">
        <v>13.6454069515695</v>
      </c>
      <c r="E59" s="3">
        <v>11.735178520677101</v>
      </c>
      <c r="F59" s="3">
        <v>11.918258699116301</v>
      </c>
      <c r="G59" s="3">
        <v>15.5825025071396</v>
      </c>
      <c r="H59" s="3">
        <v>12.2478018688638</v>
      </c>
      <c r="I59" s="3">
        <v>18.985088796116599</v>
      </c>
      <c r="J59" s="3">
        <v>15.782974885227</v>
      </c>
      <c r="K59" s="3">
        <v>12.9237369222963</v>
      </c>
      <c r="L59" s="3">
        <v>14.1490824801262</v>
      </c>
      <c r="M59" s="3">
        <v>14.216734947416001</v>
      </c>
      <c r="N59" s="3">
        <v>9.8950420130967203</v>
      </c>
    </row>
    <row r="60" spans="1:14" x14ac:dyDescent="0.35">
      <c r="A60" s="2">
        <v>43525</v>
      </c>
      <c r="B60" s="3">
        <v>21.630399225427801</v>
      </c>
      <c r="C60" s="3">
        <v>15.438979130833401</v>
      </c>
      <c r="D60" s="3">
        <v>14.188922745809901</v>
      </c>
      <c r="E60" s="3">
        <v>12.222571560444599</v>
      </c>
      <c r="F60" s="3">
        <v>12.572848675728</v>
      </c>
      <c r="G60" s="3">
        <v>16.387212962816001</v>
      </c>
      <c r="H60" s="3">
        <v>12.416293908933399</v>
      </c>
      <c r="I60" s="3">
        <v>19.823892011731701</v>
      </c>
      <c r="J60" s="3">
        <v>16.332083637411301</v>
      </c>
      <c r="K60" s="3">
        <v>13.5461494041884</v>
      </c>
      <c r="L60" s="3">
        <v>14.979078434099</v>
      </c>
      <c r="M60" s="3">
        <v>14.8597644903292</v>
      </c>
      <c r="N60" s="3">
        <v>10.491147927424301</v>
      </c>
    </row>
    <row r="61" spans="1:14" x14ac:dyDescent="0.35">
      <c r="A61" s="2">
        <v>43557</v>
      </c>
      <c r="B61" s="3">
        <v>22.535340136945599</v>
      </c>
      <c r="C61" s="3">
        <v>15.390116473176199</v>
      </c>
      <c r="D61" s="3">
        <v>14.2180997649979</v>
      </c>
      <c r="E61" s="3">
        <v>12.3752259131307</v>
      </c>
      <c r="F61" s="3">
        <v>12.6228289442525</v>
      </c>
      <c r="G61" s="3">
        <v>16.668725310585401</v>
      </c>
      <c r="H61" s="3">
        <v>12.7255634844932</v>
      </c>
      <c r="I61" s="3">
        <v>20.650996745109001</v>
      </c>
      <c r="J61" s="3">
        <v>16.593743875807501</v>
      </c>
      <c r="K61" s="3">
        <v>13.783270847898599</v>
      </c>
      <c r="L61" s="3">
        <v>15.355898094416199</v>
      </c>
      <c r="M61" s="3">
        <v>14.9743617129767</v>
      </c>
      <c r="N61" s="3">
        <v>10.8729236673167</v>
      </c>
    </row>
    <row r="62" spans="1:14" x14ac:dyDescent="0.35">
      <c r="A62" s="2">
        <v>43587</v>
      </c>
      <c r="B62" s="3">
        <v>22.953105635677201</v>
      </c>
      <c r="C62" s="3">
        <v>15.389401616646801</v>
      </c>
      <c r="D62" s="3">
        <v>13.7503231651869</v>
      </c>
      <c r="E62" s="3">
        <v>12.969570463196201</v>
      </c>
      <c r="F62" s="3">
        <v>12.744790923793801</v>
      </c>
      <c r="G62" s="3">
        <v>16.8946081872127</v>
      </c>
      <c r="H62" s="3">
        <v>12.561749417002799</v>
      </c>
      <c r="I62" s="3">
        <v>21.121288586269799</v>
      </c>
      <c r="J62" s="3">
        <v>16.747163799244301</v>
      </c>
      <c r="K62" s="3">
        <v>14.015807793224599</v>
      </c>
      <c r="L62" s="3">
        <v>15.737101285556101</v>
      </c>
      <c r="M62" s="3">
        <v>15.575941692213799</v>
      </c>
      <c r="N62" s="3">
        <v>10.8503349599861</v>
      </c>
    </row>
    <row r="63" spans="1:14" x14ac:dyDescent="0.35">
      <c r="A63" s="2">
        <v>43616</v>
      </c>
      <c r="B63" s="3">
        <v>22.974840903761301</v>
      </c>
      <c r="C63" s="3">
        <v>15.506151760668899</v>
      </c>
      <c r="D63" s="3">
        <v>13.342833980720901</v>
      </c>
      <c r="E63" s="3">
        <v>12.110914827464599</v>
      </c>
      <c r="F63" s="3">
        <v>12.1876913137614</v>
      </c>
      <c r="G63" s="3">
        <v>16.463023262121499</v>
      </c>
      <c r="H63" s="3">
        <v>12.118626474750499</v>
      </c>
      <c r="I63" s="3">
        <v>19.350356014376601</v>
      </c>
      <c r="J63" s="3">
        <v>15.684893028141801</v>
      </c>
      <c r="K63" s="3">
        <v>13.1707166827115</v>
      </c>
      <c r="L63" s="3">
        <v>14.840574607422599</v>
      </c>
      <c r="M63" s="3">
        <v>14.066354071726099</v>
      </c>
      <c r="N63" s="3">
        <v>9.7488061889318498</v>
      </c>
    </row>
    <row r="64" spans="1:14" x14ac:dyDescent="0.35">
      <c r="A64" s="2">
        <v>43648</v>
      </c>
      <c r="B64" s="3">
        <v>23.8773395308794</v>
      </c>
      <c r="C64" s="3">
        <v>16.206237666910098</v>
      </c>
      <c r="D64" s="3">
        <v>13.693003450729</v>
      </c>
      <c r="E64" s="3">
        <v>12.8783929201644</v>
      </c>
      <c r="F64" s="3">
        <v>13.016988270595601</v>
      </c>
      <c r="G64" s="3">
        <v>17.282206880993702</v>
      </c>
      <c r="H64" s="3">
        <v>12.745484537439101</v>
      </c>
      <c r="I64" s="3">
        <v>21.1322295217748</v>
      </c>
      <c r="J64" s="3">
        <v>16.908098948125701</v>
      </c>
      <c r="K64" s="3">
        <v>13.970119699317999</v>
      </c>
      <c r="L64" s="3">
        <v>15.6066383974013</v>
      </c>
      <c r="M64" s="3">
        <v>15.186985719266501</v>
      </c>
      <c r="N64" s="3">
        <v>10.5465957016108</v>
      </c>
    </row>
    <row r="65" spans="1:14" x14ac:dyDescent="0.35">
      <c r="A65" s="2">
        <v>43679</v>
      </c>
      <c r="B65" s="3">
        <v>24.724118791870101</v>
      </c>
      <c r="C65" s="3">
        <v>16.316221285610101</v>
      </c>
      <c r="D65" s="3">
        <v>13.5458192811406</v>
      </c>
      <c r="E65" s="3">
        <v>12.5713738736076</v>
      </c>
      <c r="F65" s="3">
        <v>12.6129594382199</v>
      </c>
      <c r="G65" s="3">
        <v>16.928300343456701</v>
      </c>
      <c r="H65" s="3">
        <v>12.3144106681021</v>
      </c>
      <c r="I65" s="3">
        <v>20.6348273258007</v>
      </c>
      <c r="J65" s="3">
        <v>16.670913707406399</v>
      </c>
      <c r="K65" s="3">
        <v>13.6054903864722</v>
      </c>
      <c r="L65" s="3">
        <v>15.3613052878032</v>
      </c>
      <c r="M65" s="3">
        <v>14.578276292681601</v>
      </c>
      <c r="N65" s="3">
        <v>10.3747233306414</v>
      </c>
    </row>
    <row r="66" spans="1:14" x14ac:dyDescent="0.35">
      <c r="A66" s="2">
        <v>43706</v>
      </c>
      <c r="B66" s="3">
        <v>25.275378687967098</v>
      </c>
      <c r="C66" s="3">
        <v>15.9437412283025</v>
      </c>
      <c r="D66" s="3">
        <v>13.644417231601</v>
      </c>
      <c r="E66" s="3">
        <v>12.513945099149501</v>
      </c>
      <c r="F66" s="3">
        <v>12.3809220234027</v>
      </c>
      <c r="G66" s="3">
        <v>16.899033037895698</v>
      </c>
      <c r="H66" s="3">
        <v>11.996541700669299</v>
      </c>
      <c r="I66" s="3">
        <v>20.455437851334299</v>
      </c>
      <c r="J66" s="3">
        <v>16.561279727238801</v>
      </c>
      <c r="K66" s="3">
        <v>13.7897919750858</v>
      </c>
      <c r="L66" s="3">
        <v>15.411123558288599</v>
      </c>
      <c r="M66" s="3">
        <v>13.7512240892693</v>
      </c>
      <c r="N66" s="3">
        <v>10.5133520374046</v>
      </c>
    </row>
    <row r="67" spans="1:14" x14ac:dyDescent="0.35">
      <c r="A67" s="2">
        <v>43740</v>
      </c>
      <c r="B67" s="3">
        <v>25.514637183645501</v>
      </c>
      <c r="C67" s="3">
        <v>16.528865451495999</v>
      </c>
      <c r="D67" s="3">
        <v>13.626766108956801</v>
      </c>
      <c r="E67" s="3">
        <v>12.5660568294411</v>
      </c>
      <c r="F67" s="3">
        <v>13.245693772032499</v>
      </c>
      <c r="G67" s="3">
        <v>16.5997819489642</v>
      </c>
      <c r="H67" s="3">
        <v>11.970091513788899</v>
      </c>
      <c r="I67" s="3">
        <v>19.897263495816901</v>
      </c>
      <c r="J67" s="3">
        <v>16.300781324570501</v>
      </c>
      <c r="K67" s="3">
        <v>13.5875574764354</v>
      </c>
      <c r="L67" s="3">
        <v>15.737420691559199</v>
      </c>
      <c r="M67" s="3">
        <v>14.5281935068229</v>
      </c>
      <c r="N67" s="3">
        <v>10.4034490994205</v>
      </c>
    </row>
    <row r="68" spans="1:14" x14ac:dyDescent="0.35">
      <c r="A68" s="2">
        <v>43770</v>
      </c>
      <c r="B68" s="3">
        <v>24.8057520303655</v>
      </c>
      <c r="C68" s="3">
        <v>16.908821260170999</v>
      </c>
      <c r="D68" s="3">
        <v>14.047847349648601</v>
      </c>
      <c r="E68" s="3">
        <v>13.651618672883</v>
      </c>
      <c r="F68" s="3">
        <v>13.8323194363781</v>
      </c>
      <c r="G68" s="3">
        <v>17.373381504783602</v>
      </c>
      <c r="H68" s="3">
        <v>12.721959000882</v>
      </c>
      <c r="I68" s="3">
        <v>21.3230855569571</v>
      </c>
      <c r="J68" s="3">
        <v>17.3374648120075</v>
      </c>
      <c r="K68" s="3">
        <v>14.5228116935166</v>
      </c>
      <c r="L68" s="3">
        <v>16.3425801953689</v>
      </c>
      <c r="M68" s="3">
        <v>15.7451263341126</v>
      </c>
      <c r="N68" s="3">
        <v>11.1590078572378</v>
      </c>
    </row>
    <row r="69" spans="1:14" x14ac:dyDescent="0.35">
      <c r="A69" s="2">
        <v>43801</v>
      </c>
      <c r="B69" s="3">
        <v>25.918792071276101</v>
      </c>
      <c r="C69" s="3">
        <v>17.4573767115835</v>
      </c>
      <c r="D69" s="3">
        <v>14.3236016319232</v>
      </c>
      <c r="E69" s="3">
        <v>13.812604024716199</v>
      </c>
      <c r="F69" s="3">
        <v>14.401511691989199</v>
      </c>
      <c r="G69" s="3">
        <v>17.316936797868301</v>
      </c>
      <c r="H69" s="3">
        <v>12.8839123847736</v>
      </c>
      <c r="I69" s="3">
        <v>21.737804545863199</v>
      </c>
      <c r="J69" s="3">
        <v>17.5501278705955</v>
      </c>
      <c r="K69" s="3">
        <v>14.460455349434</v>
      </c>
      <c r="L69" s="3">
        <v>16.445089145919798</v>
      </c>
      <c r="M69" s="3">
        <v>15.4198607977394</v>
      </c>
      <c r="N69" s="3">
        <v>11.009646077539299</v>
      </c>
    </row>
    <row r="70" spans="1:14" x14ac:dyDescent="0.35">
      <c r="A70" s="2">
        <v>43832</v>
      </c>
      <c r="B70" s="3">
        <v>25.6708109996685</v>
      </c>
      <c r="C70" s="3">
        <v>17.164537565554401</v>
      </c>
      <c r="D70" s="3">
        <v>14.448344889993001</v>
      </c>
      <c r="E70" s="3">
        <v>14.251785087504601</v>
      </c>
      <c r="F70" s="3">
        <v>14.5196080573663</v>
      </c>
      <c r="G70" s="3">
        <v>17.8094104954972</v>
      </c>
      <c r="H70" s="3">
        <v>13.5290698433994</v>
      </c>
      <c r="I70" s="3">
        <v>23.079680715547301</v>
      </c>
      <c r="J70" s="3">
        <v>18.302469119832399</v>
      </c>
      <c r="K70" s="3">
        <v>15.028782545625001</v>
      </c>
      <c r="L70" s="3">
        <v>17.244618774704101</v>
      </c>
      <c r="M70" s="3">
        <v>16.445665590244499</v>
      </c>
      <c r="N70" s="3">
        <v>11.510054322043</v>
      </c>
    </row>
    <row r="71" spans="1:14" x14ac:dyDescent="0.35">
      <c r="A71" s="2">
        <v>43861</v>
      </c>
      <c r="B71" s="3">
        <v>26.175592661348801</v>
      </c>
      <c r="C71" s="3">
        <v>17.899793054860901</v>
      </c>
      <c r="D71" s="3">
        <v>14.457673576329601</v>
      </c>
      <c r="E71" s="3">
        <v>13.8458279539415</v>
      </c>
      <c r="F71" s="3">
        <v>14.214377314546599</v>
      </c>
      <c r="G71" s="3">
        <v>17.8411205610265</v>
      </c>
      <c r="H71" s="3">
        <v>13.0766565693587</v>
      </c>
      <c r="I71" s="3">
        <v>22.777200936903998</v>
      </c>
      <c r="J71" s="3">
        <v>18.053586490975398</v>
      </c>
      <c r="K71" s="3">
        <v>14.520403639620101</v>
      </c>
      <c r="L71" s="3">
        <v>16.818945664241099</v>
      </c>
      <c r="M71" s="3">
        <v>16.099525076418502</v>
      </c>
      <c r="N71" s="3">
        <v>11.240492013789</v>
      </c>
    </row>
    <row r="72" spans="1:14" x14ac:dyDescent="0.35">
      <c r="A72" s="2">
        <v>43892</v>
      </c>
      <c r="B72" s="3">
        <v>25.2709246185429</v>
      </c>
      <c r="C72" s="3">
        <v>16.368351996041302</v>
      </c>
      <c r="D72" s="3">
        <v>14.168412592955001</v>
      </c>
      <c r="E72" s="3">
        <v>12.627498511474</v>
      </c>
      <c r="F72" s="3">
        <v>13.0612053019986</v>
      </c>
      <c r="G72" s="3">
        <v>16.7046344705549</v>
      </c>
      <c r="H72" s="3">
        <v>11.989542104642</v>
      </c>
      <c r="I72" s="3">
        <v>22.402396067229301</v>
      </c>
      <c r="J72" s="3">
        <v>17.3306340425546</v>
      </c>
      <c r="K72" s="3">
        <v>13.5323086539361</v>
      </c>
      <c r="L72" s="3">
        <v>15.768996556130199</v>
      </c>
      <c r="M72" s="3">
        <v>15.134409254803799</v>
      </c>
      <c r="N72" s="3">
        <v>10.288239754883</v>
      </c>
    </row>
    <row r="73" spans="1:14" x14ac:dyDescent="0.35">
      <c r="A73" s="2">
        <v>43923</v>
      </c>
      <c r="B73" s="3">
        <v>25.222721805016501</v>
      </c>
      <c r="C73" s="3">
        <v>14.324885101106</v>
      </c>
      <c r="D73" s="3">
        <v>13.084174249676201</v>
      </c>
      <c r="E73" s="3">
        <v>11.8165897695777</v>
      </c>
      <c r="F73" s="3">
        <v>11.7108097470109</v>
      </c>
      <c r="G73" s="3">
        <v>16.084101461331802</v>
      </c>
      <c r="H73" s="3">
        <v>11.8906721263028</v>
      </c>
      <c r="I73" s="3">
        <v>20.325173021535001</v>
      </c>
      <c r="J73" s="3">
        <v>15.4896829535845</v>
      </c>
      <c r="K73" s="3">
        <v>12.4758077620672</v>
      </c>
      <c r="L73" s="3">
        <v>14.128437791906601</v>
      </c>
      <c r="M73" s="3">
        <v>14.262642706704201</v>
      </c>
      <c r="N73" s="3">
        <v>9.6883562381134194</v>
      </c>
    </row>
    <row r="74" spans="1:14" x14ac:dyDescent="0.35">
      <c r="A74" s="2">
        <v>43952</v>
      </c>
      <c r="B74" s="3">
        <v>28.862777574899901</v>
      </c>
      <c r="C74" s="3">
        <v>16.6199755158604</v>
      </c>
      <c r="D74" s="3">
        <v>16.398359172072301</v>
      </c>
      <c r="E74" s="3">
        <v>15.1729980028329</v>
      </c>
      <c r="F74" s="3">
        <v>13.801509708016001</v>
      </c>
      <c r="G74" s="3">
        <v>18.383814161020901</v>
      </c>
      <c r="H74" s="3">
        <v>14.5914088601471</v>
      </c>
      <c r="I74" s="3">
        <v>24.7721688398222</v>
      </c>
      <c r="J74" s="3">
        <v>19.891574361297799</v>
      </c>
      <c r="K74" s="3">
        <v>16.544031241321299</v>
      </c>
      <c r="L74" s="3">
        <v>17.214459974744202</v>
      </c>
      <c r="M74" s="3">
        <v>17.206361157090701</v>
      </c>
      <c r="N74" s="3">
        <v>13.3841180198839</v>
      </c>
    </row>
    <row r="75" spans="1:14" x14ac:dyDescent="0.35">
      <c r="A75" s="2">
        <v>43984</v>
      </c>
      <c r="B75" s="3">
        <v>30.076768715456801</v>
      </c>
      <c r="C75" s="3">
        <v>18.968218532062199</v>
      </c>
      <c r="D75" s="3">
        <v>18.1032725480346</v>
      </c>
      <c r="E75" s="3">
        <v>17.386593335780201</v>
      </c>
      <c r="F75" s="3">
        <v>16.814031340135799</v>
      </c>
      <c r="G75" s="3">
        <v>19.184543756613301</v>
      </c>
      <c r="H75" s="3">
        <v>16.219223171338001</v>
      </c>
      <c r="I75" s="3">
        <v>27.596565913659099</v>
      </c>
      <c r="J75" s="3">
        <v>21.8551188595494</v>
      </c>
      <c r="K75" s="3">
        <v>18.381227310674198</v>
      </c>
      <c r="L75" s="3">
        <v>18.763024195007802</v>
      </c>
      <c r="M75" s="3">
        <v>19.159539810944999</v>
      </c>
      <c r="N75" s="3">
        <v>17.017984383521899</v>
      </c>
    </row>
    <row r="76" spans="1:14" x14ac:dyDescent="0.35">
      <c r="A76" s="2">
        <v>44014</v>
      </c>
      <c r="B76" s="3">
        <v>31.142988065259502</v>
      </c>
      <c r="C76" s="3">
        <v>19.225605868828499</v>
      </c>
      <c r="D76" s="3">
        <v>17.711115788051401</v>
      </c>
      <c r="E76" s="3">
        <v>18.152960269473802</v>
      </c>
      <c r="F76" s="3">
        <v>17.4757354556981</v>
      </c>
      <c r="G76" s="3">
        <v>19.5197212042751</v>
      </c>
      <c r="H76" s="3">
        <v>16.011173469968501</v>
      </c>
      <c r="I76" s="3">
        <v>28.823008234470201</v>
      </c>
      <c r="J76" s="3">
        <v>21.853012740826198</v>
      </c>
      <c r="K76" s="3">
        <v>19.280975255724101</v>
      </c>
      <c r="L76" s="3">
        <v>19.834672883710098</v>
      </c>
      <c r="M76" s="3">
        <v>19.696254065976401</v>
      </c>
      <c r="N76" s="3">
        <v>17.976099175463201</v>
      </c>
    </row>
    <row r="77" spans="1:14" x14ac:dyDescent="0.35">
      <c r="A77" s="2">
        <v>44043</v>
      </c>
      <c r="B77" s="3">
        <v>31.918968538212201</v>
      </c>
      <c r="C77" s="3">
        <v>19.0209536693887</v>
      </c>
      <c r="D77" s="3">
        <v>17.593613751697699</v>
      </c>
      <c r="E77" s="3">
        <v>17.413262723112702</v>
      </c>
      <c r="F77" s="3">
        <v>17.091251009298499</v>
      </c>
      <c r="G77" s="3">
        <v>19.225382788557599</v>
      </c>
      <c r="H77" s="3">
        <v>15.1112646372904</v>
      </c>
      <c r="I77" s="3">
        <v>28.909678526575501</v>
      </c>
      <c r="J77" s="3">
        <v>21.9340536091396</v>
      </c>
      <c r="K77" s="3">
        <v>19.2534714877659</v>
      </c>
      <c r="L77" s="3">
        <v>19.407070145232201</v>
      </c>
      <c r="M77" s="3">
        <v>18.1484750364984</v>
      </c>
      <c r="N77" s="3">
        <v>16.4093384617975</v>
      </c>
    </row>
    <row r="78" spans="1:14" x14ac:dyDescent="0.35">
      <c r="A78" s="2">
        <v>44076</v>
      </c>
      <c r="B78" s="3">
        <v>32.681227210339102</v>
      </c>
      <c r="C78" s="3">
        <v>19.4866354147462</v>
      </c>
      <c r="D78" s="3">
        <v>17.316326381690601</v>
      </c>
      <c r="E78" s="3">
        <v>18.055810763126601</v>
      </c>
      <c r="F78" s="3">
        <v>18.194788944620701</v>
      </c>
      <c r="G78" s="3">
        <v>19.6407998370535</v>
      </c>
      <c r="H78" s="3">
        <v>15.2453818169686</v>
      </c>
      <c r="I78" s="3">
        <v>32.309429653073302</v>
      </c>
      <c r="J78" s="3">
        <v>23.366549110829201</v>
      </c>
      <c r="K78" s="3">
        <v>19.510967645277201</v>
      </c>
      <c r="L78" s="3">
        <v>20.063716454862401</v>
      </c>
      <c r="M78" s="3">
        <v>18.242169853887798</v>
      </c>
      <c r="N78" s="3">
        <v>15.8478122473414</v>
      </c>
    </row>
    <row r="79" spans="1:14" x14ac:dyDescent="0.35">
      <c r="A79" s="2">
        <v>44106</v>
      </c>
      <c r="B79" s="3">
        <v>31.953988257377901</v>
      </c>
      <c r="C79" s="3">
        <v>17.894931377431099</v>
      </c>
      <c r="D79" s="3">
        <v>16.221944938906201</v>
      </c>
      <c r="E79" s="3">
        <v>16.763918198811702</v>
      </c>
      <c r="F79" s="3">
        <v>17.901166984230301</v>
      </c>
      <c r="G79" s="3">
        <v>19.051257079186598</v>
      </c>
      <c r="H79" s="3">
        <v>14.3894354453942</v>
      </c>
      <c r="I79" s="3">
        <v>28.772126087432799</v>
      </c>
      <c r="J79" s="3">
        <v>21.3957099989345</v>
      </c>
      <c r="K79" s="3">
        <v>18.082150486385899</v>
      </c>
      <c r="L79" s="3">
        <v>19.452667663261298</v>
      </c>
      <c r="M79" s="3">
        <v>18.147052298221201</v>
      </c>
      <c r="N79" s="3">
        <v>14.5590336185972</v>
      </c>
    </row>
    <row r="80" spans="1:14" x14ac:dyDescent="0.35">
      <c r="A80" s="2">
        <v>44137</v>
      </c>
      <c r="B80" s="3">
        <v>32.449982037939897</v>
      </c>
      <c r="C80" s="3">
        <v>17.884131203087801</v>
      </c>
      <c r="D80" s="3">
        <v>15.2033216650615</v>
      </c>
      <c r="E80" s="3">
        <v>14.7444642317716</v>
      </c>
      <c r="F80" s="3">
        <v>17.388738916977701</v>
      </c>
      <c r="G80" s="3">
        <v>17.8217612057148</v>
      </c>
      <c r="H80" s="3">
        <v>13.115076953672199</v>
      </c>
      <c r="I80" s="3">
        <v>27.376698879454199</v>
      </c>
      <c r="J80" s="3">
        <v>20.418539666088101</v>
      </c>
      <c r="K80" s="3">
        <v>16.798852334366899</v>
      </c>
      <c r="L80" s="3">
        <v>18.857327742403001</v>
      </c>
      <c r="M80" s="3">
        <v>15.895362074732001</v>
      </c>
      <c r="N80" s="3">
        <v>13.381309965410701</v>
      </c>
    </row>
    <row r="81" spans="1:14" x14ac:dyDescent="0.35">
      <c r="A81" s="2">
        <v>44167</v>
      </c>
      <c r="B81" s="3">
        <v>33.009954321390602</v>
      </c>
      <c r="C81" s="3">
        <v>19.6994176676615</v>
      </c>
      <c r="D81" s="3">
        <v>16.172815071102299</v>
      </c>
      <c r="E81" s="3">
        <v>16.005942423327301</v>
      </c>
      <c r="F81" s="3">
        <v>18.597253537475201</v>
      </c>
      <c r="G81" s="3">
        <v>18.496830409763401</v>
      </c>
      <c r="H81" s="3">
        <v>14.9654964569204</v>
      </c>
      <c r="I81" s="3">
        <v>30.036084640935101</v>
      </c>
      <c r="J81" s="3">
        <v>22.0252764049375</v>
      </c>
      <c r="K81" s="3">
        <v>19.035538446696101</v>
      </c>
      <c r="L81" s="3">
        <v>20.3452814045941</v>
      </c>
      <c r="M81" s="3">
        <v>17.359627123568099</v>
      </c>
      <c r="N81" s="3">
        <v>15.2059416171855</v>
      </c>
    </row>
    <row r="82" spans="1:14" x14ac:dyDescent="0.35">
      <c r="A82" s="2">
        <v>44196</v>
      </c>
      <c r="B82" s="3">
        <v>34.288284426668199</v>
      </c>
      <c r="C82" s="3">
        <v>18.969370847068301</v>
      </c>
      <c r="D82" s="3">
        <v>15.752046251436401</v>
      </c>
      <c r="E82" s="3">
        <v>16.045161840357299</v>
      </c>
      <c r="F82" s="3">
        <v>18.369200929402599</v>
      </c>
      <c r="G82" s="3">
        <v>18.863138829891898</v>
      </c>
      <c r="H82" s="3">
        <v>14.3956782704291</v>
      </c>
      <c r="I82" s="3">
        <v>30.0918514845951</v>
      </c>
      <c r="J82" s="3">
        <v>22.439392244047301</v>
      </c>
      <c r="K82" s="3">
        <v>17.967719064894698</v>
      </c>
      <c r="L82" s="3">
        <v>20.578124297837601</v>
      </c>
      <c r="M82" s="3">
        <v>17.978013069596301</v>
      </c>
      <c r="N82" s="3">
        <v>14.7412461357557</v>
      </c>
    </row>
    <row r="83" spans="1:14" x14ac:dyDescent="0.35">
      <c r="A83" s="2">
        <v>44229</v>
      </c>
      <c r="B83" s="3">
        <v>33.104521693749398</v>
      </c>
      <c r="C83" s="3">
        <v>18.854053655002598</v>
      </c>
      <c r="D83" s="3">
        <v>15.829619419983301</v>
      </c>
      <c r="E83" s="3">
        <v>15.8078080272776</v>
      </c>
      <c r="F83" s="3">
        <v>18.351372881464901</v>
      </c>
      <c r="G83" s="3">
        <v>18.725286259457601</v>
      </c>
      <c r="H83" s="3">
        <v>13.784064566245</v>
      </c>
      <c r="I83" s="3">
        <v>29.9940526397084</v>
      </c>
      <c r="J83" s="3">
        <v>21.866592065692998</v>
      </c>
      <c r="K83" s="3">
        <v>17.720572579555999</v>
      </c>
      <c r="L83" s="3">
        <v>21.509353796107401</v>
      </c>
      <c r="M83" s="3">
        <v>18.8380158894437</v>
      </c>
      <c r="N83" s="3">
        <v>13.596308362295</v>
      </c>
    </row>
    <row r="84" spans="1:14" x14ac:dyDescent="0.35">
      <c r="A84" s="2">
        <v>44257</v>
      </c>
      <c r="B84" s="3">
        <v>32.236164873791203</v>
      </c>
      <c r="C84" s="3">
        <v>18.2849813538128</v>
      </c>
      <c r="D84" s="3">
        <v>15.4862518360792</v>
      </c>
      <c r="E84" s="3">
        <v>15.5461249577384</v>
      </c>
      <c r="F84" s="3">
        <v>17.812892333092201</v>
      </c>
      <c r="G84" s="3">
        <v>18.5533310804629</v>
      </c>
      <c r="H84" s="3">
        <v>14.038114885128101</v>
      </c>
      <c r="I84" s="3">
        <v>28.116484465506701</v>
      </c>
      <c r="J84" s="3">
        <v>21.671228857121601</v>
      </c>
      <c r="K84" s="3">
        <v>17.979787368655298</v>
      </c>
      <c r="L84" s="3">
        <v>21.2710018440585</v>
      </c>
      <c r="M84" s="3">
        <v>19.314664629215802</v>
      </c>
      <c r="N84" s="3">
        <v>13.653418370442701</v>
      </c>
    </row>
    <row r="85" spans="1:14" x14ac:dyDescent="0.35">
      <c r="A85" s="2">
        <v>44287</v>
      </c>
      <c r="B85" s="3">
        <v>32.164656082461903</v>
      </c>
      <c r="C85" s="3">
        <v>17.661166539356898</v>
      </c>
      <c r="D85" s="3">
        <v>15.522341639242301</v>
      </c>
      <c r="E85" s="3">
        <v>16.234769821099</v>
      </c>
      <c r="F85" s="3">
        <v>17.585501986818901</v>
      </c>
      <c r="G85" s="3">
        <v>18.814076522944902</v>
      </c>
      <c r="H85" s="3">
        <v>13.431647037593001</v>
      </c>
      <c r="I85" s="3">
        <v>28.4157878524009</v>
      </c>
      <c r="J85" s="3">
        <v>22.0538828759518</v>
      </c>
      <c r="K85" s="3">
        <v>18.301320346127099</v>
      </c>
      <c r="L85" s="3">
        <v>22.738661708558901</v>
      </c>
      <c r="M85" s="3">
        <v>20.27506424948</v>
      </c>
      <c r="N85" s="3">
        <v>14.0471705125076</v>
      </c>
    </row>
    <row r="86" spans="1:14" x14ac:dyDescent="0.35">
      <c r="A86" s="2">
        <v>44316</v>
      </c>
      <c r="B86" s="3">
        <v>32.4086247751355</v>
      </c>
      <c r="C86" s="3">
        <v>17.995298906045601</v>
      </c>
      <c r="D86" s="3">
        <v>15.4366133742316</v>
      </c>
      <c r="E86" s="3">
        <v>15.1918256612677</v>
      </c>
      <c r="F86" s="3">
        <v>16.6871022605131</v>
      </c>
      <c r="G86" s="3">
        <v>18.2269849452322</v>
      </c>
      <c r="H86" s="3">
        <v>13.2401887204138</v>
      </c>
      <c r="I86" s="3">
        <v>27.796917636314099</v>
      </c>
      <c r="J86" s="3">
        <v>21.6513602535872</v>
      </c>
      <c r="K86" s="3">
        <v>17.945334432350599</v>
      </c>
      <c r="L86" s="3">
        <v>21.869419338594099</v>
      </c>
      <c r="M86" s="3">
        <v>18.685922916490199</v>
      </c>
      <c r="N86" s="3">
        <v>13.4412207407004</v>
      </c>
    </row>
    <row r="87" spans="1:14" x14ac:dyDescent="0.35">
      <c r="A87" s="2">
        <v>44349</v>
      </c>
      <c r="B87" s="3">
        <v>32.882932074939497</v>
      </c>
      <c r="C87" s="3">
        <v>18.201743888281801</v>
      </c>
      <c r="D87" s="3">
        <v>15.5614020577073</v>
      </c>
      <c r="E87" s="3">
        <v>14.9351744121971</v>
      </c>
      <c r="F87" s="3">
        <v>16.570822733573898</v>
      </c>
      <c r="G87" s="3">
        <v>19.4638443522642</v>
      </c>
      <c r="H87" s="3">
        <v>13.3078970756539</v>
      </c>
      <c r="I87" s="3">
        <v>26.8685591804797</v>
      </c>
      <c r="J87" s="3">
        <v>21.233141721811599</v>
      </c>
      <c r="K87" s="3">
        <v>17.957959893943301</v>
      </c>
      <c r="L87" s="3">
        <v>21.330975944647498</v>
      </c>
      <c r="M87" s="3">
        <v>18.662793455520301</v>
      </c>
      <c r="N87" s="3">
        <v>13.665067049740699</v>
      </c>
    </row>
    <row r="88" spans="1:14" x14ac:dyDescent="0.35">
      <c r="A88" s="2">
        <v>44379</v>
      </c>
      <c r="B88" s="3">
        <v>34.2994539736844</v>
      </c>
      <c r="C88" s="3">
        <v>17.306681803481698</v>
      </c>
      <c r="D88" s="3">
        <v>15.5841026701326</v>
      </c>
      <c r="E88" s="3">
        <v>14.7443989851861</v>
      </c>
      <c r="F88" s="3">
        <v>16.320678970526799</v>
      </c>
      <c r="G88" s="3">
        <v>19.751334170711999</v>
      </c>
      <c r="H88" s="3">
        <v>12.6943475320275</v>
      </c>
      <c r="I88" s="3">
        <v>28.617714887298199</v>
      </c>
      <c r="J88" s="3">
        <v>21.592782525274899</v>
      </c>
      <c r="K88" s="3">
        <v>17.462473989109402</v>
      </c>
      <c r="L88" s="3">
        <v>21.305875520764801</v>
      </c>
      <c r="M88" s="3">
        <v>18.696771407499</v>
      </c>
      <c r="N88" s="3">
        <v>13.433709034557401</v>
      </c>
    </row>
    <row r="89" spans="1:14" x14ac:dyDescent="0.35">
      <c r="A89" s="2">
        <v>44410</v>
      </c>
      <c r="B89" s="3">
        <v>33.871770233769801</v>
      </c>
      <c r="C89" s="3">
        <v>17.0636615357182</v>
      </c>
      <c r="D89" s="3">
        <v>15.086788141823501</v>
      </c>
      <c r="E89" s="3">
        <v>14.264536999099199</v>
      </c>
      <c r="F89" s="3">
        <v>15.8318263139224</v>
      </c>
      <c r="G89" s="3">
        <v>19.8535755985828</v>
      </c>
      <c r="H89" s="3">
        <v>12.327453649362001</v>
      </c>
      <c r="I89" s="3">
        <v>27.962355170009602</v>
      </c>
      <c r="J89" s="3">
        <v>20.902274092972799</v>
      </c>
      <c r="K89" s="3">
        <v>16.7805159372422</v>
      </c>
      <c r="L89" s="3">
        <v>21.587338453977001</v>
      </c>
      <c r="M89" s="3">
        <v>18.549011447073401</v>
      </c>
      <c r="N89" s="3">
        <v>12.8511878989897</v>
      </c>
    </row>
    <row r="90" spans="1:14" x14ac:dyDescent="0.35">
      <c r="A90" s="2">
        <v>44441</v>
      </c>
      <c r="B90" s="3">
        <v>35.0927217879808</v>
      </c>
      <c r="C90" s="3">
        <v>17.280200721067398</v>
      </c>
      <c r="D90" s="3">
        <v>15.0053087272412</v>
      </c>
      <c r="E90" s="3">
        <v>14.220493438954099</v>
      </c>
      <c r="F90" s="3">
        <v>15.489172699037301</v>
      </c>
      <c r="G90" s="3">
        <v>19.879467256899101</v>
      </c>
      <c r="H90" s="3">
        <v>12.277433299600199</v>
      </c>
      <c r="I90" s="3">
        <v>28.700137315484099</v>
      </c>
      <c r="J90" s="3">
        <v>21.278859689801401</v>
      </c>
      <c r="K90" s="3">
        <v>16.4917327576111</v>
      </c>
      <c r="L90" s="3">
        <v>22.069936457912299</v>
      </c>
      <c r="M90" s="3">
        <v>18.7701761891819</v>
      </c>
      <c r="N90" s="3">
        <v>12.002375789380601</v>
      </c>
    </row>
    <row r="91" spans="1:14" x14ac:dyDescent="0.35">
      <c r="A91" s="2">
        <v>44470</v>
      </c>
      <c r="B91" s="3">
        <v>34.536515266278698</v>
      </c>
      <c r="C91" s="3">
        <v>16.741471269467901</v>
      </c>
      <c r="D91" s="3">
        <v>14.4003158877321</v>
      </c>
      <c r="E91" s="3">
        <v>13.451495362042101</v>
      </c>
      <c r="F91" s="3">
        <v>15.159145852949599</v>
      </c>
      <c r="G91" s="3">
        <v>18.211083298948999</v>
      </c>
      <c r="H91" s="3">
        <v>11.7835488221079</v>
      </c>
      <c r="I91" s="3">
        <v>27.061144166644201</v>
      </c>
      <c r="J91" s="3">
        <v>20.3383473646076</v>
      </c>
      <c r="K91" s="3">
        <v>15.5264043247728</v>
      </c>
      <c r="L91" s="3">
        <v>20.260489854893201</v>
      </c>
      <c r="M91" s="3">
        <v>17.809049295975399</v>
      </c>
      <c r="N91" s="3">
        <v>11.5581456791629</v>
      </c>
    </row>
    <row r="92" spans="1:14" x14ac:dyDescent="0.35">
      <c r="A92" s="2">
        <v>44502</v>
      </c>
      <c r="B92" s="3">
        <v>33.497831102802401</v>
      </c>
      <c r="C92" s="3">
        <v>17.392117584231499</v>
      </c>
      <c r="D92" s="3">
        <v>14.890136260400601</v>
      </c>
      <c r="E92" s="3">
        <v>13.888929452942399</v>
      </c>
      <c r="F92" s="3">
        <v>15.3797872351373</v>
      </c>
      <c r="G92" s="3">
        <v>19.2220804549045</v>
      </c>
      <c r="H92" s="3">
        <v>12.2024185585538</v>
      </c>
      <c r="I92" s="3">
        <v>29.103865046259699</v>
      </c>
      <c r="J92" s="3">
        <v>21.217706739973899</v>
      </c>
      <c r="K92" s="3">
        <v>15.862448872324901</v>
      </c>
      <c r="L92" s="3">
        <v>21.2690140107605</v>
      </c>
      <c r="M92" s="3">
        <v>18.303453763202899</v>
      </c>
      <c r="N92" s="3">
        <v>11.7514456897696</v>
      </c>
    </row>
    <row r="93" spans="1:14" x14ac:dyDescent="0.35">
      <c r="A93" s="2">
        <v>44532</v>
      </c>
      <c r="B93" s="3">
        <v>31.541785303710199</v>
      </c>
      <c r="C93" s="3">
        <v>16.854067086011099</v>
      </c>
      <c r="D93" s="3">
        <v>14.186787207730401</v>
      </c>
      <c r="E93" s="3">
        <v>12.9365319455496</v>
      </c>
      <c r="F93" s="3">
        <v>14.3047488004452</v>
      </c>
      <c r="G93" s="3">
        <v>18.6968787867626</v>
      </c>
      <c r="H93" s="3">
        <v>11.749347736135601</v>
      </c>
      <c r="I93" s="3">
        <v>28.7463370622953</v>
      </c>
      <c r="J93" s="3">
        <v>20.721801600966</v>
      </c>
      <c r="K93" s="3">
        <v>15.2112435231271</v>
      </c>
      <c r="L93" s="3">
        <v>20.023195008846699</v>
      </c>
      <c r="M93" s="3">
        <v>18.609427571207199</v>
      </c>
      <c r="N93" s="3">
        <v>10.7438913511664</v>
      </c>
    </row>
    <row r="94" spans="1:14" x14ac:dyDescent="0.35">
      <c r="A94" s="2">
        <v>44561</v>
      </c>
      <c r="B94" s="3">
        <v>32.335003130707697</v>
      </c>
      <c r="C94" s="3">
        <v>17.4970792673071</v>
      </c>
      <c r="D94" s="3">
        <v>14.4230586367119</v>
      </c>
      <c r="E94" s="3">
        <v>13.382618460739099</v>
      </c>
      <c r="F94" s="3">
        <v>14.505630413384401</v>
      </c>
      <c r="G94" s="3">
        <v>19.805846670481898</v>
      </c>
      <c r="H94" s="3">
        <v>12.209534264943001</v>
      </c>
      <c r="I94" s="3">
        <v>29.167311739963601</v>
      </c>
      <c r="J94" s="3">
        <v>21.320924664773901</v>
      </c>
      <c r="K94" s="3">
        <v>15.7996277609271</v>
      </c>
      <c r="L94" s="3">
        <v>20.615610565722999</v>
      </c>
      <c r="M94" s="3">
        <v>18.6078033361491</v>
      </c>
      <c r="N94" s="3">
        <v>11.069489560574</v>
      </c>
    </row>
    <row r="95" spans="1:14" x14ac:dyDescent="0.35">
      <c r="A95" s="2">
        <v>44594</v>
      </c>
      <c r="B95" s="3">
        <v>30.268600690030599</v>
      </c>
      <c r="C95" s="3">
        <v>15.813517481319201</v>
      </c>
      <c r="D95" s="3">
        <v>14.2521972623579</v>
      </c>
      <c r="E95" s="3">
        <v>13.018773965360801</v>
      </c>
      <c r="F95" s="3">
        <v>13.8837673278372</v>
      </c>
      <c r="G95" s="3">
        <v>18.444580741543501</v>
      </c>
      <c r="H95" s="3">
        <v>12.371303278304101</v>
      </c>
      <c r="I95" s="3">
        <v>26.503477153317402</v>
      </c>
      <c r="J95" s="3">
        <v>20.203667273739601</v>
      </c>
      <c r="K95" s="3">
        <v>15.1406799365569</v>
      </c>
      <c r="L95" s="3">
        <v>18.960606205029698</v>
      </c>
      <c r="M95" s="3">
        <v>16.918359664561599</v>
      </c>
      <c r="N95" s="3">
        <v>10.923731325192</v>
      </c>
    </row>
    <row r="96" spans="1:14" x14ac:dyDescent="0.35">
      <c r="A96" s="2">
        <v>44622</v>
      </c>
      <c r="B96" s="3">
        <v>29.159376613502999</v>
      </c>
      <c r="C96" s="3">
        <v>15.6112657224537</v>
      </c>
      <c r="D96" s="3">
        <v>13.980600594670801</v>
      </c>
      <c r="E96" s="3">
        <v>11.4225868609381</v>
      </c>
      <c r="F96" s="3">
        <v>12.880993465237401</v>
      </c>
      <c r="G96" s="3">
        <v>17.923880844783</v>
      </c>
      <c r="H96" s="3">
        <v>11.9154614094992</v>
      </c>
      <c r="I96" s="3">
        <v>24.806603852156702</v>
      </c>
      <c r="J96" s="3">
        <v>19.1315138614546</v>
      </c>
      <c r="K96" s="3">
        <v>13.532170586425901</v>
      </c>
      <c r="L96" s="3">
        <v>17.467629022613199</v>
      </c>
      <c r="M96" s="3">
        <v>14.770824352901601</v>
      </c>
      <c r="N96" s="3">
        <v>9.6905099843396805</v>
      </c>
    </row>
    <row r="97" spans="1:14" x14ac:dyDescent="0.35">
      <c r="A97" s="2">
        <v>44652</v>
      </c>
      <c r="B97" s="3">
        <v>29.4533379080064</v>
      </c>
      <c r="C97" s="3">
        <v>16.152751454822699</v>
      </c>
      <c r="D97" s="3">
        <v>13.5781892894371</v>
      </c>
      <c r="E97" s="3">
        <v>11.6374919242097</v>
      </c>
      <c r="F97" s="3">
        <v>13.2659040017144</v>
      </c>
      <c r="G97" s="3">
        <v>18.339321921986301</v>
      </c>
      <c r="H97" s="3">
        <v>11.2507721813573</v>
      </c>
      <c r="I97" s="3">
        <v>25.625325279310701</v>
      </c>
      <c r="J97" s="3">
        <v>19.495529375854701</v>
      </c>
      <c r="K97" s="3">
        <v>13.5781266601607</v>
      </c>
      <c r="L97" s="3">
        <v>18.378435184253298</v>
      </c>
      <c r="M97" s="3">
        <v>15.275202707855801</v>
      </c>
      <c r="N97" s="3">
        <v>9.8142128288360393</v>
      </c>
    </row>
    <row r="98" spans="1:14" x14ac:dyDescent="0.35">
      <c r="A98" s="2">
        <v>44683</v>
      </c>
      <c r="B98" s="3">
        <v>28.6022013733864</v>
      </c>
      <c r="C98" s="3">
        <v>14.8278357102739</v>
      </c>
      <c r="D98" s="3">
        <v>12.557018465197601</v>
      </c>
      <c r="E98" s="3">
        <v>10.914616746556799</v>
      </c>
      <c r="F98" s="3">
        <v>12.823694547105999</v>
      </c>
      <c r="G98" s="3">
        <v>17.6181495601599</v>
      </c>
      <c r="H98" s="3">
        <v>10.791322544082799</v>
      </c>
      <c r="I98" s="3">
        <v>22.823778901334101</v>
      </c>
      <c r="J98" s="3">
        <v>17.626533858132198</v>
      </c>
      <c r="K98" s="3">
        <v>12.6011871916947</v>
      </c>
      <c r="L98" s="3">
        <v>16.817535785682701</v>
      </c>
      <c r="M98" s="3">
        <v>14.219070471237499</v>
      </c>
      <c r="N98" s="3">
        <v>9.2214496957562293</v>
      </c>
    </row>
    <row r="99" spans="1:14" x14ac:dyDescent="0.35">
      <c r="A99" s="2">
        <v>44714</v>
      </c>
      <c r="B99" s="3">
        <v>26.864563044481802</v>
      </c>
      <c r="C99" s="3">
        <v>14.1250423795983</v>
      </c>
      <c r="D99" s="3">
        <v>12.582353558923099</v>
      </c>
      <c r="E99" s="3">
        <v>11.074122025318299</v>
      </c>
      <c r="F99" s="3">
        <v>12.9220733554743</v>
      </c>
      <c r="G99" s="3">
        <v>16.904684527642299</v>
      </c>
      <c r="H99" s="3">
        <v>10.444939228170099</v>
      </c>
      <c r="I99" s="3">
        <v>22.257243414048901</v>
      </c>
      <c r="J99" s="3">
        <v>17.528372836041498</v>
      </c>
      <c r="K99" s="3">
        <v>12.464066484992101</v>
      </c>
      <c r="L99" s="3">
        <v>17.393909867182501</v>
      </c>
      <c r="M99" s="3">
        <v>16.291904998650399</v>
      </c>
      <c r="N99" s="3">
        <v>8.8448608970057894</v>
      </c>
    </row>
    <row r="100" spans="1:14" x14ac:dyDescent="0.35">
      <c r="A100" s="2">
        <v>44743</v>
      </c>
      <c r="B100" s="3">
        <v>25.335570939777</v>
      </c>
      <c r="C100" s="3">
        <v>12.472434732323901</v>
      </c>
      <c r="D100" s="3">
        <v>11.225587953096101</v>
      </c>
      <c r="E100" s="3">
        <v>9.7040902667214493</v>
      </c>
      <c r="F100" s="3">
        <v>12.1577787398348</v>
      </c>
      <c r="G100" s="3">
        <v>15.7364674857983</v>
      </c>
      <c r="H100" s="3">
        <v>9.53875295596883</v>
      </c>
      <c r="I100" s="3">
        <v>20.087404989772399</v>
      </c>
      <c r="J100" s="3">
        <v>15.984134507212</v>
      </c>
      <c r="K100" s="3">
        <v>11.185492073579001</v>
      </c>
      <c r="L100" s="3">
        <v>15.839937689206799</v>
      </c>
      <c r="M100" s="3">
        <v>14.117528745165799</v>
      </c>
      <c r="N100" s="3">
        <v>7.7034553301887501</v>
      </c>
    </row>
    <row r="101" spans="1:14" x14ac:dyDescent="0.35">
      <c r="A101" s="2">
        <v>44775</v>
      </c>
      <c r="B101" s="3">
        <v>26.3154642707003</v>
      </c>
      <c r="C101" s="3">
        <v>13.9246939614575</v>
      </c>
      <c r="D101" s="3">
        <v>11.4744923721132</v>
      </c>
      <c r="E101" s="3">
        <v>10.2788968268168</v>
      </c>
      <c r="F101" s="3">
        <v>12.626343093861699</v>
      </c>
      <c r="G101" s="3">
        <v>16.796764386185099</v>
      </c>
      <c r="H101" s="3">
        <v>9.8251552001035307</v>
      </c>
      <c r="I101" s="3">
        <v>22.911214066224499</v>
      </c>
      <c r="J101" s="3">
        <v>17.247503252645998</v>
      </c>
      <c r="K101" s="3">
        <v>11.641199447444199</v>
      </c>
      <c r="L101" s="3">
        <v>17.837176533204701</v>
      </c>
      <c r="M101" s="3">
        <v>15.108149032147001</v>
      </c>
      <c r="N101" s="3">
        <v>7.69785247861026</v>
      </c>
    </row>
    <row r="102" spans="1:14" x14ac:dyDescent="0.35">
      <c r="A102" s="2">
        <v>44806</v>
      </c>
      <c r="B102" s="3">
        <v>27.088721641737202</v>
      </c>
      <c r="C102" s="3">
        <v>13.5788553456945</v>
      </c>
      <c r="D102" s="3">
        <v>11.298260428512201</v>
      </c>
      <c r="E102" s="3">
        <v>9.7251703741883997</v>
      </c>
      <c r="F102" s="3">
        <v>12.6231581552764</v>
      </c>
      <c r="G102" s="3">
        <v>16.1352721394159</v>
      </c>
      <c r="H102" s="3">
        <v>9.2201465394110702</v>
      </c>
      <c r="I102" s="3">
        <v>21.481374181519399</v>
      </c>
      <c r="J102" s="3">
        <v>16.514180653036298</v>
      </c>
      <c r="K102" s="3">
        <v>11.124094524067701</v>
      </c>
      <c r="L102" s="3">
        <v>15.9523177472139</v>
      </c>
      <c r="M102" s="3">
        <v>13.940791514151</v>
      </c>
      <c r="N102" s="3">
        <v>7.6407777485836403</v>
      </c>
    </row>
    <row r="103" spans="1:14" x14ac:dyDescent="0.35">
      <c r="A103" s="2">
        <v>44834</v>
      </c>
      <c r="B103" s="3">
        <v>24.040849553408499</v>
      </c>
      <c r="C103" s="3">
        <v>12.546369965151801</v>
      </c>
      <c r="D103" s="3">
        <v>10.7655574557414</v>
      </c>
      <c r="E103" s="3">
        <v>8.99432918296975</v>
      </c>
      <c r="F103" s="3">
        <v>11.8310229073371</v>
      </c>
      <c r="G103" s="3">
        <v>14.967383290597301</v>
      </c>
      <c r="H103" s="3">
        <v>8.5551344614883202</v>
      </c>
      <c r="I103" s="3">
        <v>19.524137357478601</v>
      </c>
      <c r="J103" s="3">
        <v>15.156294498315701</v>
      </c>
      <c r="K103" s="3">
        <v>10.2198600360135</v>
      </c>
      <c r="L103" s="3">
        <v>14.355753751333999</v>
      </c>
      <c r="M103" s="3">
        <v>13.0652029604564</v>
      </c>
      <c r="N103" s="3">
        <v>7.2112670719934604</v>
      </c>
    </row>
    <row r="104" spans="1:14" x14ac:dyDescent="0.35">
      <c r="A104" s="2">
        <v>44867</v>
      </c>
      <c r="B104" s="3">
        <v>23.6397489457317</v>
      </c>
      <c r="C104" s="3">
        <v>13.682939945449199</v>
      </c>
      <c r="D104" s="3">
        <v>11.4357900386485</v>
      </c>
      <c r="E104" s="3">
        <v>9.8712122558879507</v>
      </c>
      <c r="F104" s="3">
        <v>12.5647286533704</v>
      </c>
      <c r="G104" s="3">
        <v>15.841351614679301</v>
      </c>
      <c r="H104" s="3">
        <v>9.0481392040790798</v>
      </c>
      <c r="I104" s="3">
        <v>20.194860568197399</v>
      </c>
      <c r="J104" s="3">
        <v>16.221886592805301</v>
      </c>
      <c r="K104" s="3">
        <v>11.179046666137101</v>
      </c>
      <c r="L104" s="3">
        <v>15.112104688227699</v>
      </c>
      <c r="M104" s="3">
        <v>12.5426861227985</v>
      </c>
      <c r="N104" s="3">
        <v>7.9061581623202004</v>
      </c>
    </row>
    <row r="105" spans="1:14" x14ac:dyDescent="0.35">
      <c r="A105" s="2">
        <v>44897</v>
      </c>
      <c r="B105" s="3">
        <v>23.470197961287202</v>
      </c>
      <c r="C105" s="3">
        <v>14.5963023095546</v>
      </c>
      <c r="D105" s="3">
        <v>12.4490725801399</v>
      </c>
      <c r="E105" s="3">
        <v>10.869370776550401</v>
      </c>
      <c r="F105" s="3">
        <v>12.7461016471234</v>
      </c>
      <c r="G105" s="3">
        <v>16.911965543144799</v>
      </c>
      <c r="H105" s="3">
        <v>9.9316123646562495</v>
      </c>
      <c r="I105" s="3">
        <v>22.277224184968102</v>
      </c>
      <c r="J105" s="3">
        <v>17.5966783677789</v>
      </c>
      <c r="K105" s="3">
        <v>12.184638475765</v>
      </c>
      <c r="L105" s="3">
        <v>16.4611003122291</v>
      </c>
      <c r="M105" s="3">
        <v>13.2020134147436</v>
      </c>
      <c r="N105" s="3">
        <v>7.8885780405258501</v>
      </c>
    </row>
    <row r="106" spans="1:14" x14ac:dyDescent="0.35">
      <c r="A106" s="2">
        <v>44925</v>
      </c>
      <c r="B106" s="3">
        <v>23.008773274365598</v>
      </c>
      <c r="C106" s="3">
        <v>14.1727504256807</v>
      </c>
      <c r="D106" s="3">
        <v>11.9052655645163</v>
      </c>
      <c r="E106" s="3">
        <v>10.4616660277966</v>
      </c>
      <c r="F106" s="3">
        <v>12.203889572335999</v>
      </c>
      <c r="G106" s="3">
        <v>16.229500473204499</v>
      </c>
      <c r="H106" s="3">
        <v>9.8030577198570299</v>
      </c>
      <c r="I106" s="3">
        <v>20.8845994764384</v>
      </c>
      <c r="J106" s="3">
        <v>16.650131237619</v>
      </c>
      <c r="K106" s="3">
        <v>11.8173445902711</v>
      </c>
      <c r="L106" s="3">
        <v>15.329639244780999</v>
      </c>
      <c r="M106" s="3">
        <v>12.6096815389115</v>
      </c>
      <c r="N106" s="3">
        <v>7.5943844125458302</v>
      </c>
    </row>
    <row r="107" spans="1:14" x14ac:dyDescent="0.35">
      <c r="A107" s="2">
        <v>44959</v>
      </c>
      <c r="B107" s="3">
        <v>24.3882408183024</v>
      </c>
      <c r="C107" s="3">
        <v>15.074073678755701</v>
      </c>
      <c r="D107" s="3">
        <v>13.059607367421499</v>
      </c>
      <c r="E107" s="3">
        <v>11.800825243142899</v>
      </c>
      <c r="F107" s="3">
        <v>12.830125035127599</v>
      </c>
      <c r="G107" s="3">
        <v>17.328931864492901</v>
      </c>
      <c r="H107" s="3">
        <v>10.4886085825074</v>
      </c>
      <c r="I107" s="3">
        <v>24.6502838010049</v>
      </c>
      <c r="J107" s="3">
        <v>18.417259044138699</v>
      </c>
      <c r="K107" s="3">
        <v>13.3049673081987</v>
      </c>
      <c r="L107" s="3">
        <v>17.419994566944901</v>
      </c>
      <c r="M107" s="3">
        <v>14.5898994812389</v>
      </c>
      <c r="N107" s="3">
        <v>8.5078963714604505</v>
      </c>
    </row>
    <row r="108" spans="1:14" x14ac:dyDescent="0.35">
      <c r="A108" s="2">
        <v>44987</v>
      </c>
      <c r="B108" s="3">
        <v>23.802766142006501</v>
      </c>
      <c r="C108" s="3">
        <v>14.4559795305814</v>
      </c>
      <c r="D108" s="3">
        <v>12.821625874838301</v>
      </c>
      <c r="E108" s="3">
        <v>11.4860657511973</v>
      </c>
      <c r="F108" s="3">
        <v>13.1365703098585</v>
      </c>
      <c r="G108" s="3">
        <v>17.0657695359088</v>
      </c>
      <c r="H108" s="3">
        <v>10.5358392393139</v>
      </c>
      <c r="I108" s="3">
        <v>23.0954646446244</v>
      </c>
      <c r="J108" s="3">
        <v>17.528581785908798</v>
      </c>
      <c r="K108" s="3">
        <v>13.24658611051</v>
      </c>
      <c r="L108" s="3">
        <v>16.510170697840799</v>
      </c>
      <c r="M108" s="3">
        <v>14.0069630255182</v>
      </c>
      <c r="N108" s="3">
        <v>8.6419774347777594</v>
      </c>
    </row>
    <row r="109" spans="1:14" x14ac:dyDescent="0.35">
      <c r="A109" s="2">
        <v>45016</v>
      </c>
      <c r="B109" s="3">
        <v>23.355336161952199</v>
      </c>
      <c r="C109" s="3">
        <v>14.3117517505269</v>
      </c>
      <c r="D109" s="3">
        <v>12.746278062124899</v>
      </c>
      <c r="E109" s="3">
        <v>11.430098906947499</v>
      </c>
      <c r="F109" s="3">
        <v>13.1594599881793</v>
      </c>
      <c r="G109" s="3">
        <v>17.160653338069199</v>
      </c>
      <c r="H109" s="3">
        <v>10.3398505776306</v>
      </c>
      <c r="I109" s="3">
        <v>25.0734269257497</v>
      </c>
      <c r="J109" s="3">
        <v>18.059701093425101</v>
      </c>
      <c r="K109" s="3">
        <v>13.288232894394399</v>
      </c>
      <c r="L109" s="3">
        <v>16.5539691382588</v>
      </c>
      <c r="M109" s="3">
        <v>13.8033450845806</v>
      </c>
      <c r="N109" s="3">
        <v>8.4771354117954001</v>
      </c>
    </row>
    <row r="110" spans="1:14" x14ac:dyDescent="0.35">
      <c r="A110" s="2">
        <v>45048</v>
      </c>
      <c r="B110" s="3">
        <v>23.742414965618199</v>
      </c>
      <c r="C110" s="3">
        <v>14.548130476914301</v>
      </c>
      <c r="D110" s="3">
        <v>12.904699778939699</v>
      </c>
      <c r="E110" s="3">
        <v>11.208964601028301</v>
      </c>
      <c r="F110" s="3">
        <v>13.624346575304401</v>
      </c>
      <c r="G110" s="3">
        <v>17.480214632504399</v>
      </c>
      <c r="H110" s="3">
        <v>10.556155068234601</v>
      </c>
      <c r="I110" s="3">
        <v>24.284199922068002</v>
      </c>
      <c r="J110" s="3">
        <v>17.926357110439898</v>
      </c>
      <c r="K110" s="3">
        <v>13.505637987398</v>
      </c>
      <c r="L110" s="3">
        <v>15.652492729267101</v>
      </c>
      <c r="M110" s="3">
        <v>13.7880449142621</v>
      </c>
      <c r="N110" s="3">
        <v>8.4104434692007395</v>
      </c>
    </row>
    <row r="111" spans="1:14" x14ac:dyDescent="0.35">
      <c r="A111" s="2">
        <v>45079</v>
      </c>
      <c r="B111" s="3">
        <v>21.1567770376368</v>
      </c>
      <c r="C111" s="3">
        <v>14.3998475346568</v>
      </c>
      <c r="D111" s="3">
        <v>12.937338650021299</v>
      </c>
      <c r="E111" s="3">
        <v>10.86248001111</v>
      </c>
      <c r="F111" s="3">
        <v>14.3054667241631</v>
      </c>
      <c r="G111" s="3">
        <v>16.771457483731499</v>
      </c>
      <c r="H111" s="3">
        <v>10.3040301855153</v>
      </c>
      <c r="I111" s="3">
        <v>26.1279353429818</v>
      </c>
      <c r="J111" s="3">
        <v>18.4630562025458</v>
      </c>
      <c r="K111" s="3">
        <v>13.133854606524601</v>
      </c>
      <c r="L111" s="3">
        <v>15.7493170433063</v>
      </c>
      <c r="M111" s="3">
        <v>13.6792109589463</v>
      </c>
      <c r="N111" s="3">
        <v>8.5453776071113499</v>
      </c>
    </row>
    <row r="112" spans="1:14" x14ac:dyDescent="0.35">
      <c r="A112" s="2">
        <v>45107</v>
      </c>
      <c r="B112" s="3">
        <v>20.9845942104727</v>
      </c>
      <c r="C112" s="3">
        <v>14.9313123571497</v>
      </c>
      <c r="D112" s="3">
        <v>13.0104265560103</v>
      </c>
      <c r="E112" s="3">
        <v>10.8634249696858</v>
      </c>
      <c r="F112" s="3">
        <v>14.888731572317001</v>
      </c>
      <c r="G112" s="3">
        <v>16.505346770160902</v>
      </c>
      <c r="H112" s="3">
        <v>10.37598399064</v>
      </c>
      <c r="I112" s="3">
        <v>26.792181233149901</v>
      </c>
      <c r="J112" s="3">
        <v>19.139651262289998</v>
      </c>
      <c r="K112" s="3">
        <v>13.287966655341</v>
      </c>
      <c r="L112" s="3">
        <v>15.842333966901499</v>
      </c>
      <c r="M112" s="3">
        <v>13.6055048185011</v>
      </c>
      <c r="N112" s="3">
        <v>8.7926071652794402</v>
      </c>
    </row>
    <row r="113" spans="1:25" x14ac:dyDescent="0.35">
      <c r="A113" s="2">
        <v>45140</v>
      </c>
      <c r="B113" s="3">
        <v>21.006129480630001</v>
      </c>
      <c r="C113" s="3">
        <v>15.4206329620279</v>
      </c>
      <c r="D113" s="3">
        <v>13.2766289883333</v>
      </c>
      <c r="E113" s="3">
        <v>10.717577699524799</v>
      </c>
      <c r="F113" s="3">
        <v>14.6400864565964</v>
      </c>
      <c r="G113" s="3">
        <v>16.714363049851698</v>
      </c>
      <c r="H113" s="3">
        <v>10.5225062615363</v>
      </c>
      <c r="I113" s="3">
        <v>25.193853953504501</v>
      </c>
      <c r="J113" s="3">
        <v>19.219404997416301</v>
      </c>
      <c r="K113" s="3">
        <v>13.037249736312001</v>
      </c>
      <c r="L113" s="3">
        <v>15.824596714999799</v>
      </c>
      <c r="M113" s="3">
        <v>13.1606961467037</v>
      </c>
      <c r="N113" s="3">
        <v>8.5235815143927809</v>
      </c>
    </row>
    <row r="114" spans="1:25" x14ac:dyDescent="0.35">
      <c r="A114" s="2">
        <v>45170</v>
      </c>
      <c r="B114" s="3">
        <v>20.879533436840902</v>
      </c>
      <c r="C114" s="3">
        <v>15.5104648620548</v>
      </c>
      <c r="D114" s="3">
        <v>13.3546044338065</v>
      </c>
      <c r="E114" s="3">
        <v>10.6473014788077</v>
      </c>
      <c r="F114" s="3">
        <v>14.663533228383001</v>
      </c>
      <c r="G114" s="3">
        <v>16.6075138478088</v>
      </c>
      <c r="H114" s="3">
        <v>10.3725426645774</v>
      </c>
      <c r="I114" s="3">
        <v>24.6496716527869</v>
      </c>
      <c r="J114" s="3">
        <v>18.8906620700932</v>
      </c>
      <c r="K114" s="3">
        <v>12.9499649647399</v>
      </c>
      <c r="L114" s="3">
        <v>14.732195864211199</v>
      </c>
      <c r="M114" s="3">
        <v>12.9963127782912</v>
      </c>
      <c r="N114" s="3">
        <v>8.4826107969633497</v>
      </c>
    </row>
    <row r="115" spans="1:25" x14ac:dyDescent="0.35">
      <c r="A115" s="2">
        <v>45201</v>
      </c>
      <c r="B115" s="3">
        <v>20.105425878041601</v>
      </c>
      <c r="C115" s="3">
        <v>14.810754111347601</v>
      </c>
      <c r="D115" s="3">
        <v>12.3596137100295</v>
      </c>
      <c r="E115" s="3">
        <v>10.226553183287701</v>
      </c>
      <c r="F115" s="3">
        <v>14.30314824499</v>
      </c>
      <c r="G115" s="3">
        <v>15.9889275845809</v>
      </c>
      <c r="H115" s="3">
        <v>10.251323857755599</v>
      </c>
      <c r="I115" s="3">
        <v>23.332024971153299</v>
      </c>
      <c r="J115" s="3">
        <v>17.824553107343501</v>
      </c>
      <c r="K115" s="3">
        <v>12.3285668882408</v>
      </c>
      <c r="L115" s="3">
        <v>13.485511892684199</v>
      </c>
      <c r="M115" s="3">
        <v>12.802966113214101</v>
      </c>
      <c r="N115" s="3">
        <v>8.1401167057030897</v>
      </c>
    </row>
    <row r="116" spans="1:25" x14ac:dyDescent="0.35">
      <c r="A116" s="2">
        <v>45232</v>
      </c>
      <c r="B116" s="3">
        <v>19.952382215730101</v>
      </c>
      <c r="C116" s="3">
        <v>14.6004147406847</v>
      </c>
      <c r="D116" s="3">
        <v>12.530642018749999</v>
      </c>
      <c r="E116" s="3">
        <v>10.1148386907107</v>
      </c>
      <c r="F116" s="3">
        <v>14.153335620017</v>
      </c>
      <c r="G116" s="3">
        <v>15.7266524191018</v>
      </c>
      <c r="H116" s="3">
        <v>10.186782541985799</v>
      </c>
      <c r="I116" s="3">
        <v>23.097830951047499</v>
      </c>
      <c r="J116" s="3">
        <v>17.8672119874389</v>
      </c>
      <c r="K116" s="3">
        <v>12.4163151512903</v>
      </c>
      <c r="L116" s="3">
        <v>13.6849853516194</v>
      </c>
      <c r="M116" s="3">
        <v>12.7290148240915</v>
      </c>
      <c r="N116" s="3">
        <v>8.1274353878950194</v>
      </c>
    </row>
    <row r="117" spans="1:25" x14ac:dyDescent="0.35">
      <c r="A117" s="2">
        <v>45261</v>
      </c>
      <c r="B117" s="3">
        <v>21.667850410947501</v>
      </c>
      <c r="C117" s="3">
        <v>15.3253993852093</v>
      </c>
      <c r="D117" s="3">
        <v>13.1174459148558</v>
      </c>
      <c r="E117" s="3">
        <v>11.0356667528311</v>
      </c>
      <c r="F117" s="3">
        <v>14.3069326139798</v>
      </c>
      <c r="G117" s="3">
        <v>16.358596992816601</v>
      </c>
      <c r="H117" s="3">
        <v>10.5920235357426</v>
      </c>
      <c r="I117" s="3">
        <v>24.301829132711799</v>
      </c>
      <c r="J117" s="3">
        <v>18.829160055698502</v>
      </c>
      <c r="K117" s="3">
        <v>13.0055804197398</v>
      </c>
      <c r="L117" s="3">
        <v>14.638563459646599</v>
      </c>
      <c r="M117" s="3">
        <v>14.678132156051699</v>
      </c>
      <c r="N117" s="3">
        <v>8.6468414267766498</v>
      </c>
    </row>
    <row r="118" spans="1:25" x14ac:dyDescent="0.35">
      <c r="A118" s="2">
        <v>45293</v>
      </c>
      <c r="B118" s="3">
        <v>22.9528219771152</v>
      </c>
      <c r="C118" s="3">
        <v>16.5006164207472</v>
      </c>
      <c r="D118" s="3">
        <v>13.5906420825567</v>
      </c>
      <c r="E118" s="3">
        <v>11.1627221176634</v>
      </c>
      <c r="F118" s="3">
        <v>13.98216030845</v>
      </c>
      <c r="G118" s="3">
        <v>16.766659119537</v>
      </c>
      <c r="H118" s="3">
        <v>10.9713802011028</v>
      </c>
      <c r="I118" s="3">
        <v>24.6477786270585</v>
      </c>
      <c r="J118" s="3">
        <v>19.394946097305301</v>
      </c>
      <c r="K118" s="3">
        <v>13.367053671225401</v>
      </c>
      <c r="L118" s="3">
        <v>14.913038296066199</v>
      </c>
      <c r="M118" s="3">
        <v>15.662250722321801</v>
      </c>
      <c r="N118" s="3">
        <v>8.9698211303812894</v>
      </c>
    </row>
    <row r="119" spans="1:25" x14ac:dyDescent="0.35">
      <c r="A119" s="2">
        <v>45324</v>
      </c>
      <c r="B119" s="3">
        <v>22.446969997152301</v>
      </c>
      <c r="C119" s="3">
        <v>16.5898470502772</v>
      </c>
      <c r="D119" s="3">
        <v>13.860745127714999</v>
      </c>
      <c r="E119" s="3">
        <v>11.534128118175101</v>
      </c>
      <c r="F119" s="3">
        <v>14.9405672610223</v>
      </c>
      <c r="G119" s="3">
        <v>17.0956571834068</v>
      </c>
      <c r="H119" s="3">
        <v>11.058719176611399</v>
      </c>
      <c r="I119" s="3">
        <v>25.9850718414901</v>
      </c>
      <c r="J119" s="3">
        <v>20.163538986331101</v>
      </c>
      <c r="K119" s="3">
        <v>13.654039947566901</v>
      </c>
      <c r="L119" s="3">
        <v>15.787547936349</v>
      </c>
      <c r="M119" s="3">
        <v>15.6426811473785</v>
      </c>
      <c r="N119" s="3">
        <v>9.0038837561944103</v>
      </c>
    </row>
    <row r="120" spans="1:25" x14ac:dyDescent="0.35">
      <c r="A120" s="2">
        <v>45352</v>
      </c>
      <c r="B120" s="3">
        <v>24.680241103053699</v>
      </c>
      <c r="C120" s="3">
        <v>16.6808928773108</v>
      </c>
      <c r="D120" s="3">
        <v>14.328007459740499</v>
      </c>
      <c r="E120" s="3">
        <v>12.0543019426157</v>
      </c>
      <c r="F120" s="3">
        <v>15.821473381699899</v>
      </c>
      <c r="G120" s="3">
        <v>17.4783929401733</v>
      </c>
      <c r="H120" s="3">
        <v>11.2369579228722</v>
      </c>
      <c r="I120" s="3">
        <v>26.573480021319298</v>
      </c>
      <c r="J120" s="3">
        <v>20.632299954995801</v>
      </c>
      <c r="K120" s="3">
        <v>14.3279269378256</v>
      </c>
      <c r="L120" s="3">
        <v>15.9945726023292</v>
      </c>
      <c r="M120" s="3">
        <v>16.362120356773801</v>
      </c>
      <c r="N120" s="3">
        <v>9.3372128990599705</v>
      </c>
    </row>
    <row r="121" spans="1:25" x14ac:dyDescent="0.35">
      <c r="A121" s="2">
        <v>45384</v>
      </c>
      <c r="B121" s="3">
        <v>25.358054615360199</v>
      </c>
      <c r="C121" s="3">
        <v>16.809930239436401</v>
      </c>
      <c r="D121" s="3">
        <v>14.5483874965173</v>
      </c>
      <c r="E121" s="3">
        <v>12.253379021834199</v>
      </c>
      <c r="F121" s="3">
        <v>15.573924117541701</v>
      </c>
      <c r="G121" s="3">
        <v>17.411307804660201</v>
      </c>
      <c r="H121" s="3">
        <v>11.481907199555501</v>
      </c>
      <c r="I121" s="3">
        <v>25.9396548026955</v>
      </c>
      <c r="J121" s="3">
        <v>20.7252147139031</v>
      </c>
      <c r="K121" s="3">
        <v>14.5670781737032</v>
      </c>
      <c r="L121" s="3">
        <v>16.208434718009901</v>
      </c>
      <c r="M121" s="3">
        <v>16.368565950327898</v>
      </c>
      <c r="N121" s="3">
        <v>9.6838095188535505</v>
      </c>
    </row>
    <row r="122" spans="1:25" x14ac:dyDescent="0.35">
      <c r="A122" s="2">
        <v>45411</v>
      </c>
      <c r="B122" s="3">
        <v>25.261907855649302</v>
      </c>
      <c r="C122" s="3">
        <v>16.357373653564402</v>
      </c>
      <c r="D122" s="3">
        <v>14.082093393707799</v>
      </c>
      <c r="E122" s="3">
        <v>11.9972389296807</v>
      </c>
      <c r="F122" s="3">
        <v>15.191808416848099</v>
      </c>
      <c r="G122" s="3">
        <v>16.780877258648999</v>
      </c>
      <c r="H122" s="3">
        <v>11.646399779160101</v>
      </c>
      <c r="I122" s="3">
        <v>24.5721900247893</v>
      </c>
      <c r="J122" s="3">
        <v>19.737642521486599</v>
      </c>
      <c r="K122" s="3">
        <v>14.4832263069592</v>
      </c>
      <c r="L122" s="3">
        <v>15.642821443417199</v>
      </c>
      <c r="M122" s="3">
        <v>16.096139677534801</v>
      </c>
      <c r="N122" s="3">
        <v>9.4882071735547804</v>
      </c>
    </row>
    <row r="124" spans="1:25" x14ac:dyDescent="0.35">
      <c r="A124" s="2" t="s">
        <v>91</v>
      </c>
      <c r="B124" s="3" cm="1">
        <f t="array" ref="B124">MIN(_xlfn._xlws.FILTER(B1:B122, ISNUMBER(B1:B122)))</f>
        <v>16.970063539864601</v>
      </c>
      <c r="C124" s="3" cm="1">
        <f t="array" ref="C124">MIN(_xlfn._xlws.FILTER(C1:C122, ISNUMBER(C1:C122)))</f>
        <v>12.472434732323901</v>
      </c>
      <c r="D124" s="3" cm="1">
        <f t="array" ref="D124">MIN(_xlfn._xlws.FILTER(D1:D122, ISNUMBER(D1:D122)))</f>
        <v>10.7655574557414</v>
      </c>
      <c r="E124" s="3" cm="1">
        <f t="array" ref="E124">MIN(_xlfn._xlws.FILTER(E1:E122, ISNUMBER(E1:E122)))</f>
        <v>8.99432918296975</v>
      </c>
      <c r="F124" s="3" cm="1">
        <f t="array" ref="F124">MIN(_xlfn._xlws.FILTER(F1:F122, ISNUMBER(F1:F122)))</f>
        <v>11.1004679303178</v>
      </c>
      <c r="G124" s="3" cm="1">
        <f t="array" ref="G124">MIN(_xlfn._xlws.FILTER(G1:G122, ISNUMBER(G1:G122)))</f>
        <v>14.477190948760001</v>
      </c>
      <c r="H124" s="3" cm="1">
        <f t="array" ref="H124">MIN(_xlfn._xlws.FILTER(H1:H122, ISNUMBER(H1:H122)))</f>
        <v>8.5551344614883202</v>
      </c>
      <c r="I124" s="3" cm="1">
        <f t="array" ref="I124">MIN(_xlfn._xlws.FILTER(I1:I122, ISNUMBER(I1:I122)))</f>
        <v>16.676264867038199</v>
      </c>
      <c r="J124" s="3" cm="1">
        <f t="array" ref="J124">MIN(_xlfn._xlws.FILTER(J1:J122, ISNUMBER(J1:J122)))</f>
        <v>14.4292822610686</v>
      </c>
      <c r="K124" s="3" cm="1">
        <f t="array" ref="K124">MIN(_xlfn._xlws.FILTER(K1:K122, ISNUMBER(K1:K122)))</f>
        <v>10.2198600360135</v>
      </c>
      <c r="L124" s="3" cm="1">
        <f t="array" ref="L124">MIN(_xlfn._xlws.FILTER(L1:L122, ISNUMBER(L1:L122)))</f>
        <v>13.0392585900945</v>
      </c>
      <c r="M124" s="3" cm="1">
        <f t="array" ref="M124">MIN(_xlfn._xlws.FILTER(M1:M122, ISNUMBER(M1:M122)))</f>
        <v>12.5426861227985</v>
      </c>
      <c r="N124" s="3" cm="1">
        <f t="array" ref="N124">MIN(_xlfn._xlws.FILTER(N1:N122, ISNUMBER(N1:N122)))</f>
        <v>7.2112670719934604</v>
      </c>
    </row>
    <row r="125" spans="1:25" x14ac:dyDescent="0.35">
      <c r="A125" s="2" t="s">
        <v>92</v>
      </c>
      <c r="B125" s="3" cm="1">
        <f t="array" ref="B125">MAX(_xlfn._xlws.FILTER(B1:B122, ISNUMBER(B1:B122)))</f>
        <v>35.0927217879808</v>
      </c>
      <c r="C125" s="3" cm="1">
        <f t="array" ref="C125">MAX(_xlfn._xlws.FILTER(C1:C122, ISNUMBER(C1:C122)))</f>
        <v>19.6994176676615</v>
      </c>
      <c r="D125" s="3" cm="1">
        <f t="array" ref="D125">MAX(_xlfn._xlws.FILTER(D1:D122, ISNUMBER(D1:D122)))</f>
        <v>18.1032725480346</v>
      </c>
      <c r="E125" s="3" cm="1">
        <f t="array" ref="E125">MAX(_xlfn._xlws.FILTER(E1:E122, ISNUMBER(E1:E122)))</f>
        <v>18.152960269473802</v>
      </c>
      <c r="F125" s="3" cm="1">
        <f t="array" ref="F125">MAX(_xlfn._xlws.FILTER(F1:F122, ISNUMBER(F1:F122)))</f>
        <v>18.597253537475201</v>
      </c>
      <c r="G125" s="3" cm="1">
        <f t="array" ref="G125">MAX(_xlfn._xlws.FILTER(G1:G122, ISNUMBER(G1:G122)))</f>
        <v>19.879467256899101</v>
      </c>
      <c r="H125" s="3" cm="1">
        <f t="array" ref="H125">MAX(_xlfn._xlws.FILTER(H1:H122, ISNUMBER(H1:H122)))</f>
        <v>16.273392913453801</v>
      </c>
      <c r="I125" s="3" cm="1">
        <f t="array" ref="I125">MAX(_xlfn._xlws.FILTER(I1:I122, ISNUMBER(I1:I122)))</f>
        <v>32.309429653073302</v>
      </c>
      <c r="J125" s="3" cm="1">
        <f t="array" ref="J125">MAX(_xlfn._xlws.FILTER(J1:J122, ISNUMBER(J1:J122)))</f>
        <v>23.366549110829201</v>
      </c>
      <c r="K125" s="3" cm="1">
        <f t="array" ref="K125">MAX(_xlfn._xlws.FILTER(K1:K122, ISNUMBER(K1:K122)))</f>
        <v>19.510967645277201</v>
      </c>
      <c r="L125" s="3" cm="1">
        <f t="array" ref="L125">MAX(_xlfn._xlws.FILTER(L1:L122, ISNUMBER(L1:L122)))</f>
        <v>22.738661708558901</v>
      </c>
      <c r="M125" s="3" cm="1">
        <f t="array" ref="M125">MAX(_xlfn._xlws.FILTER(M1:M122, ISNUMBER(M1:M122)))</f>
        <v>20.27506424948</v>
      </c>
      <c r="N125" s="3" cm="1">
        <f t="array" ref="N125">MAX(_xlfn._xlws.FILTER(N1:N122, ISNUMBER(N1:N122)))</f>
        <v>17.976099175463201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0.69599999999999995</v>
      </c>
      <c r="C127" s="9" cm="1">
        <f t="array" ref="C127">_xlfn.PERCENTRANK.EXC(_xlfn._xlws.FILTER(C1:C122, ISNUMBER(C1:C122)),C122)</f>
        <v>0.72099999999999997</v>
      </c>
      <c r="D127" s="9" cm="1">
        <f t="array" ref="D127">_xlfn.PERCENTRANK.EXC(_xlfn._xlws.FILTER(D1:D122, ISNUMBER(D1:D122)),D122)</f>
        <v>0.33600000000000002</v>
      </c>
      <c r="E127" s="9" cm="1">
        <f t="array" ref="E127">_xlfn.PERCENTRANK.EXC(_xlfn._xlws.FILTER(E1:E122, ISNUMBER(E1:E122)),E122)</f>
        <v>0.254</v>
      </c>
      <c r="F127" s="9" cm="1">
        <f t="array" ref="F127">_xlfn.PERCENTRANK.EXC(_xlfn._xlws.FILTER(F1:F122, ISNUMBER(F1:F122)),F122)</f>
        <v>0.79500000000000004</v>
      </c>
      <c r="G127" s="9" cm="1">
        <f t="array" ref="G127">_xlfn.PERCENTRANK.EXC(_xlfn._xlws.FILTER(G1:G122, ISNUMBER(G1:G122)),G122)</f>
        <v>0.40899999999999997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0.71299999999999997</v>
      </c>
      <c r="J127" s="9" cm="1">
        <f t="array" ref="J127">_xlfn.PERCENTRANK.EXC(_xlfn._xlws.FILTER(J1:J122, ISNUMBER(J1:J122)),J122)</f>
        <v>0.78600000000000003</v>
      </c>
      <c r="K127" s="9" cm="1">
        <f t="array" ref="K127">_xlfn.PERCENTRANK.EXC(_xlfn._xlws.FILTER(K1:K122, ISNUMBER(K1:K122)),K122)</f>
        <v>0.58099999999999996</v>
      </c>
      <c r="L127" s="9" cm="1">
        <f t="array" ref="L127">_xlfn.PERCENTRANK.EXC(_xlfn._xlws.FILTER(L1:L122, ISNUMBER(L1:L122)),L122)</f>
        <v>0.41799999999999998</v>
      </c>
      <c r="M127" s="9" cm="1">
        <f t="array" ref="M127">_xlfn.PERCENTRANK.EXC(_xlfn._xlws.FILTER(M1:M122, ISNUMBER(M1:M122)),M122)</f>
        <v>0.63900000000000001</v>
      </c>
      <c r="N127" s="9" cm="1">
        <f t="array" ref="N127">_xlfn.PERCENTRANK.EXC(_xlfn._xlws.FILTER(N1:N122, ISNUMBER(N1:N122)),N122)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41761</v>
      </c>
      <c r="B2" s="3" cm="1">
        <f t="array" ref="B2:B122">_xll.FDS(B1,"FMA_DIV_YLD(NTMA,-10AY,0,AM,""PORTAGG"",""MEANR"")")</f>
        <v>4.0233407256534699</v>
      </c>
      <c r="C2" s="3" cm="1">
        <f t="array" ref="C2:C122">_xll.FDS(C1,"FMA_DIV_YLD(NTMA,-10AY,0,AM,""PORTAGG"",""MEANR"")")</f>
        <v>4.7860717327580096</v>
      </c>
      <c r="D2" s="3" cm="1">
        <f t="array" ref="D2:D122">_xll.FDS(D1,"FMA_DIV_YLD(NTMA,-10AY,0,AM,""PORTAGG"",""MEANR"")")</f>
        <v>2.8496909755856099</v>
      </c>
      <c r="E2" s="3" cm="1">
        <f t="array" ref="E2:E122">_xll.FDS(E1,"FMA_DIV_YLD(NTMA,-10AY,0,AM,""PORTAGG"",""MEANR"")")</f>
        <v>3.0054661336784601</v>
      </c>
      <c r="F2" s="3" cm="1">
        <f t="array" ref="F2:F122">_xll.FDS(F1,"FMA_DIV_YLD(NTMA,-10AY,0,AM,""PORTAGG"",""MEANR"")")</f>
        <v>2.15781029827312</v>
      </c>
      <c r="G2" s="3" cm="1">
        <f t="array" ref="G2:G122">_xll.FDS(G1,"FMA_DIV_YLD(NTMA,-10AY,0,AM,""PORTAGG"",""MEANR"")")</f>
        <v>3.1994148650080199</v>
      </c>
      <c r="H2" s="3" cm="1">
        <f t="array" ref="H2:H122">_xll.FDS(H1,"FMA_DIV_YLD(NTMA,-10AY,0,AM,""PORTAGG"",""MEANR"")")</f>
        <v>3.819658860763</v>
      </c>
      <c r="I2" s="3" cm="1">
        <f t="array" ref="I2:I122">_xll.FDS(I1,"FMA_DIV_YLD(NTMA,-10AY,0,AM,""PORTAGG"",""MEANR"")")</f>
        <v>1.3576502200634299</v>
      </c>
      <c r="J2" s="3" cm="1">
        <f t="array" ref="J2:J122">_xll.FDS(J1,"FMA_DIV_YLD(NTMA,-10AY,0,AM,""PORTAGG"",""MEANR"")")</f>
        <v>2.1569156843285202</v>
      </c>
      <c r="K2" s="3" cm="1">
        <f t="array" ref="K2:K122">_xll.FDS(K1,"FMA_DIV_YLD(NTMA,-10AY,0,AM,""PORTAGG"",""MEANR"")")</f>
        <v>3.4638687105566</v>
      </c>
      <c r="L2" s="3" cm="1">
        <f t="array" ref="L2:L122">_xll.FDS(L1,"FMA_DIV_YLD(NTMA,-10AY,0,AM,""PORTAGG"",""MEANR"")")</f>
        <v>2.8169734803431901</v>
      </c>
      <c r="M2" s="3" cm="1">
        <f t="array" ref="M2:M122">_xll.FDS(M1,"FMA_DIV_YLD(NTMA,-10AY,0,AM,""PORTAGG"",""MEANR"")")</f>
        <v>4.1118722665011802</v>
      </c>
      <c r="N2" s="3" cm="1">
        <f t="array" ref="N2:N122">_xll.FDS(N1,"FMA_DIV_YLD(NTMA,-10AY,0,AM,""PORTAGG"",""MEANR"")")</f>
        <v>3.3992814152499902</v>
      </c>
    </row>
    <row r="3" spans="1:14" x14ac:dyDescent="0.35">
      <c r="A3" s="2">
        <v>41792</v>
      </c>
      <c r="B3" s="3">
        <v>4.2165253508934297</v>
      </c>
      <c r="C3" s="3">
        <v>4.7559295002930204</v>
      </c>
      <c r="D3" s="3">
        <v>2.8847815446140599</v>
      </c>
      <c r="E3" s="3">
        <v>2.9606717301702701</v>
      </c>
      <c r="F3" s="3">
        <v>2.1279694216157798</v>
      </c>
      <c r="G3" s="3">
        <v>3.2074504459517001</v>
      </c>
      <c r="H3" s="3">
        <v>3.82946055773396</v>
      </c>
      <c r="I3" s="3">
        <v>1.31432221486782</v>
      </c>
      <c r="J3" s="3">
        <v>2.1236559762254998</v>
      </c>
      <c r="K3" s="3">
        <v>3.3879185891582302</v>
      </c>
      <c r="L3" s="3">
        <v>2.80426435070114</v>
      </c>
      <c r="M3" s="3">
        <v>4.0678330748970897</v>
      </c>
      <c r="N3" s="3">
        <v>3.4542748529555301</v>
      </c>
    </row>
    <row r="4" spans="1:14" x14ac:dyDescent="0.35">
      <c r="A4" s="2">
        <v>41822</v>
      </c>
      <c r="B4" s="3">
        <v>4.4388477731229896</v>
      </c>
      <c r="C4" s="3">
        <v>4.8110928632862802</v>
      </c>
      <c r="D4" s="3">
        <v>2.7958512664868098</v>
      </c>
      <c r="E4" s="3">
        <v>3.0106246268175898</v>
      </c>
      <c r="F4" s="3">
        <v>2.0448189288560301</v>
      </c>
      <c r="G4" s="3">
        <v>3.30465888197419</v>
      </c>
      <c r="H4" s="3">
        <v>3.82404470850864</v>
      </c>
      <c r="I4" s="3">
        <v>1.24984220793107</v>
      </c>
      <c r="J4" s="3">
        <v>2.0837471670183199</v>
      </c>
      <c r="K4" s="3">
        <v>3.4256108379671502</v>
      </c>
      <c r="L4" s="3">
        <v>2.7820155661475501</v>
      </c>
      <c r="M4" s="3">
        <v>4.1104490389167498</v>
      </c>
      <c r="N4" s="3">
        <v>3.2974285689323599</v>
      </c>
    </row>
    <row r="5" spans="1:14" x14ac:dyDescent="0.35">
      <c r="A5" s="2">
        <v>41852</v>
      </c>
      <c r="B5" s="3">
        <v>4.5073231929041704</v>
      </c>
      <c r="C5" s="3">
        <v>4.7104449743113603</v>
      </c>
      <c r="D5" s="3">
        <v>2.8010116764488302</v>
      </c>
      <c r="E5" s="3">
        <v>3.2570429575131601</v>
      </c>
      <c r="F5" s="3">
        <v>2.05814286020646</v>
      </c>
      <c r="G5" s="3">
        <v>3.3915889322552402</v>
      </c>
      <c r="H5" s="3">
        <v>3.9447215028552298</v>
      </c>
      <c r="I5" s="3">
        <v>1.2688900035794599</v>
      </c>
      <c r="J5" s="3">
        <v>2.1562800576019701</v>
      </c>
      <c r="K5" s="3">
        <v>3.6352316836299798</v>
      </c>
      <c r="L5" s="3">
        <v>2.9964627617528099</v>
      </c>
      <c r="M5" s="3">
        <v>4.2837949674724998</v>
      </c>
      <c r="N5" s="3">
        <v>3.5635026708345601</v>
      </c>
    </row>
    <row r="6" spans="1:14" x14ac:dyDescent="0.35">
      <c r="A6" s="2">
        <v>41884</v>
      </c>
      <c r="B6" s="3">
        <v>4.5504080824650304</v>
      </c>
      <c r="C6" s="3">
        <v>4.6671230861649002</v>
      </c>
      <c r="D6" s="3">
        <v>2.75143910510107</v>
      </c>
      <c r="E6" s="3">
        <v>3.1680805904270302</v>
      </c>
      <c r="F6" s="3">
        <v>2.0533757594291302</v>
      </c>
      <c r="G6" s="3">
        <v>3.3003159416813799</v>
      </c>
      <c r="H6" s="3">
        <v>3.8849179943967602</v>
      </c>
      <c r="I6" s="3">
        <v>1.20754532652973</v>
      </c>
      <c r="J6" s="3">
        <v>2.0865162287034602</v>
      </c>
      <c r="K6" s="3">
        <v>3.5399372001714799</v>
      </c>
      <c r="L6" s="3">
        <v>2.97829173727771</v>
      </c>
      <c r="M6" s="3">
        <v>4.2218526632495097</v>
      </c>
      <c r="N6" s="3">
        <v>3.6004987181449599</v>
      </c>
    </row>
    <row r="7" spans="1:14" x14ac:dyDescent="0.35">
      <c r="A7" s="2">
        <v>41914</v>
      </c>
      <c r="B7" s="3">
        <v>4.5923215957859398</v>
      </c>
      <c r="C7" s="3">
        <v>5.0602011776140898</v>
      </c>
      <c r="D7" s="3">
        <v>2.9204018412654902</v>
      </c>
      <c r="E7" s="3">
        <v>3.2913963440536</v>
      </c>
      <c r="F7" s="3">
        <v>2.0972735344458799</v>
      </c>
      <c r="G7" s="3">
        <v>3.3970288995029301</v>
      </c>
      <c r="H7" s="3">
        <v>4.1687669871769799</v>
      </c>
      <c r="I7" s="3">
        <v>1.25911953174716</v>
      </c>
      <c r="J7" s="3">
        <v>2.1621207238592501</v>
      </c>
      <c r="K7" s="3">
        <v>3.69367624221728</v>
      </c>
      <c r="L7" s="3">
        <v>3.1057935356658</v>
      </c>
      <c r="M7" s="3">
        <v>4.3550687432958402</v>
      </c>
      <c r="N7" s="3">
        <v>3.8276976224235901</v>
      </c>
    </row>
    <row r="8" spans="1:14" x14ac:dyDescent="0.35">
      <c r="A8" s="2">
        <v>41943</v>
      </c>
      <c r="B8" s="3">
        <v>4.5048395410641398</v>
      </c>
      <c r="C8" s="3">
        <v>4.8244225696928398</v>
      </c>
      <c r="D8" s="3">
        <v>2.9628185389949699</v>
      </c>
      <c r="E8" s="3">
        <v>3.2665099932034498</v>
      </c>
      <c r="F8" s="3">
        <v>2.02193698969938</v>
      </c>
      <c r="G8" s="3">
        <v>3.3234686035494598</v>
      </c>
      <c r="H8" s="3">
        <v>4.0920695337017499</v>
      </c>
      <c r="I8" s="3">
        <v>1.22378485612699</v>
      </c>
      <c r="J8" s="3">
        <v>2.1065324113141402</v>
      </c>
      <c r="K8" s="3">
        <v>3.6976174728139499</v>
      </c>
      <c r="L8" s="3">
        <v>3.1016778638384199</v>
      </c>
      <c r="M8" s="3">
        <v>4.1758112454866598</v>
      </c>
      <c r="N8" s="3">
        <v>3.8600860482479802</v>
      </c>
    </row>
    <row r="9" spans="1:14" x14ac:dyDescent="0.35">
      <c r="A9" s="2">
        <v>41975</v>
      </c>
      <c r="B9" s="3">
        <v>4.5775835142433703</v>
      </c>
      <c r="C9" s="3">
        <v>5.0661903819545797</v>
      </c>
      <c r="D9" s="3">
        <v>2.95372085082577</v>
      </c>
      <c r="E9" s="3">
        <v>3.14196906844901</v>
      </c>
      <c r="F9" s="3">
        <v>1.9270871764513799</v>
      </c>
      <c r="G9" s="3">
        <v>3.2423043626294499</v>
      </c>
      <c r="H9" s="3">
        <v>4.0196304003282499</v>
      </c>
      <c r="I9" s="3">
        <v>1.19894600567655</v>
      </c>
      <c r="J9" s="3">
        <v>2.0770573017529599</v>
      </c>
      <c r="K9" s="3">
        <v>3.55632631527246</v>
      </c>
      <c r="L9" s="3">
        <v>2.98759353310734</v>
      </c>
      <c r="M9" s="3">
        <v>4.1105232086418901</v>
      </c>
      <c r="N9" s="3">
        <v>3.86612471351267</v>
      </c>
    </row>
    <row r="10" spans="1:14" x14ac:dyDescent="0.35">
      <c r="A10" s="2">
        <v>42006</v>
      </c>
      <c r="B10" s="3">
        <v>4.4358679634783202</v>
      </c>
      <c r="C10" s="3">
        <v>4.9561055006104802</v>
      </c>
      <c r="D10" s="3">
        <v>2.9062713291534599</v>
      </c>
      <c r="E10" s="3">
        <v>3.2067397206617598</v>
      </c>
      <c r="F10" s="3">
        <v>1.9823228051247399</v>
      </c>
      <c r="G10" s="3">
        <v>3.31217177074199</v>
      </c>
      <c r="H10" s="3">
        <v>4.1700632662538801</v>
      </c>
      <c r="I10" s="3">
        <v>1.2078907210396901</v>
      </c>
      <c r="J10" s="3">
        <v>2.1022932342426501</v>
      </c>
      <c r="K10" s="3">
        <v>3.6491623084804501</v>
      </c>
      <c r="L10" s="3">
        <v>3.0814615464786699</v>
      </c>
      <c r="M10" s="3">
        <v>4.0974509664979504</v>
      </c>
      <c r="N10" s="3">
        <v>4.0613458766300203</v>
      </c>
    </row>
    <row r="11" spans="1:14" x14ac:dyDescent="0.35">
      <c r="A11" s="2">
        <v>42037</v>
      </c>
      <c r="B11" s="3">
        <v>4.3135941447958501</v>
      </c>
      <c r="C11" s="3">
        <v>4.8159212942973904</v>
      </c>
      <c r="D11" s="3">
        <v>2.91054655528061</v>
      </c>
      <c r="E11" s="3">
        <v>2.9139701237768998</v>
      </c>
      <c r="F11" s="3">
        <v>2.0156230856048598</v>
      </c>
      <c r="G11" s="3">
        <v>3.36464219955803</v>
      </c>
      <c r="H11" s="3">
        <v>4.0641026042357202</v>
      </c>
      <c r="I11" s="3">
        <v>1.2305382501144799</v>
      </c>
      <c r="J11" s="3">
        <v>2.1631626101087802</v>
      </c>
      <c r="K11" s="3">
        <v>3.3546986437458401</v>
      </c>
      <c r="L11" s="3">
        <v>2.9028426413663899</v>
      </c>
      <c r="M11" s="3">
        <v>3.8496029251487198</v>
      </c>
      <c r="N11" s="3">
        <v>3.7863065183167901</v>
      </c>
    </row>
    <row r="12" spans="1:14" x14ac:dyDescent="0.35">
      <c r="A12" s="2">
        <v>42065</v>
      </c>
      <c r="B12" s="3">
        <v>4.2544967033606698</v>
      </c>
      <c r="C12" s="3">
        <v>4.5301169329003903</v>
      </c>
      <c r="D12" s="3">
        <v>2.8430960720091201</v>
      </c>
      <c r="E12" s="3">
        <v>2.7798648577982599</v>
      </c>
      <c r="F12" s="3">
        <v>1.8793950962917501</v>
      </c>
      <c r="G12" s="3">
        <v>3.1574564266309801</v>
      </c>
      <c r="H12" s="3">
        <v>3.9014147496399301</v>
      </c>
      <c r="I12" s="3">
        <v>1.20162353375402</v>
      </c>
      <c r="J12" s="3">
        <v>2.08612525473474</v>
      </c>
      <c r="K12" s="3">
        <v>3.16395792012958</v>
      </c>
      <c r="L12" s="3">
        <v>2.6820965518924198</v>
      </c>
      <c r="M12" s="3">
        <v>3.6123661655014501</v>
      </c>
      <c r="N12" s="3">
        <v>3.4290825803421798</v>
      </c>
    </row>
    <row r="13" spans="1:14" x14ac:dyDescent="0.35">
      <c r="A13" s="2">
        <v>42096</v>
      </c>
      <c r="B13" s="3">
        <v>4.4138014957123</v>
      </c>
      <c r="C13" s="3">
        <v>4.6105427087076096</v>
      </c>
      <c r="D13" s="3">
        <v>2.8898505926306899</v>
      </c>
      <c r="E13" s="3">
        <v>2.6897686403498202</v>
      </c>
      <c r="F13" s="3">
        <v>1.87306489716522</v>
      </c>
      <c r="G13" s="3">
        <v>3.1310947975759502</v>
      </c>
      <c r="H13" s="3">
        <v>4.0204209325582001</v>
      </c>
      <c r="I13" s="3">
        <v>1.2822542300114801</v>
      </c>
      <c r="J13" s="3">
        <v>2.18037388974949</v>
      </c>
      <c r="K13" s="3">
        <v>3.1690834870554498</v>
      </c>
      <c r="L13" s="3">
        <v>2.6544686056369402</v>
      </c>
      <c r="M13" s="3">
        <v>3.6593769068961501</v>
      </c>
      <c r="N13" s="3">
        <v>3.1316035807262699</v>
      </c>
    </row>
    <row r="14" spans="1:14" x14ac:dyDescent="0.35">
      <c r="A14" s="2">
        <v>42125</v>
      </c>
      <c r="B14" s="3">
        <v>4.4598945635700602</v>
      </c>
      <c r="C14" s="3">
        <v>4.6577473100721498</v>
      </c>
      <c r="D14" s="3">
        <v>2.8202352580427501</v>
      </c>
      <c r="E14" s="3">
        <v>2.8582508474297699</v>
      </c>
      <c r="F14" s="3">
        <v>1.8620372573981501</v>
      </c>
      <c r="G14" s="3">
        <v>3.09952287960115</v>
      </c>
      <c r="H14" s="3">
        <v>3.9072735492385302</v>
      </c>
      <c r="I14" s="3">
        <v>1.2376520692410999</v>
      </c>
      <c r="J14" s="3">
        <v>2.1493103173069601</v>
      </c>
      <c r="K14" s="3">
        <v>3.2503279245133299</v>
      </c>
      <c r="L14" s="3">
        <v>2.7461343999879002</v>
      </c>
      <c r="M14" s="3">
        <v>3.7982988881022099</v>
      </c>
      <c r="N14" s="3">
        <v>3.19624753464953</v>
      </c>
    </row>
    <row r="15" spans="1:14" x14ac:dyDescent="0.35">
      <c r="A15" s="2">
        <v>42157</v>
      </c>
      <c r="B15" s="3">
        <v>4.4054994999481902</v>
      </c>
      <c r="C15" s="3">
        <v>4.8144683787547198</v>
      </c>
      <c r="D15" s="3">
        <v>2.8837209198203602</v>
      </c>
      <c r="E15" s="3">
        <v>2.9609322600788199</v>
      </c>
      <c r="F15" s="3">
        <v>1.84196235105864</v>
      </c>
      <c r="G15" s="3">
        <v>3.1302116532284501</v>
      </c>
      <c r="H15" s="3">
        <v>3.9500357349770301</v>
      </c>
      <c r="I15" s="3">
        <v>1.2389961029268799</v>
      </c>
      <c r="J15" s="3">
        <v>2.1587735244725699</v>
      </c>
      <c r="K15" s="3">
        <v>3.2928143670113599</v>
      </c>
      <c r="L15" s="3">
        <v>2.8703833706264898</v>
      </c>
      <c r="M15" s="3">
        <v>3.80736310155112</v>
      </c>
      <c r="N15" s="3">
        <v>3.2001564692386899</v>
      </c>
    </row>
    <row r="16" spans="1:14" x14ac:dyDescent="0.35">
      <c r="A16" s="2">
        <v>42187</v>
      </c>
      <c r="B16" s="3">
        <v>4.6118671941691503</v>
      </c>
      <c r="C16" s="3">
        <v>4.85649458853878</v>
      </c>
      <c r="D16" s="3">
        <v>3.0015151753047</v>
      </c>
      <c r="E16" s="3">
        <v>3.05685616476568</v>
      </c>
      <c r="F16" s="3">
        <v>1.9015929706569401</v>
      </c>
      <c r="G16" s="3">
        <v>3.2380626026624202</v>
      </c>
      <c r="H16" s="3">
        <v>4.1442046729690496</v>
      </c>
      <c r="I16" s="3">
        <v>1.2612209277419599</v>
      </c>
      <c r="J16" s="3">
        <v>2.19149921343609</v>
      </c>
      <c r="K16" s="3">
        <v>3.4291090081297502</v>
      </c>
      <c r="L16" s="3">
        <v>2.9503104836919598</v>
      </c>
      <c r="M16" s="3">
        <v>4.0262084881765796</v>
      </c>
      <c r="N16" s="3">
        <v>3.3237778299065299</v>
      </c>
    </row>
    <row r="17" spans="1:14" x14ac:dyDescent="0.35">
      <c r="A17" s="2">
        <v>42216</v>
      </c>
      <c r="B17" s="3">
        <v>4.5533712011916601</v>
      </c>
      <c r="C17" s="3">
        <v>4.8021964473910099</v>
      </c>
      <c r="D17" s="3">
        <v>3.0629996926862799</v>
      </c>
      <c r="E17" s="3">
        <v>3.0122105581785901</v>
      </c>
      <c r="F17" s="3">
        <v>1.8975566776964901</v>
      </c>
      <c r="G17" s="3">
        <v>3.1022687086928</v>
      </c>
      <c r="H17" s="3">
        <v>4.0964170082160001</v>
      </c>
      <c r="I17" s="3">
        <v>1.26115963601434</v>
      </c>
      <c r="J17" s="3">
        <v>2.1873912404734499</v>
      </c>
      <c r="K17" s="3">
        <v>3.2915720318120001</v>
      </c>
      <c r="L17" s="3">
        <v>2.8900662201743001</v>
      </c>
      <c r="M17" s="3">
        <v>3.9554093087774298</v>
      </c>
      <c r="N17" s="3">
        <v>3.1165728231883199</v>
      </c>
    </row>
    <row r="18" spans="1:14" x14ac:dyDescent="0.35">
      <c r="A18" s="2">
        <v>42249</v>
      </c>
      <c r="B18" s="3">
        <v>5.1675239644057998</v>
      </c>
      <c r="C18" s="3">
        <v>5.43136449232939</v>
      </c>
      <c r="D18" s="3">
        <v>3.23492646176026</v>
      </c>
      <c r="E18" s="3">
        <v>3.3976315303484301</v>
      </c>
      <c r="F18" s="3">
        <v>2.1757269230555898</v>
      </c>
      <c r="G18" s="3">
        <v>3.3962059804098002</v>
      </c>
      <c r="H18" s="3">
        <v>4.5283665670023403</v>
      </c>
      <c r="I18" s="3">
        <v>1.3676100885934099</v>
      </c>
      <c r="J18" s="3">
        <v>2.3780083738274</v>
      </c>
      <c r="K18" s="3">
        <v>3.68766374451199</v>
      </c>
      <c r="L18" s="3">
        <v>3.4562664522017399</v>
      </c>
      <c r="M18" s="3">
        <v>4.3843505352375596</v>
      </c>
      <c r="N18" s="3">
        <v>3.42568871881479</v>
      </c>
    </row>
    <row r="19" spans="1:14" x14ac:dyDescent="0.35">
      <c r="A19" s="2">
        <v>42279</v>
      </c>
      <c r="B19" s="3">
        <v>5.2983767660273404</v>
      </c>
      <c r="C19" s="3">
        <v>5.4549610302002796</v>
      </c>
      <c r="D19" s="3">
        <v>3.3054713154918698</v>
      </c>
      <c r="E19" s="3">
        <v>3.51099814566017</v>
      </c>
      <c r="F19" s="3">
        <v>2.2133136853556601</v>
      </c>
      <c r="G19" s="3">
        <v>3.43939997398871</v>
      </c>
      <c r="H19" s="3">
        <v>4.4296831846613296</v>
      </c>
      <c r="I19" s="3">
        <v>1.3672001617655101</v>
      </c>
      <c r="J19" s="3">
        <v>2.3819927400980299</v>
      </c>
      <c r="K19" s="3">
        <v>3.75713712725147</v>
      </c>
      <c r="L19" s="3">
        <v>3.5927448490592102</v>
      </c>
      <c r="M19" s="3">
        <v>4.5713656665182398</v>
      </c>
      <c r="N19" s="3">
        <v>3.69527891923271</v>
      </c>
    </row>
    <row r="20" spans="1:14" x14ac:dyDescent="0.35">
      <c r="A20" s="2">
        <v>42310</v>
      </c>
      <c r="B20" s="3">
        <v>4.9240043848264303</v>
      </c>
      <c r="C20" s="3">
        <v>5.31485225111782</v>
      </c>
      <c r="D20" s="3">
        <v>3.2442993664012301</v>
      </c>
      <c r="E20" s="3">
        <v>2.9631998912231801</v>
      </c>
      <c r="F20" s="3">
        <v>2.0979477795003998</v>
      </c>
      <c r="G20" s="3">
        <v>3.2536739575064</v>
      </c>
      <c r="H20" s="3">
        <v>4.2470387994072096</v>
      </c>
      <c r="I20" s="3">
        <v>1.2504835387826501</v>
      </c>
      <c r="J20" s="3">
        <v>2.2229087266525802</v>
      </c>
      <c r="K20" s="3">
        <v>3.4188582752915702</v>
      </c>
      <c r="L20" s="3">
        <v>3.2155617898332198</v>
      </c>
      <c r="M20" s="3">
        <v>4.1977128911692203</v>
      </c>
      <c r="N20" s="3">
        <v>3.5494972711098498</v>
      </c>
    </row>
    <row r="21" spans="1:14" x14ac:dyDescent="0.35">
      <c r="A21" s="2">
        <v>42340</v>
      </c>
      <c r="B21" s="3">
        <v>4.75539613817842</v>
      </c>
      <c r="C21" s="3">
        <v>5.1702718223362902</v>
      </c>
      <c r="D21" s="3">
        <v>3.2832674385812699</v>
      </c>
      <c r="E21" s="3">
        <v>2.9099528111378001</v>
      </c>
      <c r="F21" s="3">
        <v>2.0133755328554099</v>
      </c>
      <c r="G21" s="3">
        <v>3.2373241613006298</v>
      </c>
      <c r="H21" s="3">
        <v>4.1739440992989296</v>
      </c>
      <c r="I21" s="3">
        <v>1.2674640246928</v>
      </c>
      <c r="J21" s="3">
        <v>2.2774461465997899</v>
      </c>
      <c r="K21" s="3">
        <v>3.4193245424499401</v>
      </c>
      <c r="L21" s="3">
        <v>3.1270113072767698</v>
      </c>
      <c r="M21" s="3">
        <v>4.0843722394093698</v>
      </c>
      <c r="N21" s="3">
        <v>3.56967821197291</v>
      </c>
    </row>
    <row r="22" spans="1:14" x14ac:dyDescent="0.35">
      <c r="A22" s="2">
        <v>42369</v>
      </c>
      <c r="B22" s="3">
        <v>4.7251598090588898</v>
      </c>
      <c r="C22" s="3">
        <v>5.0962560197721301</v>
      </c>
      <c r="D22" s="3">
        <v>3.3535405693636999</v>
      </c>
      <c r="E22" s="3">
        <v>3.0291933924976502</v>
      </c>
      <c r="F22" s="3">
        <v>2.09547306420622</v>
      </c>
      <c r="G22" s="3">
        <v>3.2704094504136698</v>
      </c>
      <c r="H22" s="3">
        <v>4.3085630194237696</v>
      </c>
      <c r="I22" s="3">
        <v>1.2599780433658301</v>
      </c>
      <c r="J22" s="3">
        <v>2.3146834111961798</v>
      </c>
      <c r="K22" s="3">
        <v>3.60193863288813</v>
      </c>
      <c r="L22" s="3">
        <v>3.1578447626867199</v>
      </c>
      <c r="M22" s="3">
        <v>4.3132758780682803</v>
      </c>
      <c r="N22" s="3">
        <v>3.8318095522954301</v>
      </c>
    </row>
    <row r="23" spans="1:14" x14ac:dyDescent="0.35">
      <c r="A23" s="2">
        <v>42402</v>
      </c>
      <c r="B23" s="3">
        <v>4.8383513047871203</v>
      </c>
      <c r="C23" s="3">
        <v>5.1795683214502803</v>
      </c>
      <c r="D23" s="3">
        <v>3.4708300758048201</v>
      </c>
      <c r="E23" s="3">
        <v>3.4196545261450599</v>
      </c>
      <c r="F23" s="3">
        <v>2.2475466531918502</v>
      </c>
      <c r="G23" s="3">
        <v>3.47404742487489</v>
      </c>
      <c r="H23" s="3">
        <v>4.5373966825874801</v>
      </c>
      <c r="I23" s="3">
        <v>1.3880045537955299</v>
      </c>
      <c r="J23" s="3">
        <v>2.4518202590146898</v>
      </c>
      <c r="K23" s="3">
        <v>3.8801422532830898</v>
      </c>
      <c r="L23" s="3">
        <v>3.2859061393257498</v>
      </c>
      <c r="M23" s="3">
        <v>4.5765013593761399</v>
      </c>
      <c r="N23" s="3">
        <v>4.5705157377194201</v>
      </c>
    </row>
    <row r="24" spans="1:14" x14ac:dyDescent="0.35">
      <c r="A24" s="2">
        <v>42431</v>
      </c>
      <c r="B24" s="3">
        <v>4.8146056979883296</v>
      </c>
      <c r="C24" s="3">
        <v>4.88837963263002</v>
      </c>
      <c r="D24" s="3">
        <v>3.3007900936477501</v>
      </c>
      <c r="E24" s="3">
        <v>3.37086607500098</v>
      </c>
      <c r="F24" s="3">
        <v>2.3812294962986398</v>
      </c>
      <c r="G24" s="3">
        <v>3.4819496360209601</v>
      </c>
      <c r="H24" s="3">
        <v>4.4321949525644602</v>
      </c>
      <c r="I24" s="3">
        <v>1.3713556341097599</v>
      </c>
      <c r="J24" s="3">
        <v>2.4751977345461702</v>
      </c>
      <c r="K24" s="3">
        <v>3.7655068536725702</v>
      </c>
      <c r="L24" s="3">
        <v>3.28264362026392</v>
      </c>
      <c r="M24" s="3">
        <v>4.3355195399675797</v>
      </c>
      <c r="N24" s="3">
        <v>4.3485700242587004</v>
      </c>
    </row>
    <row r="25" spans="1:14" x14ac:dyDescent="0.35">
      <c r="A25" s="2">
        <v>42461</v>
      </c>
      <c r="B25" s="3">
        <v>4.57794648713835</v>
      </c>
      <c r="C25" s="3">
        <v>4.9281671105948801</v>
      </c>
      <c r="D25" s="3">
        <v>3.1672246817146501</v>
      </c>
      <c r="E25" s="3">
        <v>3.34682933835506</v>
      </c>
      <c r="F25" s="3">
        <v>2.4842972603484799</v>
      </c>
      <c r="G25" s="3">
        <v>3.59224856747807</v>
      </c>
      <c r="H25" s="3">
        <v>4.3902824733654997</v>
      </c>
      <c r="I25" s="3">
        <v>1.3186627844285399</v>
      </c>
      <c r="J25" s="3">
        <v>2.2917987413403398</v>
      </c>
      <c r="K25" s="3">
        <v>3.8170459736460298</v>
      </c>
      <c r="L25" s="3">
        <v>3.33589768325509</v>
      </c>
      <c r="M25" s="3">
        <v>4.4073417807199604</v>
      </c>
      <c r="N25" s="3">
        <v>4.5018122358865904</v>
      </c>
    </row>
    <row r="26" spans="1:14" x14ac:dyDescent="0.35">
      <c r="A26" s="2">
        <v>42492</v>
      </c>
      <c r="B26" s="3">
        <v>4.5954603982585498</v>
      </c>
      <c r="C26" s="3">
        <v>4.6886987284179602</v>
      </c>
      <c r="D26" s="3">
        <v>3.0724359040935001</v>
      </c>
      <c r="E26" s="3">
        <v>3.2886946410625599</v>
      </c>
      <c r="F26" s="3">
        <v>2.4684212191250401</v>
      </c>
      <c r="G26" s="3">
        <v>3.4936613608194902</v>
      </c>
      <c r="H26" s="3">
        <v>4.2716062884944499</v>
      </c>
      <c r="I26" s="3">
        <v>1.3774236731057501</v>
      </c>
      <c r="J26" s="3">
        <v>2.2927014117324598</v>
      </c>
      <c r="K26" s="3">
        <v>3.7100293694392401</v>
      </c>
      <c r="L26" s="3">
        <v>3.36134094128042</v>
      </c>
      <c r="M26" s="3">
        <v>4.3929745863608298</v>
      </c>
      <c r="N26" s="3">
        <v>4.3590473721368799</v>
      </c>
    </row>
    <row r="27" spans="1:14" x14ac:dyDescent="0.35">
      <c r="A27" s="2">
        <v>42523</v>
      </c>
      <c r="B27" s="3">
        <v>4.3346870752958599</v>
      </c>
      <c r="C27" s="3">
        <v>4.6502175585949699</v>
      </c>
      <c r="D27" s="3">
        <v>3.0291406249142301</v>
      </c>
      <c r="E27" s="3">
        <v>3.2929711377534701</v>
      </c>
      <c r="F27" s="3">
        <v>2.3764465529865699</v>
      </c>
      <c r="G27" s="3">
        <v>3.4623789826214</v>
      </c>
      <c r="H27" s="3">
        <v>4.3467099817442296</v>
      </c>
      <c r="I27" s="3">
        <v>1.3400882304172701</v>
      </c>
      <c r="J27" s="3">
        <v>2.2642074865991502</v>
      </c>
      <c r="K27" s="3">
        <v>3.71569826118118</v>
      </c>
      <c r="L27" s="3">
        <v>3.1316419742736001</v>
      </c>
      <c r="M27" s="3">
        <v>4.4051796232018399</v>
      </c>
      <c r="N27" s="3">
        <v>4.6122883696466603</v>
      </c>
    </row>
    <row r="28" spans="1:14" x14ac:dyDescent="0.35">
      <c r="A28" s="2">
        <v>42552</v>
      </c>
      <c r="B28" s="3">
        <v>4.39813902459698</v>
      </c>
      <c r="C28" s="3">
        <v>4.6711015072447699</v>
      </c>
      <c r="D28" s="3">
        <v>3.0768974137006002</v>
      </c>
      <c r="E28" s="3">
        <v>3.4509056450175302</v>
      </c>
      <c r="F28" s="3">
        <v>2.5223679725129</v>
      </c>
      <c r="G28" s="3">
        <v>3.5203014955333001</v>
      </c>
      <c r="H28" s="3">
        <v>4.1832785336422598</v>
      </c>
      <c r="I28" s="3">
        <v>1.35862473258535</v>
      </c>
      <c r="J28" s="3">
        <v>2.2767591215617702</v>
      </c>
      <c r="K28" s="3">
        <v>3.8749892885785799</v>
      </c>
      <c r="L28" s="3">
        <v>3.3296145943365199</v>
      </c>
      <c r="M28" s="3">
        <v>4.4598482880517798</v>
      </c>
      <c r="N28" s="3">
        <v>4.95911206174502</v>
      </c>
    </row>
    <row r="29" spans="1:14" x14ac:dyDescent="0.35">
      <c r="A29" s="2">
        <v>42584</v>
      </c>
      <c r="B29" s="3">
        <v>4.1555008395942004</v>
      </c>
      <c r="C29" s="3">
        <v>4.4445850987017899</v>
      </c>
      <c r="D29" s="3">
        <v>3.00146346642825</v>
      </c>
      <c r="E29" s="3">
        <v>3.3225903439198201</v>
      </c>
      <c r="F29" s="3">
        <v>2.4228335815350599</v>
      </c>
      <c r="G29" s="3">
        <v>3.53295126621585</v>
      </c>
      <c r="H29" s="3">
        <v>4.1662685674268802</v>
      </c>
      <c r="I29" s="3">
        <v>1.29376543887995</v>
      </c>
      <c r="J29" s="3">
        <v>2.2285569964651799</v>
      </c>
      <c r="K29" s="3">
        <v>3.8155250881939899</v>
      </c>
      <c r="L29" s="3">
        <v>3.2616926605869101</v>
      </c>
      <c r="M29" s="3">
        <v>4.3926038973411101</v>
      </c>
      <c r="N29" s="3">
        <v>4.9631985798141303</v>
      </c>
    </row>
    <row r="30" spans="1:14" x14ac:dyDescent="0.35">
      <c r="A30" s="2">
        <v>42615</v>
      </c>
      <c r="B30" s="3">
        <v>4.1999024551795703</v>
      </c>
      <c r="C30" s="3">
        <v>4.5823608241987204</v>
      </c>
      <c r="D30" s="3">
        <v>2.9357004564537701</v>
      </c>
      <c r="E30" s="3">
        <v>3.1575918083706598</v>
      </c>
      <c r="F30" s="3">
        <v>2.3410050025581901</v>
      </c>
      <c r="G30" s="3">
        <v>3.4282207094856698</v>
      </c>
      <c r="H30" s="3">
        <v>4.0356491162386998</v>
      </c>
      <c r="I30" s="3">
        <v>1.28338731892531</v>
      </c>
      <c r="J30" s="3">
        <v>2.21341278146833</v>
      </c>
      <c r="K30" s="3">
        <v>3.65727704865518</v>
      </c>
      <c r="L30" s="3">
        <v>3.0671957463802402</v>
      </c>
      <c r="M30" s="3">
        <v>4.1854020946983601</v>
      </c>
      <c r="N30" s="3">
        <v>4.71141530882967</v>
      </c>
    </row>
    <row r="31" spans="1:14" x14ac:dyDescent="0.35">
      <c r="A31" s="2">
        <v>42643</v>
      </c>
      <c r="B31" s="3">
        <v>4.3204043945240702</v>
      </c>
      <c r="C31" s="3">
        <v>4.5419400431494799</v>
      </c>
      <c r="D31" s="3">
        <v>2.9372466292355601</v>
      </c>
      <c r="E31" s="3">
        <v>3.17642683206914</v>
      </c>
      <c r="F31" s="3">
        <v>2.4073945232387199</v>
      </c>
      <c r="G31" s="3">
        <v>3.4921843468164</v>
      </c>
      <c r="H31" s="3">
        <v>4.1564709474935002</v>
      </c>
      <c r="I31" s="3">
        <v>1.2600437969674101</v>
      </c>
      <c r="J31" s="3">
        <v>2.2203824392172802</v>
      </c>
      <c r="K31" s="3">
        <v>3.7246319902403702</v>
      </c>
      <c r="L31" s="3">
        <v>3.1189971125853799</v>
      </c>
      <c r="M31" s="3">
        <v>4.1883276595265704</v>
      </c>
      <c r="N31" s="3">
        <v>4.9730601360768896</v>
      </c>
    </row>
    <row r="32" spans="1:14" x14ac:dyDescent="0.35">
      <c r="A32" s="2">
        <v>42676</v>
      </c>
      <c r="B32" s="3">
        <v>4.6489755853099197</v>
      </c>
      <c r="C32" s="3">
        <v>4.7258727980456996</v>
      </c>
      <c r="D32" s="3">
        <v>2.9687245587956301</v>
      </c>
      <c r="E32" s="3">
        <v>3.2396634473524202</v>
      </c>
      <c r="F32" s="3">
        <v>2.3481663790365901</v>
      </c>
      <c r="G32" s="3">
        <v>3.67362313289664</v>
      </c>
      <c r="H32" s="3">
        <v>4.3997818223525904</v>
      </c>
      <c r="I32" s="3">
        <v>1.3122248536072501</v>
      </c>
      <c r="J32" s="3">
        <v>2.3058900724682001</v>
      </c>
      <c r="K32" s="3">
        <v>3.8021124365059999</v>
      </c>
      <c r="L32" s="3">
        <v>3.2056161299308701</v>
      </c>
      <c r="M32" s="3">
        <v>4.2153993622252202</v>
      </c>
      <c r="N32" s="3">
        <v>4.9664053149213503</v>
      </c>
    </row>
    <row r="33" spans="1:14" x14ac:dyDescent="0.35">
      <c r="A33" s="2">
        <v>42706</v>
      </c>
      <c r="B33" s="3">
        <v>4.5771612799335903</v>
      </c>
      <c r="C33" s="3">
        <v>4.5921258937981202</v>
      </c>
      <c r="D33" s="3">
        <v>2.8850908089866398</v>
      </c>
      <c r="E33" s="3">
        <v>3.2270697440505201</v>
      </c>
      <c r="F33" s="3">
        <v>2.1676026399486101</v>
      </c>
      <c r="G33" s="3">
        <v>3.7163069981916199</v>
      </c>
      <c r="H33" s="3">
        <v>4.4379286725315099</v>
      </c>
      <c r="I33" s="3">
        <v>1.3159234002306099</v>
      </c>
      <c r="J33" s="3">
        <v>2.2232763064649599</v>
      </c>
      <c r="K33" s="3">
        <v>3.6935932302750398</v>
      </c>
      <c r="L33" s="3">
        <v>3.1743143630295698</v>
      </c>
      <c r="M33" s="3">
        <v>4.03949567137985</v>
      </c>
      <c r="N33" s="3">
        <v>4.8237432990970799</v>
      </c>
    </row>
    <row r="34" spans="1:14" x14ac:dyDescent="0.35">
      <c r="A34" s="2">
        <v>42734</v>
      </c>
      <c r="B34" s="3">
        <v>4.6345425267272997</v>
      </c>
      <c r="C34" s="3">
        <v>4.5298092555234</v>
      </c>
      <c r="D34" s="3">
        <v>2.8484415941311401</v>
      </c>
      <c r="E34" s="3">
        <v>2.9747084897088998</v>
      </c>
      <c r="F34" s="3">
        <v>2.1245493720034498</v>
      </c>
      <c r="G34" s="3">
        <v>3.5533111966061002</v>
      </c>
      <c r="H34" s="3">
        <v>4.2715173451552699</v>
      </c>
      <c r="I34" s="3">
        <v>1.3019778294631601</v>
      </c>
      <c r="J34" s="3">
        <v>2.1885915165277599</v>
      </c>
      <c r="K34" s="3">
        <v>3.4662792695584099</v>
      </c>
      <c r="L34" s="3">
        <v>2.9618206119659001</v>
      </c>
      <c r="M34" s="3">
        <v>3.9039572492326799</v>
      </c>
      <c r="N34" s="3">
        <v>4.2957062553254302</v>
      </c>
    </row>
    <row r="35" spans="1:14" x14ac:dyDescent="0.35">
      <c r="A35" s="2">
        <v>42768</v>
      </c>
      <c r="B35" s="3">
        <v>4.5228878674750996</v>
      </c>
      <c r="C35" s="3">
        <v>4.5545380691995598</v>
      </c>
      <c r="D35" s="3">
        <v>2.83830669132128</v>
      </c>
      <c r="E35" s="3">
        <v>2.9736496523020302</v>
      </c>
      <c r="F35" s="3">
        <v>2.1694169639402499</v>
      </c>
      <c r="G35" s="3">
        <v>3.4742672363687301</v>
      </c>
      <c r="H35" s="3">
        <v>4.3166179039973098</v>
      </c>
      <c r="I35" s="3">
        <v>1.2418046563041101</v>
      </c>
      <c r="J35" s="3">
        <v>2.1690166480502602</v>
      </c>
      <c r="K35" s="3">
        <v>3.5053086055872198</v>
      </c>
      <c r="L35" s="3">
        <v>2.9707050716452401</v>
      </c>
      <c r="M35" s="3">
        <v>3.6860768413229801</v>
      </c>
      <c r="N35" s="3">
        <v>4.4382714516706798</v>
      </c>
    </row>
    <row r="36" spans="1:14" x14ac:dyDescent="0.35">
      <c r="A36" s="2">
        <v>42796</v>
      </c>
      <c r="B36" s="3">
        <v>4.6477807298253602</v>
      </c>
      <c r="C36" s="3">
        <v>4.5266961320051502</v>
      </c>
      <c r="D36" s="3">
        <v>2.8897311415303699</v>
      </c>
      <c r="E36" s="3">
        <v>2.9035318161124599</v>
      </c>
      <c r="F36" s="3">
        <v>2.1236267415827301</v>
      </c>
      <c r="G36" s="3">
        <v>3.3515568093930499</v>
      </c>
      <c r="H36" s="3">
        <v>4.2738105738558501</v>
      </c>
      <c r="I36" s="3">
        <v>1.21808205769529</v>
      </c>
      <c r="J36" s="3">
        <v>2.0897750216116999</v>
      </c>
      <c r="K36" s="3">
        <v>3.4540402286768299</v>
      </c>
      <c r="L36" s="3">
        <v>2.83278663542964</v>
      </c>
      <c r="M36" s="3">
        <v>3.6390331375604599</v>
      </c>
      <c r="N36" s="3">
        <v>4.1016829726769304</v>
      </c>
    </row>
    <row r="37" spans="1:14" x14ac:dyDescent="0.35">
      <c r="A37" s="2">
        <v>42825</v>
      </c>
      <c r="B37" s="3">
        <v>4.5788271005976604</v>
      </c>
      <c r="C37" s="3">
        <v>4.5046750036187104</v>
      </c>
      <c r="D37" s="3">
        <v>2.91893378364749</v>
      </c>
      <c r="E37" s="3">
        <v>2.9105466510858999</v>
      </c>
      <c r="F37" s="3">
        <v>2.2196924504373499</v>
      </c>
      <c r="G37" s="3">
        <v>3.4179919106528902</v>
      </c>
      <c r="H37" s="3">
        <v>4.3247932402000497</v>
      </c>
      <c r="I37" s="3">
        <v>1.20673171258263</v>
      </c>
      <c r="J37" s="3">
        <v>2.1146458181440702</v>
      </c>
      <c r="K37" s="3">
        <v>3.34878974588245</v>
      </c>
      <c r="L37" s="3">
        <v>2.7591827990322799</v>
      </c>
      <c r="M37" s="3">
        <v>3.6304984907617599</v>
      </c>
      <c r="N37" s="3">
        <v>3.8974900777088299</v>
      </c>
    </row>
    <row r="38" spans="1:14" x14ac:dyDescent="0.35">
      <c r="A38" s="2">
        <v>42857</v>
      </c>
      <c r="B38" s="3">
        <v>4.45068870232262</v>
      </c>
      <c r="C38" s="3">
        <v>4.4457467333095702</v>
      </c>
      <c r="D38" s="3">
        <v>2.9307627122036601</v>
      </c>
      <c r="E38" s="3">
        <v>2.8912906425566698</v>
      </c>
      <c r="F38" s="3">
        <v>2.1884324046702202</v>
      </c>
      <c r="G38" s="3">
        <v>3.3612783703820801</v>
      </c>
      <c r="H38" s="3">
        <v>4.3602370200641198</v>
      </c>
      <c r="I38" s="3">
        <v>1.17639820163567</v>
      </c>
      <c r="J38" s="3">
        <v>2.1040609120706102</v>
      </c>
      <c r="K38" s="3">
        <v>3.2424489498078701</v>
      </c>
      <c r="L38" s="3">
        <v>2.7141124893063102</v>
      </c>
      <c r="M38" s="3">
        <v>3.51582319633272</v>
      </c>
      <c r="N38" s="3">
        <v>3.9041359247080898</v>
      </c>
    </row>
    <row r="39" spans="1:14" x14ac:dyDescent="0.35">
      <c r="A39" s="2">
        <v>42888</v>
      </c>
      <c r="B39" s="3">
        <v>4.4118676527318099</v>
      </c>
      <c r="C39" s="3">
        <v>4.6112418730562599</v>
      </c>
      <c r="D39" s="3">
        <v>2.9794980092830601</v>
      </c>
      <c r="E39" s="3">
        <v>2.8934581401345598</v>
      </c>
      <c r="F39" s="3">
        <v>2.13768306048346</v>
      </c>
      <c r="G39" s="3">
        <v>3.2691637748831499</v>
      </c>
      <c r="H39" s="3">
        <v>4.2203661247031103</v>
      </c>
      <c r="I39" s="3">
        <v>1.1410321241391701</v>
      </c>
      <c r="J39" s="3">
        <v>2.0749453225239698</v>
      </c>
      <c r="K39" s="3">
        <v>3.2257745583614801</v>
      </c>
      <c r="L39" s="3">
        <v>2.6927038252585902</v>
      </c>
      <c r="M39" s="3">
        <v>3.3660431580176899</v>
      </c>
      <c r="N39" s="3">
        <v>3.79358750966842</v>
      </c>
    </row>
    <row r="40" spans="1:14" x14ac:dyDescent="0.35">
      <c r="A40" s="2">
        <v>42916</v>
      </c>
      <c r="B40" s="3">
        <v>4.3930742870532704</v>
      </c>
      <c r="C40" s="3">
        <v>4.6242746098921002</v>
      </c>
      <c r="D40" s="3">
        <v>3.04960316508655</v>
      </c>
      <c r="E40" s="3">
        <v>3.0356339338287999</v>
      </c>
      <c r="F40" s="3">
        <v>2.1702968793699902</v>
      </c>
      <c r="G40" s="3">
        <v>3.2884830810788501</v>
      </c>
      <c r="H40" s="3">
        <v>4.3524396324878403</v>
      </c>
      <c r="I40" s="3">
        <v>1.1996936199808199</v>
      </c>
      <c r="J40" s="3">
        <v>2.1034427098980801</v>
      </c>
      <c r="K40" s="3">
        <v>3.3889258716036101</v>
      </c>
      <c r="L40" s="3">
        <v>2.8183774724831201</v>
      </c>
      <c r="M40" s="3">
        <v>3.6086600928528498</v>
      </c>
      <c r="N40" s="3">
        <v>3.8857594673982598</v>
      </c>
    </row>
    <row r="41" spans="1:14" x14ac:dyDescent="0.35">
      <c r="A41" s="2">
        <v>42949</v>
      </c>
      <c r="B41" s="3">
        <v>4.3594373442266301</v>
      </c>
      <c r="C41" s="3">
        <v>4.5744244893546497</v>
      </c>
      <c r="D41" s="3">
        <v>3.0197646784542802</v>
      </c>
      <c r="E41" s="3">
        <v>3.0760159015978301</v>
      </c>
      <c r="F41" s="3">
        <v>2.1548780135947498</v>
      </c>
      <c r="G41" s="3">
        <v>3.2551157542581302</v>
      </c>
      <c r="H41" s="3">
        <v>4.2577220176770698</v>
      </c>
      <c r="I41" s="3">
        <v>1.1691372035658301</v>
      </c>
      <c r="J41" s="3">
        <v>2.0804914471228502</v>
      </c>
      <c r="K41" s="3">
        <v>3.4028292743390498</v>
      </c>
      <c r="L41" s="3">
        <v>2.7704789916865198</v>
      </c>
      <c r="M41" s="3">
        <v>3.7057469629122499</v>
      </c>
      <c r="N41" s="3">
        <v>3.74574424487496</v>
      </c>
    </row>
    <row r="42" spans="1:14" x14ac:dyDescent="0.35">
      <c r="A42" s="2">
        <v>42979</v>
      </c>
      <c r="B42" s="3">
        <v>4.3877691292458101</v>
      </c>
      <c r="C42" s="3">
        <v>4.5739171505752498</v>
      </c>
      <c r="D42" s="3">
        <v>3.0708359150306999</v>
      </c>
      <c r="E42" s="3">
        <v>3.12476873166622</v>
      </c>
      <c r="F42" s="3">
        <v>2.20887719488853</v>
      </c>
      <c r="G42" s="3">
        <v>3.3196690323312401</v>
      </c>
      <c r="H42" s="3">
        <v>4.3144270116887604</v>
      </c>
      <c r="I42" s="3">
        <v>1.16027732463639</v>
      </c>
      <c r="J42" s="3">
        <v>2.0926726252533601</v>
      </c>
      <c r="K42" s="3">
        <v>3.4048012319706702</v>
      </c>
      <c r="L42" s="3">
        <v>2.86919605885253</v>
      </c>
      <c r="M42" s="3">
        <v>3.7410051753084601</v>
      </c>
      <c r="N42" s="3">
        <v>3.7636520894242902</v>
      </c>
    </row>
    <row r="43" spans="1:14" x14ac:dyDescent="0.35">
      <c r="A43" s="2">
        <v>43010</v>
      </c>
      <c r="B43" s="3">
        <v>4.4219918064438399</v>
      </c>
      <c r="C43" s="3">
        <v>4.5808985924831198</v>
      </c>
      <c r="D43" s="3">
        <v>2.9692017387421998</v>
      </c>
      <c r="E43" s="3">
        <v>2.9726855034453301</v>
      </c>
      <c r="F43" s="3">
        <v>2.1689349979905299</v>
      </c>
      <c r="G43" s="3">
        <v>3.2508956067726902</v>
      </c>
      <c r="H43" s="3">
        <v>4.27668547439277</v>
      </c>
      <c r="I43" s="3">
        <v>1.16278015834191</v>
      </c>
      <c r="J43" s="3">
        <v>2.0536540754027701</v>
      </c>
      <c r="K43" s="3">
        <v>3.28625487377768</v>
      </c>
      <c r="L43" s="3">
        <v>2.7685058567808301</v>
      </c>
      <c r="M43" s="3">
        <v>3.5492192277613599</v>
      </c>
      <c r="N43" s="3">
        <v>3.7456007809309999</v>
      </c>
    </row>
    <row r="44" spans="1:14" x14ac:dyDescent="0.35">
      <c r="A44" s="2">
        <v>43041</v>
      </c>
      <c r="B44" s="3">
        <v>4.3760359419841004</v>
      </c>
      <c r="C44" s="3">
        <v>4.4841131907722804</v>
      </c>
      <c r="D44" s="3">
        <v>2.9175616963917901</v>
      </c>
      <c r="E44" s="3">
        <v>2.8604114590208498</v>
      </c>
      <c r="F44" s="3">
        <v>2.0353518518729299</v>
      </c>
      <c r="G44" s="3">
        <v>3.2386057100382799</v>
      </c>
      <c r="H44" s="3">
        <v>4.2896329618431199</v>
      </c>
      <c r="I44" s="3">
        <v>1.1216642369796701</v>
      </c>
      <c r="J44" s="3">
        <v>2.0310737142894499</v>
      </c>
      <c r="K44" s="3">
        <v>3.2334003140918801</v>
      </c>
      <c r="L44" s="3">
        <v>2.7424004442812802</v>
      </c>
      <c r="M44" s="3">
        <v>3.5223715992810698</v>
      </c>
      <c r="N44" s="3">
        <v>3.7335515469309399</v>
      </c>
    </row>
    <row r="45" spans="1:14" x14ac:dyDescent="0.35">
      <c r="A45" s="2">
        <v>43070</v>
      </c>
      <c r="B45" s="3">
        <v>4.3148540991592599</v>
      </c>
      <c r="C45" s="3">
        <v>4.4972461811548898</v>
      </c>
      <c r="D45" s="3">
        <v>2.9185533096231802</v>
      </c>
      <c r="E45" s="3">
        <v>2.9514935627897199</v>
      </c>
      <c r="F45" s="3">
        <v>2.07112668125357</v>
      </c>
      <c r="G45" s="3">
        <v>3.2504472447529</v>
      </c>
      <c r="H45" s="3">
        <v>4.4051747101623997</v>
      </c>
      <c r="I45" s="3">
        <v>1.10938838728236</v>
      </c>
      <c r="J45" s="3">
        <v>1.9745252714719801</v>
      </c>
      <c r="K45" s="3">
        <v>3.3108365060302001</v>
      </c>
      <c r="L45" s="3">
        <v>2.8724087550228199</v>
      </c>
      <c r="M45" s="3">
        <v>3.7148085578828902</v>
      </c>
      <c r="N45" s="3">
        <v>3.9321922357615899</v>
      </c>
    </row>
    <row r="46" spans="1:14" x14ac:dyDescent="0.35">
      <c r="A46" s="2">
        <v>43102</v>
      </c>
      <c r="B46" s="3">
        <v>4.2050898828084398</v>
      </c>
      <c r="C46" s="3">
        <v>4.45257812788818</v>
      </c>
      <c r="D46" s="3">
        <v>2.9034850661293499</v>
      </c>
      <c r="E46" s="3">
        <v>2.9673326453661701</v>
      </c>
      <c r="F46" s="3">
        <v>2.0606467215497299</v>
      </c>
      <c r="G46" s="3">
        <v>3.2171321342854999</v>
      </c>
      <c r="H46" s="3">
        <v>4.2069986700932098</v>
      </c>
      <c r="I46" s="3">
        <v>1.0829058530737199</v>
      </c>
      <c r="J46" s="3">
        <v>1.9480618735873001</v>
      </c>
      <c r="K46" s="3">
        <v>3.3346855552374701</v>
      </c>
      <c r="L46" s="3">
        <v>2.8574681052546702</v>
      </c>
      <c r="M46" s="3">
        <v>3.7627527382541701</v>
      </c>
      <c r="N46" s="3">
        <v>3.9974762277313598</v>
      </c>
    </row>
    <row r="47" spans="1:14" x14ac:dyDescent="0.35">
      <c r="A47" s="2">
        <v>43133</v>
      </c>
      <c r="B47" s="3">
        <v>4.1922913911989399</v>
      </c>
      <c r="C47" s="3">
        <v>4.4730608812452299</v>
      </c>
      <c r="D47" s="3">
        <v>3.0344459458536699</v>
      </c>
      <c r="E47" s="3">
        <v>3.03486414155075</v>
      </c>
      <c r="F47" s="3">
        <v>2.03511276396523</v>
      </c>
      <c r="G47" s="3">
        <v>3.2339927761948202</v>
      </c>
      <c r="H47" s="3">
        <v>4.2797272394745001</v>
      </c>
      <c r="I47" s="3">
        <v>1.0631498940693</v>
      </c>
      <c r="J47" s="3">
        <v>1.9280779015741101</v>
      </c>
      <c r="K47" s="3">
        <v>3.2879864495511599</v>
      </c>
      <c r="L47" s="3">
        <v>2.8516294004674898</v>
      </c>
      <c r="M47" s="3">
        <v>3.8127309028438501</v>
      </c>
      <c r="N47" s="3">
        <v>3.8234207733703802</v>
      </c>
    </row>
    <row r="48" spans="1:14" x14ac:dyDescent="0.35">
      <c r="A48" s="2">
        <v>43161</v>
      </c>
      <c r="B48" s="3">
        <v>4.2890364617011603</v>
      </c>
      <c r="C48" s="3">
        <v>4.6655946532039101</v>
      </c>
      <c r="D48" s="3">
        <v>3.1664404485766302</v>
      </c>
      <c r="E48" s="3">
        <v>3.2641544217434202</v>
      </c>
      <c r="F48" s="3">
        <v>2.2691825195966699</v>
      </c>
      <c r="G48" s="3">
        <v>3.5284385682339199</v>
      </c>
      <c r="H48" s="3">
        <v>4.7258745631615602</v>
      </c>
      <c r="I48" s="3">
        <v>1.07210358135772</v>
      </c>
      <c r="J48" s="3">
        <v>2.00588531378872</v>
      </c>
      <c r="K48" s="3">
        <v>3.4729556178548999</v>
      </c>
      <c r="L48" s="3">
        <v>3.0171312447530401</v>
      </c>
      <c r="M48" s="3">
        <v>3.9858224750922502</v>
      </c>
      <c r="N48" s="3">
        <v>4.1433448917959197</v>
      </c>
    </row>
    <row r="49" spans="1:14" x14ac:dyDescent="0.35">
      <c r="A49" s="2">
        <v>43192</v>
      </c>
      <c r="B49" s="3">
        <v>4.3208308567126101</v>
      </c>
      <c r="C49" s="3">
        <v>4.8490284699328603</v>
      </c>
      <c r="D49" s="3">
        <v>3.2236481920479099</v>
      </c>
      <c r="E49" s="3">
        <v>3.24558233134786</v>
      </c>
      <c r="F49" s="3">
        <v>2.28272459326219</v>
      </c>
      <c r="G49" s="3">
        <v>3.4964310326732502</v>
      </c>
      <c r="H49" s="3">
        <v>4.5635241975949397</v>
      </c>
      <c r="I49" s="3">
        <v>1.1562171953523801</v>
      </c>
      <c r="J49" s="3">
        <v>2.1061255546232598</v>
      </c>
      <c r="K49" s="3">
        <v>3.46873308019501</v>
      </c>
      <c r="L49" s="3">
        <v>2.9931746676404201</v>
      </c>
      <c r="M49" s="3">
        <v>4.0395355319843302</v>
      </c>
      <c r="N49" s="3">
        <v>4.1152864936700198</v>
      </c>
    </row>
    <row r="50" spans="1:14" x14ac:dyDescent="0.35">
      <c r="A50" s="2">
        <v>43222</v>
      </c>
      <c r="B50" s="3">
        <v>4.2485133641431299</v>
      </c>
      <c r="C50" s="3">
        <v>4.6754365187424396</v>
      </c>
      <c r="D50" s="3">
        <v>3.1525051067030301</v>
      </c>
      <c r="E50" s="3">
        <v>3.1159030573294402</v>
      </c>
      <c r="F50" s="3">
        <v>2.2152788860723498</v>
      </c>
      <c r="G50" s="3">
        <v>3.4715860327425299</v>
      </c>
      <c r="H50" s="3">
        <v>4.3498658822612501</v>
      </c>
      <c r="I50" s="3">
        <v>1.12960682180853</v>
      </c>
      <c r="J50" s="3">
        <v>2.0870905897938798</v>
      </c>
      <c r="K50" s="3">
        <v>3.2985062038520998</v>
      </c>
      <c r="L50" s="3">
        <v>2.9205997420182399</v>
      </c>
      <c r="M50" s="3">
        <v>4.0009084917778601</v>
      </c>
      <c r="N50" s="3">
        <v>3.8525024081674801</v>
      </c>
    </row>
    <row r="51" spans="1:14" x14ac:dyDescent="0.35">
      <c r="A51" s="2">
        <v>43252</v>
      </c>
      <c r="B51" s="3">
        <v>4.1679985743724304</v>
      </c>
      <c r="C51" s="3">
        <v>4.7643423411267998</v>
      </c>
      <c r="D51" s="3">
        <v>3.0933840195799598</v>
      </c>
      <c r="E51" s="3">
        <v>3.15662323993141</v>
      </c>
      <c r="F51" s="3">
        <v>2.2718789706156599</v>
      </c>
      <c r="G51" s="3">
        <v>3.5535266718116301</v>
      </c>
      <c r="H51" s="3">
        <v>4.3296467488619799</v>
      </c>
      <c r="I51" s="3">
        <v>1.0647320038664301</v>
      </c>
      <c r="J51" s="3">
        <v>2.0224137270290501</v>
      </c>
      <c r="K51" s="3">
        <v>3.3611844204511101</v>
      </c>
      <c r="L51" s="3">
        <v>2.8819208146754902</v>
      </c>
      <c r="M51" s="3">
        <v>4.0821995372591902</v>
      </c>
      <c r="N51" s="3">
        <v>4.2961830494836803</v>
      </c>
    </row>
    <row r="52" spans="1:14" x14ac:dyDescent="0.35">
      <c r="A52" s="2">
        <v>43283</v>
      </c>
      <c r="B52" s="3">
        <v>4.0613609612386901</v>
      </c>
      <c r="C52" s="3">
        <v>4.6253113512513604</v>
      </c>
      <c r="D52" s="3">
        <v>3.0679065224892201</v>
      </c>
      <c r="E52" s="3">
        <v>3.2971705575480401</v>
      </c>
      <c r="F52" s="3">
        <v>2.3505234441766998</v>
      </c>
      <c r="G52" s="3">
        <v>3.5966307781092199</v>
      </c>
      <c r="H52" s="3">
        <v>4.4695972183958101</v>
      </c>
      <c r="I52" s="3">
        <v>1.06801737201209</v>
      </c>
      <c r="J52" s="3">
        <v>2.0473444415551798</v>
      </c>
      <c r="K52" s="3">
        <v>3.4947636858867601</v>
      </c>
      <c r="L52" s="3">
        <v>2.9766928734021101</v>
      </c>
      <c r="M52" s="3">
        <v>4.1842385399337498</v>
      </c>
      <c r="N52" s="3">
        <v>4.5431532756467901</v>
      </c>
    </row>
    <row r="53" spans="1:14" x14ac:dyDescent="0.35">
      <c r="A53" s="2">
        <v>43314</v>
      </c>
      <c r="B53" s="3">
        <v>4.14160364978268</v>
      </c>
      <c r="C53" s="3">
        <v>4.6203224181312299</v>
      </c>
      <c r="D53" s="3">
        <v>3.0718658782570101</v>
      </c>
      <c r="E53" s="3">
        <v>3.2181699985183498</v>
      </c>
      <c r="F53" s="3">
        <v>2.2823572250707298</v>
      </c>
      <c r="G53" s="3">
        <v>3.3805286556628502</v>
      </c>
      <c r="H53" s="3">
        <v>4.4744629521061396</v>
      </c>
      <c r="I53" s="3">
        <v>1.0824845120508</v>
      </c>
      <c r="J53" s="3">
        <v>1.9970323123978799</v>
      </c>
      <c r="K53" s="3">
        <v>3.4053169720345</v>
      </c>
      <c r="L53" s="3">
        <v>2.84630606211112</v>
      </c>
      <c r="M53" s="3">
        <v>4.1269842073326002</v>
      </c>
      <c r="N53" s="3">
        <v>4.4735176208780398</v>
      </c>
    </row>
    <row r="54" spans="1:14" x14ac:dyDescent="0.35">
      <c r="A54" s="2">
        <v>43343</v>
      </c>
      <c r="B54" s="3">
        <v>3.8955733123540899</v>
      </c>
      <c r="C54" s="3">
        <v>4.6144316496254696</v>
      </c>
      <c r="D54" s="3">
        <v>3.12182649824625</v>
      </c>
      <c r="E54" s="3">
        <v>3.2571169349565499</v>
      </c>
      <c r="F54" s="3">
        <v>2.3170207298104901</v>
      </c>
      <c r="G54" s="3">
        <v>3.41830060980553</v>
      </c>
      <c r="H54" s="3">
        <v>4.5766306421934999</v>
      </c>
      <c r="I54" s="3">
        <v>1.05046082475478</v>
      </c>
      <c r="J54" s="3">
        <v>1.95551789133049</v>
      </c>
      <c r="K54" s="3">
        <v>3.4550461231607899</v>
      </c>
      <c r="L54" s="3">
        <v>2.9031838112027</v>
      </c>
      <c r="M54" s="3">
        <v>4.0194639263428904</v>
      </c>
      <c r="N54" s="3">
        <v>4.7677066505411503</v>
      </c>
    </row>
    <row r="55" spans="1:14" x14ac:dyDescent="0.35">
      <c r="A55" s="2">
        <v>43375</v>
      </c>
      <c r="B55" s="3">
        <v>3.9894050392255198</v>
      </c>
      <c r="C55" s="3">
        <v>4.8153121471091804</v>
      </c>
      <c r="D55" s="3">
        <v>3.1851972703028402</v>
      </c>
      <c r="E55" s="3">
        <v>3.3066649236780199</v>
      </c>
      <c r="F55" s="3">
        <v>2.2109696980958198</v>
      </c>
      <c r="G55" s="3">
        <v>3.4213463883152802</v>
      </c>
      <c r="H55" s="3">
        <v>4.5471578456582504</v>
      </c>
      <c r="I55" s="3">
        <v>1.0612996225681299</v>
      </c>
      <c r="J55" s="3">
        <v>1.95165354632473</v>
      </c>
      <c r="K55" s="3">
        <v>3.45325422579843</v>
      </c>
      <c r="L55" s="3">
        <v>3.0233673184501999</v>
      </c>
      <c r="M55" s="3">
        <v>4.0374441594676398</v>
      </c>
      <c r="N55" s="3">
        <v>4.7426402272739603</v>
      </c>
    </row>
    <row r="56" spans="1:14" x14ac:dyDescent="0.35">
      <c r="A56" s="2">
        <v>43406</v>
      </c>
      <c r="B56" s="3">
        <v>4.2119740238094998</v>
      </c>
      <c r="C56" s="3">
        <v>5.0732344328433499</v>
      </c>
      <c r="D56" s="3">
        <v>3.38607122550708</v>
      </c>
      <c r="E56" s="3">
        <v>3.5880819167473201</v>
      </c>
      <c r="F56" s="3">
        <v>2.4450371195043599</v>
      </c>
      <c r="G56" s="3">
        <v>3.5045369907554602</v>
      </c>
      <c r="H56" s="3">
        <v>4.8525065115873698</v>
      </c>
      <c r="I56" s="3">
        <v>1.1821925784935201</v>
      </c>
      <c r="J56" s="3">
        <v>2.1013667816829402</v>
      </c>
      <c r="K56" s="3">
        <v>3.7018332273390899</v>
      </c>
      <c r="L56" s="3">
        <v>3.1999416607388702</v>
      </c>
      <c r="M56" s="3">
        <v>4.3071938840821904</v>
      </c>
      <c r="N56" s="3">
        <v>5.02846733666882</v>
      </c>
    </row>
    <row r="57" spans="1:14" x14ac:dyDescent="0.35">
      <c r="A57" s="2">
        <v>43434</v>
      </c>
      <c r="B57" s="3">
        <v>4.2583297606439601</v>
      </c>
      <c r="C57" s="3">
        <v>5.3200852787218897</v>
      </c>
      <c r="D57" s="3">
        <v>3.3901634773764102</v>
      </c>
      <c r="E57" s="3">
        <v>3.6842650803122599</v>
      </c>
      <c r="F57" s="3">
        <v>2.4659727340486501</v>
      </c>
      <c r="G57" s="3">
        <v>3.52407662738803</v>
      </c>
      <c r="H57" s="3">
        <v>4.9792438680833202</v>
      </c>
      <c r="I57" s="3">
        <v>1.19016442416278</v>
      </c>
      <c r="J57" s="3">
        <v>2.0866905037172701</v>
      </c>
      <c r="K57" s="3">
        <v>3.7944627858353801</v>
      </c>
      <c r="L57" s="3">
        <v>3.2258754723323602</v>
      </c>
      <c r="M57" s="3">
        <v>4.46122081358196</v>
      </c>
      <c r="N57" s="3">
        <v>5.1195146614828904</v>
      </c>
    </row>
    <row r="58" spans="1:14" x14ac:dyDescent="0.35">
      <c r="A58" s="2">
        <v>43467</v>
      </c>
      <c r="B58" s="3">
        <v>4.1811043172898303</v>
      </c>
      <c r="C58" s="3">
        <v>5.4559668493693101</v>
      </c>
      <c r="D58" s="3">
        <v>3.5876682639878101</v>
      </c>
      <c r="E58" s="3">
        <v>3.9628122397396099</v>
      </c>
      <c r="F58" s="3">
        <v>2.7530395061553401</v>
      </c>
      <c r="G58" s="3">
        <v>3.7094687493682401</v>
      </c>
      <c r="H58" s="3">
        <v>5.3627572258091201</v>
      </c>
      <c r="I58" s="3">
        <v>1.31508214498989</v>
      </c>
      <c r="J58" s="3">
        <v>2.3183452660530799</v>
      </c>
      <c r="K58" s="3">
        <v>4.0441348867047902</v>
      </c>
      <c r="L58" s="3">
        <v>3.4698379016457999</v>
      </c>
      <c r="M58" s="3">
        <v>4.7520282021765103</v>
      </c>
      <c r="N58" s="3">
        <v>5.4580241664992304</v>
      </c>
    </row>
    <row r="59" spans="1:14" x14ac:dyDescent="0.35">
      <c r="A59" s="2">
        <v>43497</v>
      </c>
      <c r="B59" s="3">
        <v>4.0989739418008</v>
      </c>
      <c r="C59" s="3">
        <v>5.12153635098732</v>
      </c>
      <c r="D59" s="3">
        <v>3.3421449041331601</v>
      </c>
      <c r="E59" s="3">
        <v>3.71929133890379</v>
      </c>
      <c r="F59" s="3">
        <v>2.6349268188557899</v>
      </c>
      <c r="G59" s="3">
        <v>3.46170458346392</v>
      </c>
      <c r="H59" s="3">
        <v>5.0485504699158401</v>
      </c>
      <c r="I59" s="3">
        <v>1.22445201957326</v>
      </c>
      <c r="J59" s="3">
        <v>2.1611042285680302</v>
      </c>
      <c r="K59" s="3">
        <v>3.7758925073513301</v>
      </c>
      <c r="L59" s="3">
        <v>3.2642245382825901</v>
      </c>
      <c r="M59" s="3">
        <v>4.3146024316061302</v>
      </c>
      <c r="N59" s="3">
        <v>5.1230138199694002</v>
      </c>
    </row>
    <row r="60" spans="1:14" x14ac:dyDescent="0.35">
      <c r="A60" s="2">
        <v>43525</v>
      </c>
      <c r="B60" s="3">
        <v>3.92348559420387</v>
      </c>
      <c r="C60" s="3">
        <v>4.9317877788052797</v>
      </c>
      <c r="D60" s="3">
        <v>3.2622522595519099</v>
      </c>
      <c r="E60" s="3">
        <v>3.5812632358127301</v>
      </c>
      <c r="F60" s="3">
        <v>2.5543060750266098</v>
      </c>
      <c r="G60" s="3">
        <v>3.33694159663307</v>
      </c>
      <c r="H60" s="3">
        <v>4.9714505368775903</v>
      </c>
      <c r="I60" s="3">
        <v>1.1693555171643999</v>
      </c>
      <c r="J60" s="3">
        <v>2.0943613189264298</v>
      </c>
      <c r="K60" s="3">
        <v>3.62006056995402</v>
      </c>
      <c r="L60" s="3">
        <v>3.10551316904025</v>
      </c>
      <c r="M60" s="3">
        <v>4.1454273453988497</v>
      </c>
      <c r="N60" s="3">
        <v>4.7761264762427196</v>
      </c>
    </row>
    <row r="61" spans="1:14" x14ac:dyDescent="0.35">
      <c r="A61" s="2">
        <v>43557</v>
      </c>
      <c r="B61" s="3">
        <v>3.7179347559743499</v>
      </c>
      <c r="C61" s="3">
        <v>4.9105011991720797</v>
      </c>
      <c r="D61" s="3">
        <v>3.2430734972942901</v>
      </c>
      <c r="E61" s="3">
        <v>3.54859513898176</v>
      </c>
      <c r="F61" s="3">
        <v>2.5701488907806</v>
      </c>
      <c r="G61" s="3">
        <v>3.30629940127224</v>
      </c>
      <c r="H61" s="3">
        <v>4.8372149566385403</v>
      </c>
      <c r="I61" s="3">
        <v>1.1208013362769</v>
      </c>
      <c r="J61" s="3">
        <v>2.0678266689194902</v>
      </c>
      <c r="K61" s="3">
        <v>3.5569435760263501</v>
      </c>
      <c r="L61" s="3">
        <v>3.0188470250113602</v>
      </c>
      <c r="M61" s="3">
        <v>4.1335309826642996</v>
      </c>
      <c r="N61" s="3">
        <v>4.6427996825502902</v>
      </c>
    </row>
    <row r="62" spans="1:14" x14ac:dyDescent="0.35">
      <c r="A62" s="2">
        <v>43587</v>
      </c>
      <c r="B62" s="3">
        <v>3.6799631108667299</v>
      </c>
      <c r="C62" s="3">
        <v>4.8852179376733904</v>
      </c>
      <c r="D62" s="3">
        <v>3.2236311266049702</v>
      </c>
      <c r="E62" s="3">
        <v>3.3961737952504198</v>
      </c>
      <c r="F62" s="3">
        <v>2.56745513302219</v>
      </c>
      <c r="G62" s="3">
        <v>3.2608260000950202</v>
      </c>
      <c r="H62" s="3">
        <v>4.8880458208161004</v>
      </c>
      <c r="I62" s="3">
        <v>1.09726764184444</v>
      </c>
      <c r="J62" s="3">
        <v>2.04450538703311</v>
      </c>
      <c r="K62" s="3">
        <v>3.4966583549995001</v>
      </c>
      <c r="L62" s="3">
        <v>2.9620656633542901</v>
      </c>
      <c r="M62" s="3">
        <v>4.04246499956741</v>
      </c>
      <c r="N62" s="3">
        <v>4.6452870172324703</v>
      </c>
    </row>
    <row r="63" spans="1:14" x14ac:dyDescent="0.35">
      <c r="A63" s="2">
        <v>43616</v>
      </c>
      <c r="B63" s="3">
        <v>3.7079068324885398</v>
      </c>
      <c r="C63" s="3">
        <v>4.8459923579360398</v>
      </c>
      <c r="D63" s="3">
        <v>3.38181444492034</v>
      </c>
      <c r="E63" s="3">
        <v>3.65168275655261</v>
      </c>
      <c r="F63" s="3">
        <v>2.7537457799284399</v>
      </c>
      <c r="G63" s="3">
        <v>3.3445579813944999</v>
      </c>
      <c r="H63" s="3">
        <v>4.9593838925390603</v>
      </c>
      <c r="I63" s="3">
        <v>1.20013896593598</v>
      </c>
      <c r="J63" s="3">
        <v>2.1778423783163499</v>
      </c>
      <c r="K63" s="3">
        <v>3.7272409358984602</v>
      </c>
      <c r="L63" s="3">
        <v>3.1747012999334898</v>
      </c>
      <c r="M63" s="3">
        <v>4.4400687075087202</v>
      </c>
      <c r="N63" s="3">
        <v>5.1591103569568997</v>
      </c>
    </row>
    <row r="64" spans="1:14" x14ac:dyDescent="0.35">
      <c r="A64" s="2">
        <v>43648</v>
      </c>
      <c r="B64" s="3">
        <v>3.5508028287983202</v>
      </c>
      <c r="C64" s="3">
        <v>4.6401897080609</v>
      </c>
      <c r="D64" s="3">
        <v>3.3063010966614499</v>
      </c>
      <c r="E64" s="3">
        <v>3.45245348636259</v>
      </c>
      <c r="F64" s="3">
        <v>2.6214977882539299</v>
      </c>
      <c r="G64" s="3">
        <v>3.19398024820183</v>
      </c>
      <c r="H64" s="3">
        <v>4.7206825547160998</v>
      </c>
      <c r="I64" s="3">
        <v>1.09650418562131</v>
      </c>
      <c r="J64" s="3">
        <v>2.0271955010178599</v>
      </c>
      <c r="K64" s="3">
        <v>3.5088925588919899</v>
      </c>
      <c r="L64" s="3">
        <v>2.9711717630860499</v>
      </c>
      <c r="M64" s="3">
        <v>4.1048091302422103</v>
      </c>
      <c r="N64" s="3">
        <v>4.8105405383798701</v>
      </c>
    </row>
    <row r="65" spans="1:14" x14ac:dyDescent="0.35">
      <c r="A65" s="2">
        <v>43679</v>
      </c>
      <c r="B65" s="3">
        <v>3.4045182177879001</v>
      </c>
      <c r="C65" s="3">
        <v>4.56425079486326</v>
      </c>
      <c r="D65" s="3">
        <v>3.3863835815424701</v>
      </c>
      <c r="E65" s="3">
        <v>3.5395087204224698</v>
      </c>
      <c r="F65" s="3">
        <v>2.7160504956584801</v>
      </c>
      <c r="G65" s="3">
        <v>3.2536793091485801</v>
      </c>
      <c r="H65" s="3">
        <v>4.9557584365651897</v>
      </c>
      <c r="I65" s="3">
        <v>1.1162191895570299</v>
      </c>
      <c r="J65" s="3">
        <v>2.0652722226998899</v>
      </c>
      <c r="K65" s="3">
        <v>3.6599211096662501</v>
      </c>
      <c r="L65" s="3">
        <v>2.9691377792406799</v>
      </c>
      <c r="M65" s="3">
        <v>4.1520859047692102</v>
      </c>
      <c r="N65" s="3">
        <v>4.9104069267287302</v>
      </c>
    </row>
    <row r="66" spans="1:14" x14ac:dyDescent="0.35">
      <c r="A66" s="2">
        <v>43706</v>
      </c>
      <c r="B66" s="3">
        <v>3.4330047886438502</v>
      </c>
      <c r="C66" s="3">
        <v>4.6717509805867197</v>
      </c>
      <c r="D66" s="3">
        <v>3.3921347942993099</v>
      </c>
      <c r="E66" s="3">
        <v>3.55231236928533</v>
      </c>
      <c r="F66" s="3">
        <v>2.7888807772651401</v>
      </c>
      <c r="G66" s="3">
        <v>3.24884662076499</v>
      </c>
      <c r="H66" s="3">
        <v>5.0843920230693396</v>
      </c>
      <c r="I66" s="3">
        <v>1.1176635984140599</v>
      </c>
      <c r="J66" s="3">
        <v>2.0806323113479301</v>
      </c>
      <c r="K66" s="3">
        <v>3.6014143070451499</v>
      </c>
      <c r="L66" s="3">
        <v>2.9689649495857902</v>
      </c>
      <c r="M66" s="3">
        <v>4.2181008754663001</v>
      </c>
      <c r="N66" s="3">
        <v>4.8686967795552203</v>
      </c>
    </row>
    <row r="67" spans="1:14" x14ac:dyDescent="0.35">
      <c r="A67" s="2">
        <v>43740</v>
      </c>
      <c r="B67" s="3">
        <v>3.3214819928745101</v>
      </c>
      <c r="C67" s="3">
        <v>4.4759284829607804</v>
      </c>
      <c r="D67" s="3">
        <v>3.4109719513691901</v>
      </c>
      <c r="E67" s="3">
        <v>3.5250196192079</v>
      </c>
      <c r="F67" s="3">
        <v>2.61401988127131</v>
      </c>
      <c r="G67" s="3">
        <v>3.3080238742831298</v>
      </c>
      <c r="H67" s="3">
        <v>5.0852189943021697</v>
      </c>
      <c r="I67" s="3">
        <v>1.1461107085061599</v>
      </c>
      <c r="J67" s="3">
        <v>2.1161832531483999</v>
      </c>
      <c r="K67" s="3">
        <v>3.64645334125575</v>
      </c>
      <c r="L67" s="3">
        <v>2.8471522787147499</v>
      </c>
      <c r="M67" s="3">
        <v>4.0418464411552</v>
      </c>
      <c r="N67" s="3">
        <v>4.9147984019906099</v>
      </c>
    </row>
    <row r="68" spans="1:14" x14ac:dyDescent="0.35">
      <c r="A68" s="2">
        <v>43770</v>
      </c>
      <c r="B68" s="3">
        <v>3.3799459038281698</v>
      </c>
      <c r="C68" s="3">
        <v>4.4076844661833796</v>
      </c>
      <c r="D68" s="3">
        <v>3.3378159641193101</v>
      </c>
      <c r="E68" s="3">
        <v>3.2542040431201502</v>
      </c>
      <c r="F68" s="3">
        <v>2.5162135365094098</v>
      </c>
      <c r="G68" s="3">
        <v>3.1455954577069201</v>
      </c>
      <c r="H68" s="3">
        <v>4.8122711524552599</v>
      </c>
      <c r="I68" s="3">
        <v>1.07384042212001</v>
      </c>
      <c r="J68" s="3">
        <v>2.01070300194118</v>
      </c>
      <c r="K68" s="3">
        <v>3.4317923623261701</v>
      </c>
      <c r="L68" s="3">
        <v>2.7274803302630302</v>
      </c>
      <c r="M68" s="3">
        <v>3.7297212123958601</v>
      </c>
      <c r="N68" s="3">
        <v>4.5989106785697498</v>
      </c>
    </row>
    <row r="69" spans="1:14" x14ac:dyDescent="0.35">
      <c r="A69" s="2">
        <v>43801</v>
      </c>
      <c r="B69" s="3">
        <v>3.228099395364</v>
      </c>
      <c r="C69" s="3">
        <v>4.2567367925399102</v>
      </c>
      <c r="D69" s="3">
        <v>3.2594803153191401</v>
      </c>
      <c r="E69" s="3">
        <v>3.15773577046805</v>
      </c>
      <c r="F69" s="3">
        <v>2.44262072777504</v>
      </c>
      <c r="G69" s="3">
        <v>3.13343210975277</v>
      </c>
      <c r="H69" s="3">
        <v>4.7874451299324399</v>
      </c>
      <c r="I69" s="3">
        <v>1.08443604406701</v>
      </c>
      <c r="J69" s="3">
        <v>1.9937810580767601</v>
      </c>
      <c r="K69" s="3">
        <v>3.4450743013964802</v>
      </c>
      <c r="L69" s="3">
        <v>2.69492009651669</v>
      </c>
      <c r="M69" s="3">
        <v>3.7667301419876602</v>
      </c>
      <c r="N69" s="3">
        <v>4.6811460326773</v>
      </c>
    </row>
    <row r="70" spans="1:14" x14ac:dyDescent="0.35">
      <c r="A70" s="2">
        <v>43832</v>
      </c>
      <c r="B70" s="3">
        <v>3.1815848701529501</v>
      </c>
      <c r="C70" s="3">
        <v>4.31003796445163</v>
      </c>
      <c r="D70" s="3">
        <v>3.2550368353933199</v>
      </c>
      <c r="E70" s="3">
        <v>3.0664072092039598</v>
      </c>
      <c r="F70" s="3">
        <v>2.4446667348383202</v>
      </c>
      <c r="G70" s="3">
        <v>3.0456713331915499</v>
      </c>
      <c r="H70" s="3">
        <v>4.5465965451798702</v>
      </c>
      <c r="I70" s="3">
        <v>1.0316536582619</v>
      </c>
      <c r="J70" s="3">
        <v>1.9178186854839501</v>
      </c>
      <c r="K70" s="3">
        <v>3.31934963429303</v>
      </c>
      <c r="L70" s="3">
        <v>2.5633028126898201</v>
      </c>
      <c r="M70" s="3">
        <v>3.5494629017080799</v>
      </c>
      <c r="N70" s="3">
        <v>4.4417010709918401</v>
      </c>
    </row>
    <row r="71" spans="1:14" x14ac:dyDescent="0.35">
      <c r="A71" s="2">
        <v>43861</v>
      </c>
      <c r="B71" s="3">
        <v>3.10302790525696</v>
      </c>
      <c r="C71" s="3">
        <v>4.1711082845886898</v>
      </c>
      <c r="D71" s="3">
        <v>3.2810481320870202</v>
      </c>
      <c r="E71" s="3">
        <v>3.1616567148522798</v>
      </c>
      <c r="F71" s="3">
        <v>2.4970799652540601</v>
      </c>
      <c r="G71" s="3">
        <v>3.02734981477521</v>
      </c>
      <c r="H71" s="3">
        <v>4.7467060502199896</v>
      </c>
      <c r="I71" s="3">
        <v>1.02349312664834</v>
      </c>
      <c r="J71" s="3">
        <v>1.9520299270353001</v>
      </c>
      <c r="K71" s="3">
        <v>3.43300161790139</v>
      </c>
      <c r="L71" s="3">
        <v>2.6842422218808202</v>
      </c>
      <c r="M71" s="3">
        <v>3.6294614961062601</v>
      </c>
      <c r="N71" s="3">
        <v>4.6011370865805299</v>
      </c>
    </row>
    <row r="72" spans="1:14" x14ac:dyDescent="0.35">
      <c r="A72" s="2">
        <v>43892</v>
      </c>
      <c r="B72" s="3">
        <v>3.2253639136151402</v>
      </c>
      <c r="C72" s="3">
        <v>4.5205373784128904</v>
      </c>
      <c r="D72" s="3">
        <v>3.4662577404107302</v>
      </c>
      <c r="E72" s="3">
        <v>3.4531395311037798</v>
      </c>
      <c r="F72" s="3">
        <v>2.7416138207321601</v>
      </c>
      <c r="G72" s="3">
        <v>3.2540537266661498</v>
      </c>
      <c r="H72" s="3">
        <v>5.2805447896732796</v>
      </c>
      <c r="I72" s="3">
        <v>1.0431636615877899</v>
      </c>
      <c r="J72" s="3">
        <v>2.05270602642877</v>
      </c>
      <c r="K72" s="3">
        <v>3.7092910812453699</v>
      </c>
      <c r="L72" s="3">
        <v>2.8593518836281899</v>
      </c>
      <c r="M72" s="3">
        <v>3.8089541945773799</v>
      </c>
      <c r="N72" s="3">
        <v>5.0434328500802303</v>
      </c>
    </row>
    <row r="73" spans="1:14" x14ac:dyDescent="0.35">
      <c r="A73" s="2">
        <v>43923</v>
      </c>
      <c r="B73" s="3">
        <v>3.2636132401893501</v>
      </c>
      <c r="C73" s="3">
        <v>5.1213829916345901</v>
      </c>
      <c r="D73" s="3">
        <v>4.3924358572964604</v>
      </c>
      <c r="E73" s="3">
        <v>4.0324730435029004</v>
      </c>
      <c r="F73" s="3">
        <v>3.1371875429740701</v>
      </c>
      <c r="G73" s="3">
        <v>3.5194883186029502</v>
      </c>
      <c r="H73" s="3">
        <v>6.2920510800605598</v>
      </c>
      <c r="I73" s="3">
        <v>1.21445931104217</v>
      </c>
      <c r="J73" s="3">
        <v>2.4847283913593898</v>
      </c>
      <c r="K73" s="3">
        <v>4.4295088480780898</v>
      </c>
      <c r="L73" s="3">
        <v>3.2556615237739899</v>
      </c>
      <c r="M73" s="3">
        <v>4.1192736010206197</v>
      </c>
      <c r="N73" s="3">
        <v>6.1851023867742798</v>
      </c>
    </row>
    <row r="74" spans="1:14" x14ac:dyDescent="0.35">
      <c r="A74" s="2">
        <v>43952</v>
      </c>
      <c r="B74" s="3">
        <v>2.7149178657469402</v>
      </c>
      <c r="C74" s="3">
        <v>4.0782154311356296</v>
      </c>
      <c r="D74" s="3">
        <v>3.9094621829445</v>
      </c>
      <c r="E74" s="3">
        <v>3.3462663737299998</v>
      </c>
      <c r="F74" s="3">
        <v>2.8654151399433498</v>
      </c>
      <c r="G74" s="3">
        <v>3.26156325188524</v>
      </c>
      <c r="H74" s="3">
        <v>4.8397117836856403</v>
      </c>
      <c r="I74" s="3">
        <v>1.04478206154923</v>
      </c>
      <c r="J74" s="3">
        <v>2.1522642519833499</v>
      </c>
      <c r="K74" s="3">
        <v>3.5170636584708799</v>
      </c>
      <c r="L74" s="3">
        <v>2.70522585620607</v>
      </c>
      <c r="M74" s="3">
        <v>3.2964743468834401</v>
      </c>
      <c r="N74" s="3">
        <v>5.25468343349546</v>
      </c>
    </row>
    <row r="75" spans="1:14" x14ac:dyDescent="0.35">
      <c r="A75" s="2">
        <v>43984</v>
      </c>
      <c r="B75" s="3">
        <v>2.57759086901416</v>
      </c>
      <c r="C75" s="3">
        <v>3.4554821175774499</v>
      </c>
      <c r="D75" s="3">
        <v>3.5703612766938302</v>
      </c>
      <c r="E75" s="3">
        <v>2.9569458707762699</v>
      </c>
      <c r="F75" s="3">
        <v>2.5070443887434402</v>
      </c>
      <c r="G75" s="3">
        <v>3.12622630009245</v>
      </c>
      <c r="H75" s="3">
        <v>4.0268350387685699</v>
      </c>
      <c r="I75" s="3">
        <v>0.94085412088325504</v>
      </c>
      <c r="J75" s="3">
        <v>1.9602822180800801</v>
      </c>
      <c r="K75" s="3">
        <v>3.2032004809389401</v>
      </c>
      <c r="L75" s="3">
        <v>2.44990730092589</v>
      </c>
      <c r="M75" s="3">
        <v>3.0032255424195502</v>
      </c>
      <c r="N75" s="3">
        <v>4.3726152177541504</v>
      </c>
    </row>
    <row r="76" spans="1:14" x14ac:dyDescent="0.35">
      <c r="A76" s="2">
        <v>44014</v>
      </c>
      <c r="B76" s="3">
        <v>2.4694063472930901</v>
      </c>
      <c r="C76" s="3">
        <v>3.3886707717089299</v>
      </c>
      <c r="D76" s="3">
        <v>3.5263001018989701</v>
      </c>
      <c r="E76" s="3">
        <v>2.8655914908376801</v>
      </c>
      <c r="F76" s="3">
        <v>2.5332265795231299</v>
      </c>
      <c r="G76" s="3">
        <v>3.0430185724154399</v>
      </c>
      <c r="H76" s="3">
        <v>4.0839248035576601</v>
      </c>
      <c r="I76" s="3">
        <v>0.87962469433777701</v>
      </c>
      <c r="J76" s="3">
        <v>1.9141150245665699</v>
      </c>
      <c r="K76" s="3">
        <v>3.0826010359315901</v>
      </c>
      <c r="L76" s="3">
        <v>2.3437097190671499</v>
      </c>
      <c r="M76" s="3">
        <v>3.0045038183238302</v>
      </c>
      <c r="N76" s="3">
        <v>4.26315896223712</v>
      </c>
    </row>
    <row r="77" spans="1:14" x14ac:dyDescent="0.35">
      <c r="A77" s="2">
        <v>44043</v>
      </c>
      <c r="B77" s="3">
        <v>2.3984369714194198</v>
      </c>
      <c r="C77" s="3">
        <v>3.4271095675103602</v>
      </c>
      <c r="D77" s="3">
        <v>3.4245644850280401</v>
      </c>
      <c r="E77" s="3">
        <v>2.9375956752617598</v>
      </c>
      <c r="F77" s="3">
        <v>2.6044037505620898</v>
      </c>
      <c r="G77" s="3">
        <v>3.0201964561597299</v>
      </c>
      <c r="H77" s="3">
        <v>4.1655574290195299</v>
      </c>
      <c r="I77" s="3">
        <v>0.83527683209541703</v>
      </c>
      <c r="J77" s="3">
        <v>1.8178845165109201</v>
      </c>
      <c r="K77" s="3">
        <v>3.23491884614065</v>
      </c>
      <c r="L77" s="3">
        <v>2.42043406141239</v>
      </c>
      <c r="M77" s="3">
        <v>3.0772020397497899</v>
      </c>
      <c r="N77" s="3">
        <v>4.0651578393272603</v>
      </c>
    </row>
    <row r="78" spans="1:14" x14ac:dyDescent="0.35">
      <c r="A78" s="2">
        <v>44076</v>
      </c>
      <c r="B78" s="3">
        <v>2.36485177861648</v>
      </c>
      <c r="C78" s="3">
        <v>3.4133371535565402</v>
      </c>
      <c r="D78" s="3">
        <v>3.3124913022162201</v>
      </c>
      <c r="E78" s="3">
        <v>2.7652310320013198</v>
      </c>
      <c r="F78" s="3">
        <v>2.3704017728237101</v>
      </c>
      <c r="G78" s="3">
        <v>2.9044954863425101</v>
      </c>
      <c r="H78" s="3">
        <v>4.0702879150721598</v>
      </c>
      <c r="I78" s="3">
        <v>0.73446739035814801</v>
      </c>
      <c r="J78" s="3">
        <v>1.66582669099961</v>
      </c>
      <c r="K78" s="3">
        <v>3.1018295437829799</v>
      </c>
      <c r="L78" s="3">
        <v>2.2525341362411</v>
      </c>
      <c r="M78" s="3">
        <v>2.9994700220458901</v>
      </c>
      <c r="N78" s="3">
        <v>4.0144595036075099</v>
      </c>
    </row>
    <row r="79" spans="1:14" x14ac:dyDescent="0.35">
      <c r="A79" s="2">
        <v>44106</v>
      </c>
      <c r="B79" s="3">
        <v>2.4501519045880298</v>
      </c>
      <c r="C79" s="3">
        <v>3.7249684556834901</v>
      </c>
      <c r="D79" s="3">
        <v>3.4366620525084999</v>
      </c>
      <c r="E79" s="3">
        <v>2.8779648929787802</v>
      </c>
      <c r="F79" s="3">
        <v>2.4189895648194502</v>
      </c>
      <c r="G79" s="3">
        <v>2.95441049163062</v>
      </c>
      <c r="H79" s="3">
        <v>4.2341674395293198</v>
      </c>
      <c r="I79" s="3">
        <v>0.81263971321582795</v>
      </c>
      <c r="J79" s="3">
        <v>1.7815289998469701</v>
      </c>
      <c r="K79" s="3">
        <v>3.2759021213867898</v>
      </c>
      <c r="L79" s="3">
        <v>2.3266707057297702</v>
      </c>
      <c r="M79" s="3">
        <v>3.0326695194952502</v>
      </c>
      <c r="N79" s="3">
        <v>4.2128087944612904</v>
      </c>
    </row>
    <row r="80" spans="1:14" x14ac:dyDescent="0.35">
      <c r="A80" s="2">
        <v>44137</v>
      </c>
      <c r="B80" s="3">
        <v>2.4373118209867899</v>
      </c>
      <c r="C80" s="3">
        <v>3.7737224363931299</v>
      </c>
      <c r="D80" s="3">
        <v>3.5401706567109601</v>
      </c>
      <c r="E80" s="3">
        <v>3.1397930239743301</v>
      </c>
      <c r="F80" s="3">
        <v>2.42154752900404</v>
      </c>
      <c r="G80" s="3">
        <v>3.09457367334416</v>
      </c>
      <c r="H80" s="3">
        <v>4.5507521408722997</v>
      </c>
      <c r="I80" s="3">
        <v>0.83631868474720805</v>
      </c>
      <c r="J80" s="3">
        <v>1.8111615223438</v>
      </c>
      <c r="K80" s="3">
        <v>3.3708764329471901</v>
      </c>
      <c r="L80" s="3">
        <v>2.3772651618148202</v>
      </c>
      <c r="M80" s="3">
        <v>3.2662163510922899</v>
      </c>
      <c r="N80" s="3">
        <v>4.4631324287014804</v>
      </c>
    </row>
    <row r="81" spans="1:14" x14ac:dyDescent="0.35">
      <c r="A81" s="2">
        <v>44167</v>
      </c>
      <c r="B81" s="3">
        <v>2.37863753220467</v>
      </c>
      <c r="C81" s="3">
        <v>3.4539221795908599</v>
      </c>
      <c r="D81" s="3">
        <v>3.16291877120696</v>
      </c>
      <c r="E81" s="3">
        <v>2.7863057218076501</v>
      </c>
      <c r="F81" s="3">
        <v>2.1638564688004198</v>
      </c>
      <c r="G81" s="3">
        <v>2.9100078216932701</v>
      </c>
      <c r="H81" s="3">
        <v>3.9101254157287499</v>
      </c>
      <c r="I81" s="3">
        <v>0.74556321132860304</v>
      </c>
      <c r="J81" s="3">
        <v>1.63609022849901</v>
      </c>
      <c r="K81" s="3">
        <v>2.8766552249370698</v>
      </c>
      <c r="L81" s="3">
        <v>2.0733092668266999</v>
      </c>
      <c r="M81" s="3">
        <v>3.0158160112352901</v>
      </c>
      <c r="N81" s="3">
        <v>3.9510101480039999</v>
      </c>
    </row>
    <row r="82" spans="1:14" x14ac:dyDescent="0.35">
      <c r="A82" s="2">
        <v>44196</v>
      </c>
      <c r="B82" s="3">
        <v>2.4053926364159901</v>
      </c>
      <c r="C82" s="3">
        <v>3.5844448354815501</v>
      </c>
      <c r="D82" s="3">
        <v>3.1389385776855399</v>
      </c>
      <c r="E82" s="3">
        <v>2.7202595320454299</v>
      </c>
      <c r="F82" s="3">
        <v>2.1399484297988298</v>
      </c>
      <c r="G82" s="3">
        <v>2.8207752385023102</v>
      </c>
      <c r="H82" s="3">
        <v>3.9477396242921601</v>
      </c>
      <c r="I82" s="3">
        <v>0.76306680393272797</v>
      </c>
      <c r="J82" s="3">
        <v>1.5777077476630399</v>
      </c>
      <c r="K82" s="3">
        <v>2.93955435270377</v>
      </c>
      <c r="L82" s="3">
        <v>1.9681814721117099</v>
      </c>
      <c r="M82" s="3">
        <v>3.1084519032998701</v>
      </c>
      <c r="N82" s="3">
        <v>3.9446405353127498</v>
      </c>
    </row>
    <row r="83" spans="1:14" x14ac:dyDescent="0.35">
      <c r="A83" s="2">
        <v>44229</v>
      </c>
      <c r="B83" s="3">
        <v>2.4913567888880901</v>
      </c>
      <c r="C83" s="3">
        <v>3.6116939196380802</v>
      </c>
      <c r="D83" s="3">
        <v>3.0482062390617002</v>
      </c>
      <c r="E83" s="3">
        <v>2.7405408780873901</v>
      </c>
      <c r="F83" s="3">
        <v>2.1152409094544198</v>
      </c>
      <c r="G83" s="3">
        <v>2.8346318770250298</v>
      </c>
      <c r="H83" s="3">
        <v>4.0799566375570198</v>
      </c>
      <c r="I83" s="3">
        <v>0.73676403754546504</v>
      </c>
      <c r="J83" s="3">
        <v>1.5601885847137</v>
      </c>
      <c r="K83" s="3">
        <v>2.9532482746639999</v>
      </c>
      <c r="L83" s="3">
        <v>1.95413444935217</v>
      </c>
      <c r="M83" s="3">
        <v>2.9759069607498199</v>
      </c>
      <c r="N83" s="3">
        <v>4.1056987552259301</v>
      </c>
    </row>
    <row r="84" spans="1:14" x14ac:dyDescent="0.35">
      <c r="A84" s="2">
        <v>44257</v>
      </c>
      <c r="B84" s="3">
        <v>2.5769697347863798</v>
      </c>
      <c r="C84" s="3">
        <v>3.8567983341423799</v>
      </c>
      <c r="D84" s="3">
        <v>2.9074949629501199</v>
      </c>
      <c r="E84" s="3">
        <v>2.8029365703950302</v>
      </c>
      <c r="F84" s="3">
        <v>2.0937485791360402</v>
      </c>
      <c r="G84" s="3">
        <v>2.8638576285147299</v>
      </c>
      <c r="H84" s="3">
        <v>3.9903305834803602</v>
      </c>
      <c r="I84" s="3">
        <v>0.76639077675604705</v>
      </c>
      <c r="J84" s="3">
        <v>1.55650222530393</v>
      </c>
      <c r="K84" s="3">
        <v>2.8296137054297499</v>
      </c>
      <c r="L84" s="3">
        <v>2.05776618669841</v>
      </c>
      <c r="M84" s="3">
        <v>2.8891173891709898</v>
      </c>
      <c r="N84" s="3">
        <v>4.1828558901792103</v>
      </c>
    </row>
    <row r="85" spans="1:14" x14ac:dyDescent="0.35">
      <c r="A85" s="2">
        <v>44287</v>
      </c>
      <c r="B85" s="3">
        <v>2.5951383958601801</v>
      </c>
      <c r="C85" s="3">
        <v>3.97163701521748</v>
      </c>
      <c r="D85" s="3">
        <v>2.80258135035122</v>
      </c>
      <c r="E85" s="3">
        <v>2.6899830780700902</v>
      </c>
      <c r="F85" s="3">
        <v>2.0639766007260598</v>
      </c>
      <c r="G85" s="3">
        <v>2.79350069710843</v>
      </c>
      <c r="H85" s="3">
        <v>4.0490320608381403</v>
      </c>
      <c r="I85" s="3">
        <v>0.75417258751375704</v>
      </c>
      <c r="J85" s="3">
        <v>1.5064657700655399</v>
      </c>
      <c r="K85" s="3">
        <v>2.7401141120057799</v>
      </c>
      <c r="L85" s="3">
        <v>1.9176825648873801</v>
      </c>
      <c r="M85" s="3">
        <v>2.7547793033497099</v>
      </c>
      <c r="N85" s="3">
        <v>3.9963737163555502</v>
      </c>
    </row>
    <row r="86" spans="1:14" x14ac:dyDescent="0.35">
      <c r="A86" s="2">
        <v>44316</v>
      </c>
      <c r="B86" s="3">
        <v>2.5880948732242199</v>
      </c>
      <c r="C86" s="3">
        <v>3.9314369150242898</v>
      </c>
      <c r="D86" s="3">
        <v>2.7625045175571201</v>
      </c>
      <c r="E86" s="3">
        <v>2.7846560957973798</v>
      </c>
      <c r="F86" s="3">
        <v>2.15617241842331</v>
      </c>
      <c r="G86" s="3">
        <v>2.7748305994456599</v>
      </c>
      <c r="H86" s="3">
        <v>3.9670152014615701</v>
      </c>
      <c r="I86" s="3">
        <v>0.73090196136723595</v>
      </c>
      <c r="J86" s="3">
        <v>1.4601255734592899</v>
      </c>
      <c r="K86" s="3">
        <v>2.7059486924379299</v>
      </c>
      <c r="L86" s="3">
        <v>1.9631255917063699</v>
      </c>
      <c r="M86" s="3">
        <v>2.8406182953646399</v>
      </c>
      <c r="N86" s="3">
        <v>4.1908301934866596</v>
      </c>
    </row>
    <row r="87" spans="1:14" x14ac:dyDescent="0.35">
      <c r="A87" s="2">
        <v>44349</v>
      </c>
      <c r="B87" s="3">
        <v>2.69154357224649</v>
      </c>
      <c r="C87" s="3">
        <v>3.8503675919404201</v>
      </c>
      <c r="D87" s="3">
        <v>2.60765425493801</v>
      </c>
      <c r="E87" s="3">
        <v>2.7947481201895399</v>
      </c>
      <c r="F87" s="3">
        <v>2.16033750835118</v>
      </c>
      <c r="G87" s="3">
        <v>2.6925421042202702</v>
      </c>
      <c r="H87" s="3">
        <v>3.8568639013348802</v>
      </c>
      <c r="I87" s="3">
        <v>0.74272006832341697</v>
      </c>
      <c r="J87" s="3">
        <v>1.4598088740353501</v>
      </c>
      <c r="K87" s="3">
        <v>2.6599826919239602</v>
      </c>
      <c r="L87" s="3">
        <v>1.99873310689226</v>
      </c>
      <c r="M87" s="3">
        <v>2.6759636286868602</v>
      </c>
      <c r="N87" s="3">
        <v>4.0849440027249804</v>
      </c>
    </row>
    <row r="88" spans="1:14" x14ac:dyDescent="0.35">
      <c r="A88" s="2">
        <v>44379</v>
      </c>
      <c r="B88" s="3">
        <v>2.6251517760140199</v>
      </c>
      <c r="C88" s="3">
        <v>4.0588734035747196</v>
      </c>
      <c r="D88" s="3">
        <v>2.7041918481249398</v>
      </c>
      <c r="E88" s="3">
        <v>2.8025126165715899</v>
      </c>
      <c r="F88" s="3">
        <v>2.1821509374828501</v>
      </c>
      <c r="G88" s="3">
        <v>2.6310063326827202</v>
      </c>
      <c r="H88" s="3">
        <v>3.9940926253166298</v>
      </c>
      <c r="I88" s="3">
        <v>0.69620934283835401</v>
      </c>
      <c r="J88" s="3">
        <v>1.4259322131333501</v>
      </c>
      <c r="K88" s="3">
        <v>2.6931803731525901</v>
      </c>
      <c r="L88" s="3">
        <v>2.0086946793146501</v>
      </c>
      <c r="M88" s="3">
        <v>2.6956297751989702</v>
      </c>
      <c r="N88" s="3">
        <v>4.1376130952577999</v>
      </c>
    </row>
    <row r="89" spans="1:14" x14ac:dyDescent="0.35">
      <c r="A89" s="2">
        <v>44410</v>
      </c>
      <c r="B89" s="3">
        <v>2.6385303041150401</v>
      </c>
      <c r="C89" s="3">
        <v>4.05508738772716</v>
      </c>
      <c r="D89" s="3">
        <v>2.7140736131751</v>
      </c>
      <c r="E89" s="3">
        <v>2.83590674917567</v>
      </c>
      <c r="F89" s="3">
        <v>2.2306033470417499</v>
      </c>
      <c r="G89" s="3">
        <v>2.57877459523373</v>
      </c>
      <c r="H89" s="3">
        <v>4.1471617682468098</v>
      </c>
      <c r="I89" s="3">
        <v>0.70422197414715004</v>
      </c>
      <c r="J89" s="3">
        <v>1.4320917984326</v>
      </c>
      <c r="K89" s="3">
        <v>2.7048129079091399</v>
      </c>
      <c r="L89" s="3">
        <v>1.94272605427083</v>
      </c>
      <c r="M89" s="3">
        <v>2.72140409851094</v>
      </c>
      <c r="N89" s="3">
        <v>4.2802730876850399</v>
      </c>
    </row>
    <row r="90" spans="1:14" x14ac:dyDescent="0.35">
      <c r="A90" s="2">
        <v>44441</v>
      </c>
      <c r="B90" s="3">
        <v>2.5659681311099298</v>
      </c>
      <c r="C90" s="3">
        <v>4.0395231212600597</v>
      </c>
      <c r="D90" s="3">
        <v>2.7153595630635201</v>
      </c>
      <c r="E90" s="3">
        <v>2.8352137279196898</v>
      </c>
      <c r="F90" s="3">
        <v>2.2280071657488101</v>
      </c>
      <c r="G90" s="3">
        <v>2.55858736377618</v>
      </c>
      <c r="H90" s="3">
        <v>4.1540213808553403</v>
      </c>
      <c r="I90" s="3">
        <v>0.67918694882344899</v>
      </c>
      <c r="J90" s="3">
        <v>1.3963817357683801</v>
      </c>
      <c r="K90" s="3">
        <v>2.7227532938315901</v>
      </c>
      <c r="L90" s="3">
        <v>1.82642988263283</v>
      </c>
      <c r="M90" s="3">
        <v>2.70648847309482</v>
      </c>
      <c r="N90" s="3">
        <v>4.3897407655379297</v>
      </c>
    </row>
    <row r="91" spans="1:14" x14ac:dyDescent="0.35">
      <c r="A91" s="2">
        <v>44470</v>
      </c>
      <c r="B91" s="3">
        <v>2.6187124957364398</v>
      </c>
      <c r="C91" s="3">
        <v>4.1535813788774796</v>
      </c>
      <c r="D91" s="3">
        <v>2.82619889777818</v>
      </c>
      <c r="E91" s="3">
        <v>3.0078935552655999</v>
      </c>
      <c r="F91" s="3">
        <v>2.2507595718939002</v>
      </c>
      <c r="G91" s="3">
        <v>2.7791957942677601</v>
      </c>
      <c r="H91" s="3">
        <v>4.2090951912333399</v>
      </c>
      <c r="I91" s="3">
        <v>0.72325560122367405</v>
      </c>
      <c r="J91" s="3">
        <v>1.4591706571349199</v>
      </c>
      <c r="K91" s="3">
        <v>2.8661540980959899</v>
      </c>
      <c r="L91" s="3">
        <v>1.9742216699553801</v>
      </c>
      <c r="M91" s="3">
        <v>2.9020117915601902</v>
      </c>
      <c r="N91" s="3">
        <v>4.5586557107830297</v>
      </c>
    </row>
    <row r="92" spans="1:14" x14ac:dyDescent="0.35">
      <c r="A92" s="2">
        <v>44502</v>
      </c>
      <c r="B92" s="3">
        <v>2.6840861789653099</v>
      </c>
      <c r="C92" s="3">
        <v>3.9852852749624699</v>
      </c>
      <c r="D92" s="3">
        <v>2.7282186178477201</v>
      </c>
      <c r="E92" s="3">
        <v>2.9160776305654501</v>
      </c>
      <c r="F92" s="3">
        <v>2.2225139403545899</v>
      </c>
      <c r="G92" s="3">
        <v>2.61422569406766</v>
      </c>
      <c r="H92" s="3">
        <v>4.0351740357950803</v>
      </c>
      <c r="I92" s="3">
        <v>0.67382346517351699</v>
      </c>
      <c r="J92" s="3">
        <v>1.3886076027963901</v>
      </c>
      <c r="K92" s="3">
        <v>2.75598067554446</v>
      </c>
      <c r="L92" s="3">
        <v>1.9010268273197</v>
      </c>
      <c r="M92" s="3">
        <v>3.0228084829380002</v>
      </c>
      <c r="N92" s="3">
        <v>4.3448624297694396</v>
      </c>
    </row>
    <row r="93" spans="1:14" x14ac:dyDescent="0.35">
      <c r="A93" s="2">
        <v>44532</v>
      </c>
      <c r="B93" s="3">
        <v>2.7873913521221998</v>
      </c>
      <c r="C93" s="3">
        <v>4.0739291547414398</v>
      </c>
      <c r="D93" s="3">
        <v>2.8429309122678901</v>
      </c>
      <c r="E93" s="3">
        <v>3.1360169481042002</v>
      </c>
      <c r="F93" s="3">
        <v>2.3658347677661</v>
      </c>
      <c r="G93" s="3">
        <v>2.66682282962263</v>
      </c>
      <c r="H93" s="3">
        <v>4.1177058967932902</v>
      </c>
      <c r="I93" s="3">
        <v>0.67797864137797903</v>
      </c>
      <c r="J93" s="3">
        <v>1.4077709917651899</v>
      </c>
      <c r="K93" s="3">
        <v>2.8630470269629198</v>
      </c>
      <c r="L93" s="3">
        <v>1.98377980765943</v>
      </c>
      <c r="M93" s="3">
        <v>2.9852582178417801</v>
      </c>
      <c r="N93" s="3">
        <v>4.7279809995201498</v>
      </c>
    </row>
    <row r="94" spans="1:14" x14ac:dyDescent="0.35">
      <c r="A94" s="2">
        <v>44561</v>
      </c>
      <c r="B94" s="3">
        <v>2.76511566800919</v>
      </c>
      <c r="C94" s="3">
        <v>3.8752438584150402</v>
      </c>
      <c r="D94" s="3">
        <v>2.7873327316916399</v>
      </c>
      <c r="E94" s="3">
        <v>3.0442405681104301</v>
      </c>
      <c r="F94" s="3">
        <v>2.3131354196013101</v>
      </c>
      <c r="G94" s="3">
        <v>2.5276605735921902</v>
      </c>
      <c r="H94" s="3">
        <v>3.9052611842822902</v>
      </c>
      <c r="I94" s="3">
        <v>0.66798362760113095</v>
      </c>
      <c r="J94" s="3">
        <v>1.35459202448055</v>
      </c>
      <c r="K94" s="3">
        <v>2.7387953498536999</v>
      </c>
      <c r="L94" s="3">
        <v>1.9365661340603499</v>
      </c>
      <c r="M94" s="3">
        <v>2.8324360731858498</v>
      </c>
      <c r="N94" s="3">
        <v>4.5998556478422898</v>
      </c>
    </row>
    <row r="95" spans="1:14" x14ac:dyDescent="0.35">
      <c r="A95" s="2">
        <v>44594</v>
      </c>
      <c r="B95" s="3">
        <v>2.9542659843393602</v>
      </c>
      <c r="C95" s="3">
        <v>4.3535491155923101</v>
      </c>
      <c r="D95" s="3">
        <v>2.7897624365195401</v>
      </c>
      <c r="E95" s="3">
        <v>3.1458428560104701</v>
      </c>
      <c r="F95" s="3">
        <v>2.4216078017545901</v>
      </c>
      <c r="G95" s="3">
        <v>2.7057235817678298</v>
      </c>
      <c r="H95" s="3">
        <v>3.7769027204778101</v>
      </c>
      <c r="I95" s="3">
        <v>0.72928445781543805</v>
      </c>
      <c r="J95" s="3">
        <v>1.42647742241173</v>
      </c>
      <c r="K95" s="3">
        <v>2.8217391736446098</v>
      </c>
      <c r="L95" s="3">
        <v>2.1574708853106799</v>
      </c>
      <c r="M95" s="3">
        <v>2.8223385421520599</v>
      </c>
      <c r="N95" s="3">
        <v>4.6747442896748703</v>
      </c>
    </row>
    <row r="96" spans="1:14" x14ac:dyDescent="0.35">
      <c r="A96" s="2">
        <v>44622</v>
      </c>
      <c r="B96" s="3">
        <v>3.0098878967801501</v>
      </c>
      <c r="C96" s="3">
        <v>4.3343445335256696</v>
      </c>
      <c r="D96" s="3">
        <v>2.8540159514770398</v>
      </c>
      <c r="E96" s="3">
        <v>3.5896189788401101</v>
      </c>
      <c r="F96" s="3">
        <v>2.5959081110150701</v>
      </c>
      <c r="G96" s="3">
        <v>2.8308902687151698</v>
      </c>
      <c r="H96" s="3">
        <v>3.9308882533576202</v>
      </c>
      <c r="I96" s="3">
        <v>0.78723566807607803</v>
      </c>
      <c r="J96" s="3">
        <v>1.5064901371878701</v>
      </c>
      <c r="K96" s="3">
        <v>3.1683136385750599</v>
      </c>
      <c r="L96" s="3">
        <v>2.3332551235273602</v>
      </c>
      <c r="M96" s="3">
        <v>3.2071216627127499</v>
      </c>
      <c r="N96" s="3">
        <v>5.1569802280166996</v>
      </c>
    </row>
    <row r="97" spans="1:14" x14ac:dyDescent="0.35">
      <c r="A97" s="2">
        <v>44652</v>
      </c>
      <c r="B97" s="3">
        <v>3.0634918868110201</v>
      </c>
      <c r="C97" s="3">
        <v>4.2407604971047199</v>
      </c>
      <c r="D97" s="3">
        <v>2.8310748335118001</v>
      </c>
      <c r="E97" s="3">
        <v>3.5348435627422701</v>
      </c>
      <c r="F97" s="3">
        <v>2.5145922839758699</v>
      </c>
      <c r="G97" s="3">
        <v>2.7815893629968702</v>
      </c>
      <c r="H97" s="3">
        <v>4.0024289057857896</v>
      </c>
      <c r="I97" s="3">
        <v>0.75760490108937795</v>
      </c>
      <c r="J97" s="3">
        <v>1.45043251205188</v>
      </c>
      <c r="K97" s="3">
        <v>3.0814131803951299</v>
      </c>
      <c r="L97" s="3">
        <v>2.2377347454228498</v>
      </c>
      <c r="M97" s="3">
        <v>3.09763474613636</v>
      </c>
      <c r="N97" s="3">
        <v>5.0079433585054298</v>
      </c>
    </row>
    <row r="98" spans="1:14" x14ac:dyDescent="0.35">
      <c r="A98" s="2">
        <v>44683</v>
      </c>
      <c r="B98" s="3">
        <v>3.08218148107593</v>
      </c>
      <c r="C98" s="3">
        <v>4.5163515897030297</v>
      </c>
      <c r="D98" s="3">
        <v>3.0752602498355599</v>
      </c>
      <c r="E98" s="3">
        <v>3.7772807016867702</v>
      </c>
      <c r="F98" s="3">
        <v>2.5920200602088301</v>
      </c>
      <c r="G98" s="3">
        <v>2.88677620695641</v>
      </c>
      <c r="H98" s="3">
        <v>4.0582324090324802</v>
      </c>
      <c r="I98" s="3">
        <v>0.86433009436286701</v>
      </c>
      <c r="J98" s="3">
        <v>1.59094138383693</v>
      </c>
      <c r="K98" s="3">
        <v>3.2041954427907799</v>
      </c>
      <c r="L98" s="3">
        <v>2.4254366551612598</v>
      </c>
      <c r="M98" s="3">
        <v>3.3617357928940499</v>
      </c>
      <c r="N98" s="3">
        <v>5.2037699439518104</v>
      </c>
    </row>
    <row r="99" spans="1:14" x14ac:dyDescent="0.35">
      <c r="A99" s="2">
        <v>44714</v>
      </c>
      <c r="B99" s="3">
        <v>3.2176421068524999</v>
      </c>
      <c r="C99" s="3">
        <v>4.7083584846147302</v>
      </c>
      <c r="D99" s="3">
        <v>3.0651597177346499</v>
      </c>
      <c r="E99" s="3">
        <v>3.7128305827224</v>
      </c>
      <c r="F99" s="3">
        <v>2.5810226233932898</v>
      </c>
      <c r="G99" s="3">
        <v>2.96460072127151</v>
      </c>
      <c r="H99" s="3">
        <v>4.0660874625241803</v>
      </c>
      <c r="I99" s="3">
        <v>0.884158160929154</v>
      </c>
      <c r="J99" s="3">
        <v>1.5911589438629801</v>
      </c>
      <c r="K99" s="3">
        <v>3.1992262276235701</v>
      </c>
      <c r="L99" s="3">
        <v>2.5350304644929702</v>
      </c>
      <c r="M99" s="3">
        <v>3.22128740403515</v>
      </c>
      <c r="N99" s="3">
        <v>5.2117559694633204</v>
      </c>
    </row>
    <row r="100" spans="1:14" x14ac:dyDescent="0.35">
      <c r="A100" s="2">
        <v>44743</v>
      </c>
      <c r="B100" s="3">
        <v>3.4063392320034298</v>
      </c>
      <c r="C100" s="3">
        <v>5.3160403707034201</v>
      </c>
      <c r="D100" s="3">
        <v>3.42241268976922</v>
      </c>
      <c r="E100" s="3">
        <v>4.21178417068705</v>
      </c>
      <c r="F100" s="3">
        <v>2.7404966399483301</v>
      </c>
      <c r="G100" s="3">
        <v>3.1965228346668</v>
      </c>
      <c r="H100" s="3">
        <v>4.32321531067159</v>
      </c>
      <c r="I100" s="3">
        <v>0.99234214423649103</v>
      </c>
      <c r="J100" s="3">
        <v>1.7549580654852399</v>
      </c>
      <c r="K100" s="3">
        <v>3.53733002959211</v>
      </c>
      <c r="L100" s="3">
        <v>3.48420352945727</v>
      </c>
      <c r="M100" s="3">
        <v>3.63852903608446</v>
      </c>
      <c r="N100" s="3">
        <v>5.9288194662000402</v>
      </c>
    </row>
    <row r="101" spans="1:14" x14ac:dyDescent="0.35">
      <c r="A101" s="2">
        <v>44775</v>
      </c>
      <c r="B101" s="3">
        <v>3.2458123423111598</v>
      </c>
      <c r="C101" s="3">
        <v>4.7915635466249604</v>
      </c>
      <c r="D101" s="3">
        <v>3.3524084862701198</v>
      </c>
      <c r="E101" s="3">
        <v>4.0231946252236304</v>
      </c>
      <c r="F101" s="3">
        <v>2.6363691846700599</v>
      </c>
      <c r="G101" s="3">
        <v>3.0732673686452401</v>
      </c>
      <c r="H101" s="3">
        <v>4.1856422838375602</v>
      </c>
      <c r="I101" s="3">
        <v>0.89723028577744302</v>
      </c>
      <c r="J101" s="3">
        <v>1.64837911697772</v>
      </c>
      <c r="K101" s="3">
        <v>3.30436446231383</v>
      </c>
      <c r="L101" s="3">
        <v>3.0814757426439798</v>
      </c>
      <c r="M101" s="3">
        <v>3.51143053820608</v>
      </c>
      <c r="N101" s="3">
        <v>5.8381820542268201</v>
      </c>
    </row>
    <row r="102" spans="1:14" x14ac:dyDescent="0.35">
      <c r="A102" s="2">
        <v>44806</v>
      </c>
      <c r="B102" s="3">
        <v>3.1945586702973401</v>
      </c>
      <c r="C102" s="3">
        <v>4.8731086432875701</v>
      </c>
      <c r="D102" s="3">
        <v>3.4774993126967799</v>
      </c>
      <c r="E102" s="3">
        <v>4.1383766174527796</v>
      </c>
      <c r="F102" s="3">
        <v>2.6414844866036402</v>
      </c>
      <c r="G102" s="3">
        <v>3.1965103602527098</v>
      </c>
      <c r="H102" s="3">
        <v>4.4384675155815101</v>
      </c>
      <c r="I102" s="3">
        <v>0.962519191385244</v>
      </c>
      <c r="J102" s="3">
        <v>1.7407625851612201</v>
      </c>
      <c r="K102" s="3">
        <v>3.4976196375355801</v>
      </c>
      <c r="L102" s="3">
        <v>3.7930401273864298</v>
      </c>
      <c r="M102" s="3">
        <v>3.7126333104950802</v>
      </c>
      <c r="N102" s="3">
        <v>5.6446969685769401</v>
      </c>
    </row>
    <row r="103" spans="1:14" x14ac:dyDescent="0.35">
      <c r="A103" s="2">
        <v>44834</v>
      </c>
      <c r="B103" s="3">
        <v>3.42620608411407</v>
      </c>
      <c r="C103" s="3">
        <v>5.2635282249166</v>
      </c>
      <c r="D103" s="3">
        <v>3.6346845964218599</v>
      </c>
      <c r="E103" s="3">
        <v>4.4846100059377303</v>
      </c>
      <c r="F103" s="3">
        <v>2.81776404802272</v>
      </c>
      <c r="G103" s="3">
        <v>3.4263138214808002</v>
      </c>
      <c r="H103" s="3">
        <v>4.7703344533370098</v>
      </c>
      <c r="I103" s="3">
        <v>1.07002595175519</v>
      </c>
      <c r="J103" s="3">
        <v>1.9115767424047501</v>
      </c>
      <c r="K103" s="3">
        <v>3.7722992336566699</v>
      </c>
      <c r="L103" s="3">
        <v>3.0790863216312001</v>
      </c>
      <c r="M103" s="3">
        <v>3.7915644393765202</v>
      </c>
      <c r="N103" s="3">
        <v>6.1945506712516201</v>
      </c>
    </row>
    <row r="104" spans="1:14" x14ac:dyDescent="0.35">
      <c r="A104" s="2">
        <v>44867</v>
      </c>
      <c r="B104" s="3">
        <v>3.3898743346470801</v>
      </c>
      <c r="C104" s="3">
        <v>4.8536229681697396</v>
      </c>
      <c r="D104" s="3">
        <v>3.4710671475723598</v>
      </c>
      <c r="E104" s="3">
        <v>4.1271632141018504</v>
      </c>
      <c r="F104" s="3">
        <v>2.6676097953494802</v>
      </c>
      <c r="G104" s="3">
        <v>3.29087966748456</v>
      </c>
      <c r="H104" s="3">
        <v>4.5182666549074799</v>
      </c>
      <c r="I104" s="3">
        <v>1.08628788537636</v>
      </c>
      <c r="J104" s="3">
        <v>1.8390447120462901</v>
      </c>
      <c r="K104" s="3">
        <v>3.5073841608494898</v>
      </c>
      <c r="L104" s="3">
        <v>2.9698311569849198</v>
      </c>
      <c r="M104" s="3">
        <v>3.7478256622283901</v>
      </c>
      <c r="N104" s="3">
        <v>5.6813636408615302</v>
      </c>
    </row>
    <row r="105" spans="1:14" x14ac:dyDescent="0.35">
      <c r="A105" s="2">
        <v>44897</v>
      </c>
      <c r="B105" s="3">
        <v>3.3856709197202801</v>
      </c>
      <c r="C105" s="3">
        <v>4.4336585553645804</v>
      </c>
      <c r="D105" s="3">
        <v>3.2817011342395501</v>
      </c>
      <c r="E105" s="3">
        <v>3.7096152777159901</v>
      </c>
      <c r="F105" s="3">
        <v>2.6400789182711302</v>
      </c>
      <c r="G105" s="3">
        <v>3.0846754010656601</v>
      </c>
      <c r="H105" s="3">
        <v>4.2121674823373603</v>
      </c>
      <c r="I105" s="3">
        <v>0.98703769284804899</v>
      </c>
      <c r="J105" s="3">
        <v>1.69919760704677</v>
      </c>
      <c r="K105" s="3">
        <v>3.2608657343007201</v>
      </c>
      <c r="L105" s="3">
        <v>2.6342428956904902</v>
      </c>
      <c r="M105" s="3">
        <v>3.5593135725727798</v>
      </c>
      <c r="N105" s="3">
        <v>5.6775556387591504</v>
      </c>
    </row>
    <row r="106" spans="1:14" x14ac:dyDescent="0.35">
      <c r="A106" s="2">
        <v>44925</v>
      </c>
      <c r="B106" s="3">
        <v>3.4817595151301202</v>
      </c>
      <c r="C106" s="3">
        <v>4.5472140818103099</v>
      </c>
      <c r="D106" s="3">
        <v>3.4707922433344001</v>
      </c>
      <c r="E106" s="3">
        <v>3.8475143428358201</v>
      </c>
      <c r="F106" s="3">
        <v>2.7626410660049201</v>
      </c>
      <c r="G106" s="3">
        <v>3.2251424731146301</v>
      </c>
      <c r="H106" s="3">
        <v>4.2841462033763102</v>
      </c>
      <c r="I106" s="3">
        <v>1.0384400172415</v>
      </c>
      <c r="J106" s="3">
        <v>1.8088940783940299</v>
      </c>
      <c r="K106" s="3">
        <v>3.3807948662548499</v>
      </c>
      <c r="L106" s="3">
        <v>2.81744295330622</v>
      </c>
      <c r="M106" s="3">
        <v>3.7672268037603298</v>
      </c>
      <c r="N106" s="3">
        <v>5.9215585910381598</v>
      </c>
    </row>
    <row r="107" spans="1:14" x14ac:dyDescent="0.35">
      <c r="A107" s="2">
        <v>44959</v>
      </c>
      <c r="B107" s="3">
        <v>3.26417718532104</v>
      </c>
      <c r="C107" s="3">
        <v>4.2413750370273604</v>
      </c>
      <c r="D107" s="3">
        <v>3.2582071849942</v>
      </c>
      <c r="E107" s="3">
        <v>3.41971019512436</v>
      </c>
      <c r="F107" s="3">
        <v>2.6374624253636698</v>
      </c>
      <c r="G107" s="3">
        <v>3.0458017378976798</v>
      </c>
      <c r="H107" s="3">
        <v>4.0961192678782696</v>
      </c>
      <c r="I107" s="3">
        <v>0.89853018545160701</v>
      </c>
      <c r="J107" s="3">
        <v>1.67403975281354</v>
      </c>
      <c r="K107" s="3">
        <v>3.0808443801547498</v>
      </c>
      <c r="L107" s="3">
        <v>2.4898081268516701</v>
      </c>
      <c r="M107" s="3">
        <v>3.4240565539180401</v>
      </c>
      <c r="N107" s="3">
        <v>5.36605848649568</v>
      </c>
    </row>
    <row r="108" spans="1:14" x14ac:dyDescent="0.35">
      <c r="A108" s="2">
        <v>44987</v>
      </c>
      <c r="B108" s="3">
        <v>3.3697895210033102</v>
      </c>
      <c r="C108" s="3">
        <v>4.4788572274683496</v>
      </c>
      <c r="D108" s="3">
        <v>3.30669735738589</v>
      </c>
      <c r="E108" s="3">
        <v>3.5356182753555001</v>
      </c>
      <c r="F108" s="3">
        <v>2.6128963285410101</v>
      </c>
      <c r="G108" s="3">
        <v>3.1450990656442301</v>
      </c>
      <c r="H108" s="3">
        <v>4.1305234749641002</v>
      </c>
      <c r="I108" s="3">
        <v>0.96203295671919797</v>
      </c>
      <c r="J108" s="3">
        <v>1.7643040465505899</v>
      </c>
      <c r="K108" s="3">
        <v>3.1592843228149698</v>
      </c>
      <c r="L108" s="3">
        <v>2.6535727121707899</v>
      </c>
      <c r="M108" s="3">
        <v>3.5621580125716901</v>
      </c>
      <c r="N108" s="3">
        <v>5.2936601007041002</v>
      </c>
    </row>
    <row r="109" spans="1:14" x14ac:dyDescent="0.35">
      <c r="A109" s="2">
        <v>45016</v>
      </c>
      <c r="B109" s="3">
        <v>3.3968483428020999</v>
      </c>
      <c r="C109" s="3">
        <v>4.5428269481902097</v>
      </c>
      <c r="D109" s="3">
        <v>3.3463525101712399</v>
      </c>
      <c r="E109" s="3">
        <v>3.5203067591384598</v>
      </c>
      <c r="F109" s="3">
        <v>2.6215986084240601</v>
      </c>
      <c r="G109" s="3">
        <v>3.1567808378198201</v>
      </c>
      <c r="H109" s="3">
        <v>4.2249958243827104</v>
      </c>
      <c r="I109" s="3">
        <v>0.88408534215901102</v>
      </c>
      <c r="J109" s="3">
        <v>1.7138888327263799</v>
      </c>
      <c r="K109" s="3">
        <v>3.17295241079551</v>
      </c>
      <c r="L109" s="3">
        <v>2.6345247882083198</v>
      </c>
      <c r="M109" s="3">
        <v>3.6305547302372299</v>
      </c>
      <c r="N109" s="3">
        <v>5.4376222814753996</v>
      </c>
    </row>
    <row r="110" spans="1:14" x14ac:dyDescent="0.35">
      <c r="A110" s="2">
        <v>45048</v>
      </c>
      <c r="B110" s="3">
        <v>3.3854035922504</v>
      </c>
      <c r="C110" s="3">
        <v>4.4367153807925703</v>
      </c>
      <c r="D110" s="3">
        <v>3.2681121415236301</v>
      </c>
      <c r="E110" s="3">
        <v>3.5632400100020498</v>
      </c>
      <c r="F110" s="3">
        <v>2.5401588130437598</v>
      </c>
      <c r="G110" s="3">
        <v>3.0802271873880001</v>
      </c>
      <c r="H110" s="3">
        <v>4.2238756399265203</v>
      </c>
      <c r="I110" s="3">
        <v>0.87286571678916602</v>
      </c>
      <c r="J110" s="3">
        <v>1.71360645476949</v>
      </c>
      <c r="K110" s="3">
        <v>3.17457664126005</v>
      </c>
      <c r="L110" s="3">
        <v>2.7096950076344899</v>
      </c>
      <c r="M110" s="3">
        <v>3.6917112523140898</v>
      </c>
      <c r="N110" s="3">
        <v>5.5008778655883201</v>
      </c>
    </row>
    <row r="111" spans="1:14" x14ac:dyDescent="0.35">
      <c r="A111" s="2">
        <v>45079</v>
      </c>
      <c r="B111" s="3">
        <v>3.41498057686381</v>
      </c>
      <c r="C111" s="3">
        <v>4.4791514095311404</v>
      </c>
      <c r="D111" s="3">
        <v>3.31108210263712</v>
      </c>
      <c r="E111" s="3">
        <v>3.6181495339138898</v>
      </c>
      <c r="F111" s="3">
        <v>2.4213198550219599</v>
      </c>
      <c r="G111" s="3">
        <v>3.12627979885354</v>
      </c>
      <c r="H111" s="3">
        <v>4.3529412669634304</v>
      </c>
      <c r="I111" s="3">
        <v>0.79164031575668503</v>
      </c>
      <c r="J111" s="3">
        <v>1.65609087967257</v>
      </c>
      <c r="K111" s="3">
        <v>3.2603932291861599</v>
      </c>
      <c r="L111" s="3">
        <v>2.6879028226558002</v>
      </c>
      <c r="M111" s="3">
        <v>3.7123831911207001</v>
      </c>
      <c r="N111" s="3">
        <v>5.43936078668085</v>
      </c>
    </row>
    <row r="112" spans="1:14" x14ac:dyDescent="0.35">
      <c r="A112" s="2">
        <v>45107</v>
      </c>
      <c r="B112" s="3">
        <v>3.41941461587257</v>
      </c>
      <c r="C112" s="3">
        <v>4.2992331256682998</v>
      </c>
      <c r="D112" s="3">
        <v>3.2521051096131002</v>
      </c>
      <c r="E112" s="3">
        <v>3.6204523088825602</v>
      </c>
      <c r="F112" s="3">
        <v>2.3284731752999601</v>
      </c>
      <c r="G112" s="3">
        <v>3.1648528823911199</v>
      </c>
      <c r="H112" s="3">
        <v>4.3604538105600099</v>
      </c>
      <c r="I112" s="3">
        <v>0.762629514025155</v>
      </c>
      <c r="J112" s="3">
        <v>1.59650435282419</v>
      </c>
      <c r="K112" s="3">
        <v>3.22608407133038</v>
      </c>
      <c r="L112" s="3">
        <v>2.6958085506890002</v>
      </c>
      <c r="M112" s="3">
        <v>3.71306750072914</v>
      </c>
      <c r="N112" s="3">
        <v>5.2928205624770799</v>
      </c>
    </row>
    <row r="113" spans="1:25" x14ac:dyDescent="0.35">
      <c r="A113" s="2">
        <v>45140</v>
      </c>
      <c r="B113" s="3">
        <v>3.41082347953451</v>
      </c>
      <c r="C113" s="3">
        <v>4.15483800882763</v>
      </c>
      <c r="D113" s="3">
        <v>3.1999426746511701</v>
      </c>
      <c r="E113" s="3">
        <v>3.6836926263551799</v>
      </c>
      <c r="F113" s="3">
        <v>2.35605863505993</v>
      </c>
      <c r="G113" s="3">
        <v>3.1797666112864902</v>
      </c>
      <c r="H113" s="3">
        <v>4.3958519401711902</v>
      </c>
      <c r="I113" s="3">
        <v>0.87683005488022503</v>
      </c>
      <c r="J113" s="3">
        <v>1.5828232578891499</v>
      </c>
      <c r="K113" s="3">
        <v>3.3113503845526702</v>
      </c>
      <c r="L113" s="3">
        <v>2.70236444689797</v>
      </c>
      <c r="M113" s="3">
        <v>3.84846881305999</v>
      </c>
      <c r="N113" s="3">
        <v>5.36936196145186</v>
      </c>
    </row>
    <row r="114" spans="1:25" x14ac:dyDescent="0.35">
      <c r="A114" s="2">
        <v>45170</v>
      </c>
      <c r="B114" s="3">
        <v>3.3057300783437702</v>
      </c>
      <c r="C114" s="3">
        <v>4.1546426282075704</v>
      </c>
      <c r="D114" s="3">
        <v>3.4466674695265298</v>
      </c>
      <c r="E114" s="3">
        <v>3.71753673276881</v>
      </c>
      <c r="F114" s="3">
        <v>2.3355491772600501</v>
      </c>
      <c r="G114" s="3">
        <v>3.2453674033270001</v>
      </c>
      <c r="H114" s="3">
        <v>4.4745136710892099</v>
      </c>
      <c r="I114" s="3">
        <v>0.87420295049307895</v>
      </c>
      <c r="J114" s="3">
        <v>1.59253501745826</v>
      </c>
      <c r="K114" s="3">
        <v>3.3248910272104499</v>
      </c>
      <c r="L114" s="3">
        <v>2.88342968572098</v>
      </c>
      <c r="M114" s="3">
        <v>3.9544965256708702</v>
      </c>
      <c r="N114" s="3">
        <v>5.3873841436868402</v>
      </c>
    </row>
    <row r="115" spans="1:25" x14ac:dyDescent="0.35">
      <c r="A115" s="2">
        <v>45201</v>
      </c>
      <c r="B115" s="3">
        <v>3.4337551226368199</v>
      </c>
      <c r="C115" s="3">
        <v>4.3214885803508603</v>
      </c>
      <c r="D115" s="3">
        <v>3.7026233009243499</v>
      </c>
      <c r="E115" s="3">
        <v>3.8931130825352298</v>
      </c>
      <c r="F115" s="3">
        <v>2.3994323753003202</v>
      </c>
      <c r="G115" s="3">
        <v>3.39177770540251</v>
      </c>
      <c r="H115" s="3">
        <v>4.5339792819244202</v>
      </c>
      <c r="I115" s="3">
        <v>0.93842350348343595</v>
      </c>
      <c r="J115" s="3">
        <v>1.6894245565285899</v>
      </c>
      <c r="K115" s="3">
        <v>3.4580002702343302</v>
      </c>
      <c r="L115" s="3">
        <v>3.0614609395497698</v>
      </c>
      <c r="M115" s="3">
        <v>4.0390790075542702</v>
      </c>
      <c r="N115" s="3">
        <v>5.6047616895626504</v>
      </c>
    </row>
    <row r="116" spans="1:25" x14ac:dyDescent="0.35">
      <c r="A116" s="2">
        <v>45232</v>
      </c>
      <c r="B116" s="3">
        <v>3.4894029984729098</v>
      </c>
      <c r="C116" s="3">
        <v>4.43720329311373</v>
      </c>
      <c r="D116" s="3">
        <v>3.6483288642161602</v>
      </c>
      <c r="E116" s="3">
        <v>3.9472698045964099</v>
      </c>
      <c r="F116" s="3">
        <v>2.4098181182504201</v>
      </c>
      <c r="G116" s="3">
        <v>3.4708137106914001</v>
      </c>
      <c r="H116" s="3">
        <v>4.5740591824703003</v>
      </c>
      <c r="I116" s="3">
        <v>0.93888274150733397</v>
      </c>
      <c r="J116" s="3">
        <v>1.6842531211430001</v>
      </c>
      <c r="K116" s="3">
        <v>3.4585243467547802</v>
      </c>
      <c r="L116" s="3">
        <v>3.0176669529289102</v>
      </c>
      <c r="M116" s="3">
        <v>3.9053438345226898</v>
      </c>
      <c r="N116" s="3">
        <v>5.5677945119815897</v>
      </c>
    </row>
    <row r="117" spans="1:25" x14ac:dyDescent="0.35">
      <c r="A117" s="2">
        <v>45261</v>
      </c>
      <c r="B117" s="3">
        <v>3.10567909452213</v>
      </c>
      <c r="C117" s="3">
        <v>4.2906480702969398</v>
      </c>
      <c r="D117" s="3">
        <v>3.4395963782969901</v>
      </c>
      <c r="E117" s="3">
        <v>3.6181587689138301</v>
      </c>
      <c r="F117" s="3">
        <v>2.3846634794877399</v>
      </c>
      <c r="G117" s="3">
        <v>3.3647868004724</v>
      </c>
      <c r="H117" s="3">
        <v>4.4109398101997899</v>
      </c>
      <c r="I117" s="3">
        <v>0.88476173795757795</v>
      </c>
      <c r="J117" s="3">
        <v>1.58686801083778</v>
      </c>
      <c r="K117" s="3">
        <v>3.3221792568750299</v>
      </c>
      <c r="L117" s="3">
        <v>2.8017672651800098</v>
      </c>
      <c r="M117" s="3">
        <v>3.1435520151650098</v>
      </c>
      <c r="N117" s="3">
        <v>5.4535548821951201</v>
      </c>
    </row>
    <row r="118" spans="1:25" x14ac:dyDescent="0.35">
      <c r="A118" s="2">
        <v>45293</v>
      </c>
      <c r="B118" s="3">
        <v>2.97117772883368</v>
      </c>
      <c r="C118" s="3">
        <v>3.9651327990787402</v>
      </c>
      <c r="D118" s="3">
        <v>3.3709723936723099</v>
      </c>
      <c r="E118" s="3">
        <v>3.5597987379802798</v>
      </c>
      <c r="F118" s="3">
        <v>2.4336051591939798</v>
      </c>
      <c r="G118" s="3">
        <v>3.2903392705563199</v>
      </c>
      <c r="H118" s="3">
        <v>4.2893664971335497</v>
      </c>
      <c r="I118" s="3">
        <v>0.93552128976586901</v>
      </c>
      <c r="J118" s="3">
        <v>1.5530006845934601</v>
      </c>
      <c r="K118" s="3">
        <v>3.2434422681825099</v>
      </c>
      <c r="L118" s="3">
        <v>2.7132295511743898</v>
      </c>
      <c r="M118" s="3">
        <v>2.9281283151617101</v>
      </c>
      <c r="N118" s="3">
        <v>5.4499265177245899</v>
      </c>
    </row>
    <row r="119" spans="1:25" x14ac:dyDescent="0.35">
      <c r="A119" s="2">
        <v>45324</v>
      </c>
      <c r="B119" s="3">
        <v>2.9801678058251402</v>
      </c>
      <c r="C119" s="3">
        <v>3.9590217454451002</v>
      </c>
      <c r="D119" s="3">
        <v>3.32573525324996</v>
      </c>
      <c r="E119" s="3">
        <v>3.5332605997216202</v>
      </c>
      <c r="F119" s="3">
        <v>2.2780023338949</v>
      </c>
      <c r="G119" s="3">
        <v>3.31210706716262</v>
      </c>
      <c r="H119" s="3">
        <v>4.3020761296645702</v>
      </c>
      <c r="I119" s="3">
        <v>0.89479598732351295</v>
      </c>
      <c r="J119" s="3">
        <v>1.50261284795621</v>
      </c>
      <c r="K119" s="3">
        <v>3.2079737483079098</v>
      </c>
      <c r="L119" s="3">
        <v>2.5530473756658298</v>
      </c>
      <c r="M119" s="3">
        <v>3.3137557265233402</v>
      </c>
      <c r="N119" s="3">
        <v>5.3782130191392401</v>
      </c>
    </row>
    <row r="120" spans="1:25" x14ac:dyDescent="0.35">
      <c r="A120" s="2">
        <v>45352</v>
      </c>
      <c r="B120" s="3">
        <v>2.7622365120311598</v>
      </c>
      <c r="C120" s="3">
        <v>3.95046016704912</v>
      </c>
      <c r="D120" s="3">
        <v>3.2240568001388898</v>
      </c>
      <c r="E120" s="3">
        <v>3.45238990658126</v>
      </c>
      <c r="F120" s="3">
        <v>2.14988039373157</v>
      </c>
      <c r="G120" s="3">
        <v>3.2953166900916302</v>
      </c>
      <c r="H120" s="3">
        <v>4.1556279722504996</v>
      </c>
      <c r="I120" s="3">
        <v>0.87011781930438803</v>
      </c>
      <c r="J120" s="3">
        <v>1.4615474319810999</v>
      </c>
      <c r="K120" s="3">
        <v>3.1285975280741698</v>
      </c>
      <c r="L120" s="3">
        <v>2.5825299563903399</v>
      </c>
      <c r="M120" s="3">
        <v>3.2804579119965198</v>
      </c>
      <c r="N120" s="3">
        <v>5.2725562895393896</v>
      </c>
    </row>
    <row r="121" spans="1:25" x14ac:dyDescent="0.35">
      <c r="A121" s="2">
        <v>45384</v>
      </c>
      <c r="B121" s="3">
        <v>2.7364841182936899</v>
      </c>
      <c r="C121" s="3">
        <v>3.9030786921562499</v>
      </c>
      <c r="D121" s="3">
        <v>3.1112345323942701</v>
      </c>
      <c r="E121" s="3">
        <v>3.2824756772502699</v>
      </c>
      <c r="F121" s="3">
        <v>2.19128674303728</v>
      </c>
      <c r="G121" s="3">
        <v>3.3047492658644702</v>
      </c>
      <c r="H121" s="3">
        <v>4.0372455209580496</v>
      </c>
      <c r="I121" s="3">
        <v>0.89053066125721303</v>
      </c>
      <c r="J121" s="3">
        <v>1.44185002877924</v>
      </c>
      <c r="K121" s="3">
        <v>3.0828204003695099</v>
      </c>
      <c r="L121" s="3">
        <v>2.54054526765088</v>
      </c>
      <c r="M121" s="3">
        <v>3.23831383312897</v>
      </c>
      <c r="N121" s="3">
        <v>5.1474053048309703</v>
      </c>
    </row>
    <row r="122" spans="1:25" x14ac:dyDescent="0.35">
      <c r="A122" s="2">
        <v>45411</v>
      </c>
      <c r="B122" s="3">
        <v>2.75033600678367</v>
      </c>
      <c r="C122" s="3">
        <v>4.0179260439734499</v>
      </c>
      <c r="D122" s="3">
        <v>3.14188973242987</v>
      </c>
      <c r="E122" s="3">
        <v>3.3522311080048399</v>
      </c>
      <c r="F122" s="3">
        <v>2.2497412507124999</v>
      </c>
      <c r="G122" s="3">
        <v>3.3808681570418901</v>
      </c>
      <c r="H122" s="3">
        <v>3.9211257468613399</v>
      </c>
      <c r="I122" s="3">
        <v>0.95107949991492902</v>
      </c>
      <c r="J122" s="3">
        <v>1.5171921876752901</v>
      </c>
      <c r="K122" s="3">
        <v>3.1217976945403798</v>
      </c>
      <c r="L122" s="3">
        <v>2.5912732697575098</v>
      </c>
      <c r="M122" s="3">
        <v>3.2537793894566098</v>
      </c>
      <c r="N122" s="3">
        <v>5.3077804874694703</v>
      </c>
    </row>
    <row r="125" spans="1:25" x14ac:dyDescent="0.35">
      <c r="A125" s="2" t="s">
        <v>91</v>
      </c>
      <c r="B125" s="3" cm="1">
        <f t="array" ref="B125">MIN(_xlfn._xlws.FILTER(B1:B122, ISNUMBER(B1:B122)))</f>
        <v>2.36485177861648</v>
      </c>
      <c r="C125" s="3" cm="1">
        <f t="array" ref="C125">MIN(_xlfn._xlws.FILTER(C1:C122, ISNUMBER(C1:C122)))</f>
        <v>3.3886707717089299</v>
      </c>
      <c r="D125" s="3" cm="1">
        <f t="array" ref="D125">MIN(_xlfn._xlws.FILTER(D1:D122, ISNUMBER(D1:D122)))</f>
        <v>2.60765425493801</v>
      </c>
      <c r="E125" s="3" cm="1">
        <f t="array" ref="E125">MIN(_xlfn._xlws.FILTER(E1:E122, ISNUMBER(E1:E122)))</f>
        <v>2.6897686403498202</v>
      </c>
      <c r="F125" s="3" cm="1">
        <f t="array" ref="F125">MIN(_xlfn._xlws.FILTER(F1:F122, ISNUMBER(F1:F122)))</f>
        <v>1.84196235105864</v>
      </c>
      <c r="G125" s="3" cm="1">
        <f t="array" ref="G125">MIN(_xlfn._xlws.FILTER(G1:G122, ISNUMBER(G1:G122)))</f>
        <v>2.5276605735921902</v>
      </c>
      <c r="H125" s="3" cm="1">
        <f t="array" ref="H125">MIN(_xlfn._xlws.FILTER(H1:H122, ISNUMBER(H1:H122)))</f>
        <v>3.7769027204778101</v>
      </c>
      <c r="I125" s="3" cm="1">
        <f t="array" ref="I125">MIN(_xlfn._xlws.FILTER(I1:I122, ISNUMBER(I1:I122)))</f>
        <v>0.66798362760113095</v>
      </c>
      <c r="J125" s="3" cm="1">
        <f t="array" ref="J125">MIN(_xlfn._xlws.FILTER(J1:J122, ISNUMBER(J1:J122)))</f>
        <v>1.35459202448055</v>
      </c>
      <c r="K125" s="3" cm="1">
        <f t="array" ref="K125">MIN(_xlfn._xlws.FILTER(K1:K122, ISNUMBER(K1:K122)))</f>
        <v>2.6599826919239602</v>
      </c>
      <c r="L125" s="3" cm="1">
        <f t="array" ref="L125">MIN(_xlfn._xlws.FILTER(L1:L122, ISNUMBER(L1:L122)))</f>
        <v>1.82642988263283</v>
      </c>
      <c r="M125" s="3" cm="1">
        <f t="array" ref="M125">MIN(_xlfn._xlws.FILTER(M1:M122, ISNUMBER(M1:M122)))</f>
        <v>2.6759636286868602</v>
      </c>
      <c r="N125" s="3" cm="1">
        <f t="array" ref="N125">MIN(_xlfn._xlws.FILTER(N1:N122, ISNUMBER(N1:N122)))</f>
        <v>3.1165728231883199</v>
      </c>
    </row>
    <row r="126" spans="1:25" x14ac:dyDescent="0.35">
      <c r="A126" s="2" t="s">
        <v>92</v>
      </c>
      <c r="B126" s="3" cm="1">
        <f t="array" ref="B126">MAX(_xlfn._xlws.FILTER(B1:B122, ISNUMBER(B1:B122)))</f>
        <v>5.2983767660273404</v>
      </c>
      <c r="C126" s="3" cm="1">
        <f t="array" ref="C126">MAX(_xlfn._xlws.FILTER(C1:C122, ISNUMBER(C1:C122)))</f>
        <v>5.4559668493693101</v>
      </c>
      <c r="D126" s="3" cm="1">
        <f t="array" ref="D126">MAX(_xlfn._xlws.FILTER(D1:D122, ISNUMBER(D1:D122)))</f>
        <v>4.3924358572964604</v>
      </c>
      <c r="E126" s="3" cm="1">
        <f t="array" ref="E126">MAX(_xlfn._xlws.FILTER(E1:E122, ISNUMBER(E1:E122)))</f>
        <v>4.4846100059377303</v>
      </c>
      <c r="F126" s="3" cm="1">
        <f t="array" ref="F126">MAX(_xlfn._xlws.FILTER(F1:F122, ISNUMBER(F1:F122)))</f>
        <v>3.1371875429740701</v>
      </c>
      <c r="G126" s="3" cm="1">
        <f t="array" ref="G126">MAX(_xlfn._xlws.FILTER(G1:G122, ISNUMBER(G1:G122)))</f>
        <v>3.7163069981916199</v>
      </c>
      <c r="H126" s="3" cm="1">
        <f t="array" ref="H126">MAX(_xlfn._xlws.FILTER(H1:H122, ISNUMBER(H1:H122)))</f>
        <v>6.2920510800605598</v>
      </c>
      <c r="I126" s="3" cm="1">
        <f t="array" ref="I126">MAX(_xlfn._xlws.FILTER(I1:I122, ISNUMBER(I1:I122)))</f>
        <v>1.3880045537955299</v>
      </c>
      <c r="J126" s="3" cm="1">
        <f t="array" ref="J126">MAX(_xlfn._xlws.FILTER(J1:J122, ISNUMBER(J1:J122)))</f>
        <v>2.4847283913593898</v>
      </c>
      <c r="K126" s="3" cm="1">
        <f t="array" ref="K126">MAX(_xlfn._xlws.FILTER(K1:K122, ISNUMBER(K1:K122)))</f>
        <v>4.4295088480780898</v>
      </c>
      <c r="L126" s="3" cm="1">
        <f t="array" ref="L126">MAX(_xlfn._xlws.FILTER(L1:L122, ISNUMBER(L1:L122)))</f>
        <v>3.7930401273864298</v>
      </c>
      <c r="M126" s="3" cm="1">
        <f t="array" ref="M126">MAX(_xlfn._xlws.FILTER(M1:M122, ISNUMBER(M1:M122)))</f>
        <v>4.7520282021765103</v>
      </c>
      <c r="N126" s="3" cm="1">
        <f t="array" ref="N126">MAX(_xlfn._xlws.FILTER(N1:N122, ISNUMBER(N1:N122)))</f>
        <v>6.1945506712516201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0.17199999999999999</v>
      </c>
      <c r="C128" s="9" cm="1">
        <f t="array" ref="C128">_xlfn.PERCENTRANK.EXC(_xlfn._xlws.FILTER(C1:C122, ISNUMBER(C1:C122)),C122)</f>
        <v>0.16300000000000001</v>
      </c>
      <c r="D128" s="9" cm="1">
        <f t="array" ref="D128">_xlfn.PERCENTRANK.EXC(_xlfn._xlws.FILTER(D1:D122, ISNUMBER(D1:D122)),D122)</f>
        <v>0.50800000000000001</v>
      </c>
      <c r="E128" s="9" cm="1">
        <f t="array" ref="E128">_xlfn.PERCENTRANK.EXC(_xlfn._xlws.FILTER(E1:E122, ISNUMBER(E1:E122)),E122)</f>
        <v>0.63100000000000001</v>
      </c>
      <c r="F128" s="9" cm="1">
        <f t="array" ref="F128">_xlfn.PERCENTRANK.EXC(_xlfn._xlws.FILTER(F1:F122, ISNUMBER(F1:F122)),F122)</f>
        <v>0.434</v>
      </c>
      <c r="G128" s="9" cm="1">
        <f t="array" ref="G128">_xlfn.PERCENTRANK.EXC(_xlfn._xlws.FILTER(G1:G122, ISNUMBER(G1:G122)),G122)</f>
        <v>0.72099999999999997</v>
      </c>
      <c r="H128" s="9" cm="1">
        <f t="array" ref="H128">_xlfn.PERCENTRANK.EXC(_xlfn._xlws.FILTER(H1:H122, ISNUMBER(H1:H122)),H122)</f>
        <v>0.09</v>
      </c>
      <c r="I128" s="9" cm="1">
        <f t="array" ref="I128">_xlfn.PERCENTRANK.EXC(_xlfn._xlws.FILTER(I1:I122, ISNUMBER(I1:I122)),I122)</f>
        <v>0.33600000000000002</v>
      </c>
      <c r="J128" s="9" cm="1">
        <f t="array" ref="J128">_xlfn.PERCENTRANK.EXC(_xlfn._xlws.FILTER(J1:J122, ISNUMBER(J1:J122)),J122)</f>
        <v>0.13900000000000001</v>
      </c>
      <c r="K128" s="9" cm="1">
        <f t="array" ref="K128">_xlfn.PERCENTRANK.EXC(_xlfn._xlws.FILTER(K1:K122, ISNUMBER(K1:K122)),K122)</f>
        <v>0.17199999999999999</v>
      </c>
      <c r="L128" s="9" cm="1">
        <f t="array" ref="L128">_xlfn.PERCENTRANK.EXC(_xlfn._xlws.FILTER(L1:L122, ISNUMBER(L1:L122)),L122)</f>
        <v>0.254</v>
      </c>
      <c r="M128" s="9" cm="1">
        <f t="array" ref="M128">_xlfn.PERCENTRANK.EXC(_xlfn._xlws.FILTER(M1:M122, ISNUMBER(M1:M122)),M122)</f>
        <v>0.221</v>
      </c>
      <c r="N128" s="9" cm="1">
        <f t="array" ref="N128">_xlfn.PERCENTRANK.EXC(_xlfn._xlws.FILTER(N1:N122, ISNUMBER(N1:N122)),N122)</f>
        <v>0.82699999999999996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41761</v>
      </c>
      <c r="B2" s="24" cm="1">
        <f t="array" ref="B2:B122">_xll.FDS(B1,"FG_TOTAL_RETURNC(-10AY,0,AM)")/100</f>
        <v>3.6721110000000001E-2</v>
      </c>
      <c r="C2" s="24" cm="1">
        <f t="array" ref="C2:C122">_xll.FDS(C1,"FG_TOTAL_RETURNC(-10AY,0,AM)")/100</f>
        <v>1.3112186999999999E-2</v>
      </c>
      <c r="D2" s="24" cm="1">
        <f t="array" ref="D2:D122">_xll.FDS(D1,"FG_TOTAL_RETURNC(-10AY,0,AM)")/100</f>
        <v>2.6474476E-2</v>
      </c>
      <c r="E2" s="24" cm="1">
        <f t="array" ref="E2:E122">_xll.FDS(E1,"FG_TOTAL_RETURNC(-10AY,0,AM)")/100</f>
        <v>-2.8526186999999997E-3</v>
      </c>
      <c r="F2" s="24" cm="1">
        <f t="array" ref="F2:F122">_xll.FDS(F1,"FG_TOTAL_RETURNC(-10AY,0,AM)")/100</f>
        <v>-2.2687613999999998E-2</v>
      </c>
      <c r="G2" s="24" cm="1">
        <f t="array" ref="G2:G122">_xll.FDS(G1,"FG_TOTAL_RETURNC(-10AY,0,AM)")/100</f>
        <v>1.4207005999999999E-2</v>
      </c>
      <c r="H2" s="24" cm="1">
        <f t="array" ref="H2:H122">_xll.FDS(H1,"FG_TOTAL_RETURNC(-10AY,0,AM)")/100</f>
        <v>4.2974470000000001E-2</v>
      </c>
      <c r="I2" s="24" cm="1">
        <f t="array" ref="I2:I122">_xll.FDS(I1,"FG_TOTAL_RETURNC(-10AY,0,AM)")/100</f>
        <v>-2.1802366000000004E-2</v>
      </c>
      <c r="J2" s="24" cm="1">
        <f t="array" ref="J2:J122">_xll.FDS(J1,"FG_TOTAL_RETURNC(-10AY,0,AM)")/100</f>
        <v>-4.3414235000000002E-3</v>
      </c>
      <c r="K2" s="24" cm="1">
        <f t="array" ref="K2:K122">_xll.FDS(K1,"FG_TOTAL_RETURNC(-10AY,0,AM)")/100</f>
        <v>1.7323375000000002E-2</v>
      </c>
      <c r="L2" s="24" cm="1">
        <f t="array" ref="L2:L122">_xll.FDS(L1,"FG_TOTAL_RETURNC(-10AY,0,AM)")/100</f>
        <v>-2.7767240000000002E-2</v>
      </c>
      <c r="M2" s="24" cm="1">
        <f t="array" ref="M2:M122">_xll.FDS(M1,"FG_TOTAL_RETURNC(-10AY,0,AM)")/100</f>
        <v>-1.9000769E-3</v>
      </c>
      <c r="N2" s="24" cm="1">
        <f t="array" ref="N2:N122">_xll.FDS(N1,"FG_TOTAL_RETURNC(-10AY,0,AM)")/100</f>
        <v>1.4689206999999999E-2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41792</v>
      </c>
      <c r="B3" s="24">
        <v>-4.1361929999999998E-2</v>
      </c>
      <c r="C3" s="24">
        <v>1.0277867000000001E-2</v>
      </c>
      <c r="D3" s="24">
        <v>1.3059377999999999E-3</v>
      </c>
      <c r="E3" s="24">
        <v>2.0025491999999999E-2</v>
      </c>
      <c r="F3" s="24">
        <v>4.6428560000000001E-2</v>
      </c>
      <c r="G3" s="24">
        <v>6.00338E-3</v>
      </c>
      <c r="H3" s="24">
        <v>6.4814090000000005E-3</v>
      </c>
      <c r="I3" s="24">
        <v>4.2633533000000001E-2</v>
      </c>
      <c r="J3" s="24">
        <v>2.5709867000000001E-2</v>
      </c>
      <c r="K3" s="24">
        <v>7.0116520000000002E-3</v>
      </c>
      <c r="L3" s="24">
        <v>1.3302088E-2</v>
      </c>
      <c r="M3" s="24">
        <v>3.535509E-3</v>
      </c>
      <c r="N3" s="24">
        <v>-8.3518624E-3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41822</v>
      </c>
      <c r="B4" s="24">
        <v>3.0346989999999997E-2</v>
      </c>
      <c r="C4" s="24">
        <v>1.3528705E-2</v>
      </c>
      <c r="D4" s="24">
        <v>6.3914894999999999E-2</v>
      </c>
      <c r="E4" s="24">
        <v>-1.4449358000000001E-3</v>
      </c>
      <c r="F4" s="24">
        <v>4.9798370000000002E-2</v>
      </c>
      <c r="G4" s="24">
        <v>3.3590794000000002E-3</v>
      </c>
      <c r="H4" s="24">
        <v>2.2158026999999997E-2</v>
      </c>
      <c r="I4" s="24">
        <v>4.5333860000000004E-2</v>
      </c>
      <c r="J4" s="24">
        <v>2.7361274000000001E-2</v>
      </c>
      <c r="K4" s="24">
        <v>-1.0546565000000001E-2</v>
      </c>
      <c r="L4" s="24">
        <v>1.287365E-2</v>
      </c>
      <c r="M4" s="24">
        <v>-8.4430575000000001E-3</v>
      </c>
      <c r="N4" s="24">
        <v>7.1752070000000003E-3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41852</v>
      </c>
      <c r="B5" s="24">
        <v>-4.6442449999999996E-2</v>
      </c>
      <c r="C5" s="24">
        <v>-3.0188559999999999E-3</v>
      </c>
      <c r="D5" s="24">
        <v>-1.6671777000000002E-2</v>
      </c>
      <c r="E5" s="24">
        <v>-8.7233359999999996E-2</v>
      </c>
      <c r="F5" s="24">
        <v>-1.8821657000000002E-2</v>
      </c>
      <c r="G5" s="24">
        <v>-5.4613886E-2</v>
      </c>
      <c r="H5" s="24">
        <v>-4.5325813000000006E-2</v>
      </c>
      <c r="I5" s="24">
        <v>-4.5215487E-3</v>
      </c>
      <c r="J5" s="24">
        <v>-2.3982108000000002E-2</v>
      </c>
      <c r="K5" s="24">
        <v>-7.2870309999999994E-2</v>
      </c>
      <c r="L5" s="24">
        <v>-6.7934809999999998E-2</v>
      </c>
      <c r="M5" s="24">
        <v>-4.5825186000000004E-2</v>
      </c>
      <c r="N5" s="24">
        <v>-8.1967239999999997E-2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41884</v>
      </c>
      <c r="B6" s="24">
        <v>8.9352129999999991E-3</v>
      </c>
      <c r="C6" s="24">
        <v>2.8009057E-2</v>
      </c>
      <c r="D6" s="24">
        <v>2.7629495E-2</v>
      </c>
      <c r="E6" s="24">
        <v>1.0115027E-2</v>
      </c>
      <c r="F6" s="24">
        <v>-5.8381559999999997E-3</v>
      </c>
      <c r="G6" s="24">
        <v>3.8001776000000001E-2</v>
      </c>
      <c r="H6" s="24">
        <v>1.0385752E-2</v>
      </c>
      <c r="I6" s="24">
        <v>5.7040214999999998E-2</v>
      </c>
      <c r="J6" s="24">
        <v>4.2129874000000005E-2</v>
      </c>
      <c r="K6" s="24">
        <v>1.6605139000000001E-2</v>
      </c>
      <c r="L6" s="24">
        <v>2.8321505E-2</v>
      </c>
      <c r="M6" s="24">
        <v>-2.6517509999999999E-3</v>
      </c>
      <c r="N6" s="24">
        <v>-1.6625582999999999E-2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41914</v>
      </c>
      <c r="B7" s="24">
        <v>-4.6248493000000002E-2</v>
      </c>
      <c r="C7" s="24">
        <v>-0.11340206999999999</v>
      </c>
      <c r="D7" s="24">
        <v>-7.1799574000000005E-2</v>
      </c>
      <c r="E7" s="24">
        <v>-6.3535869999999994E-2</v>
      </c>
      <c r="F7" s="24">
        <v>-4.6979904000000003E-2</v>
      </c>
      <c r="G7" s="24">
        <v>-5.6096849999999997E-2</v>
      </c>
      <c r="H7" s="24">
        <v>-7.3910950000000003E-2</v>
      </c>
      <c r="I7" s="24">
        <v>-2.6269494999999997E-2</v>
      </c>
      <c r="J7" s="24">
        <v>-2.6521026999999999E-2</v>
      </c>
      <c r="K7" s="24">
        <v>-6.097996E-2</v>
      </c>
      <c r="L7" s="24">
        <v>-4.6172620000000004E-2</v>
      </c>
      <c r="M7" s="24">
        <v>-4.6971917000000002E-2</v>
      </c>
      <c r="N7" s="24">
        <v>-5.4477157999999998E-2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41943</v>
      </c>
      <c r="B8" s="24">
        <v>2.6048422000000002E-2</v>
      </c>
      <c r="C8" s="24">
        <v>5.6063175E-2</v>
      </c>
      <c r="D8" s="24">
        <v>-1.5141487E-2</v>
      </c>
      <c r="E8" s="24">
        <v>4.0559769999999997E-3</v>
      </c>
      <c r="F8" s="24">
        <v>6.1619760000000003E-2</v>
      </c>
      <c r="G8" s="24">
        <v>1.251173E-2</v>
      </c>
      <c r="H8" s="24">
        <v>4.7569274999999999E-3</v>
      </c>
      <c r="I8" s="24">
        <v>4.3102620000000001E-2</v>
      </c>
      <c r="J8" s="24">
        <v>3.745246E-2</v>
      </c>
      <c r="K8" s="24">
        <v>-1.2369573E-2</v>
      </c>
      <c r="L8" s="24">
        <v>8.9215040000000002E-3</v>
      </c>
      <c r="M8" s="24">
        <v>2.0458816999999997E-2</v>
      </c>
      <c r="N8" s="24">
        <v>-1.3245106E-2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41975</v>
      </c>
      <c r="B9" s="24">
        <v>7.0413349999999993E-3</v>
      </c>
      <c r="C9" s="24">
        <v>-8.0613499999999991E-2</v>
      </c>
      <c r="D9" s="24">
        <v>-7.0187449999999998E-3</v>
      </c>
      <c r="E9" s="24">
        <v>5.3066490000000001E-2</v>
      </c>
      <c r="F9" s="24">
        <v>-2.3631929999999999E-2</v>
      </c>
      <c r="G9" s="24">
        <v>2.1625041999999997E-2</v>
      </c>
      <c r="H9" s="24">
        <v>8.4166527000000008E-3</v>
      </c>
      <c r="I9" s="24">
        <v>3.7771224999999999E-2</v>
      </c>
      <c r="J9" s="24">
        <v>2.6901722000000003E-2</v>
      </c>
      <c r="K9" s="24">
        <v>2.7397274999999999E-2</v>
      </c>
      <c r="L9" s="24">
        <v>4.9658895000000002E-2</v>
      </c>
      <c r="M9" s="24">
        <v>6.8348646000000006E-3</v>
      </c>
      <c r="N9" s="24">
        <v>-1.0738254000000001E-2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42006</v>
      </c>
      <c r="B10" s="24">
        <v>1.7017602999999999E-2</v>
      </c>
      <c r="C10" s="24">
        <v>-2.4032176000000002E-2</v>
      </c>
      <c r="D10" s="24">
        <v>-2.0996749999999998E-2</v>
      </c>
      <c r="E10" s="24">
        <v>-4.8648596000000002E-2</v>
      </c>
      <c r="F10" s="24">
        <v>-3.8109302999999997E-2</v>
      </c>
      <c r="G10" s="24">
        <v>-4.6567860000000003E-2</v>
      </c>
      <c r="H10" s="24">
        <v>-4.9947142999999999E-2</v>
      </c>
      <c r="I10" s="24">
        <v>-1.8134594E-2</v>
      </c>
      <c r="J10" s="24">
        <v>-2.5404095999999998E-3</v>
      </c>
      <c r="K10" s="24">
        <v>-5.7607173999999997E-2</v>
      </c>
      <c r="L10" s="24">
        <v>-4.2445364000000006E-2</v>
      </c>
      <c r="M10" s="24">
        <v>-4.3867349999999999E-2</v>
      </c>
      <c r="N10" s="24">
        <v>-6.8878769999999992E-2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42037</v>
      </c>
      <c r="B11" s="24">
        <v>-2.3971736E-2</v>
      </c>
      <c r="C11" s="24">
        <v>1.2217164000000001E-2</v>
      </c>
      <c r="D11" s="24">
        <v>-5.4025829999999997E-2</v>
      </c>
      <c r="E11" s="24">
        <v>5.0953030000000003E-2</v>
      </c>
      <c r="F11" s="24">
        <v>3.1083465000000001E-2</v>
      </c>
      <c r="G11" s="24">
        <v>1.5223503000000001E-2</v>
      </c>
      <c r="H11" s="24">
        <v>1.9037008000000001E-2</v>
      </c>
      <c r="I11" s="24">
        <v>-9.3258022999999999E-3</v>
      </c>
      <c r="J11" s="24">
        <v>-1.7086088999999999E-2</v>
      </c>
      <c r="K11" s="24">
        <v>3.2626389999999998E-2</v>
      </c>
      <c r="L11" s="24">
        <v>1.4075637E-2</v>
      </c>
      <c r="M11" s="24">
        <v>3.5918713000000005E-2</v>
      </c>
      <c r="N11" s="24">
        <v>1.6874552000000001E-2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42065</v>
      </c>
      <c r="B12" s="24">
        <v>6.0496330000000001E-2</v>
      </c>
      <c r="C12" s="24">
        <v>5.9454680000000003E-2</v>
      </c>
      <c r="D12" s="24">
        <v>3.2792926E-2</v>
      </c>
      <c r="E12" s="24">
        <v>4.011166E-2</v>
      </c>
      <c r="F12" s="24">
        <v>6.6322207000000008E-2</v>
      </c>
      <c r="G12" s="24">
        <v>4.0612459999999996E-2</v>
      </c>
      <c r="H12" s="24">
        <v>5.1098824000000001E-2</v>
      </c>
      <c r="I12" s="24">
        <v>7.2563169999999996E-2</v>
      </c>
      <c r="J12" s="24">
        <v>4.9871325000000001E-2</v>
      </c>
      <c r="K12" s="24">
        <v>4.6603440000000003E-2</v>
      </c>
      <c r="L12" s="24">
        <v>7.064426E-2</v>
      </c>
      <c r="M12" s="24">
        <v>6.4130069999999997E-2</v>
      </c>
      <c r="N12" s="24">
        <v>7.7200649999999996E-2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42096</v>
      </c>
      <c r="B13" s="24">
        <v>-1.8771349999999999E-2</v>
      </c>
      <c r="C13" s="24">
        <v>-3.0379771999999999E-2</v>
      </c>
      <c r="D13" s="24">
        <v>-1.4270484000000002E-2</v>
      </c>
      <c r="E13" s="24">
        <v>1.7102599E-2</v>
      </c>
      <c r="F13" s="24">
        <v>2.5040388E-2</v>
      </c>
      <c r="G13" s="24">
        <v>1.5010476E-2</v>
      </c>
      <c r="H13" s="24">
        <v>-4.7569274999999994E-2</v>
      </c>
      <c r="I13" s="24">
        <v>-3.6750138000000002E-2</v>
      </c>
      <c r="J13" s="24">
        <v>-2.1896243000000003E-2</v>
      </c>
      <c r="K13" s="24">
        <v>2.2641420000000002E-3</v>
      </c>
      <c r="L13" s="24">
        <v>2.708912E-3</v>
      </c>
      <c r="M13" s="24">
        <v>-2.6816607000000003E-2</v>
      </c>
      <c r="N13" s="24">
        <v>1.1386514E-2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42125</v>
      </c>
      <c r="B14" s="24">
        <v>3.2298565000000003E-3</v>
      </c>
      <c r="C14" s="24">
        <v>2.0452618999999998E-2</v>
      </c>
      <c r="D14" s="24">
        <v>5.4650784000000001E-2</v>
      </c>
      <c r="E14" s="24">
        <v>-1.0880291E-2</v>
      </c>
      <c r="F14" s="24">
        <v>2.6004790999999999E-2</v>
      </c>
      <c r="G14" s="24">
        <v>3.6379695000000004E-2</v>
      </c>
      <c r="H14" s="24">
        <v>5.4884789999999996E-2</v>
      </c>
      <c r="I14" s="24">
        <v>3.7385821E-2</v>
      </c>
      <c r="J14" s="24">
        <v>2.0757197999999998E-2</v>
      </c>
      <c r="K14" s="24">
        <v>3.5768150999999998E-2</v>
      </c>
      <c r="L14" s="24">
        <v>1.8139719999999998E-2</v>
      </c>
      <c r="M14" s="24">
        <v>1.2740731E-2</v>
      </c>
      <c r="N14" s="24">
        <v>2.6490092E-2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42157</v>
      </c>
      <c r="B15" s="24">
        <v>-4.1852474000000001E-2</v>
      </c>
      <c r="C15" s="24">
        <v>-4.221755E-2</v>
      </c>
      <c r="D15" s="24">
        <v>-3.9807795999999999E-2</v>
      </c>
      <c r="E15" s="24">
        <v>-2.3999990000000002E-2</v>
      </c>
      <c r="F15" s="24">
        <v>4.6082735000000001E-3</v>
      </c>
      <c r="G15" s="24">
        <v>8.5616110000000002E-3</v>
      </c>
      <c r="H15" s="24">
        <v>-5.2028893999999997E-4</v>
      </c>
      <c r="I15" s="24">
        <v>9.3535184999999996E-3</v>
      </c>
      <c r="J15" s="24">
        <v>3.0372143E-3</v>
      </c>
      <c r="K15" s="24">
        <v>-9.451091E-3</v>
      </c>
      <c r="L15" s="24">
        <v>4.1698216999999996E-3</v>
      </c>
      <c r="M15" s="24">
        <v>6.1439275999999998E-3</v>
      </c>
      <c r="N15" s="24">
        <v>1.8709659999999999E-2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42187</v>
      </c>
      <c r="B16" s="24">
        <v>-7.4088390000000004E-2</v>
      </c>
      <c r="C16" s="24">
        <v>-2.4560749999999999E-2</v>
      </c>
      <c r="D16" s="24">
        <v>-3.8400829999999997E-2</v>
      </c>
      <c r="E16" s="24">
        <v>-2.6077569000000002E-2</v>
      </c>
      <c r="F16" s="24">
        <v>-8.7857245999999993E-3</v>
      </c>
      <c r="G16" s="24">
        <v>-3.9275825E-2</v>
      </c>
      <c r="H16" s="24">
        <v>-2.5768935999999999E-2</v>
      </c>
      <c r="I16" s="24">
        <v>-1.6992211E-2</v>
      </c>
      <c r="J16" s="24">
        <v>-1.4369011000000001E-2</v>
      </c>
      <c r="K16" s="24">
        <v>-3.7566066000000002E-2</v>
      </c>
      <c r="L16" s="24">
        <v>-1.7630577000000001E-2</v>
      </c>
      <c r="M16" s="24">
        <v>-4.6089230000000002E-2</v>
      </c>
      <c r="N16" s="24">
        <v>-3.4584342999999997E-2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42216</v>
      </c>
      <c r="B17" s="24">
        <v>-1.7181635000000002E-3</v>
      </c>
      <c r="C17" s="24">
        <v>-2.1972835000000003E-2</v>
      </c>
      <c r="D17" s="24">
        <v>-4.3071213000000004E-2</v>
      </c>
      <c r="E17" s="24">
        <v>1.0702848000000001E-2</v>
      </c>
      <c r="F17" s="24">
        <v>2.3256539999999999E-3</v>
      </c>
      <c r="G17" s="24">
        <v>2.8347372999999999E-2</v>
      </c>
      <c r="H17" s="24">
        <v>8.7052584000000006E-3</v>
      </c>
      <c r="I17" s="24">
        <v>3.7054179999999999E-2</v>
      </c>
      <c r="J17" s="24">
        <v>1.5387653999999999E-2</v>
      </c>
      <c r="K17" s="24">
        <v>3.8386940000000001E-2</v>
      </c>
      <c r="L17" s="24">
        <v>3.0326605E-2</v>
      </c>
      <c r="M17" s="24">
        <v>1.1044502000000001E-2</v>
      </c>
      <c r="N17" s="24">
        <v>3.3377886000000002E-2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42249</v>
      </c>
      <c r="B18" s="24">
        <v>-8.9787719999999988E-2</v>
      </c>
      <c r="C18" s="24">
        <v>-0.13049709000000001</v>
      </c>
      <c r="D18" s="24">
        <v>-7.8277884000000006E-2</v>
      </c>
      <c r="E18" s="24">
        <v>-8.0480099999999999E-2</v>
      </c>
      <c r="F18" s="24">
        <v>-8.8940509999999987E-2</v>
      </c>
      <c r="G18" s="24">
        <v>-8.2697870000000007E-2</v>
      </c>
      <c r="H18" s="24">
        <v>-9.76268E-2</v>
      </c>
      <c r="I18" s="24">
        <v>-7.1907043000000004E-2</v>
      </c>
      <c r="J18" s="24">
        <v>-7.1686449999999999E-2</v>
      </c>
      <c r="K18" s="24">
        <v>-7.580286E-2</v>
      </c>
      <c r="L18" s="24">
        <v>-9.0943389999999999E-2</v>
      </c>
      <c r="M18" s="24">
        <v>-6.3982544000000002E-2</v>
      </c>
      <c r="N18" s="24">
        <v>-5.4909524999999994E-2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42279</v>
      </c>
      <c r="B19" s="24">
        <v>1.7018676E-2</v>
      </c>
      <c r="C19" s="24">
        <v>3.298521E-3</v>
      </c>
      <c r="D19" s="24">
        <v>-8.4925293999999988E-3</v>
      </c>
      <c r="E19" s="24">
        <v>-4.5681356999999999E-2</v>
      </c>
      <c r="F19" s="24">
        <v>-1.1035680999999999E-2</v>
      </c>
      <c r="G19" s="24">
        <v>-9.2711449999999997E-3</v>
      </c>
      <c r="H19" s="24">
        <v>9.5636845000000009E-3</v>
      </c>
      <c r="I19" s="24">
        <v>3.5295485999999997E-3</v>
      </c>
      <c r="J19" s="24">
        <v>3.1782389999999998E-3</v>
      </c>
      <c r="K19" s="24">
        <v>-1.050508E-2</v>
      </c>
      <c r="L19" s="24">
        <v>-1.4528870000000001E-2</v>
      </c>
      <c r="M19" s="24">
        <v>-1.9006312000000001E-2</v>
      </c>
      <c r="N19" s="24">
        <v>2.7340649999999999E-3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42310</v>
      </c>
      <c r="B20" s="24">
        <v>0.1270529</v>
      </c>
      <c r="C20" s="24">
        <v>3.3972620000000002E-2</v>
      </c>
      <c r="D20" s="24">
        <v>2.6552438999999997E-2</v>
      </c>
      <c r="E20" s="24">
        <v>0.10699916</v>
      </c>
      <c r="F20" s="24">
        <v>6.523609000000001E-2</v>
      </c>
      <c r="G20" s="24">
        <v>3.6463380000000004E-2</v>
      </c>
      <c r="H20" s="24">
        <v>4.4404984000000002E-2</v>
      </c>
      <c r="I20" s="24">
        <v>0.10191321</v>
      </c>
      <c r="J20" s="24">
        <v>7.8923106000000007E-2</v>
      </c>
      <c r="K20" s="24">
        <v>6.8191050000000003E-2</v>
      </c>
      <c r="L20" s="24">
        <v>6.9081664000000001E-2</v>
      </c>
      <c r="M20" s="24">
        <v>3.1271220000000002E-2</v>
      </c>
      <c r="N20" s="24">
        <v>1.9086598999999999E-2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42340</v>
      </c>
      <c r="B21" s="24">
        <v>-3.8493275999999998E-3</v>
      </c>
      <c r="C21" s="24">
        <v>2.9676675999999999E-2</v>
      </c>
      <c r="D21" s="24">
        <v>-2.8785943999999997E-2</v>
      </c>
      <c r="E21" s="24">
        <v>-2.5072694000000003E-2</v>
      </c>
      <c r="F21" s="24">
        <v>4.8348903999999998E-3</v>
      </c>
      <c r="G21" s="24">
        <v>-3.3623873999999998E-2</v>
      </c>
      <c r="H21" s="24">
        <v>-3.0612170000000001E-2</v>
      </c>
      <c r="I21" s="24">
        <v>-1.3960600000000002E-3</v>
      </c>
      <c r="J21" s="24">
        <v>-8.8454485000000003E-3</v>
      </c>
      <c r="K21" s="24">
        <v>-4.5871614999999998E-2</v>
      </c>
      <c r="L21" s="24">
        <v>-3.3884883000000005E-2</v>
      </c>
      <c r="M21" s="24">
        <v>-1.6479492000000002E-3</v>
      </c>
      <c r="N21" s="24">
        <v>-5.0167203E-2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42369</v>
      </c>
      <c r="B22" s="24">
        <v>5.4281949999999995E-2</v>
      </c>
      <c r="C22" s="24">
        <v>3.0611753000000003E-3</v>
      </c>
      <c r="D22" s="24">
        <v>-6.3917520000000005E-2</v>
      </c>
      <c r="E22" s="24">
        <v>-2.3853897999999998E-2</v>
      </c>
      <c r="F22" s="24">
        <v>-2.0991802E-2</v>
      </c>
      <c r="G22" s="24">
        <v>0</v>
      </c>
      <c r="H22" s="24">
        <v>-3.7293553E-2</v>
      </c>
      <c r="I22" s="24">
        <v>-1.9583642000000002E-2</v>
      </c>
      <c r="J22" s="24">
        <v>-1.6420542999999999E-2</v>
      </c>
      <c r="K22" s="24">
        <v>-2.6524842E-2</v>
      </c>
      <c r="L22" s="24">
        <v>-2.1753073000000001E-2</v>
      </c>
      <c r="M22" s="24">
        <v>-3.5790860000000001E-2</v>
      </c>
      <c r="N22" s="24">
        <v>-2.9470502999999999E-2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42402</v>
      </c>
      <c r="B23" s="24">
        <v>-6.9274306000000008E-2</v>
      </c>
      <c r="C23" s="24">
        <v>-9.7573760000000009E-2</v>
      </c>
      <c r="D23" s="24">
        <v>-5.5813969999999997E-2</v>
      </c>
      <c r="E23" s="24">
        <v>-9.5074470000000008E-2</v>
      </c>
      <c r="F23" s="24">
        <v>-6.6831645999999995E-2</v>
      </c>
      <c r="G23" s="24">
        <v>-7.8608273999999992E-2</v>
      </c>
      <c r="H23" s="24">
        <v>-7.5588584E-2</v>
      </c>
      <c r="I23" s="24">
        <v>-8.6804919999999994E-2</v>
      </c>
      <c r="J23" s="24">
        <v>-6.7248699999999995E-2</v>
      </c>
      <c r="K23" s="24">
        <v>-6.6914439999999992E-2</v>
      </c>
      <c r="L23" s="24">
        <v>-4.2785225000000003E-2</v>
      </c>
      <c r="M23" s="24">
        <v>-9.6298809999999999E-2</v>
      </c>
      <c r="N23" s="24">
        <v>-0.15793304999999999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42431</v>
      </c>
      <c r="B24" s="24">
        <v>6.2677025999999997E-2</v>
      </c>
      <c r="C24" s="24">
        <v>7.3056700000000002E-2</v>
      </c>
      <c r="D24" s="24">
        <v>9.1133000000000006E-2</v>
      </c>
      <c r="E24" s="24">
        <v>2.1940827E-2</v>
      </c>
      <c r="F24" s="24">
        <v>8.8405609999999996E-4</v>
      </c>
      <c r="G24" s="24">
        <v>2.0279764999999998E-2</v>
      </c>
      <c r="H24" s="24">
        <v>2.8150082E-2</v>
      </c>
      <c r="I24" s="24">
        <v>3.6025404999999996E-2</v>
      </c>
      <c r="J24" s="24">
        <v>4.6487093E-2</v>
      </c>
      <c r="K24" s="24">
        <v>2.9216408999999999E-2</v>
      </c>
      <c r="L24" s="24">
        <v>2.4539828E-2</v>
      </c>
      <c r="M24" s="24">
        <v>5.1952959999999999E-2</v>
      </c>
      <c r="N24" s="24">
        <v>1.8150448999999999E-2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42461</v>
      </c>
      <c r="B25" s="24">
        <v>0.10439705999999999</v>
      </c>
      <c r="C25" s="24">
        <v>4.5751689999999998E-2</v>
      </c>
      <c r="D25" s="24">
        <v>6.5914273000000009E-2</v>
      </c>
      <c r="E25" s="24">
        <v>5.3674699999999999E-2</v>
      </c>
      <c r="F25" s="24">
        <v>-1.6784429999999999E-2</v>
      </c>
      <c r="G25" s="24">
        <v>1.3365268999999999E-2</v>
      </c>
      <c r="H25" s="24">
        <v>1.2385844999999999E-2</v>
      </c>
      <c r="I25" s="24">
        <v>4.5891046999999997E-2</v>
      </c>
      <c r="J25" s="24">
        <v>4.5138955000000001E-2</v>
      </c>
      <c r="K25" s="24">
        <v>3.0967712000000001E-2</v>
      </c>
      <c r="L25" s="24">
        <v>4.7476529999999996E-2</v>
      </c>
      <c r="M25" s="24">
        <v>6.3085794000000001E-2</v>
      </c>
      <c r="N25" s="24">
        <v>2.2071361999999997E-2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42492</v>
      </c>
      <c r="B26" s="24">
        <v>3.0288219999999998E-2</v>
      </c>
      <c r="C26" s="24">
        <v>4.5833230000000003E-2</v>
      </c>
      <c r="D26" s="24">
        <v>6.9462060000000006E-2</v>
      </c>
      <c r="E26" s="24">
        <v>3.9576769999999997E-2</v>
      </c>
      <c r="F26" s="24">
        <v>4.4923662999999996E-2</v>
      </c>
      <c r="G26" s="24">
        <v>4.5992613000000002E-2</v>
      </c>
      <c r="H26" s="24">
        <v>5.6020617000000002E-2</v>
      </c>
      <c r="I26" s="24">
        <v>-3.2982945E-2</v>
      </c>
      <c r="J26" s="24">
        <v>5.0743819999999997E-3</v>
      </c>
      <c r="K26" s="24">
        <v>4.3387650000000007E-2</v>
      </c>
      <c r="L26" s="24">
        <v>1.9599795E-2</v>
      </c>
      <c r="M26" s="24">
        <v>3.119707E-2</v>
      </c>
      <c r="N26" s="24">
        <v>4.9833894000000004E-2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42523</v>
      </c>
      <c r="B27" s="24">
        <v>4.7421455000000001E-4</v>
      </c>
      <c r="C27" s="24">
        <v>-4.0338634999999998E-2</v>
      </c>
      <c r="D27" s="24">
        <v>-2.5346517999999998E-2</v>
      </c>
      <c r="E27" s="24">
        <v>-1.9977391000000001E-2</v>
      </c>
      <c r="F27" s="24">
        <v>4.2992830000000001E-3</v>
      </c>
      <c r="G27" s="24">
        <v>-4.8496722999999999E-3</v>
      </c>
      <c r="H27" s="24">
        <v>-1.8292665E-2</v>
      </c>
      <c r="I27" s="24">
        <v>3.6169409999999999E-2</v>
      </c>
      <c r="J27" s="24">
        <v>1.4136671999999999E-2</v>
      </c>
      <c r="K27" s="24">
        <v>-1.0795711999999999E-2</v>
      </c>
      <c r="L27" s="24">
        <v>4.4052599999999994E-3</v>
      </c>
      <c r="M27" s="24">
        <v>-2.7951359999999998E-2</v>
      </c>
      <c r="N27" s="24">
        <v>-4.6677229999999993E-2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42552</v>
      </c>
      <c r="B28" s="24">
        <v>4.1550874999999994E-2</v>
      </c>
      <c r="C28" s="24">
        <v>2.8388499999999997E-2</v>
      </c>
      <c r="D28" s="24">
        <v>1.6951561E-2</v>
      </c>
      <c r="E28" s="24">
        <v>-4.9765053000000004E-2</v>
      </c>
      <c r="F28" s="24">
        <v>-9.3241334000000002E-3</v>
      </c>
      <c r="G28" s="24">
        <v>-5.731702E-3</v>
      </c>
      <c r="H28" s="24">
        <v>-2.1784425E-2</v>
      </c>
      <c r="I28" s="24">
        <v>-1.9977152000000001E-2</v>
      </c>
      <c r="J28" s="24">
        <v>5.0735473999999998E-4</v>
      </c>
      <c r="K28" s="24">
        <v>-5.0922629999999997E-2</v>
      </c>
      <c r="L28" s="24">
        <v>-6.5225480000000002E-2</v>
      </c>
      <c r="M28" s="24">
        <v>-3.3912181999999999E-2</v>
      </c>
      <c r="N28" s="24">
        <v>-7.6491299999999998E-2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42584</v>
      </c>
      <c r="B29" s="24">
        <v>6.6820264000000004E-2</v>
      </c>
      <c r="C29" s="24">
        <v>5.629468E-2</v>
      </c>
      <c r="D29" s="24">
        <v>2.8191804999999999E-3</v>
      </c>
      <c r="E29" s="24">
        <v>4.9336552999999998E-2</v>
      </c>
      <c r="F29" s="24">
        <v>4.094076E-2</v>
      </c>
      <c r="G29" s="24">
        <v>6.3737630000000002E-3</v>
      </c>
      <c r="H29" s="24">
        <v>1.2361765E-2</v>
      </c>
      <c r="I29" s="24">
        <v>6.3656569999999996E-2</v>
      </c>
      <c r="J29" s="24">
        <v>2.6811957000000001E-2</v>
      </c>
      <c r="K29" s="24">
        <v>2.7086138999999999E-2</v>
      </c>
      <c r="L29" s="24">
        <v>2.6828169999999998E-2</v>
      </c>
      <c r="M29" s="24">
        <v>6.5525770000000004E-3</v>
      </c>
      <c r="N29" s="24">
        <v>-5.5452584999999997E-3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42615</v>
      </c>
      <c r="B30" s="24">
        <v>2.7429820000000001E-2</v>
      </c>
      <c r="C30" s="24">
        <v>-1.4534831E-2</v>
      </c>
      <c r="D30" s="24">
        <v>3.8554310000000001E-2</v>
      </c>
      <c r="E30" s="24">
        <v>4.8597454999999998E-2</v>
      </c>
      <c r="F30" s="24">
        <v>4.2677880000000001E-2</v>
      </c>
      <c r="G30" s="24">
        <v>2.0666718000000001E-2</v>
      </c>
      <c r="H30" s="24">
        <v>4.1131140000000004E-2</v>
      </c>
      <c r="I30" s="24">
        <v>1.8789172E-2</v>
      </c>
      <c r="J30" s="24">
        <v>1.3086557E-2</v>
      </c>
      <c r="K30" s="24">
        <v>4.0833592000000002E-2</v>
      </c>
      <c r="L30" s="24">
        <v>6.8689466000000005E-2</v>
      </c>
      <c r="M30" s="24">
        <v>4.66547E-2</v>
      </c>
      <c r="N30" s="24">
        <v>6.5985083999999999E-2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42643</v>
      </c>
      <c r="B31" s="24">
        <v>-1.5114546E-2</v>
      </c>
      <c r="C31" s="24">
        <v>2.7531981000000001E-2</v>
      </c>
      <c r="D31" s="24">
        <v>-6.5738560000000003E-3</v>
      </c>
      <c r="E31" s="24">
        <v>-1.0173320999999999E-2</v>
      </c>
      <c r="F31" s="24">
        <v>6.4204930000000002E-3</v>
      </c>
      <c r="G31" s="24">
        <v>-2.2861361999999999E-3</v>
      </c>
      <c r="H31" s="24">
        <v>-2.2222279999999997E-2</v>
      </c>
      <c r="I31" s="24">
        <v>1.6200900000000001E-2</v>
      </c>
      <c r="J31" s="24">
        <v>-4.4560431999999999E-3</v>
      </c>
      <c r="K31" s="24">
        <v>-1.2668550000000001E-2</v>
      </c>
      <c r="L31" s="24">
        <v>-1.1829673999999998E-2</v>
      </c>
      <c r="M31" s="24">
        <v>4.4920443999999999E-3</v>
      </c>
      <c r="N31" s="24">
        <v>-3.9232789999999997E-2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42676</v>
      </c>
      <c r="B32" s="24">
        <v>-7.9635499999999998E-2</v>
      </c>
      <c r="C32" s="24">
        <v>-4.3540660000000002E-2</v>
      </c>
      <c r="D32" s="24">
        <v>-2.2966146E-2</v>
      </c>
      <c r="E32" s="24">
        <v>-2.8930365999999999E-2</v>
      </c>
      <c r="F32" s="24">
        <v>-3.1898021999999999E-3</v>
      </c>
      <c r="G32" s="24">
        <v>-5.3355159999999999E-2</v>
      </c>
      <c r="H32" s="24">
        <v>-6.1237392000000002E-2</v>
      </c>
      <c r="I32" s="24">
        <v>-2.9818058000000001E-2</v>
      </c>
      <c r="J32" s="24">
        <v>-3.0328213999999999E-2</v>
      </c>
      <c r="K32" s="24">
        <v>-1.531452E-2</v>
      </c>
      <c r="L32" s="24">
        <v>-3.3918620000000003E-2</v>
      </c>
      <c r="M32" s="24">
        <v>-6.1231493999999997E-2</v>
      </c>
      <c r="N32" s="24">
        <v>-2.7223825000000004E-3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42706</v>
      </c>
      <c r="B33" s="24">
        <v>-1.1363566E-2</v>
      </c>
      <c r="C33" s="24">
        <v>3.5017489999999998E-2</v>
      </c>
      <c r="D33" s="24">
        <v>4.5019864999999999E-2</v>
      </c>
      <c r="E33" s="24">
        <v>-3.0184269999999999E-2</v>
      </c>
      <c r="F33" s="24">
        <v>-7.6000093999999997E-3</v>
      </c>
      <c r="G33" s="24">
        <v>-2.1092712999999999E-2</v>
      </c>
      <c r="H33" s="24">
        <v>2.0511149999999999E-2</v>
      </c>
      <c r="I33" s="24">
        <v>4.5146941999999997E-3</v>
      </c>
      <c r="J33" s="24">
        <v>4.7391889999999999E-2</v>
      </c>
      <c r="K33" s="24">
        <v>-1.6813873999999999E-2</v>
      </c>
      <c r="L33" s="24">
        <v>-4.2957425E-2</v>
      </c>
      <c r="M33" s="24">
        <v>5.4965019999999995E-3</v>
      </c>
      <c r="N33" s="24">
        <v>6.8243739999999994E-3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42734</v>
      </c>
      <c r="B34" s="24">
        <v>-3.5830855000000002E-2</v>
      </c>
      <c r="C34" s="24">
        <v>3.9114952000000001E-3</v>
      </c>
      <c r="D34" s="24">
        <v>6.9113970000000005E-3</v>
      </c>
      <c r="E34" s="24">
        <v>7.0699334000000003E-2</v>
      </c>
      <c r="F34" s="24">
        <v>-3.7673116E-3</v>
      </c>
      <c r="G34" s="24">
        <v>4.1270969999999997E-2</v>
      </c>
      <c r="H34" s="24">
        <v>2.5205373999999999E-2</v>
      </c>
      <c r="I34" s="24">
        <v>2.7066707999999998E-2</v>
      </c>
      <c r="J34" s="24">
        <v>2.3534416999999998E-2</v>
      </c>
      <c r="K34" s="24">
        <v>5.8515069999999995E-2</v>
      </c>
      <c r="L34" s="24">
        <v>5.5726646999999997E-2</v>
      </c>
      <c r="M34" s="24">
        <v>4.719019E-2</v>
      </c>
      <c r="N34" s="24">
        <v>0.10408461000000001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42768</v>
      </c>
      <c r="B35" s="24">
        <v>8.6836219999999992E-2</v>
      </c>
      <c r="C35" s="24">
        <v>6.6238283999999995E-2</v>
      </c>
      <c r="D35" s="24">
        <v>3.9005755999999996E-2</v>
      </c>
      <c r="E35" s="24">
        <v>4.1918397000000003E-2</v>
      </c>
      <c r="F35" s="24">
        <v>4.011464E-2</v>
      </c>
      <c r="G35" s="24">
        <v>3.9375543999999998E-2</v>
      </c>
      <c r="H35" s="24">
        <v>2.5415420000000001E-2</v>
      </c>
      <c r="I35" s="24">
        <v>5.7731269999999994E-2</v>
      </c>
      <c r="J35" s="24">
        <v>1.8968343999999998E-2</v>
      </c>
      <c r="K35" s="24">
        <v>1.7430067E-2</v>
      </c>
      <c r="L35" s="24">
        <v>3.1884073999999998E-2</v>
      </c>
      <c r="M35" s="24">
        <v>7.5182676000000004E-2</v>
      </c>
      <c r="N35" s="24">
        <v>-9.0871453000000001E-3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42796</v>
      </c>
      <c r="B36" s="24">
        <v>-2.0611404999999999E-2</v>
      </c>
      <c r="C36" s="24">
        <v>1.7617106E-2</v>
      </c>
      <c r="D36" s="24">
        <v>-1.8034577E-2</v>
      </c>
      <c r="E36" s="24">
        <v>6.16169E-3</v>
      </c>
      <c r="F36" s="24">
        <v>1.0232209999999999E-2</v>
      </c>
      <c r="G36" s="24">
        <v>2.0901322000000003E-2</v>
      </c>
      <c r="H36" s="24">
        <v>1.6523718999999999E-2</v>
      </c>
      <c r="I36" s="24">
        <v>4.3568490000000001E-2</v>
      </c>
      <c r="J36" s="24">
        <v>4.6099186E-2</v>
      </c>
      <c r="K36" s="24">
        <v>3.1872988000000001E-3</v>
      </c>
      <c r="L36" s="24">
        <v>2.8491140000000002E-2</v>
      </c>
      <c r="M36" s="24">
        <v>-1.8128812000000001E-2</v>
      </c>
      <c r="N36" s="24">
        <v>4.168749E-4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42825</v>
      </c>
      <c r="B37" s="24">
        <v>-1.6552210000000001E-3</v>
      </c>
      <c r="C37" s="24">
        <v>3.0068278E-2</v>
      </c>
      <c r="D37" s="24">
        <v>7.4962379999999997E-3</v>
      </c>
      <c r="E37" s="24">
        <v>3.5662769999999996E-2</v>
      </c>
      <c r="F37" s="24">
        <v>3.1164884999999999E-3</v>
      </c>
      <c r="G37" s="24">
        <v>2.3032664999999997E-2</v>
      </c>
      <c r="H37" s="24">
        <v>1.7505407000000001E-2</v>
      </c>
      <c r="I37" s="24">
        <v>1.4341593E-2</v>
      </c>
      <c r="J37" s="24">
        <v>-6.3058734000000002E-3</v>
      </c>
      <c r="K37" s="24">
        <v>5.2819729999999995E-2</v>
      </c>
      <c r="L37" s="24">
        <v>4.6039820000000002E-2</v>
      </c>
      <c r="M37" s="24">
        <v>4.0883659999999995E-2</v>
      </c>
      <c r="N37" s="24">
        <v>7.249999E-2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42857</v>
      </c>
      <c r="B38" s="24">
        <v>2.1790623999999998E-2</v>
      </c>
      <c r="C38" s="24">
        <v>2.2113323E-3</v>
      </c>
      <c r="D38" s="24">
        <v>-2.4553537E-2</v>
      </c>
      <c r="E38" s="24">
        <v>4.2434810000000003E-2</v>
      </c>
      <c r="F38" s="24">
        <v>1.3980627000000001E-2</v>
      </c>
      <c r="G38" s="24">
        <v>5.1282050000000003E-2</v>
      </c>
      <c r="H38" s="24">
        <v>2.5192022000000001E-2</v>
      </c>
      <c r="I38" s="24">
        <v>3.8147687999999999E-2</v>
      </c>
      <c r="J38" s="24">
        <v>1.2853145999999999E-2</v>
      </c>
      <c r="K38" s="24">
        <v>7.0916652999999996E-2</v>
      </c>
      <c r="L38" s="24">
        <v>6.2290190000000002E-2</v>
      </c>
      <c r="M38" s="24">
        <v>6.3984750000000007E-2</v>
      </c>
      <c r="N38" s="24">
        <v>3.7684559999999999E-2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42888</v>
      </c>
      <c r="B39" s="24">
        <v>4.7171950000000004E-2</v>
      </c>
      <c r="C39" s="24">
        <v>-4.1482805999999997E-2</v>
      </c>
      <c r="D39" s="24">
        <v>4.5766829999999998E-3</v>
      </c>
      <c r="E39" s="24">
        <v>5.7390809999999993E-2</v>
      </c>
      <c r="F39" s="24">
        <v>5.1321386999999996E-2</v>
      </c>
      <c r="G39" s="24">
        <v>5.2349805999999999E-2</v>
      </c>
      <c r="H39" s="24">
        <v>4.2852880000000003E-2</v>
      </c>
      <c r="I39" s="24">
        <v>4.3877005999999996E-2</v>
      </c>
      <c r="J39" s="24">
        <v>2.2615910000000003E-2</v>
      </c>
      <c r="K39" s="24">
        <v>5.3187730000000003E-2</v>
      </c>
      <c r="L39" s="24">
        <v>4.8806189999999999E-2</v>
      </c>
      <c r="M39" s="24">
        <v>3.1854749000000002E-2</v>
      </c>
      <c r="N39" s="24">
        <v>6.1400294000000001E-2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42916</v>
      </c>
      <c r="B40" s="24">
        <v>4.3141840000000001E-2</v>
      </c>
      <c r="C40" s="24">
        <v>2.0105243000000002E-2</v>
      </c>
      <c r="D40" s="24">
        <v>2.4324417000000001E-2</v>
      </c>
      <c r="E40" s="24">
        <v>-2.6206672E-2</v>
      </c>
      <c r="F40" s="24">
        <v>-1.6473353E-2</v>
      </c>
      <c r="G40" s="24">
        <v>-9.5088480000000003E-3</v>
      </c>
      <c r="H40" s="24">
        <v>-2.0758450000000001E-2</v>
      </c>
      <c r="I40" s="24">
        <v>-3.7940800000000004E-2</v>
      </c>
      <c r="J40" s="24">
        <v>-4.8776865000000006E-3</v>
      </c>
      <c r="K40" s="24">
        <v>-2.1497130000000003E-2</v>
      </c>
      <c r="L40" s="24">
        <v>-1.9595682999999999E-2</v>
      </c>
      <c r="M40" s="24">
        <v>8.7654590000000004E-4</v>
      </c>
      <c r="N40" s="24">
        <v>-1.5527606E-3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42949</v>
      </c>
      <c r="B41" s="24">
        <v>2.8534411999999999E-2</v>
      </c>
      <c r="C41" s="24">
        <v>4.7509192999999998E-2</v>
      </c>
      <c r="D41" s="24">
        <v>4.2600870000000006E-2</v>
      </c>
      <c r="E41" s="24">
        <v>2.4116278000000001E-2</v>
      </c>
      <c r="F41" s="24">
        <v>2.6095033E-2</v>
      </c>
      <c r="G41" s="24">
        <v>1.1366963000000001E-2</v>
      </c>
      <c r="H41" s="24">
        <v>3.1503081000000002E-2</v>
      </c>
      <c r="I41" s="24">
        <v>4.5844196999999996E-2</v>
      </c>
      <c r="J41" s="24">
        <v>2.3325086000000002E-2</v>
      </c>
      <c r="K41" s="24">
        <v>3.0945778E-2</v>
      </c>
      <c r="L41" s="24">
        <v>6.6539884000000007E-2</v>
      </c>
      <c r="M41" s="24">
        <v>1.4151096E-2</v>
      </c>
      <c r="N41" s="24">
        <v>7.9496384000000003E-2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42979</v>
      </c>
      <c r="B42" s="24">
        <v>-2.7532578000000002E-2</v>
      </c>
      <c r="C42" s="24">
        <v>4.843712E-3</v>
      </c>
      <c r="D42" s="24">
        <v>7.5268745E-3</v>
      </c>
      <c r="E42" s="24">
        <v>-4.8387049999999996E-3</v>
      </c>
      <c r="F42" s="24">
        <v>-1.0172545999999999E-2</v>
      </c>
      <c r="G42" s="24">
        <v>-1.2680172999999999E-2</v>
      </c>
      <c r="H42" s="24">
        <v>-1.1343776999999999E-2</v>
      </c>
      <c r="I42" s="24">
        <v>1.4241099E-2</v>
      </c>
      <c r="J42" s="24">
        <v>1.6164780000000002E-3</v>
      </c>
      <c r="K42" s="24">
        <v>5.0590040000000006E-3</v>
      </c>
      <c r="L42" s="24">
        <v>-5.6716800000000001E-3</v>
      </c>
      <c r="M42" s="24">
        <v>1.1918545000000001E-2</v>
      </c>
      <c r="N42" s="24">
        <v>1.3995290000000001E-2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43010</v>
      </c>
      <c r="B43" s="24">
        <v>1.3831853999999999E-2</v>
      </c>
      <c r="C43" s="24">
        <v>-1.2269914E-2</v>
      </c>
      <c r="D43" s="24">
        <v>3.0238269999999998E-2</v>
      </c>
      <c r="E43" s="24">
        <v>4.8622249999999999E-2</v>
      </c>
      <c r="F43" s="24">
        <v>2.2389412000000001E-2</v>
      </c>
      <c r="G43" s="24">
        <v>2.3350954E-2</v>
      </c>
      <c r="H43" s="24">
        <v>2.265358E-2</v>
      </c>
      <c r="I43" s="24">
        <v>-6.8867210000000002E-4</v>
      </c>
      <c r="J43" s="24">
        <v>2.3120045999999998E-2</v>
      </c>
      <c r="K43" s="24">
        <v>3.4563780000000002E-2</v>
      </c>
      <c r="L43" s="24">
        <v>2.3793936000000002E-2</v>
      </c>
      <c r="M43" s="24">
        <v>2.8439999000000001E-2</v>
      </c>
      <c r="N43" s="24">
        <v>2.7933001999999998E-2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43041</v>
      </c>
      <c r="B44" s="24">
        <v>-2.4301827000000002E-2</v>
      </c>
      <c r="C44" s="24">
        <v>1.9520759999999998E-2</v>
      </c>
      <c r="D44" s="24">
        <v>3.453493E-4</v>
      </c>
      <c r="E44" s="24">
        <v>3.5548687000000002E-2</v>
      </c>
      <c r="F44" s="24">
        <v>5.9953329999999999E-2</v>
      </c>
      <c r="G44" s="24">
        <v>-1.4546573E-2</v>
      </c>
      <c r="H44" s="24">
        <v>2.3015737999999997E-3</v>
      </c>
      <c r="I44" s="24">
        <v>4.2794347000000003E-2</v>
      </c>
      <c r="J44" s="24">
        <v>2.0886182999999999E-2</v>
      </c>
      <c r="K44" s="24">
        <v>2.0758986E-2</v>
      </c>
      <c r="L44" s="24">
        <v>1.0824561E-2</v>
      </c>
      <c r="M44" s="24">
        <v>-5.5866240000000001E-3</v>
      </c>
      <c r="N44" s="24">
        <v>4.7954319999999996E-3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43070</v>
      </c>
      <c r="B45" s="24">
        <v>6.1174630000000001E-3</v>
      </c>
      <c r="C45" s="24">
        <v>-5.6570769999999999E-3</v>
      </c>
      <c r="D45" s="24">
        <v>1.3807415999999999E-2</v>
      </c>
      <c r="E45" s="24">
        <v>-1.6417860999999999E-2</v>
      </c>
      <c r="F45" s="24">
        <v>9.9915265999999999E-3</v>
      </c>
      <c r="G45" s="24">
        <v>1.678729E-2</v>
      </c>
      <c r="H45" s="24">
        <v>2.5832653000000001E-3</v>
      </c>
      <c r="I45" s="24">
        <v>1.7653703999999999E-2</v>
      </c>
      <c r="J45" s="24">
        <v>2.6670218000000002E-2</v>
      </c>
      <c r="K45" s="24">
        <v>-9.5328690000000011E-3</v>
      </c>
      <c r="L45" s="24">
        <v>-1.2283443999999999E-2</v>
      </c>
      <c r="M45" s="24">
        <v>-4.129207E-2</v>
      </c>
      <c r="N45" s="24">
        <v>-1.8135547999999998E-2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43102</v>
      </c>
      <c r="B46" s="24">
        <v>6.0154557000000004E-2</v>
      </c>
      <c r="C46" s="24">
        <v>4.5698284999999998E-2</v>
      </c>
      <c r="D46" s="24">
        <v>3.1428932999999999E-2</v>
      </c>
      <c r="E46" s="24">
        <v>1.1955857E-2</v>
      </c>
      <c r="F46" s="24">
        <v>1.7672180999999999E-2</v>
      </c>
      <c r="G46" s="24">
        <v>1.6794800999999998E-2</v>
      </c>
      <c r="H46" s="24">
        <v>5.4482340000000004E-2</v>
      </c>
      <c r="I46" s="24">
        <v>2.8021812E-2</v>
      </c>
      <c r="J46" s="24">
        <v>2.1450520000000001E-2</v>
      </c>
      <c r="K46" s="24">
        <v>6.9012640000000007E-3</v>
      </c>
      <c r="L46" s="24">
        <v>2.2655487000000002E-2</v>
      </c>
      <c r="M46" s="24">
        <v>1.0897635999999999E-2</v>
      </c>
      <c r="N46" s="24">
        <v>-1.9770265E-3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43133</v>
      </c>
      <c r="B47" s="24">
        <v>2.3173213000000002E-2</v>
      </c>
      <c r="C47" s="24">
        <v>8.5763929999999999E-3</v>
      </c>
      <c r="D47" s="24">
        <v>-3.1762003999999996E-2</v>
      </c>
      <c r="E47" s="24">
        <v>1.8039703000000001E-2</v>
      </c>
      <c r="F47" s="24">
        <v>3.3670545000000003E-2</v>
      </c>
      <c r="G47" s="24">
        <v>2.3236275000000001E-2</v>
      </c>
      <c r="H47" s="24">
        <v>3.3195019999999998E-3</v>
      </c>
      <c r="I47" s="24">
        <v>3.8614391999999997E-2</v>
      </c>
      <c r="J47" s="24">
        <v>2.4854063999999999E-2</v>
      </c>
      <c r="K47" s="24">
        <v>4.0907619999999999E-2</v>
      </c>
      <c r="L47" s="24">
        <v>3.4493684999999996E-2</v>
      </c>
      <c r="M47" s="24">
        <v>3.7763475999999997E-2</v>
      </c>
      <c r="N47" s="24">
        <v>8.3904739999999992E-2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43161</v>
      </c>
      <c r="B48" s="24">
        <v>-6.7332983000000001E-3</v>
      </c>
      <c r="C48" s="24">
        <v>-3.3163310000000001E-2</v>
      </c>
      <c r="D48" s="24">
        <v>-5.1104965000000002E-2</v>
      </c>
      <c r="E48" s="24">
        <v>-6.0543420000000001E-2</v>
      </c>
      <c r="F48" s="24">
        <v>-3.7708579999999998E-2</v>
      </c>
      <c r="G48" s="24">
        <v>-5.9917870000000005E-2</v>
      </c>
      <c r="H48" s="24">
        <v>-5.238491E-2</v>
      </c>
      <c r="I48" s="24">
        <v>8.3835125000000007E-3</v>
      </c>
      <c r="J48" s="24">
        <v>-2.3125887000000001E-2</v>
      </c>
      <c r="K48" s="24">
        <v>-3.6843657000000002E-2</v>
      </c>
      <c r="L48" s="24">
        <v>-4.1830896999999999E-2</v>
      </c>
      <c r="M48" s="24">
        <v>-6.2341269999999997E-2</v>
      </c>
      <c r="N48" s="24">
        <v>-5.0903615999999999E-2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43192</v>
      </c>
      <c r="B49" s="24">
        <v>-6.3681600000000003E-3</v>
      </c>
      <c r="C49" s="24">
        <v>-4.8372926999999996E-2</v>
      </c>
      <c r="D49" s="24">
        <v>-1.1280894E-2</v>
      </c>
      <c r="E49" s="24">
        <v>-7.8591703999999988E-3</v>
      </c>
      <c r="F49" s="24">
        <v>-8.5042715000000005E-3</v>
      </c>
      <c r="G49" s="24">
        <v>-1.309663E-2</v>
      </c>
      <c r="H49" s="24">
        <v>2.9098987999999997E-4</v>
      </c>
      <c r="I49" s="24">
        <v>-6.1585846E-2</v>
      </c>
      <c r="J49" s="24">
        <v>-3.9319575000000002E-2</v>
      </c>
      <c r="K49" s="24">
        <v>-1.2432277E-2</v>
      </c>
      <c r="L49" s="24">
        <v>-1.581788E-3</v>
      </c>
      <c r="M49" s="24">
        <v>-7.5210329999999999E-3</v>
      </c>
      <c r="N49" s="24">
        <v>5.0777196999999994E-3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43222</v>
      </c>
      <c r="B50" s="24">
        <v>-1.5712201999999998E-2</v>
      </c>
      <c r="C50" s="24">
        <v>3.9279103000000003E-2</v>
      </c>
      <c r="D50" s="24">
        <v>3.3860922000000002E-2</v>
      </c>
      <c r="E50" s="24">
        <v>3.4537434999999998E-2</v>
      </c>
      <c r="F50" s="24">
        <v>1.2949944E-2</v>
      </c>
      <c r="G50" s="24">
        <v>-5.8978796E-4</v>
      </c>
      <c r="H50" s="24">
        <v>4.3630004E-2</v>
      </c>
      <c r="I50" s="24">
        <v>4.0576220000000003E-2</v>
      </c>
      <c r="J50" s="24">
        <v>2.2255063000000002E-2</v>
      </c>
      <c r="K50" s="24">
        <v>5.0677896E-2</v>
      </c>
      <c r="L50" s="24">
        <v>8.7136030000000003E-3</v>
      </c>
      <c r="M50" s="24">
        <v>-1.3337433000000001E-2</v>
      </c>
      <c r="N50" s="24">
        <v>6.3782690000000003E-2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43252</v>
      </c>
      <c r="B51" s="24">
        <v>2.3524403999999999E-2</v>
      </c>
      <c r="C51" s="24">
        <v>1.0226727E-2</v>
      </c>
      <c r="D51" s="24">
        <v>2.171588E-2</v>
      </c>
      <c r="E51" s="24">
        <v>-2.5727449999999999E-2</v>
      </c>
      <c r="F51" s="24">
        <v>-1.3282299000000001E-3</v>
      </c>
      <c r="G51" s="24">
        <v>-5.3113100000000005E-3</v>
      </c>
      <c r="H51" s="24">
        <v>1.0869503000000001E-2</v>
      </c>
      <c r="I51" s="24">
        <v>6.7482349999999997E-2</v>
      </c>
      <c r="J51" s="24">
        <v>3.9513707000000002E-2</v>
      </c>
      <c r="K51" s="24">
        <v>-1.4132081999999999E-2</v>
      </c>
      <c r="L51" s="24">
        <v>-5.8112143999999996E-3</v>
      </c>
      <c r="M51" s="24">
        <v>7.3733329999999993E-3</v>
      </c>
      <c r="N51" s="24">
        <v>-9.8842324999999995E-2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43283</v>
      </c>
      <c r="B52" s="24">
        <v>-2.7816296000000001E-3</v>
      </c>
      <c r="C52" s="24">
        <v>1.16062164E-3</v>
      </c>
      <c r="D52" s="24">
        <v>-4.0011405999999996E-3</v>
      </c>
      <c r="E52" s="24">
        <v>-3.9602934999999999E-2</v>
      </c>
      <c r="F52" s="24">
        <v>-4.5115112999999998E-2</v>
      </c>
      <c r="G52" s="24">
        <v>-1.3542771E-2</v>
      </c>
      <c r="H52" s="24">
        <v>-2.9845119000000003E-2</v>
      </c>
      <c r="I52" s="24">
        <v>2.4918318000000002E-3</v>
      </c>
      <c r="J52" s="24">
        <v>-1.8938183999999999E-3</v>
      </c>
      <c r="K52" s="24">
        <v>-3.4783185000000001E-2</v>
      </c>
      <c r="L52" s="24">
        <v>-2.5157928E-2</v>
      </c>
      <c r="M52" s="24">
        <v>-3.2240629999999999E-2</v>
      </c>
      <c r="N52" s="24">
        <v>-2.9880702000000002E-2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43314</v>
      </c>
      <c r="B53" s="24">
        <v>-3.7664769999999998E-3</v>
      </c>
      <c r="C53" s="24">
        <v>1.5688061999999999E-2</v>
      </c>
      <c r="D53" s="24">
        <v>2.9619217E-2</v>
      </c>
      <c r="E53" s="24">
        <v>2.61482E-2</v>
      </c>
      <c r="F53" s="24">
        <v>2.7899622999999998E-2</v>
      </c>
      <c r="G53" s="24">
        <v>6.720102E-2</v>
      </c>
      <c r="H53" s="24">
        <v>-2.3275613999999998E-3</v>
      </c>
      <c r="I53" s="24">
        <v>3.8946748000000003E-2</v>
      </c>
      <c r="J53" s="24">
        <v>3.8733244E-2</v>
      </c>
      <c r="K53" s="24">
        <v>3.3289433E-2</v>
      </c>
      <c r="L53" s="24">
        <v>4.2160749999999997E-2</v>
      </c>
      <c r="M53" s="24">
        <v>5.2770495000000001E-2</v>
      </c>
      <c r="N53" s="24">
        <v>4.8866272000000002E-3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43343</v>
      </c>
      <c r="B54" s="24">
        <v>3.0245662000000003E-2</v>
      </c>
      <c r="C54" s="24">
        <v>-7.5021979999999999E-3</v>
      </c>
      <c r="D54" s="24">
        <v>-1.3698696999999999E-2</v>
      </c>
      <c r="E54" s="24">
        <v>-1.2414277E-2</v>
      </c>
      <c r="F54" s="24">
        <v>-6.1454769999999999E-3</v>
      </c>
      <c r="G54" s="24">
        <v>4.3327807999999999E-3</v>
      </c>
      <c r="H54" s="24">
        <v>-2.0997404999999997E-2</v>
      </c>
      <c r="I54" s="24">
        <v>3.9659142000000001E-2</v>
      </c>
      <c r="J54" s="24">
        <v>2.8046250000000002E-2</v>
      </c>
      <c r="K54" s="24">
        <v>-1.0526299999999999E-2</v>
      </c>
      <c r="L54" s="24">
        <v>-1.8963277000000001E-2</v>
      </c>
      <c r="M54" s="24">
        <v>-1.5664100000000001E-3</v>
      </c>
      <c r="N54" s="24">
        <v>-5.8700979999999993E-2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43375</v>
      </c>
      <c r="B55" s="24">
        <v>-1.0601461000000001E-2</v>
      </c>
      <c r="C55" s="24">
        <v>-2.9346347000000002E-2</v>
      </c>
      <c r="D55" s="24">
        <v>2.7778150000000003E-3</v>
      </c>
      <c r="E55" s="24">
        <v>-1.7201483E-2</v>
      </c>
      <c r="F55" s="24">
        <v>3.9161801000000003E-2</v>
      </c>
      <c r="G55" s="24">
        <v>-4.8893093999999998E-3</v>
      </c>
      <c r="H55" s="24">
        <v>1.0128140000000001E-2</v>
      </c>
      <c r="I55" s="24">
        <v>-3.037274E-3</v>
      </c>
      <c r="J55" s="24">
        <v>8.8548659999999994E-3</v>
      </c>
      <c r="K55" s="24">
        <v>3.5459994999999999E-3</v>
      </c>
      <c r="L55" s="24">
        <v>-3.1894385999999997E-2</v>
      </c>
      <c r="M55" s="24">
        <v>1.6002536000000001E-2</v>
      </c>
      <c r="N55" s="24">
        <v>9.5940829999999998E-3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43406</v>
      </c>
      <c r="B56" s="24">
        <v>-5.0484179999999997E-2</v>
      </c>
      <c r="C56" s="24">
        <v>-4.3518123999999998E-2</v>
      </c>
      <c r="D56" s="24">
        <v>-7.4099719999999994E-2</v>
      </c>
      <c r="E56" s="24">
        <v>-6.4961249999999998E-2</v>
      </c>
      <c r="F56" s="24">
        <v>-9.0578500000000006E-2</v>
      </c>
      <c r="G56" s="24">
        <v>-4.017341E-2</v>
      </c>
      <c r="H56" s="24">
        <v>-4.865825E-2</v>
      </c>
      <c r="I56" s="24">
        <v>-8.8129159999999998E-2</v>
      </c>
      <c r="J56" s="24">
        <v>-6.7464589999999991E-2</v>
      </c>
      <c r="K56" s="24">
        <v>-7.5168609999999997E-2</v>
      </c>
      <c r="L56" s="24">
        <v>-4.8252879999999998E-2</v>
      </c>
      <c r="M56" s="24">
        <v>-7.5355169999999999E-2</v>
      </c>
      <c r="N56" s="24">
        <v>-5.8479547999999999E-2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43434</v>
      </c>
      <c r="B57" s="24">
        <v>4.7851563E-2</v>
      </c>
      <c r="C57" s="24">
        <v>-3.8313866000000002E-3</v>
      </c>
      <c r="D57" s="24">
        <v>-3.7397145999999997E-3</v>
      </c>
      <c r="E57" s="24">
        <v>-3.3837317999999998E-2</v>
      </c>
      <c r="F57" s="24">
        <v>5.8161020000000001E-3</v>
      </c>
      <c r="G57" s="24">
        <v>0</v>
      </c>
      <c r="H57" s="24">
        <v>-2.5728404999999999E-2</v>
      </c>
      <c r="I57" s="24">
        <v>-5.9068203E-5</v>
      </c>
      <c r="J57" s="24">
        <v>1.3828993000000001E-2</v>
      </c>
      <c r="K57" s="24">
        <v>-2.4661361999999999E-2</v>
      </c>
      <c r="L57" s="24">
        <v>-5.9440729999999994E-3</v>
      </c>
      <c r="M57" s="24">
        <v>-2.6052117E-2</v>
      </c>
      <c r="N57" s="24">
        <v>-1.4363407999999999E-2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43467</v>
      </c>
      <c r="B58" s="24">
        <v>-3.5037220000000001E-2</v>
      </c>
      <c r="C58" s="24">
        <v>-4.6291113000000002E-2</v>
      </c>
      <c r="D58" s="24">
        <v>-7.7144803999999997E-2</v>
      </c>
      <c r="E58" s="24">
        <v>-6.2593164000000007E-2</v>
      </c>
      <c r="F58" s="24">
        <v>-7.0548295999999996E-2</v>
      </c>
      <c r="G58" s="24">
        <v>-5.8115005000000004E-2</v>
      </c>
      <c r="H58" s="24">
        <v>-4.6414910000000004E-2</v>
      </c>
      <c r="I58" s="24">
        <v>-8.2871970000000003E-2</v>
      </c>
      <c r="J58" s="24">
        <v>-8.6987309999999998E-2</v>
      </c>
      <c r="K58" s="24">
        <v>-5.9440670000000001E-2</v>
      </c>
      <c r="L58" s="24">
        <v>-7.1879570000000004E-2</v>
      </c>
      <c r="M58" s="24">
        <v>-4.7099112999999998E-2</v>
      </c>
      <c r="N58" s="24">
        <v>-3.6683738E-2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43497</v>
      </c>
      <c r="B59" s="24">
        <v>5.6805729999999999E-2</v>
      </c>
      <c r="C59" s="24">
        <v>7.6439740000000006E-2</v>
      </c>
      <c r="D59" s="24">
        <v>0.12200165</v>
      </c>
      <c r="E59" s="24">
        <v>6.5580249999999993E-2</v>
      </c>
      <c r="F59" s="24">
        <v>5.9169292000000005E-2</v>
      </c>
      <c r="G59" s="24">
        <v>6.1061262999999998E-2</v>
      </c>
      <c r="H59" s="24">
        <v>7.7395199999999997E-2</v>
      </c>
      <c r="I59" s="24">
        <v>8.1159590000000004E-2</v>
      </c>
      <c r="J59" s="24">
        <v>7.9462767000000004E-2</v>
      </c>
      <c r="K59" s="24">
        <v>7.4553013000000001E-2</v>
      </c>
      <c r="L59" s="24">
        <v>8.3016030000000005E-2</v>
      </c>
      <c r="M59" s="24">
        <v>7.5621129999999995E-2</v>
      </c>
      <c r="N59" s="24">
        <v>7.4948189999999998E-2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43525</v>
      </c>
      <c r="B60" s="24">
        <v>3.1631231000000003E-2</v>
      </c>
      <c r="C60" s="24">
        <v>4.2315245000000001E-2</v>
      </c>
      <c r="D60" s="24">
        <v>2.1747111999999999E-2</v>
      </c>
      <c r="E60" s="24">
        <v>2.9466630000000001E-2</v>
      </c>
      <c r="F60" s="24">
        <v>8.5090400000000007E-3</v>
      </c>
      <c r="G60" s="24">
        <v>4.9111247000000004E-2</v>
      </c>
      <c r="H60" s="24">
        <v>3.2594919999999999E-2</v>
      </c>
      <c r="I60" s="24">
        <v>4.1445255E-2</v>
      </c>
      <c r="J60" s="24">
        <v>3.8361907000000001E-2</v>
      </c>
      <c r="K60" s="24">
        <v>4.7079679999999999E-2</v>
      </c>
      <c r="L60" s="24">
        <v>4.7819969999999996E-2</v>
      </c>
      <c r="M60" s="24">
        <v>1.6069651000000001E-2</v>
      </c>
      <c r="N60" s="24">
        <v>5.238831E-2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43557</v>
      </c>
      <c r="B61" s="24">
        <v>4.5691369999999995E-2</v>
      </c>
      <c r="C61" s="24">
        <v>1.0265946E-2</v>
      </c>
      <c r="D61" s="24">
        <v>1.010108E-2</v>
      </c>
      <c r="E61" s="24">
        <v>-5.0725340000000001E-3</v>
      </c>
      <c r="F61" s="24">
        <v>9.3543529999999993E-3</v>
      </c>
      <c r="G61" s="24">
        <v>2.1826625000000002E-2</v>
      </c>
      <c r="H61" s="24">
        <v>3.0953050000000003E-2</v>
      </c>
      <c r="I61" s="24">
        <v>4.9727439999999998E-2</v>
      </c>
      <c r="J61" s="24">
        <v>2.4261832000000001E-2</v>
      </c>
      <c r="K61" s="24">
        <v>1.0141968999999999E-2</v>
      </c>
      <c r="L61" s="24">
        <v>1.5100717999999999E-2</v>
      </c>
      <c r="M61" s="24">
        <v>2.0757794E-2</v>
      </c>
      <c r="N61" s="24">
        <v>2.5256276000000001E-2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43587</v>
      </c>
      <c r="B62" s="24">
        <v>-1.0923743E-2</v>
      </c>
      <c r="C62" s="24">
        <v>4.6193600000000003E-4</v>
      </c>
      <c r="D62" s="24">
        <v>6.0714482999999998E-3</v>
      </c>
      <c r="E62" s="24">
        <v>4.0786624E-2</v>
      </c>
      <c r="F62" s="24">
        <v>3.9978026999999998E-3</v>
      </c>
      <c r="G62" s="24">
        <v>1.4052868000000001E-2</v>
      </c>
      <c r="H62" s="24">
        <v>-8.9179280000000003E-3</v>
      </c>
      <c r="I62" s="24">
        <v>2.9442430000000002E-2</v>
      </c>
      <c r="J62" s="24">
        <v>1.8218636999999999E-2</v>
      </c>
      <c r="K62" s="24">
        <v>2.1419048E-2</v>
      </c>
      <c r="L62" s="24">
        <v>3.5041332000000001E-2</v>
      </c>
      <c r="M62" s="24">
        <v>2.0658493E-2</v>
      </c>
      <c r="N62" s="24">
        <v>-5.712211E-3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43616</v>
      </c>
      <c r="B63" s="24">
        <v>-9.8818540000000007E-3</v>
      </c>
      <c r="C63" s="24">
        <v>6.4635277E-3</v>
      </c>
      <c r="D63" s="24">
        <v>-2.9818951999999999E-2</v>
      </c>
      <c r="E63" s="24">
        <v>-5.8082580000000002E-2</v>
      </c>
      <c r="F63" s="24">
        <v>-4.5791807000000004E-2</v>
      </c>
      <c r="G63" s="24">
        <v>-3.3259988E-3</v>
      </c>
      <c r="H63" s="24">
        <v>-4.9490093999999998E-2</v>
      </c>
      <c r="I63" s="24">
        <v>-7.5275125999999998E-2</v>
      </c>
      <c r="J63" s="24">
        <v>-5.4639759999999996E-2</v>
      </c>
      <c r="K63" s="24">
        <v>-4.9803439999999997E-2</v>
      </c>
      <c r="L63" s="24">
        <v>-5.3018210000000003E-2</v>
      </c>
      <c r="M63" s="24">
        <v>-7.7166376000000009E-2</v>
      </c>
      <c r="N63" s="24">
        <v>-6.8581700000000009E-2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43648</v>
      </c>
      <c r="B64" s="24">
        <v>5.6438565000000003E-2</v>
      </c>
      <c r="C64" s="24">
        <v>5.2726269999999999E-2</v>
      </c>
      <c r="D64" s="24">
        <v>6.1515690000000005E-2</v>
      </c>
      <c r="E64" s="24">
        <v>7.3968770000000003E-2</v>
      </c>
      <c r="F64" s="24">
        <v>6.2863826999999997E-2</v>
      </c>
      <c r="G64" s="24">
        <v>6.8228483000000006E-2</v>
      </c>
      <c r="H64" s="24">
        <v>5.5115223000000005E-2</v>
      </c>
      <c r="I64" s="24">
        <v>9.4738009999999998E-2</v>
      </c>
      <c r="J64" s="24">
        <v>8.2113739999999991E-2</v>
      </c>
      <c r="K64" s="24">
        <v>8.4516530000000006E-2</v>
      </c>
      <c r="L64" s="24">
        <v>7.4371457000000002E-2</v>
      </c>
      <c r="M64" s="24">
        <v>0.10345734000000001</v>
      </c>
      <c r="N64" s="24">
        <v>0.10022199999999999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43679</v>
      </c>
      <c r="B65" s="24">
        <v>1.8051862999999998E-2</v>
      </c>
      <c r="C65" s="24">
        <v>-1.2894570999999999E-2</v>
      </c>
      <c r="D65" s="24">
        <v>-2.3999990000000002E-2</v>
      </c>
      <c r="E65" s="24">
        <v>-5.7569264999999994E-2</v>
      </c>
      <c r="F65" s="24">
        <v>-2.6472150999999999E-2</v>
      </c>
      <c r="G65" s="24">
        <v>-1.0361314E-2</v>
      </c>
      <c r="H65" s="24">
        <v>-5.7975473E-2</v>
      </c>
      <c r="I65" s="24">
        <v>-1.3999223999999999E-2</v>
      </c>
      <c r="J65" s="24">
        <v>-1.2852967E-2</v>
      </c>
      <c r="K65" s="24">
        <v>-4.9201727000000001E-2</v>
      </c>
      <c r="L65" s="24">
        <v>-1.9942105000000002E-2</v>
      </c>
      <c r="M65" s="24">
        <v>-7.8525661999999996E-2</v>
      </c>
      <c r="N65" s="24">
        <v>-2.7193605999999999E-2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43707</v>
      </c>
      <c r="B66" s="24">
        <v>-4.7469496999999999E-2</v>
      </c>
      <c r="C66" s="24">
        <v>-2.3423433E-2</v>
      </c>
      <c r="D66" s="24">
        <v>4.6329498000000002E-3</v>
      </c>
      <c r="E66" s="24">
        <v>-1.0181009999999999E-2</v>
      </c>
      <c r="F66" s="24">
        <v>-2.5897621999999999E-3</v>
      </c>
      <c r="G66" s="24">
        <v>5.906105E-3</v>
      </c>
      <c r="H66" s="24">
        <v>-1.2048184999999999E-2</v>
      </c>
      <c r="I66" s="24">
        <v>6.4051150000000003E-4</v>
      </c>
      <c r="J66" s="24">
        <v>-5.8090687000000006E-4</v>
      </c>
      <c r="K66" s="24">
        <v>1.0623693E-2</v>
      </c>
      <c r="L66" s="24">
        <v>4.2665005000000001E-3</v>
      </c>
      <c r="M66" s="24">
        <v>-1.4956533999999999E-2</v>
      </c>
      <c r="N66" s="24">
        <v>2.9817820000000001E-3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43740</v>
      </c>
      <c r="B67" s="24">
        <v>1.7452239999999999E-3</v>
      </c>
      <c r="C67" s="24">
        <v>-1.0608852E-2</v>
      </c>
      <c r="D67" s="24">
        <v>-3.9021372999999996E-3</v>
      </c>
      <c r="E67" s="24">
        <v>-7.6190829999999996E-3</v>
      </c>
      <c r="F67" s="24">
        <v>3.4681082000000002E-2</v>
      </c>
      <c r="G67" s="24">
        <v>-2.9356897000000003E-2</v>
      </c>
      <c r="H67" s="24">
        <v>-4.9439670000000005E-3</v>
      </c>
      <c r="I67" s="24">
        <v>-1.6263068000000002E-2</v>
      </c>
      <c r="J67" s="24">
        <v>-1.0442138E-2</v>
      </c>
      <c r="K67" s="24">
        <v>-1.7293989999999999E-2</v>
      </c>
      <c r="L67" s="24">
        <v>-5.8823824000000004E-3</v>
      </c>
      <c r="M67" s="24">
        <v>-1.7654896000000001E-3</v>
      </c>
      <c r="N67" s="24">
        <v>-1.0033488E-2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43770</v>
      </c>
      <c r="B68" s="24">
        <v>2.0712375999999998E-2</v>
      </c>
      <c r="C68" s="24">
        <v>6.1072230000000005E-2</v>
      </c>
      <c r="D68" s="24">
        <v>3.3831953999999997E-2</v>
      </c>
      <c r="E68" s="24">
        <v>0.10479856</v>
      </c>
      <c r="F68" s="24">
        <v>6.2197446999999996E-2</v>
      </c>
      <c r="G68" s="24">
        <v>6.4338803E-2</v>
      </c>
      <c r="H68" s="24">
        <v>8.2477680000000012E-2</v>
      </c>
      <c r="I68" s="24">
        <v>8.0521580000000009E-2</v>
      </c>
      <c r="J68" s="24">
        <v>6.2764764000000001E-2</v>
      </c>
      <c r="K68" s="24">
        <v>8.4541079999999991E-2</v>
      </c>
      <c r="L68" s="24">
        <v>6.278765E-2</v>
      </c>
      <c r="M68" s="24">
        <v>0.13017332000000001</v>
      </c>
      <c r="N68" s="24">
        <v>9.684682E-2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43801</v>
      </c>
      <c r="B69" s="24">
        <v>6.6755175999999999E-2</v>
      </c>
      <c r="C69" s="24">
        <v>-1.3181567E-3</v>
      </c>
      <c r="D69" s="24">
        <v>1.412332E-2</v>
      </c>
      <c r="E69" s="24">
        <v>-3.8221478E-3</v>
      </c>
      <c r="F69" s="24">
        <v>8.4376334999999999E-4</v>
      </c>
      <c r="G69" s="24">
        <v>1.5500784E-3</v>
      </c>
      <c r="H69" s="24">
        <v>6.1202049999999997E-4</v>
      </c>
      <c r="I69" s="24">
        <v>2.0767330000000001E-2</v>
      </c>
      <c r="J69" s="24">
        <v>1.7965674000000001E-2</v>
      </c>
      <c r="K69" s="24">
        <v>-2.8635263E-3</v>
      </c>
      <c r="L69" s="24">
        <v>-9.2798469999999999E-4</v>
      </c>
      <c r="M69" s="24">
        <v>-1.3771534E-2</v>
      </c>
      <c r="N69" s="24">
        <v>-2.5667369999999998E-2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43832</v>
      </c>
      <c r="B70" s="24">
        <v>4.4007063000000006E-2</v>
      </c>
      <c r="C70" s="24">
        <v>2.0441055E-2</v>
      </c>
      <c r="D70" s="24">
        <v>3.1935810000000002E-2</v>
      </c>
      <c r="E70" s="24">
        <v>4.220438E-2</v>
      </c>
      <c r="F70" s="24">
        <v>2.1259188999999998E-2</v>
      </c>
      <c r="G70" s="24">
        <v>5.6486964000000001E-2</v>
      </c>
      <c r="H70" s="24">
        <v>6.2626840000000003E-2</v>
      </c>
      <c r="I70" s="24">
        <v>6.7128300000000002E-2</v>
      </c>
      <c r="J70" s="24">
        <v>4.7555566000000001E-2</v>
      </c>
      <c r="K70" s="24">
        <v>5.3291199999999997E-2</v>
      </c>
      <c r="L70" s="24">
        <v>6.3484310000000002E-2</v>
      </c>
      <c r="M70" s="24">
        <v>8.6764340000000009E-2</v>
      </c>
      <c r="N70" s="24">
        <v>5.7540297999999997E-2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43861</v>
      </c>
      <c r="B71" s="24">
        <v>-2.3304342999999998E-2</v>
      </c>
      <c r="C71" s="24">
        <v>-2.1108150000000003E-2</v>
      </c>
      <c r="D71" s="24">
        <v>-1.0340214E-2</v>
      </c>
      <c r="E71" s="24">
        <v>-4.5180680000000001E-2</v>
      </c>
      <c r="F71" s="24">
        <v>-3.5248935000000002E-2</v>
      </c>
      <c r="G71" s="24">
        <v>-5.3710340000000002E-3</v>
      </c>
      <c r="H71" s="24">
        <v>-4.4216749999999999E-2</v>
      </c>
      <c r="I71" s="24">
        <v>1.3462305000000001E-2</v>
      </c>
      <c r="J71" s="24">
        <v>-9.6653699999999995E-3</v>
      </c>
      <c r="K71" s="24">
        <v>-4.6751620000000001E-2</v>
      </c>
      <c r="L71" s="24">
        <v>-4.4431450000000004E-2</v>
      </c>
      <c r="M71" s="24">
        <v>-5.3518652999999999E-2</v>
      </c>
      <c r="N71" s="24">
        <v>-3.7458181E-2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43892</v>
      </c>
      <c r="B72" s="24">
        <v>-5.9650955000000006E-2</v>
      </c>
      <c r="C72" s="24">
        <v>-8.2659479999999994E-2</v>
      </c>
      <c r="D72" s="24">
        <v>-5.0556126E-2</v>
      </c>
      <c r="E72" s="24">
        <v>-6.6596627000000005E-2</v>
      </c>
      <c r="F72" s="24">
        <v>-7.1341989999999994E-2</v>
      </c>
      <c r="G72" s="24">
        <v>-5.0564584999999995E-2</v>
      </c>
      <c r="H72" s="24">
        <v>-9.5281839999999993E-2</v>
      </c>
      <c r="I72" s="24">
        <v>-1.2096643000000001E-2</v>
      </c>
      <c r="J72" s="24">
        <v>-3.9287626999999999E-2</v>
      </c>
      <c r="K72" s="24">
        <v>-5.6687830000000002E-2</v>
      </c>
      <c r="L72" s="24">
        <v>-4.4967889999999996E-2</v>
      </c>
      <c r="M72" s="24">
        <v>-3.2489836000000001E-2</v>
      </c>
      <c r="N72" s="24">
        <v>-5.2814484000000002E-2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43923</v>
      </c>
      <c r="B73" s="24">
        <v>-0.14541567</v>
      </c>
      <c r="C73" s="24">
        <v>-0.24045050000000001</v>
      </c>
      <c r="D73" s="24">
        <v>-0.24849129</v>
      </c>
      <c r="E73" s="24">
        <v>-0.22155464</v>
      </c>
      <c r="F73" s="24">
        <v>-0.11169124</v>
      </c>
      <c r="G73" s="24">
        <v>-9.1261629999999996E-2</v>
      </c>
      <c r="H73" s="24">
        <v>-0.21266508000000001</v>
      </c>
      <c r="I73" s="24">
        <v>-0.13868505</v>
      </c>
      <c r="J73" s="24">
        <v>-0.18024837000000002</v>
      </c>
      <c r="K73" s="24">
        <v>-0.23869015000000002</v>
      </c>
      <c r="L73" s="24">
        <v>-0.19026261999999999</v>
      </c>
      <c r="M73" s="24">
        <v>-0.20536000000000001</v>
      </c>
      <c r="N73" s="24">
        <v>-0.25275124000000004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43952</v>
      </c>
      <c r="B74" s="24">
        <v>5.9813140000000001E-2</v>
      </c>
      <c r="C74" s="24">
        <v>4.3842673000000006E-2</v>
      </c>
      <c r="D74" s="24">
        <v>0.12139820999999999</v>
      </c>
      <c r="E74" s="24">
        <v>0.11287986999999999</v>
      </c>
      <c r="F74" s="24">
        <v>6.7380309999999999E-2</v>
      </c>
      <c r="G74" s="24">
        <v>3.5277367000000004E-2</v>
      </c>
      <c r="H74" s="24">
        <v>5.7634472999999999E-2</v>
      </c>
      <c r="I74" s="24">
        <v>0.14370203000000001</v>
      </c>
      <c r="J74" s="24">
        <v>0.12294005999999999</v>
      </c>
      <c r="K74" s="24">
        <v>6.4745070000000002E-2</v>
      </c>
      <c r="L74" s="24">
        <v>9.9683519999999998E-2</v>
      </c>
      <c r="M74" s="24">
        <v>8.3705789999999988E-2</v>
      </c>
      <c r="N74" s="24">
        <v>1.7182111999999999E-2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43984</v>
      </c>
      <c r="B75" s="24">
        <v>0.12460793000000001</v>
      </c>
      <c r="C75" s="24">
        <v>0.18900549000000003</v>
      </c>
      <c r="D75" s="24">
        <v>9.9831579999999989E-2</v>
      </c>
      <c r="E75" s="24">
        <v>0.16298221999999998</v>
      </c>
      <c r="F75" s="24">
        <v>0.11111116000000001</v>
      </c>
      <c r="G75" s="24">
        <v>7.0623754999999996E-2</v>
      </c>
      <c r="H75" s="24">
        <v>8.7840559999999998E-2</v>
      </c>
      <c r="I75" s="24">
        <v>0.10759616</v>
      </c>
      <c r="J75" s="24">
        <v>8.9430219999999991E-2</v>
      </c>
      <c r="K75" s="24">
        <v>0.12578094500000001</v>
      </c>
      <c r="L75" s="24">
        <v>0.13309360000000001</v>
      </c>
      <c r="M75" s="24">
        <v>0.1698538</v>
      </c>
      <c r="N75" s="24">
        <v>0.13947879999999999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44014</v>
      </c>
      <c r="B76" s="24">
        <v>7.1169376000000006E-2</v>
      </c>
      <c r="C76" s="24">
        <v>4.5401216000000001E-2</v>
      </c>
      <c r="D76" s="24">
        <v>7.7444314999999993E-3</v>
      </c>
      <c r="E76" s="24">
        <v>3.8297296000000002E-2</v>
      </c>
      <c r="F76" s="24">
        <v>-1.5711367E-2</v>
      </c>
      <c r="G76" s="24">
        <v>3.0346155E-2</v>
      </c>
      <c r="H76" s="24">
        <v>-7.9911949999999995E-3</v>
      </c>
      <c r="I76" s="24">
        <v>7.2120069999999994E-2</v>
      </c>
      <c r="J76" s="24">
        <v>1.7956852999999998E-2</v>
      </c>
      <c r="K76" s="24">
        <v>3.6696076000000001E-2</v>
      </c>
      <c r="L76" s="24">
        <v>5.9978724000000004E-2</v>
      </c>
      <c r="M76" s="24">
        <v>1.4397383E-2</v>
      </c>
      <c r="N76" s="24">
        <v>5.1975965000000006E-2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44043</v>
      </c>
      <c r="B77" s="24">
        <v>2.6384829999999998E-2</v>
      </c>
      <c r="C77" s="24">
        <v>4.0342808000000006E-3</v>
      </c>
      <c r="D77" s="24">
        <v>4.8368572999999998E-2</v>
      </c>
      <c r="E77" s="24">
        <v>2.4664521000000002E-2</v>
      </c>
      <c r="F77" s="24">
        <v>-1.5225588999999999E-2</v>
      </c>
      <c r="G77" s="24">
        <v>2.6075959999999999E-2</v>
      </c>
      <c r="H77" s="24">
        <v>-8.0336330000000001E-3</v>
      </c>
      <c r="I77" s="24">
        <v>5.3927660000000002E-2</v>
      </c>
      <c r="J77" s="24">
        <v>4.5767426E-2</v>
      </c>
      <c r="K77" s="24">
        <v>3.9511920000000001E-3</v>
      </c>
      <c r="L77" s="24">
        <v>2.3199797000000001E-2</v>
      </c>
      <c r="M77" s="24">
        <v>7.3217154000000007E-2</v>
      </c>
      <c r="N77" s="24">
        <v>6.1025620000000006E-3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44076</v>
      </c>
      <c r="B78" s="24">
        <v>3.6516785999999996E-2</v>
      </c>
      <c r="C78" s="24">
        <v>6.0773489999999999E-2</v>
      </c>
      <c r="D78" s="24">
        <v>6.1882140000000002E-2</v>
      </c>
      <c r="E78" s="24">
        <v>8.7433580000000011E-2</v>
      </c>
      <c r="F78" s="24">
        <v>8.1538679999999988E-2</v>
      </c>
      <c r="G78" s="24">
        <v>4.9839615999999996E-2</v>
      </c>
      <c r="H78" s="24">
        <v>3.4708858000000002E-2</v>
      </c>
      <c r="I78" s="24">
        <v>0.13909483</v>
      </c>
      <c r="J78" s="24">
        <v>9.5491889999999996E-2</v>
      </c>
      <c r="K78" s="24">
        <v>6.654739400000001E-2</v>
      </c>
      <c r="L78" s="24">
        <v>7.0376873000000006E-2</v>
      </c>
      <c r="M78" s="24">
        <v>6.4087389999999994E-2</v>
      </c>
      <c r="N78" s="24">
        <v>5.1759004999999997E-2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44106</v>
      </c>
      <c r="B79" s="24">
        <v>-4.1415749999999994E-2</v>
      </c>
      <c r="C79" s="24">
        <v>-6.0132623000000003E-2</v>
      </c>
      <c r="D79" s="24">
        <v>-5.0344825000000003E-2</v>
      </c>
      <c r="E79" s="24">
        <v>-5.0455690000000004E-2</v>
      </c>
      <c r="F79" s="24">
        <v>5.1057339999999998E-4</v>
      </c>
      <c r="G79" s="24">
        <v>-2.5146901999999999E-2</v>
      </c>
      <c r="H79" s="24">
        <v>-4.0626170000000003E-2</v>
      </c>
      <c r="I79" s="24">
        <v>-9.2653929999999995E-2</v>
      </c>
      <c r="J79" s="24">
        <v>-6.2923850000000003E-2</v>
      </c>
      <c r="K79" s="24">
        <v>-5.7363270000000001E-2</v>
      </c>
      <c r="L79" s="24">
        <v>-2.6684940000000001E-2</v>
      </c>
      <c r="M79" s="24">
        <v>-1.8873154999999999E-2</v>
      </c>
      <c r="N79" s="24">
        <v>-5.9208034999999999E-2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44137</v>
      </c>
      <c r="B80" s="24">
        <v>2.4191498999999998E-2</v>
      </c>
      <c r="C80" s="24">
        <v>1.5112162000000002E-3</v>
      </c>
      <c r="D80" s="24">
        <v>-2.650696E-2</v>
      </c>
      <c r="E80" s="24">
        <v>-8.6732980000000015E-2</v>
      </c>
      <c r="F80" s="24">
        <v>1.0205507000000001E-3</v>
      </c>
      <c r="G80" s="24">
        <v>-4.5081910000000003E-2</v>
      </c>
      <c r="H80" s="24">
        <v>-4.3511987000000002E-2</v>
      </c>
      <c r="I80" s="24">
        <v>-1.5785038000000001E-2</v>
      </c>
      <c r="J80" s="24">
        <v>-1.0903358E-2</v>
      </c>
      <c r="K80" s="24">
        <v>-3.3451974000000002E-2</v>
      </c>
      <c r="L80" s="24">
        <v>-2.5155424999999999E-2</v>
      </c>
      <c r="M80" s="24">
        <v>-2.6874006000000002E-2</v>
      </c>
      <c r="N80" s="24">
        <v>-4.6996299999999998E-2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44167</v>
      </c>
      <c r="B81" s="24">
        <v>0.12270450999999999</v>
      </c>
      <c r="C81" s="24">
        <v>0.17002022</v>
      </c>
      <c r="D81" s="24">
        <v>0.14360321000000001</v>
      </c>
      <c r="E81" s="24">
        <v>0.16666676</v>
      </c>
      <c r="F81" s="24">
        <v>0.11469841</v>
      </c>
      <c r="G81" s="24">
        <v>9.0381149999999993E-2</v>
      </c>
      <c r="H81" s="24">
        <v>0.18521522999999998</v>
      </c>
      <c r="I81" s="24">
        <v>0.12545371</v>
      </c>
      <c r="J81" s="24">
        <v>0.11081160000000001</v>
      </c>
      <c r="K81" s="24">
        <v>0.23048591999999998</v>
      </c>
      <c r="L81" s="24">
        <v>0.15975642000000001</v>
      </c>
      <c r="M81" s="24">
        <v>0.15406978999999998</v>
      </c>
      <c r="N81" s="24">
        <v>0.24313890000000002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44196</v>
      </c>
      <c r="B82" s="24">
        <v>2.6018620000000003E-2</v>
      </c>
      <c r="C82" s="24">
        <v>3.8402557000000004E-2</v>
      </c>
      <c r="D82" s="24">
        <v>1.8459558000000001E-2</v>
      </c>
      <c r="E82" s="24">
        <v>3.5079239999999998E-2</v>
      </c>
      <c r="F82" s="24">
        <v>3.3913732000000002E-2</v>
      </c>
      <c r="G82" s="24">
        <v>3.5039305999999999E-2</v>
      </c>
      <c r="H82" s="24">
        <v>1.5270472E-2</v>
      </c>
      <c r="I82" s="24">
        <v>3.442514E-2</v>
      </c>
      <c r="J82" s="24">
        <v>2.3692370000000001E-2</v>
      </c>
      <c r="K82" s="24">
        <v>1.3864039999999999E-4</v>
      </c>
      <c r="L82" s="24">
        <v>3.6878942999999997E-2</v>
      </c>
      <c r="M82" s="24">
        <v>1.0021805999999999E-2</v>
      </c>
      <c r="N82" s="24">
        <v>2.3910402999999997E-2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44229</v>
      </c>
      <c r="B83" s="24">
        <v>-6.4639449999999996E-3</v>
      </c>
      <c r="C83" s="24">
        <v>2.1294236000000001E-2</v>
      </c>
      <c r="D83" s="24">
        <v>2.1076560000000001E-2</v>
      </c>
      <c r="E83" s="24">
        <v>1.4164329E-2</v>
      </c>
      <c r="F83" s="24">
        <v>9.9171399999999996E-3</v>
      </c>
      <c r="G83" s="24">
        <v>2.4619101999999999E-3</v>
      </c>
      <c r="H83" s="24">
        <v>1.6387820000000001E-2</v>
      </c>
      <c r="I83" s="24">
        <v>4.4431685999999998E-2</v>
      </c>
      <c r="J83" s="24">
        <v>2.0514606999999997E-2</v>
      </c>
      <c r="K83" s="24">
        <v>-3.0058622000000003E-4</v>
      </c>
      <c r="L83" s="24">
        <v>5.5878160000000003E-2</v>
      </c>
      <c r="M83" s="24">
        <v>4.7738790000000003E-2</v>
      </c>
      <c r="N83" s="24">
        <v>-3.3968686999999995E-4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44257</v>
      </c>
      <c r="B84" s="24">
        <v>-5.2639302999999998E-2</v>
      </c>
      <c r="C84" s="24">
        <v>3.5568357000000002E-2</v>
      </c>
      <c r="D84" s="24">
        <v>5.5573224999999997E-2</v>
      </c>
      <c r="E84" s="24">
        <v>1.1173248E-2</v>
      </c>
      <c r="F84" s="24">
        <v>6.448746E-3</v>
      </c>
      <c r="G84" s="24">
        <v>-1.6521573000000001E-2</v>
      </c>
      <c r="H84" s="24">
        <v>4.3332220000000005E-2</v>
      </c>
      <c r="I84" s="24">
        <v>-2.8320313E-2</v>
      </c>
      <c r="J84" s="24">
        <v>1.3078332E-2</v>
      </c>
      <c r="K84" s="24">
        <v>3.8195489999999999E-2</v>
      </c>
      <c r="L84" s="24">
        <v>2.1763919999999999E-2</v>
      </c>
      <c r="M84" s="24">
        <v>4.2685865999999996E-2</v>
      </c>
      <c r="N84" s="24">
        <v>3.4318686000000001E-2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44287</v>
      </c>
      <c r="B85" s="24">
        <v>-2.6845634E-2</v>
      </c>
      <c r="C85" s="24">
        <v>-7.8958269999999994E-3</v>
      </c>
      <c r="D85" s="24">
        <v>4.2117834E-2</v>
      </c>
      <c r="E85" s="24">
        <v>4.2050359999999995E-2</v>
      </c>
      <c r="F85" s="24">
        <v>6.8444014000000001E-3</v>
      </c>
      <c r="G85" s="24">
        <v>2.0431400000000002E-2</v>
      </c>
      <c r="H85" s="24">
        <v>1.9639373000000002E-2</v>
      </c>
      <c r="I85" s="24">
        <v>2.0640849999999999E-2</v>
      </c>
      <c r="J85" s="24">
        <v>3.9799928999999998E-2</v>
      </c>
      <c r="K85" s="24">
        <v>2.5202749999999999E-2</v>
      </c>
      <c r="L85" s="24">
        <v>6.2107679999999998E-2</v>
      </c>
      <c r="M85" s="24">
        <v>4.0708423000000001E-2</v>
      </c>
      <c r="N85" s="24">
        <v>4.5335054E-2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44316</v>
      </c>
      <c r="B86" s="24">
        <v>3.560543E-2</v>
      </c>
      <c r="C86" s="24">
        <v>2.9844759999999998E-2</v>
      </c>
      <c r="D86" s="24">
        <v>2.8002381E-2</v>
      </c>
      <c r="E86" s="24">
        <v>1.973486E-2</v>
      </c>
      <c r="F86" s="24">
        <v>-2.4877071000000001E-2</v>
      </c>
      <c r="G86" s="24">
        <v>2.9810905000000002E-2</v>
      </c>
      <c r="H86" s="24">
        <v>2.7155041999999997E-2</v>
      </c>
      <c r="I86" s="24">
        <v>4.1346908000000002E-2</v>
      </c>
      <c r="J86" s="24">
        <v>4.1661499999999997E-2</v>
      </c>
      <c r="K86" s="24">
        <v>4.4927954999999999E-2</v>
      </c>
      <c r="L86" s="24">
        <v>1.4777302999999999E-2</v>
      </c>
      <c r="M86" s="24">
        <v>2.5856256000000001E-2</v>
      </c>
      <c r="N86" s="24">
        <v>-6.5996049999999997E-3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44349</v>
      </c>
      <c r="B87" s="24">
        <v>-3.2058239999999995E-2</v>
      </c>
      <c r="C87" s="24">
        <v>4.7913549999999999E-2</v>
      </c>
      <c r="D87" s="24">
        <v>7.3294044000000003E-2</v>
      </c>
      <c r="E87" s="24">
        <v>4.3327570000000003E-2</v>
      </c>
      <c r="F87" s="24">
        <v>2.0172119999999998E-2</v>
      </c>
      <c r="G87" s="24">
        <v>6.0488224E-2</v>
      </c>
      <c r="H87" s="24">
        <v>5.1337239999999999E-2</v>
      </c>
      <c r="I87" s="24">
        <v>-1.3373137E-2</v>
      </c>
      <c r="J87" s="24">
        <v>7.2609186000000001E-3</v>
      </c>
      <c r="K87" s="24">
        <v>6.2466264000000001E-2</v>
      </c>
      <c r="L87" s="24">
        <v>3.7237406000000001E-2</v>
      </c>
      <c r="M87" s="24">
        <v>5.9672593999999995E-2</v>
      </c>
      <c r="N87" s="24">
        <v>6.9598199999999999E-2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44379</v>
      </c>
      <c r="B88" s="24">
        <v>-4.8344730000000006E-3</v>
      </c>
      <c r="C88" s="24">
        <v>-2.2327661999999998E-2</v>
      </c>
      <c r="D88" s="24">
        <v>-9.3767047000000003E-3</v>
      </c>
      <c r="E88" s="24">
        <v>-2.0174563E-2</v>
      </c>
      <c r="F88" s="24">
        <v>-5.4016710000000003E-3</v>
      </c>
      <c r="G88" s="24">
        <v>1.5747786E-2</v>
      </c>
      <c r="H88" s="24">
        <v>-1.7594396999999998E-2</v>
      </c>
      <c r="I88" s="24">
        <v>7.6718209999999995E-2</v>
      </c>
      <c r="J88" s="24">
        <v>3.5277604999999997E-2</v>
      </c>
      <c r="K88" s="24">
        <v>-2.022767E-2</v>
      </c>
      <c r="L88" s="24">
        <v>-2.2449732E-2</v>
      </c>
      <c r="M88" s="24">
        <v>-2.1646857000000002E-2</v>
      </c>
      <c r="N88" s="24">
        <v>-2.6127635999999999E-2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44410</v>
      </c>
      <c r="B89" s="24">
        <v>-1.6709924000000001E-2</v>
      </c>
      <c r="C89" s="24">
        <v>-7.2658060000000005E-3</v>
      </c>
      <c r="D89" s="24">
        <v>-1.0098338E-2</v>
      </c>
      <c r="E89" s="24">
        <v>-6.034434E-3</v>
      </c>
      <c r="F89" s="24">
        <v>-2.2088289999999998E-3</v>
      </c>
      <c r="G89" s="24">
        <v>3.0228734E-2</v>
      </c>
      <c r="H89" s="24">
        <v>-4.2372942E-3</v>
      </c>
      <c r="I89" s="24">
        <v>1.6618371E-2</v>
      </c>
      <c r="J89" s="24">
        <v>8.9228152999999994E-3</v>
      </c>
      <c r="K89" s="24">
        <v>1.3133645000000001E-2</v>
      </c>
      <c r="L89" s="24">
        <v>3.4902929999999999E-2</v>
      </c>
      <c r="M89" s="24">
        <v>3.2319783999999997E-2</v>
      </c>
      <c r="N89" s="24">
        <v>-6.4555406999999999E-3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44441</v>
      </c>
      <c r="B90" s="24">
        <v>6.2860846999999997E-2</v>
      </c>
      <c r="C90" s="24">
        <v>1.6949176999999999E-2</v>
      </c>
      <c r="D90" s="24">
        <v>2.0671129999999999E-2</v>
      </c>
      <c r="E90" s="24">
        <v>1.7346025000000001E-2</v>
      </c>
      <c r="F90" s="24">
        <v>3.0549050000000001E-2</v>
      </c>
      <c r="G90" s="24">
        <v>9.9127290000000003E-3</v>
      </c>
      <c r="H90" s="24">
        <v>1.6413331E-2</v>
      </c>
      <c r="I90" s="24">
        <v>4.3335079999999998E-2</v>
      </c>
      <c r="J90" s="24">
        <v>3.5649776000000001E-2</v>
      </c>
      <c r="K90" s="24">
        <v>2.3074865E-2</v>
      </c>
      <c r="L90" s="24">
        <v>7.2640179999999999E-2</v>
      </c>
      <c r="M90" s="24">
        <v>7.8270435000000003E-3</v>
      </c>
      <c r="N90" s="24">
        <v>2.9702902E-2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44470</v>
      </c>
      <c r="B91" s="24">
        <v>-2.7320682999999998E-2</v>
      </c>
      <c r="C91" s="24">
        <v>-5.5302977999999996E-2</v>
      </c>
      <c r="D91" s="24">
        <v>-3.6559700000000001E-2</v>
      </c>
      <c r="E91" s="24">
        <v>-6.3938620000000002E-2</v>
      </c>
      <c r="F91" s="24">
        <v>1.4320611999999999E-3</v>
      </c>
      <c r="G91" s="24">
        <v>-7.7738523000000004E-2</v>
      </c>
      <c r="H91" s="24">
        <v>-3.1399488000000003E-2</v>
      </c>
      <c r="I91" s="24">
        <v>-5.2082895999999997E-2</v>
      </c>
      <c r="J91" s="24">
        <v>-3.8714527999999998E-2</v>
      </c>
      <c r="K91" s="24">
        <v>-4.7389745999999996E-2</v>
      </c>
      <c r="L91" s="24">
        <v>-8.0930230000000006E-2</v>
      </c>
      <c r="M91" s="24">
        <v>-7.4187636000000001E-2</v>
      </c>
      <c r="N91" s="24">
        <v>-4.1466293000000001E-2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44502</v>
      </c>
      <c r="B92" s="24">
        <v>8.4536076000000012E-3</v>
      </c>
      <c r="C92" s="24">
        <v>4.9318314000000002E-2</v>
      </c>
      <c r="D92" s="24">
        <v>7.3710083999999995E-2</v>
      </c>
      <c r="E92" s="24">
        <v>4.2501569999999995E-2</v>
      </c>
      <c r="F92" s="24">
        <v>-8.2940460000000011E-3</v>
      </c>
      <c r="G92" s="24">
        <v>7.577693499999999E-2</v>
      </c>
      <c r="H92" s="24">
        <v>3.8283467000000002E-2</v>
      </c>
      <c r="I92" s="24">
        <v>8.0154299999999998E-2</v>
      </c>
      <c r="J92" s="24">
        <v>6.3697456999999999E-2</v>
      </c>
      <c r="K92" s="24">
        <v>5.7994127000000006E-2</v>
      </c>
      <c r="L92" s="24">
        <v>5.8299539999999997E-2</v>
      </c>
      <c r="M92" s="24">
        <v>6.1810136000000002E-2</v>
      </c>
      <c r="N92" s="24">
        <v>6.1128496999999997E-2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44532</v>
      </c>
      <c r="B93" s="24">
        <v>-6.5037490000000003E-2</v>
      </c>
      <c r="C93" s="24">
        <v>-5.7699680000000003E-2</v>
      </c>
      <c r="D93" s="24">
        <v>-4.6020865000000001E-2</v>
      </c>
      <c r="E93" s="24">
        <v>-6.6977261999999996E-2</v>
      </c>
      <c r="F93" s="24">
        <v>-3.4318625999999998E-2</v>
      </c>
      <c r="G93" s="24">
        <v>-2.0577788E-2</v>
      </c>
      <c r="H93" s="24">
        <v>-3.4195719999999999E-2</v>
      </c>
      <c r="I93" s="24">
        <v>2.2104978999999999E-3</v>
      </c>
      <c r="J93" s="24">
        <v>-9.7423790000000007E-3</v>
      </c>
      <c r="K93" s="24">
        <v>-4.4254540000000002E-2</v>
      </c>
      <c r="L93" s="24">
        <v>-6.1782719999999999E-2</v>
      </c>
      <c r="M93" s="24">
        <v>-5.6548833999999999E-2</v>
      </c>
      <c r="N93" s="24">
        <v>-6.2038363999999999E-2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44561</v>
      </c>
      <c r="B94" s="24">
        <v>1.1879325000000001E-2</v>
      </c>
      <c r="C94" s="24">
        <v>4.3589710000000004E-2</v>
      </c>
      <c r="D94" s="24">
        <v>3.7511705999999999E-2</v>
      </c>
      <c r="E94" s="24">
        <v>3.1947613E-2</v>
      </c>
      <c r="F94" s="24">
        <v>1.3126253999999999E-2</v>
      </c>
      <c r="G94" s="24">
        <v>6.5252541999999997E-2</v>
      </c>
      <c r="H94" s="24">
        <v>4.8408628000000002E-2</v>
      </c>
      <c r="I94" s="24">
        <v>2.1680831999999997E-2</v>
      </c>
      <c r="J94" s="24">
        <v>4.2086005000000003E-2</v>
      </c>
      <c r="K94" s="24">
        <v>5.1185726999999993E-2</v>
      </c>
      <c r="L94" s="24">
        <v>2.7664900000000003E-2</v>
      </c>
      <c r="M94" s="24">
        <v>5.3033830000000004E-2</v>
      </c>
      <c r="N94" s="24">
        <v>4.8100232999999999E-2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44594</v>
      </c>
      <c r="B95" s="24">
        <v>-8.4239189999999992E-2</v>
      </c>
      <c r="C95" s="24">
        <v>-6.2424480000000004E-2</v>
      </c>
      <c r="D95" s="24">
        <v>1.0668755E-2</v>
      </c>
      <c r="E95" s="24">
        <v>-1.2812614E-2</v>
      </c>
      <c r="F95" s="24">
        <v>-2.807641E-2</v>
      </c>
      <c r="G95" s="24">
        <v>-5.1204260000000001E-2</v>
      </c>
      <c r="H95" s="24">
        <v>4.3753742999999998E-2</v>
      </c>
      <c r="I95" s="24">
        <v>-7.3796689999999998E-2</v>
      </c>
      <c r="J95" s="24">
        <v>-3.7076771000000001E-2</v>
      </c>
      <c r="K95" s="24">
        <v>-7.7159999999999998E-3</v>
      </c>
      <c r="L95" s="24">
        <v>-6.1927557000000001E-2</v>
      </c>
      <c r="M95" s="24">
        <v>-6.5832139999999997E-2</v>
      </c>
      <c r="N95" s="24">
        <v>9.7531079999999999E-3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44622</v>
      </c>
      <c r="B96" s="24">
        <v>2.410984E-2</v>
      </c>
      <c r="C96" s="24">
        <v>5.7130574999999996E-2</v>
      </c>
      <c r="D96" s="24">
        <v>-6.6940784000000001E-3</v>
      </c>
      <c r="E96" s="24">
        <v>-0.12731772</v>
      </c>
      <c r="F96" s="24">
        <v>-4.287034E-2</v>
      </c>
      <c r="G96" s="24">
        <v>-4.5972403999999994E-2</v>
      </c>
      <c r="H96" s="24">
        <v>-2.4862706999999998E-2</v>
      </c>
      <c r="I96" s="24">
        <v>-5.7722034000000005E-2</v>
      </c>
      <c r="J96" s="24">
        <v>-4.2549429999999999E-2</v>
      </c>
      <c r="K96" s="24">
        <v>-0.10212552999999999</v>
      </c>
      <c r="L96" s="24">
        <v>-0.10974318</v>
      </c>
      <c r="M96" s="24">
        <v>-0.14787423999999999</v>
      </c>
      <c r="N96" s="24">
        <v>-0.11198311999999999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44652</v>
      </c>
      <c r="B97" s="24">
        <v>1.8109083000000001E-3</v>
      </c>
      <c r="C97" s="24">
        <v>8.4518430000000005E-2</v>
      </c>
      <c r="D97" s="24">
        <v>4.2509079999999998E-2</v>
      </c>
      <c r="E97" s="24">
        <v>1.3102055E-2</v>
      </c>
      <c r="F97" s="24">
        <v>-5.7794449999999994E-3</v>
      </c>
      <c r="G97" s="24">
        <v>3.7293077000000001E-2</v>
      </c>
      <c r="H97" s="24">
        <v>5.9294700000000001E-3</v>
      </c>
      <c r="I97" s="24">
        <v>4.3425680000000001E-2</v>
      </c>
      <c r="J97" s="24">
        <v>3.7502170000000001E-2</v>
      </c>
      <c r="K97" s="24">
        <v>2.8868318E-2</v>
      </c>
      <c r="L97" s="24">
        <v>1.9074917E-2</v>
      </c>
      <c r="M97" s="24">
        <v>7.7548859999999997E-2</v>
      </c>
      <c r="N97" s="24">
        <v>1.8694757999999999E-2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44683</v>
      </c>
      <c r="B98" s="24">
        <v>-0.104302225</v>
      </c>
      <c r="C98" s="24">
        <v>-8.1678569999999992E-2</v>
      </c>
      <c r="D98" s="24">
        <v>-8.1054270000000012E-2</v>
      </c>
      <c r="E98" s="24">
        <v>-9.2625030000000011E-2</v>
      </c>
      <c r="F98" s="24">
        <v>-8.6064929999999998E-2</v>
      </c>
      <c r="G98" s="24">
        <v>-6.8672953000000009E-2</v>
      </c>
      <c r="H98" s="24">
        <v>-5.3050399999999998E-2</v>
      </c>
      <c r="I98" s="24">
        <v>-0.1198563</v>
      </c>
      <c r="J98" s="24">
        <v>-8.4871529999999987E-2</v>
      </c>
      <c r="K98" s="24">
        <v>-7.8843949999999996E-2</v>
      </c>
      <c r="L98" s="24">
        <v>-0.10318202</v>
      </c>
      <c r="M98" s="24">
        <v>-0.10770011</v>
      </c>
      <c r="N98" s="24">
        <v>-8.4751370000000006E-2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44714</v>
      </c>
      <c r="B99" s="24">
        <v>-6.4581036999999996E-3</v>
      </c>
      <c r="C99" s="24">
        <v>3.3863783000000001E-2</v>
      </c>
      <c r="D99" s="24">
        <v>4.3831230000000006E-2</v>
      </c>
      <c r="E99" s="24">
        <v>6.664109E-2</v>
      </c>
      <c r="F99" s="24">
        <v>2.8621911999999999E-2</v>
      </c>
      <c r="G99" s="24">
        <v>-1.1060536000000001E-2</v>
      </c>
      <c r="H99" s="24">
        <v>3.7348270000000003E-2</v>
      </c>
      <c r="I99" s="24">
        <v>-1.287365E-2</v>
      </c>
      <c r="J99" s="24">
        <v>7.0208309999999999E-3</v>
      </c>
      <c r="K99" s="24">
        <v>5.9092282999999995E-2</v>
      </c>
      <c r="L99" s="24">
        <v>3.4959435000000004E-2</v>
      </c>
      <c r="M99" s="24">
        <v>5.9785723999999998E-2</v>
      </c>
      <c r="N99" s="24">
        <v>5.2861810000000002E-2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44743</v>
      </c>
      <c r="B100" s="24">
        <v>-8.8556349999999992E-2</v>
      </c>
      <c r="C100" s="24">
        <v>-0.14083056999999999</v>
      </c>
      <c r="D100" s="24">
        <v>-0.11110049</v>
      </c>
      <c r="E100" s="24">
        <v>-0.14257507999999999</v>
      </c>
      <c r="F100" s="24">
        <v>-7.9886730000000003E-2</v>
      </c>
      <c r="G100" s="24">
        <v>-6.9553732999999993E-2</v>
      </c>
      <c r="H100" s="24">
        <v>-8.6745680000000006E-2</v>
      </c>
      <c r="I100" s="24">
        <v>-0.10089898</v>
      </c>
      <c r="J100" s="24">
        <v>-8.2672960000000004E-2</v>
      </c>
      <c r="K100" s="24">
        <v>-0.10848039999999999</v>
      </c>
      <c r="L100" s="24">
        <v>-0.11281073</v>
      </c>
      <c r="M100" s="24">
        <v>-0.16381073000000002</v>
      </c>
      <c r="N100" s="24">
        <v>-0.13597255999999999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44775</v>
      </c>
      <c r="B101" s="24">
        <v>8.3201885000000003E-2</v>
      </c>
      <c r="C101" s="24">
        <v>6.4011454999999995E-2</v>
      </c>
      <c r="D101" s="24">
        <v>2.1151542999999998E-2</v>
      </c>
      <c r="E101" s="24">
        <v>9.1185570000000011E-3</v>
      </c>
      <c r="F101" s="24">
        <v>5.1649450000000006E-2</v>
      </c>
      <c r="G101" s="24">
        <v>2.8859973000000001E-2</v>
      </c>
      <c r="H101" s="24">
        <v>2.4757385E-2</v>
      </c>
      <c r="I101" s="24">
        <v>0.11413168999999999</v>
      </c>
      <c r="J101" s="24">
        <v>7.0349455000000005E-2</v>
      </c>
      <c r="K101" s="24">
        <v>3.8857580000000003E-2</v>
      </c>
      <c r="L101" s="24">
        <v>7.2250960000000003E-2</v>
      </c>
      <c r="M101" s="24">
        <v>7.0072055000000008E-2</v>
      </c>
      <c r="N101" s="24">
        <v>0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44806</v>
      </c>
      <c r="B102" s="24">
        <v>-2.4354756000000002E-2</v>
      </c>
      <c r="C102" s="24">
        <v>-2.9857396999999997E-2</v>
      </c>
      <c r="D102" s="24">
        <v>-3.1645536000000002E-2</v>
      </c>
      <c r="E102" s="24">
        <v>-8.1325289999999995E-2</v>
      </c>
      <c r="F102" s="24">
        <v>-6.1301350000000004E-2</v>
      </c>
      <c r="G102" s="24">
        <v>-6.4749899999999999E-2</v>
      </c>
      <c r="H102" s="24">
        <v>-7.2477936999999992E-2</v>
      </c>
      <c r="I102" s="24">
        <v>-6.0954990000000001E-2</v>
      </c>
      <c r="J102" s="24">
        <v>-3.8768828000000005E-2</v>
      </c>
      <c r="K102" s="24">
        <v>-7.4488459999999992E-2</v>
      </c>
      <c r="L102" s="24">
        <v>-0.11087251000000001</v>
      </c>
      <c r="M102" s="24">
        <v>-0.10709911</v>
      </c>
      <c r="N102" s="24">
        <v>-5.7827352999999998E-2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44834</v>
      </c>
      <c r="B103" s="24">
        <v>-0.12139958000000001</v>
      </c>
      <c r="C103" s="24">
        <v>-9.8759770000000011E-2</v>
      </c>
      <c r="D103" s="24">
        <v>-8.615565E-2</v>
      </c>
      <c r="E103" s="24">
        <v>-7.5409889999999993E-2</v>
      </c>
      <c r="F103" s="24">
        <v>-6.7214070000000001E-2</v>
      </c>
      <c r="G103" s="24">
        <v>-6.3983917000000001E-2</v>
      </c>
      <c r="H103" s="24">
        <v>-7.7437519999999996E-2</v>
      </c>
      <c r="I103" s="24">
        <v>-9.2942479999999994E-2</v>
      </c>
      <c r="J103" s="24">
        <v>-8.5613609999999993E-2</v>
      </c>
      <c r="K103" s="24">
        <v>-7.4266014000000005E-2</v>
      </c>
      <c r="L103" s="24">
        <v>-7.6992749999999999E-2</v>
      </c>
      <c r="M103" s="24">
        <v>-6.6141186000000005E-2</v>
      </c>
      <c r="N103" s="24">
        <v>-5.7430925000000001E-2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44867</v>
      </c>
      <c r="B104" s="24">
        <v>4.9781440000000003E-2</v>
      </c>
      <c r="C104" s="24">
        <v>5.1478029999999994E-2</v>
      </c>
      <c r="D104" s="24">
        <v>5.819237E-2</v>
      </c>
      <c r="E104" s="24">
        <v>8.8652499999999995E-2</v>
      </c>
      <c r="F104" s="24">
        <v>2.4360300000000001E-2</v>
      </c>
      <c r="G104" s="24">
        <v>3.2843827999999999E-2</v>
      </c>
      <c r="H104" s="24">
        <v>6.2953115000000004E-2</v>
      </c>
      <c r="I104" s="24">
        <v>-5.9118866999999997E-3</v>
      </c>
      <c r="J104" s="24">
        <v>4.9526810000000004E-2</v>
      </c>
      <c r="K104" s="24">
        <v>9.4029900000000013E-2</v>
      </c>
      <c r="L104" s="24">
        <v>4.3179629999999997E-2</v>
      </c>
      <c r="M104" s="24">
        <v>6.9357753000000008E-2</v>
      </c>
      <c r="N104" s="24">
        <v>0.11162793999999999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44897</v>
      </c>
      <c r="B105" s="24">
        <v>0.15521622000000002</v>
      </c>
      <c r="C105" s="24">
        <v>0.14590406</v>
      </c>
      <c r="D105" s="24">
        <v>8.141327000000001E-2</v>
      </c>
      <c r="E105" s="24">
        <v>0.19776642</v>
      </c>
      <c r="F105" s="24">
        <v>0.11770581999999999</v>
      </c>
      <c r="G105" s="24">
        <v>0.12202692000000001</v>
      </c>
      <c r="H105" s="24">
        <v>0.14501070999999999</v>
      </c>
      <c r="I105" s="24">
        <v>0.10113668000000001</v>
      </c>
      <c r="J105" s="24">
        <v>8.5469610000000001E-2</v>
      </c>
      <c r="K105" s="24">
        <v>0.16234661</v>
      </c>
      <c r="L105" s="24">
        <v>0.23551892999999999</v>
      </c>
      <c r="M105" s="24">
        <v>0.17673301999999999</v>
      </c>
      <c r="N105" s="24">
        <v>0.16987442000000003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44925</v>
      </c>
      <c r="B106" s="24">
        <v>-2.3119628E-2</v>
      </c>
      <c r="C106" s="24">
        <v>-4.2133865000000006E-2</v>
      </c>
      <c r="D106" s="24">
        <v>-5.662155E-2</v>
      </c>
      <c r="E106" s="24">
        <v>-3.8915694000000001E-2</v>
      </c>
      <c r="F106" s="24">
        <v>-2.4477183999999999E-2</v>
      </c>
      <c r="G106" s="24">
        <v>-3.3870995000000001E-2</v>
      </c>
      <c r="H106" s="24">
        <v>-2.4490237000000002E-2</v>
      </c>
      <c r="I106" s="24">
        <v>-8.7585029999999994E-2</v>
      </c>
      <c r="J106" s="24">
        <v>-5.579245E-2</v>
      </c>
      <c r="K106" s="24">
        <v>-2.4663806E-2</v>
      </c>
      <c r="L106" s="24">
        <v>-4.8969563999999993E-2</v>
      </c>
      <c r="M106" s="24">
        <v>-5.1769256999999999E-2</v>
      </c>
      <c r="N106" s="24">
        <v>-2.1992265999999996E-2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44959</v>
      </c>
      <c r="B107" s="24">
        <v>9.3511819999999996E-2</v>
      </c>
      <c r="C107" s="24">
        <v>0.12190735</v>
      </c>
      <c r="D107" s="24">
        <v>9.1659070000000009E-2</v>
      </c>
      <c r="E107" s="24">
        <v>0.1674081</v>
      </c>
      <c r="F107" s="24">
        <v>7.8802346999999995E-2</v>
      </c>
      <c r="G107" s="24">
        <v>7.9418062999999997E-2</v>
      </c>
      <c r="H107" s="24">
        <v>5.5773020000000006E-2</v>
      </c>
      <c r="I107" s="24">
        <v>0.17064750000000001</v>
      </c>
      <c r="J107" s="24">
        <v>8.9820385000000003E-2</v>
      </c>
      <c r="K107" s="24">
        <v>0.12922716000000001</v>
      </c>
      <c r="L107" s="24">
        <v>0.16836726999999999</v>
      </c>
      <c r="M107" s="24">
        <v>0.13578711999999998</v>
      </c>
      <c r="N107" s="24">
        <v>0.13697100000000001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44987</v>
      </c>
      <c r="B108" s="24">
        <v>-6.6867590000000005E-2</v>
      </c>
      <c r="C108" s="24">
        <v>-7.3777079999999995E-2</v>
      </c>
      <c r="D108" s="24">
        <v>-3.7783325E-2</v>
      </c>
      <c r="E108" s="24">
        <v>-5.1264342999999997E-2</v>
      </c>
      <c r="F108" s="24">
        <v>-4.4951439999999995E-2</v>
      </c>
      <c r="G108" s="24">
        <v>-3.3362745999999999E-2</v>
      </c>
      <c r="H108" s="24">
        <v>4.0160418E-3</v>
      </c>
      <c r="I108" s="24">
        <v>-5.8097066999999995E-2</v>
      </c>
      <c r="J108" s="24">
        <v>-4.5515594000000006E-2</v>
      </c>
      <c r="K108" s="24">
        <v>-1.5508055999999999E-2</v>
      </c>
      <c r="L108" s="24">
        <v>-5.3091169999999993E-2</v>
      </c>
      <c r="M108" s="24">
        <v>-4.1122079999999998E-2</v>
      </c>
      <c r="N108" s="24">
        <v>-1.2406110999999999E-2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45016</v>
      </c>
      <c r="B109" s="24">
        <v>7.8724620000000002E-3</v>
      </c>
      <c r="C109" s="24">
        <v>-6.9264174E-3</v>
      </c>
      <c r="D109" s="24">
        <v>-5.8173540000000003E-3</v>
      </c>
      <c r="E109" s="24">
        <v>3.906536E-2</v>
      </c>
      <c r="F109" s="24">
        <v>4.6354054999999998E-2</v>
      </c>
      <c r="G109" s="24">
        <v>3.5885691999999997E-2</v>
      </c>
      <c r="H109" s="24">
        <v>-7.3846579999999997E-3</v>
      </c>
      <c r="I109" s="24">
        <v>9.4735739999999999E-2</v>
      </c>
      <c r="J109" s="24">
        <v>3.3084034999999998E-2</v>
      </c>
      <c r="K109" s="24">
        <v>2.6615977000000002E-2</v>
      </c>
      <c r="L109" s="24">
        <v>2.4271846E-2</v>
      </c>
      <c r="M109" s="24">
        <v>9.3723535999999993E-3</v>
      </c>
      <c r="N109" s="24">
        <v>5.9504509999999998E-3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45048</v>
      </c>
      <c r="B110" s="24">
        <v>-1.602292E-3</v>
      </c>
      <c r="C110" s="24">
        <v>-3.9232970000000001E-3</v>
      </c>
      <c r="D110" s="24">
        <v>1.1702776E-2</v>
      </c>
      <c r="E110" s="24">
        <v>2.0379543E-2</v>
      </c>
      <c r="F110" s="24">
        <v>-6.9858430000000003E-3</v>
      </c>
      <c r="G110" s="24">
        <v>6.0017705000000005E-2</v>
      </c>
      <c r="H110" s="24">
        <v>3.502798E-2</v>
      </c>
      <c r="I110" s="24">
        <v>-4.8297048E-3</v>
      </c>
      <c r="J110" s="24">
        <v>3.5418272000000001E-3</v>
      </c>
      <c r="K110" s="24">
        <v>3.4391522000000001E-2</v>
      </c>
      <c r="L110" s="24">
        <v>-8.0568789999999994E-3</v>
      </c>
      <c r="M110" s="24">
        <v>2.7011752000000003E-2</v>
      </c>
      <c r="N110" s="24">
        <v>2.1031857000000001E-2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45079</v>
      </c>
      <c r="B111" s="24">
        <v>-2.0060182000000003E-2</v>
      </c>
      <c r="C111" s="24">
        <v>-6.1270000000000005E-3</v>
      </c>
      <c r="D111" s="24">
        <v>-4.0487050000000005E-3</v>
      </c>
      <c r="E111" s="24">
        <v>-1.4807165000000001E-2</v>
      </c>
      <c r="F111" s="24">
        <v>6.3829780000000003E-2</v>
      </c>
      <c r="G111" s="24">
        <v>-1.7693639000000001E-2</v>
      </c>
      <c r="H111" s="24">
        <v>-2.2761284999999999E-2</v>
      </c>
      <c r="I111" s="24">
        <v>0.11043262500000001</v>
      </c>
      <c r="J111" s="24">
        <v>4.1573405000000001E-2</v>
      </c>
      <c r="K111" s="24">
        <v>-3.3248066999999999E-2</v>
      </c>
      <c r="L111" s="24">
        <v>1.9589067000000002E-2</v>
      </c>
      <c r="M111" s="24">
        <v>-3.3972620000000002E-2</v>
      </c>
      <c r="N111" s="24">
        <v>-9.3337300000000002E-3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45107</v>
      </c>
      <c r="B112" s="24">
        <v>1.2698054E-2</v>
      </c>
      <c r="C112" s="24">
        <v>1.1723160999999999E-2</v>
      </c>
      <c r="D112" s="24">
        <v>2.6263714000000001E-2</v>
      </c>
      <c r="E112" s="24">
        <v>2.6022314999999997E-2</v>
      </c>
      <c r="F112" s="24">
        <v>5.4354670000000002E-3</v>
      </c>
      <c r="G112" s="24">
        <v>1.2161731999999999E-3</v>
      </c>
      <c r="H112" s="24">
        <v>1.0677695000000001E-2</v>
      </c>
      <c r="I112" s="24">
        <v>4.307747E-2</v>
      </c>
      <c r="J112" s="24">
        <v>3.9756535999999995E-2</v>
      </c>
      <c r="K112" s="24">
        <v>4.2100310000000002E-2</v>
      </c>
      <c r="L112" s="24">
        <v>2.5419234999999998E-2</v>
      </c>
      <c r="M112" s="24">
        <v>4.5377016000000001E-3</v>
      </c>
      <c r="N112" s="24">
        <v>5.9487342999999998E-2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45140</v>
      </c>
      <c r="B113" s="24">
        <v>-1.2249886999999999E-2</v>
      </c>
      <c r="C113" s="24">
        <v>-9.3125699999999992E-3</v>
      </c>
      <c r="D113" s="24">
        <v>-2.2864342E-3</v>
      </c>
      <c r="E113" s="24">
        <v>-8.7504386999999999E-3</v>
      </c>
      <c r="F113" s="24">
        <v>-6.623566E-3</v>
      </c>
      <c r="G113" s="24">
        <v>1.2984275999999999E-2</v>
      </c>
      <c r="H113" s="24">
        <v>9.2744829999999998E-4</v>
      </c>
      <c r="I113" s="24">
        <v>1.3453484E-2</v>
      </c>
      <c r="J113" s="24">
        <v>1.5452980999999999E-2</v>
      </c>
      <c r="K113" s="24">
        <v>-1.5572250000000001E-2</v>
      </c>
      <c r="L113" s="24">
        <v>9.2422960000000003E-4</v>
      </c>
      <c r="M113" s="24">
        <v>-2.3433030000000001E-2</v>
      </c>
      <c r="N113" s="24">
        <v>2.0421027999999997E-2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45170</v>
      </c>
      <c r="B114" s="24">
        <v>-5.9528770000000002E-2</v>
      </c>
      <c r="C114" s="24">
        <v>-4.0286779999999999E-3</v>
      </c>
      <c r="D114" s="24">
        <v>5.7291984999999993E-4</v>
      </c>
      <c r="E114" s="24">
        <v>-2.5070608000000001E-2</v>
      </c>
      <c r="F114" s="24">
        <v>8.9445114000000006E-3</v>
      </c>
      <c r="G114" s="24">
        <v>-1.8799423999999999E-2</v>
      </c>
      <c r="H114" s="24">
        <v>-9.8826290000000004E-3</v>
      </c>
      <c r="I114" s="24">
        <v>8.5471870000000012E-3</v>
      </c>
      <c r="J114" s="24">
        <v>2.3548603E-3</v>
      </c>
      <c r="K114" s="24">
        <v>-1.3182163E-2</v>
      </c>
      <c r="L114" s="24">
        <v>-5.1015673000000004E-2</v>
      </c>
      <c r="M114" s="24">
        <v>-4.1630507000000004E-2</v>
      </c>
      <c r="N114" s="24">
        <v>-1.9704401E-2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45201</v>
      </c>
      <c r="B115" s="24">
        <v>-3.6923110000000002E-2</v>
      </c>
      <c r="C115" s="24">
        <v>-5.3033710000000005E-2</v>
      </c>
      <c r="D115" s="24">
        <v>-6.4128279999999996E-2</v>
      </c>
      <c r="E115" s="24">
        <v>-6.7729115000000006E-2</v>
      </c>
      <c r="F115" s="24">
        <v>-3.6589323999999999E-2</v>
      </c>
      <c r="G115" s="24">
        <v>-6.0962319999999993E-2</v>
      </c>
      <c r="H115" s="24">
        <v>-3.1815349999999999E-2</v>
      </c>
      <c r="I115" s="24">
        <v>-4.1865587000000003E-2</v>
      </c>
      <c r="J115" s="24">
        <v>-4.9544930000000001E-2</v>
      </c>
      <c r="K115" s="24">
        <v>-6.7592800000000008E-2</v>
      </c>
      <c r="L115" s="24">
        <v>-9.0002479999999996E-2</v>
      </c>
      <c r="M115" s="24">
        <v>-2.2926152000000002E-2</v>
      </c>
      <c r="N115" s="24">
        <v>-6.6582920000000004E-2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45232</v>
      </c>
      <c r="B116" s="24">
        <v>-2.7384757999999996E-3</v>
      </c>
      <c r="C116" s="24">
        <v>2.2781134000000001E-2</v>
      </c>
      <c r="D116" s="24">
        <v>1.9577979999999998E-2</v>
      </c>
      <c r="E116" s="24">
        <v>6.6045520000000005E-3</v>
      </c>
      <c r="F116" s="24">
        <v>1.9742369999999999E-2</v>
      </c>
      <c r="G116" s="24">
        <v>-2.086699E-3</v>
      </c>
      <c r="H116" s="24">
        <v>5.4767129999999994E-3</v>
      </c>
      <c r="I116" s="24">
        <v>6.0343740000000003E-3</v>
      </c>
      <c r="J116" s="24">
        <v>8.0738069999999988E-3</v>
      </c>
      <c r="K116" s="24">
        <v>1.7765045E-2</v>
      </c>
      <c r="L116" s="24">
        <v>3.3680796999999998E-2</v>
      </c>
      <c r="M116" s="24">
        <v>-6.7922470000000004E-3</v>
      </c>
      <c r="N116" s="24">
        <v>4.0040373999999997E-2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45261</v>
      </c>
      <c r="B117" s="24">
        <v>8.0320359999999993E-2</v>
      </c>
      <c r="C117" s="24">
        <v>6.4037204E-2</v>
      </c>
      <c r="D117" s="24">
        <v>6.4806459999999996E-2</v>
      </c>
      <c r="E117" s="24">
        <v>0.10883832</v>
      </c>
      <c r="F117" s="24">
        <v>3.7079572999999998E-2</v>
      </c>
      <c r="G117" s="24">
        <v>6.4823389999999995E-2</v>
      </c>
      <c r="H117" s="24">
        <v>5.3508519999999997E-2</v>
      </c>
      <c r="I117" s="24">
        <v>7.2914359999999998E-2</v>
      </c>
      <c r="J117" s="24">
        <v>6.5790653000000004E-2</v>
      </c>
      <c r="K117" s="24">
        <v>6.2781570000000009E-2</v>
      </c>
      <c r="L117" s="24">
        <v>9.8008869999999998E-2</v>
      </c>
      <c r="M117" s="24">
        <v>0.14361214999999999</v>
      </c>
      <c r="N117" s="24">
        <v>7.2468519999999995E-2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45293</v>
      </c>
      <c r="B118" s="24">
        <v>3.2702564999999996E-2</v>
      </c>
      <c r="C118" s="24">
        <v>7.490492E-2</v>
      </c>
      <c r="D118" s="24">
        <v>3.6759496000000003E-2</v>
      </c>
      <c r="E118" s="24">
        <v>2.1285653000000002E-2</v>
      </c>
      <c r="F118" s="24">
        <v>1.9710182999999999E-2</v>
      </c>
      <c r="G118" s="24">
        <v>4.6257854000000001E-2</v>
      </c>
      <c r="H118" s="24">
        <v>1.8665670999999998E-2</v>
      </c>
      <c r="I118" s="24">
        <v>3.5033345E-2</v>
      </c>
      <c r="J118" s="24">
        <v>3.3695339999999997E-2</v>
      </c>
      <c r="K118" s="24">
        <v>2.9442786999999998E-2</v>
      </c>
      <c r="L118" s="24">
        <v>3.2697678000000001E-2</v>
      </c>
      <c r="M118" s="24">
        <v>7.7335477E-2</v>
      </c>
      <c r="N118" s="24">
        <v>2.9111028000000001E-2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45324</v>
      </c>
      <c r="B119" s="24">
        <v>-3.0778824999999999E-2</v>
      </c>
      <c r="C119" s="24">
        <v>-2.2774280000000001E-2</v>
      </c>
      <c r="D119" s="24">
        <v>2.4793148000000001E-3</v>
      </c>
      <c r="E119" s="24">
        <v>-3.7491918000000001E-3</v>
      </c>
      <c r="F119" s="24">
        <v>4.6412826000000004E-2</v>
      </c>
      <c r="G119" s="24">
        <v>-1.2930094999999999E-2</v>
      </c>
      <c r="H119" s="24">
        <v>-8.5523130000000006E-3</v>
      </c>
      <c r="I119" s="24">
        <v>6.5625070000000008E-2</v>
      </c>
      <c r="J119" s="24">
        <v>4.5911429999999996E-2</v>
      </c>
      <c r="K119" s="24">
        <v>-2.5904178999999999E-4</v>
      </c>
      <c r="L119" s="24">
        <v>5.2849292999999999E-2</v>
      </c>
      <c r="M119" s="24">
        <v>-3.0765234999999998E-2</v>
      </c>
      <c r="N119" s="24">
        <v>-1.7808676000000002E-3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45352</v>
      </c>
      <c r="B120" s="24">
        <v>-1.5554129999999999E-2</v>
      </c>
      <c r="C120" s="24">
        <v>2.4999976E-2</v>
      </c>
      <c r="D120" s="24">
        <v>1.9785642999999999E-2</v>
      </c>
      <c r="E120" s="24">
        <v>5.3027749999999998E-2</v>
      </c>
      <c r="F120" s="24">
        <v>5.7434915999999996E-2</v>
      </c>
      <c r="G120" s="24">
        <v>-5.0708055E-3</v>
      </c>
      <c r="H120" s="24">
        <v>1.4171243E-2</v>
      </c>
      <c r="I120" s="24">
        <v>3.8693666000000002E-2</v>
      </c>
      <c r="J120" s="24">
        <v>3.7422775999999998E-2</v>
      </c>
      <c r="K120" s="24">
        <v>4.2487143999999998E-2</v>
      </c>
      <c r="L120" s="24">
        <v>5.4779649999999999E-2</v>
      </c>
      <c r="M120" s="24">
        <v>6.6684484000000002E-2</v>
      </c>
      <c r="N120" s="24">
        <v>6.779658999999999E-2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45384</v>
      </c>
      <c r="B121" s="24">
        <v>-2.6332736E-3</v>
      </c>
      <c r="C121" s="24">
        <v>1.3641953E-2</v>
      </c>
      <c r="D121" s="24">
        <v>2.5060654000000002E-2</v>
      </c>
      <c r="E121" s="24">
        <v>1.8518567E-2</v>
      </c>
      <c r="F121" s="24">
        <v>-5.829692E-3</v>
      </c>
      <c r="G121" s="24">
        <v>-6.5831539999999999E-3</v>
      </c>
      <c r="H121" s="24">
        <v>3.3414364000000002E-2</v>
      </c>
      <c r="I121" s="24">
        <v>-8.8009834000000002E-3</v>
      </c>
      <c r="J121" s="24">
        <v>1.4844893999999999E-2</v>
      </c>
      <c r="K121" s="24">
        <v>1.7395496E-2</v>
      </c>
      <c r="L121" s="24">
        <v>1.9035816000000001E-2</v>
      </c>
      <c r="M121" s="24">
        <v>-8.0021023999999989E-3</v>
      </c>
      <c r="N121" s="24">
        <v>3.6480070000000003E-2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45414</v>
      </c>
      <c r="B122" s="24">
        <v>-1.6061604E-2</v>
      </c>
      <c r="C122" s="24">
        <v>-2.8548179999999999E-2</v>
      </c>
      <c r="D122" s="24">
        <v>-1.8401681999999999E-2</v>
      </c>
      <c r="E122" s="24">
        <v>-2.0414709999999999E-2</v>
      </c>
      <c r="F122" s="24">
        <v>-2.0737945999999997E-2</v>
      </c>
      <c r="G122" s="24">
        <v>-2.3300588000000001E-2</v>
      </c>
      <c r="H122" s="24">
        <v>3.0276299E-2</v>
      </c>
      <c r="I122" s="24">
        <v>-3.2214165000000003E-2</v>
      </c>
      <c r="J122" s="24">
        <v>-2.6617109999999999E-2</v>
      </c>
      <c r="K122" s="24">
        <v>-1.5876829999999998E-2</v>
      </c>
      <c r="L122" s="24">
        <v>-1.7868042000000001E-2</v>
      </c>
      <c r="M122" s="24">
        <v>-1.8149674000000001E-2</v>
      </c>
      <c r="N122" s="50">
        <v>-9.4035864000000004E-3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0.15521622000000002</v>
      </c>
      <c r="C126" s="24" cm="1">
        <f t="array" ref="C126">MAX(_xlfn._xlws.FILTER(C1:C122, ISNUMBER(C1:C122)))</f>
        <v>0.18900549000000003</v>
      </c>
      <c r="D126" s="24" cm="1">
        <f t="array" ref="D126">MAX(_xlfn._xlws.FILTER(D1:D122, ISNUMBER(D1:D122)))</f>
        <v>0.14360321000000001</v>
      </c>
      <c r="E126" s="24" cm="1">
        <f t="array" ref="E126">MAX(_xlfn._xlws.FILTER(E1:E122, ISNUMBER(E1:E122)))</f>
        <v>0.19776642</v>
      </c>
      <c r="F126" s="24" cm="1">
        <f t="array" ref="F126">MAX(_xlfn._xlws.FILTER(F1:F122, ISNUMBER(F1:F122)))</f>
        <v>0.11770581999999999</v>
      </c>
      <c r="G126" s="24" cm="1">
        <f t="array" ref="G126">MAX(_xlfn._xlws.FILTER(G1:G122, ISNUMBER(G1:G122)))</f>
        <v>0.12202692000000001</v>
      </c>
      <c r="H126" s="24" cm="1">
        <f t="array" ref="H126">MAX(_xlfn._xlws.FILTER(H1:H122, ISNUMBER(H1:H122)))</f>
        <v>0.18521522999999998</v>
      </c>
      <c r="I126" s="24" cm="1">
        <f t="array" ref="I126">MAX(_xlfn._xlws.FILTER(I1:I122, ISNUMBER(I1:I122)))</f>
        <v>0.17064750000000001</v>
      </c>
      <c r="J126" s="24" cm="1">
        <f t="array" ref="J126">MAX(_xlfn._xlws.FILTER(J1:J122, ISNUMBER(J1:J122)))</f>
        <v>0.12294005999999999</v>
      </c>
      <c r="K126" s="24" cm="1">
        <f t="array" ref="K126">MAX(_xlfn._xlws.FILTER(K1:K122, ISNUMBER(K1:K122)))</f>
        <v>0.23048591999999998</v>
      </c>
      <c r="L126" s="24" cm="1">
        <f t="array" ref="L126">MAX(_xlfn._xlws.FILTER(L1:L122, ISNUMBER(L1:L122)))</f>
        <v>0.23551892999999999</v>
      </c>
      <c r="M126" s="24" cm="1">
        <f t="array" ref="M126">MAX(_xlfn._xlws.FILTER(M1:M122, ISNUMBER(M1:M122)))</f>
        <v>0.17673301999999999</v>
      </c>
      <c r="N126" s="24" cm="1">
        <f t="array" ref="N126">MAX(_xlfn._xlws.FILTER(N1:N122, ISNUMBER(N1:N122)))</f>
        <v>0.24313890000000002</v>
      </c>
    </row>
    <row r="127" spans="1:26" x14ac:dyDescent="0.35">
      <c r="A127" t="s">
        <v>85</v>
      </c>
      <c r="B127" s="24" cm="1">
        <f t="array" ref="B127">MIN(_xlfn._xlws.FILTER(B2:B122, ISNUMBER(B2:B122)))</f>
        <v>-0.14541567</v>
      </c>
      <c r="C127" s="24" cm="1">
        <f t="array" ref="C127">MIN(_xlfn._xlws.FILTER(C2:C122, ISNUMBER(C2:C122)))</f>
        <v>-0.24045050000000001</v>
      </c>
      <c r="D127" s="24" cm="1">
        <f t="array" ref="D127">MIN(_xlfn._xlws.FILTER(D2:D122, ISNUMBER(D2:D122)))</f>
        <v>-0.24849129</v>
      </c>
      <c r="E127" s="24" cm="1">
        <f t="array" ref="E127">MIN(_xlfn._xlws.FILTER(E2:E122, ISNUMBER(E2:E122)))</f>
        <v>-0.22155464</v>
      </c>
      <c r="F127" s="24" cm="1">
        <f t="array" ref="F127">MIN(_xlfn._xlws.FILTER(F2:F122, ISNUMBER(F2:F122)))</f>
        <v>-0.11169124</v>
      </c>
      <c r="G127" s="24" cm="1">
        <f t="array" ref="G127">MIN(_xlfn._xlws.FILTER(G2:G122, ISNUMBER(G2:G122)))</f>
        <v>-9.1261629999999996E-2</v>
      </c>
      <c r="H127" s="24" cm="1">
        <f t="array" ref="H127">MIN(_xlfn._xlws.FILTER(H2:H122, ISNUMBER(H2:H122)))</f>
        <v>-0.21266508000000001</v>
      </c>
      <c r="I127" s="24" cm="1">
        <f t="array" ref="I127">MIN(_xlfn._xlws.FILTER(I2:I122, ISNUMBER(I2:I122)))</f>
        <v>-0.13868505</v>
      </c>
      <c r="J127" s="24" cm="1">
        <f t="array" ref="J127">MIN(_xlfn._xlws.FILTER(J2:J122, ISNUMBER(J2:J122)))</f>
        <v>-0.18024837000000002</v>
      </c>
      <c r="K127" s="24" cm="1">
        <f t="array" ref="K127">MIN(_xlfn._xlws.FILTER(K2:K122, ISNUMBER(K2:K122)))</f>
        <v>-0.23869015000000002</v>
      </c>
      <c r="L127" s="24" cm="1">
        <f t="array" ref="L127">MIN(_xlfn._xlws.FILTER(L2:L122, ISNUMBER(L2:L122)))</f>
        <v>-0.19026261999999999</v>
      </c>
      <c r="M127" s="24" cm="1">
        <f t="array" ref="M127">MIN(_xlfn._xlws.FILTER(M2:M122, ISNUMBER(M2:M122)))</f>
        <v>-0.20536000000000001</v>
      </c>
      <c r="N127" s="24" cm="1">
        <f t="array" ref="N127">MIN(_xlfn._xlws.FILTER(N2:N122, ISNUMBER(N2:N122)))</f>
        <v>-0.25275124000000004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15</v>
      </c>
      <c r="D129">
        <f>COUNTIF(D2:D122, "&lt;"&amp;Assumption!$E$50)</f>
        <v>16</v>
      </c>
      <c r="E129">
        <f>COUNTIF(E2:E122, "&lt;"&amp;Assumption!$E$50)</f>
        <v>22</v>
      </c>
      <c r="F129">
        <f>COUNTIF(F2:F122, "&lt;"&amp;Assumption!$E$50)</f>
        <v>10</v>
      </c>
      <c r="G129">
        <f>COUNTIF(G2:G122, "&lt;"&amp;Assumption!$E$50)</f>
        <v>16</v>
      </c>
      <c r="H129">
        <f>COUNTIF(H2:H122, "&lt;"&amp;Assumption!$E$50)</f>
        <v>12</v>
      </c>
      <c r="I129">
        <f>COUNTIF(I2:I122, "&lt;"&amp;Assumption!$E$50)</f>
        <v>17</v>
      </c>
      <c r="J129">
        <f>COUNTIF(J2:J122, "&lt;"&amp;Assumption!$E$50)</f>
        <v>11</v>
      </c>
      <c r="K129">
        <f>COUNTIF(K2:K122, "&lt;"&amp;Assumption!$E$50)</f>
        <v>17</v>
      </c>
      <c r="L129">
        <f>COUNTIF(L2:L122, "&lt;"&amp;Assumption!$E$50)</f>
        <v>17</v>
      </c>
      <c r="M129">
        <f>COUNTIF(M2:M122, "&lt;"&amp;Assumption!$E$50)</f>
        <v>18</v>
      </c>
      <c r="N129">
        <f>COUNTIF(N2:N122, "&lt;"&amp;Assumption!$E$50)</f>
        <v>22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0.12396694214876033</v>
      </c>
      <c r="C132" s="9">
        <f t="shared" si="2"/>
        <v>0.12396694214876033</v>
      </c>
      <c r="D132" s="9">
        <f t="shared" si="2"/>
        <v>0.13223140495867769</v>
      </c>
      <c r="E132" s="9">
        <f t="shared" si="2"/>
        <v>0.18181818181818182</v>
      </c>
      <c r="F132" s="9">
        <f t="shared" si="2"/>
        <v>8.2644628099173556E-2</v>
      </c>
      <c r="G132" s="9">
        <f t="shared" si="2"/>
        <v>0.13223140495867769</v>
      </c>
      <c r="H132" s="9">
        <f t="shared" si="2"/>
        <v>9.9173553719008267E-2</v>
      </c>
      <c r="I132" s="9">
        <f t="shared" si="2"/>
        <v>0.14049586776859505</v>
      </c>
      <c r="J132" s="9">
        <f t="shared" si="2"/>
        <v>9.0909090909090912E-2</v>
      </c>
      <c r="K132" s="9">
        <f t="shared" ref="K132:N132" si="3">K129/K130</f>
        <v>0.14049586776859505</v>
      </c>
      <c r="L132" s="9">
        <f t="shared" si="3"/>
        <v>0.14049586776859505</v>
      </c>
      <c r="M132" s="9">
        <f t="shared" si="3"/>
        <v>0.1487603305785124</v>
      </c>
      <c r="N132" s="9">
        <f t="shared" si="3"/>
        <v>0.18181818181818182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0.31900000000000001</v>
      </c>
      <c r="C134" s="9" cm="1">
        <f t="array" ref="C134">_xlfn.PERCENTRANK.EXC(_xlfn._xlws.FILTER(C2:C122, ISNUMBER(C2:C122)),C122)</f>
        <v>0.22900000000000001</v>
      </c>
      <c r="D134" s="9" cm="1">
        <f t="array" ref="D134">_xlfn.PERCENTRANK.EXC(_xlfn._xlws.FILTER(D2:D122, ISNUMBER(D2:D122)),D122)</f>
        <v>0.27</v>
      </c>
      <c r="E134" s="9" cm="1">
        <f t="array" ref="E134">_xlfn.PERCENTRANK.EXC(_xlfn._xlws.FILTER(E2:E122, ISNUMBER(E2:E122)),E122)</f>
        <v>0.31900000000000001</v>
      </c>
      <c r="F134" s="9" cm="1">
        <f t="array" ref="F134">_xlfn.PERCENTRANK.EXC(_xlfn._xlws.FILTER(F2:F122, ISNUMBER(F2:F122)),F122)</f>
        <v>0.22900000000000001</v>
      </c>
      <c r="G134" s="9" cm="1">
        <f t="array" ref="G134">_xlfn.PERCENTRANK.EXC(_xlfn._xlws.FILTER(G2:G122, ISNUMBER(G2:G122)),G122)</f>
        <v>0.221</v>
      </c>
      <c r="H134" s="9" cm="1">
        <f t="array" ref="H134">_xlfn.PERCENTRANK.EXC(_xlfn._xlws.FILTER(H2:H122, ISNUMBER(H2:H122)),H122)</f>
        <v>0.72899999999999998</v>
      </c>
      <c r="I134" s="9" cm="1">
        <f t="array" ref="I134">_xlfn.PERCENTRANK.EXC(_xlfn._xlws.FILTER(I2:I122, ISNUMBER(I2:I122)),I122)</f>
        <v>0.18</v>
      </c>
      <c r="J134" s="9" cm="1">
        <f t="array" ref="J134">_xlfn.PERCENTRANK.EXC(_xlfn._xlws.FILTER(J2:J122, ISNUMBER(J2:J122)),J122)</f>
        <v>0.17199999999999999</v>
      </c>
      <c r="K134" s="9" cm="1">
        <f t="array" ref="K134">_xlfn.PERCENTRANK.EXC(_xlfn._xlws.FILTER(K2:K122, ISNUMBER(K2:K122)),K122)</f>
        <v>0.29499999999999998</v>
      </c>
      <c r="L134" s="9" cm="1">
        <f t="array" ref="L134">_xlfn.PERCENTRANK.EXC(_xlfn._xlws.FILTER(L2:L122, ISNUMBER(L2:L122)),L122)</f>
        <v>0.31900000000000001</v>
      </c>
      <c r="M134" s="9" cm="1">
        <f t="array" ref="M134">_xlfn.PERCENTRANK.EXC(_xlfn._xlws.FILTER(M2:M122, ISNUMBER(M2:M122)),M122)</f>
        <v>0.34399999999999997</v>
      </c>
      <c r="N134" s="9" cm="1">
        <f t="array" ref="N134">_xlfn.PERCENTRANK.EXC(_xlfn._xlws.FILTER(N2:N122, ISNUMBER(N2:N122)),N122)</f>
        <v>0.36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0.35</v>
      </c>
      <c r="C136" s="9" cm="1">
        <f t="array" ref="C136">_xlfn.PERCENTRANK.EXC(_xlfn._xlws.FILTER(C4:C125, ISNUMBER(C4:C125)),C113)</f>
        <v>0.33300000000000002</v>
      </c>
      <c r="D136" s="9" cm="1">
        <f t="array" ref="D136">_xlfn.PERCENTRANK.EXC(_xlfn._xlws.FILTER(D4:D125, ISNUMBER(D4:D125)),D113)</f>
        <v>0.433</v>
      </c>
      <c r="E136" s="9" cm="1">
        <f t="array" ref="E136">_xlfn.PERCENTRANK.EXC(_xlfn._xlws.FILTER(E4:E125, ISNUMBER(E4:E125)),E113)</f>
        <v>0.41599999999999998</v>
      </c>
      <c r="F136" s="9" cm="1">
        <f t="array" ref="F136">_xlfn.PERCENTRANK.EXC(_xlfn._xlws.FILTER(F4:F125, ISNUMBER(F4:F125)),F113)</f>
        <v>0.34100000000000003</v>
      </c>
      <c r="G136" s="9" cm="1">
        <f t="array" ref="G136">_xlfn.PERCENTRANK.EXC(_xlfn._xlws.FILTER(G4:G125, ISNUMBER(G4:G125)),G113)</f>
        <v>0.55000000000000004</v>
      </c>
      <c r="H136" s="9" cm="1">
        <f t="array" ref="H136">_xlfn.PERCENTRANK.EXC(_xlfn._xlws.FILTER(H4:H125, ISNUMBER(H4:H125)),H113)</f>
        <v>0.441</v>
      </c>
      <c r="I136" s="9" cm="1">
        <f t="array" ref="I136">_xlfn.PERCENTRANK.EXC(_xlfn._xlws.FILTER(I4:I125, ISNUMBER(I4:I125)),I113)</f>
        <v>0.45</v>
      </c>
      <c r="J136" s="9" cm="1">
        <f t="array" ref="J136">_xlfn.PERCENTRANK.EXC(_xlfn._xlws.FILTER(J4:J125, ISNUMBER(J4:J125)),J113)</f>
        <v>0.5</v>
      </c>
      <c r="K136" s="9" cm="1">
        <f t="array" ref="K136">_xlfn.PERCENTRANK.EXC(_xlfn._xlws.FILTER(K4:K125, ISNUMBER(K4:K125)),K113)</f>
        <v>0.308</v>
      </c>
      <c r="L136" s="9" cm="1">
        <f t="array" ref="L136">_xlfn.PERCENTRANK.EXC(_xlfn._xlws.FILTER(L4:L125, ISNUMBER(L4:L125)),L113)</f>
        <v>0.41599999999999998</v>
      </c>
      <c r="M136" s="9" cm="1">
        <f t="array" ref="M136">_xlfn.PERCENTRANK.EXC(_xlfn._xlws.FILTER(M4:M125, ISNUMBER(M4:M125)),M113)</f>
        <v>0.308</v>
      </c>
      <c r="N136" s="9" cm="1">
        <f t="array" ref="N136">_xlfn.PERCENTRANK.EXC(_xlfn._xlws.FILTER(N4:N125, ISNUMBER(N4:N125)),N113)</f>
        <v>0.64100000000000001</v>
      </c>
    </row>
    <row r="138" spans="1:17" x14ac:dyDescent="0.35">
      <c r="A138" t="s">
        <v>829</v>
      </c>
      <c r="B138">
        <f t="shared" ref="B138:J138" si="4">STDEV(B40:B122)</f>
        <v>5.2136182930198519E-2</v>
      </c>
      <c r="C138">
        <f t="shared" si="4"/>
        <v>6.0971346084997678E-2</v>
      </c>
      <c r="D138">
        <f t="shared" si="4"/>
        <v>5.5180748072525189E-2</v>
      </c>
      <c r="E138">
        <f t="shared" si="4"/>
        <v>6.8025699700092604E-2</v>
      </c>
      <c r="F138">
        <f t="shared" si="4"/>
        <v>4.5242350261920569E-2</v>
      </c>
      <c r="G138">
        <f t="shared" si="4"/>
        <v>4.3494561990640813E-2</v>
      </c>
      <c r="H138">
        <f t="shared" si="4"/>
        <v>5.2385205737744509E-2</v>
      </c>
      <c r="I138">
        <f t="shared" si="4"/>
        <v>6.3517103516122123E-2</v>
      </c>
      <c r="J138">
        <f t="shared" si="4"/>
        <v>5.0435352682555938E-2</v>
      </c>
      <c r="K138">
        <f t="shared" ref="K138:N138" si="5">STDEV(K40:K122)</f>
        <v>6.3198613090584818E-2</v>
      </c>
      <c r="L138">
        <f t="shared" si="5"/>
        <v>6.6449819314072553E-2</v>
      </c>
      <c r="M138">
        <f t="shared" si="5"/>
        <v>7.0403253356406847E-2</v>
      </c>
      <c r="N138">
        <f t="shared" si="5"/>
        <v>6.8492893807024752E-2</v>
      </c>
    </row>
    <row r="139" spans="1:17" x14ac:dyDescent="0.35">
      <c r="A139" t="s">
        <v>830</v>
      </c>
      <c r="B139" s="74">
        <f t="shared" ref="B139:J139" si="6">B138*SQRT(12)</f>
        <v>0.1806050354956181</v>
      </c>
      <c r="C139" s="74">
        <f t="shared" si="6"/>
        <v>0.21121093845016345</v>
      </c>
      <c r="D139" s="74">
        <f t="shared" si="6"/>
        <v>0.19115171852254403</v>
      </c>
      <c r="E139" s="74">
        <f t="shared" si="6"/>
        <v>0.23564793620196664</v>
      </c>
      <c r="F139" s="74">
        <f t="shared" si="6"/>
        <v>0.15672409861494704</v>
      </c>
      <c r="G139" s="74">
        <f t="shared" si="6"/>
        <v>0.15066958244148804</v>
      </c>
      <c r="H139" s="74">
        <f t="shared" si="6"/>
        <v>0.18146767580544432</v>
      </c>
      <c r="I139" s="74">
        <f t="shared" si="6"/>
        <v>0.22002970087907059</v>
      </c>
      <c r="J139" s="74">
        <f t="shared" si="6"/>
        <v>0.17471318668768429</v>
      </c>
      <c r="K139" s="74">
        <f t="shared" ref="K139:N139" si="7">K138*SQRT(12)</f>
        <v>0.2189264176815609</v>
      </c>
      <c r="L139" s="74">
        <f t="shared" si="7"/>
        <v>0.23018892641149069</v>
      </c>
      <c r="M139" s="74">
        <f t="shared" si="7"/>
        <v>0.24388402366288148</v>
      </c>
      <c r="N139" s="74">
        <f t="shared" si="7"/>
        <v>0.23726634406237312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41761</v>
      </c>
      <c r="B2" s="7" cm="1">
        <f t="array" ref="B2:B122">_xll.FDS(B1,"P_PRICE_RETURNS_PR('52W',2,-10AY,0,AM)")</f>
        <v>16.83098</v>
      </c>
      <c r="C2" s="7" cm="1">
        <f t="array" ref="C2:C122">_xll.FDS(C1,"P_PRICE_RETURNS_PR('52W',2,-10AY,0,AM)")</f>
        <v>-0.17859936000000001</v>
      </c>
      <c r="D2" s="7" cm="1">
        <f t="array" ref="D2:D122">_xll.FDS(D1,"P_PRICE_RETURNS_PR('52W',2,-10AY,0,AM)")</f>
        <v>12.745869000000001</v>
      </c>
      <c r="E2" s="7" cm="1">
        <f t="array" ref="E2:E122">_xll.FDS(E1,"P_PRICE_RETURNS_PR('52W',2,-10AY,0,AM)")</f>
        <v>26.323450000000001</v>
      </c>
      <c r="F2" s="7" cm="1">
        <f t="array" ref="F2:F122">_xll.FDS(F1,"P_PRICE_RETURNS_PR('52W',2,-10AY,0,AM)")</f>
        <v>-2.4479508000000001</v>
      </c>
      <c r="G2" s="7" cm="1">
        <f t="array" ref="G2:G122">_xll.FDS(G1,"P_PRICE_RETURNS_PR('52W',2,-10AY,0,AM)")</f>
        <v>17.651249</v>
      </c>
      <c r="H2" s="7" cm="1">
        <f t="array" ref="H2:H122">_xll.FDS(H1,"P_PRICE_RETURNS_PR('52W',2,-10AY,0,AM)")</f>
        <v>17.843163000000001</v>
      </c>
      <c r="I2" s="7" cm="1">
        <f t="array" ref="I2:I122">_xll.FDS(I1,"P_PRICE_RETURNS_PR('52W',2,-10AY,0,AM)")</f>
        <v>24.689662999999999</v>
      </c>
      <c r="J2" s="7" cm="1">
        <f t="array" ref="J2:J122">_xll.FDS(J1,"P_PRICE_RETURNS_PR('52W',2,-10AY,0,AM)")</f>
        <v>20.094882999999999</v>
      </c>
      <c r="K2" s="158" cm="1">
        <f t="array" ref="K2:K122">_xll.FDS(K1,"P_PRICE_RETURNS_PR('52W',2,-10AY,0,AM)")</f>
        <v>25.711310000000001</v>
      </c>
      <c r="L2" s="158" cm="1">
        <f t="array" ref="L2:L122">_xll.FDS(L1,"P_PRICE_RETURNS_PR('52W',2,-10AY,0,AM)")</f>
        <v>22.227360000000001</v>
      </c>
      <c r="M2" s="158" cm="1">
        <f t="array" ref="M2:M122">_xll.FDS(M1,"P_PRICE_RETURNS_PR('52W',2,-10AY,0,AM)")</f>
        <v>16.818225999999999</v>
      </c>
      <c r="N2" s="158" cm="1">
        <f t="array" ref="N2:N122">_xll.FDS(N1,"P_PRICE_RETURNS_PR('52W',2,-10AY,0,AM)")</f>
        <v>41.68253</v>
      </c>
    </row>
    <row r="3" spans="1:14" x14ac:dyDescent="0.35">
      <c r="A3" s="2">
        <v>41792</v>
      </c>
      <c r="B3" s="40">
        <v>24.005295</v>
      </c>
      <c r="C3" s="40">
        <v>14.15044</v>
      </c>
      <c r="D3" s="40">
        <v>13.422357999999999</v>
      </c>
      <c r="E3" s="40">
        <v>24.861872000000002</v>
      </c>
      <c r="F3" s="40">
        <v>9.3794939999999993</v>
      </c>
      <c r="G3" s="40">
        <v>20.865642999999999</v>
      </c>
      <c r="H3" s="40">
        <v>18.922901</v>
      </c>
      <c r="I3" s="40">
        <v>26.509226000000002</v>
      </c>
      <c r="J3" s="40">
        <v>20.397722000000002</v>
      </c>
      <c r="K3" s="47">
        <v>24.111546000000001</v>
      </c>
      <c r="L3" s="47">
        <v>20.678985999999998</v>
      </c>
      <c r="M3" s="47">
        <v>17.267025</v>
      </c>
      <c r="N3" s="47">
        <v>37.438000000000002</v>
      </c>
    </row>
    <row r="4" spans="1:14" x14ac:dyDescent="0.35">
      <c r="A4" s="2">
        <v>41822</v>
      </c>
      <c r="B4" s="40">
        <v>31.329357000000002</v>
      </c>
      <c r="C4" s="40">
        <v>22.308731000000002</v>
      </c>
      <c r="D4" s="40">
        <v>26.346802</v>
      </c>
      <c r="E4" s="40">
        <v>31.004227</v>
      </c>
      <c r="F4" s="40">
        <v>8.3441369999999999</v>
      </c>
      <c r="G4" s="40">
        <v>23.153841</v>
      </c>
      <c r="H4" s="40">
        <v>26.528144999999999</v>
      </c>
      <c r="I4" s="40">
        <v>34.600520000000003</v>
      </c>
      <c r="J4" s="40">
        <v>24.748729999999998</v>
      </c>
      <c r="K4" s="47">
        <v>28.814458999999999</v>
      </c>
      <c r="L4" s="47">
        <v>25.818897</v>
      </c>
      <c r="M4" s="47">
        <v>22.84273</v>
      </c>
      <c r="N4" s="47">
        <v>53.391030000000001</v>
      </c>
    </row>
    <row r="5" spans="1:14" x14ac:dyDescent="0.35">
      <c r="A5" s="2">
        <v>41852</v>
      </c>
      <c r="B5" s="40">
        <v>20.219470000000001</v>
      </c>
      <c r="C5" s="40">
        <v>18.218934999999998</v>
      </c>
      <c r="D5" s="40">
        <v>17.422854999999998</v>
      </c>
      <c r="E5" s="40">
        <v>9.5444200000000006</v>
      </c>
      <c r="F5" s="40">
        <v>5.4751276999999998</v>
      </c>
      <c r="G5" s="40">
        <v>11.044205</v>
      </c>
      <c r="H5" s="40">
        <v>13.33127</v>
      </c>
      <c r="I5" s="40">
        <v>25.588965999999999</v>
      </c>
      <c r="J5" s="40">
        <v>15.014923</v>
      </c>
      <c r="K5" s="47">
        <v>7.8836560000000002</v>
      </c>
      <c r="L5" s="47">
        <v>5.7920813999999998</v>
      </c>
      <c r="M5" s="47">
        <v>6.2291026</v>
      </c>
      <c r="N5" s="47">
        <v>24.618625999999999</v>
      </c>
    </row>
    <row r="6" spans="1:14" x14ac:dyDescent="0.35">
      <c r="A6" s="2">
        <v>41884</v>
      </c>
      <c r="B6" s="40">
        <v>25.378585999999999</v>
      </c>
      <c r="C6" s="40">
        <v>20.443213</v>
      </c>
      <c r="D6" s="40">
        <v>22.032917000000001</v>
      </c>
      <c r="E6" s="40">
        <v>15.137207</v>
      </c>
      <c r="F6" s="40">
        <v>11.226153</v>
      </c>
      <c r="G6" s="40">
        <v>18.052409999999998</v>
      </c>
      <c r="H6" s="40">
        <v>16.288875999999998</v>
      </c>
      <c r="I6" s="40">
        <v>34.634746999999997</v>
      </c>
      <c r="J6" s="40">
        <v>24.994765999999998</v>
      </c>
      <c r="K6" s="47">
        <v>13.326502</v>
      </c>
      <c r="L6" s="47">
        <v>12.024856</v>
      </c>
      <c r="M6" s="47">
        <v>9.6945289999999993</v>
      </c>
      <c r="N6" s="47">
        <v>24.990189000000001</v>
      </c>
    </row>
    <row r="7" spans="1:14" x14ac:dyDescent="0.35">
      <c r="A7" s="2">
        <v>41914</v>
      </c>
      <c r="B7" s="40">
        <v>3.8958788000000002</v>
      </c>
      <c r="C7" s="40">
        <v>-1.5585065</v>
      </c>
      <c r="D7" s="40">
        <v>9.3196870000000001</v>
      </c>
      <c r="E7" s="40">
        <v>-1.5406072</v>
      </c>
      <c r="F7" s="40">
        <v>-2.4362325999999999</v>
      </c>
      <c r="G7" s="40">
        <v>4.5213102999999997</v>
      </c>
      <c r="H7" s="40">
        <v>2.1093009999999999</v>
      </c>
      <c r="I7" s="40">
        <v>23.845279999999999</v>
      </c>
      <c r="J7" s="40">
        <v>17.127502</v>
      </c>
      <c r="K7" s="47">
        <v>-2.3215233999999998</v>
      </c>
      <c r="L7" s="47">
        <v>-0.35959481999999998</v>
      </c>
      <c r="M7" s="47">
        <v>-3.2691479000000001</v>
      </c>
      <c r="N7" s="47">
        <v>4.8354625999999996</v>
      </c>
    </row>
    <row r="8" spans="1:14" x14ac:dyDescent="0.35">
      <c r="A8" s="2">
        <v>41943</v>
      </c>
      <c r="B8" s="40">
        <v>5.0650715999999996</v>
      </c>
      <c r="C8" s="40">
        <v>-0.71719885000000005</v>
      </c>
      <c r="D8" s="40">
        <v>4.0884495000000003</v>
      </c>
      <c r="E8" s="40">
        <v>-5.3193330000000003</v>
      </c>
      <c r="F8" s="40">
        <v>2.7491211999999998</v>
      </c>
      <c r="G8" s="40">
        <v>2.8222559999999999</v>
      </c>
      <c r="H8" s="40">
        <v>-0.83319544999999995</v>
      </c>
      <c r="I8" s="40">
        <v>24.283767999999998</v>
      </c>
      <c r="J8" s="40">
        <v>16.945076</v>
      </c>
      <c r="K8" s="47">
        <v>-6.0716390000000002</v>
      </c>
      <c r="L8" s="47">
        <v>-2.9666722000000001</v>
      </c>
      <c r="M8" s="47">
        <v>-0.30854344</v>
      </c>
      <c r="N8" s="47">
        <v>-2.9256641999999999</v>
      </c>
    </row>
    <row r="9" spans="1:14" x14ac:dyDescent="0.35">
      <c r="A9" s="2">
        <v>41975</v>
      </c>
      <c r="B9" s="40">
        <v>9.8913779999999996</v>
      </c>
      <c r="C9" s="40">
        <v>-2.8951704999999999</v>
      </c>
      <c r="D9" s="40">
        <v>4.6953199999999997</v>
      </c>
      <c r="E9" s="40">
        <v>-3.8979710000000001</v>
      </c>
      <c r="F9" s="40">
        <v>-0.72143674000000002</v>
      </c>
      <c r="G9" s="40">
        <v>5.3565740000000002</v>
      </c>
      <c r="H9" s="40">
        <v>0.19840002000000001</v>
      </c>
      <c r="I9" s="40">
        <v>24.919246999999999</v>
      </c>
      <c r="J9" s="40">
        <v>16.937982999999999</v>
      </c>
      <c r="K9" s="47">
        <v>-2.8890251999999998</v>
      </c>
      <c r="L9" s="47">
        <v>1.6086459</v>
      </c>
      <c r="M9" s="47">
        <v>0.13850926999999999</v>
      </c>
      <c r="N9" s="47">
        <v>0.15579461999999999</v>
      </c>
    </row>
    <row r="10" spans="1:14" x14ac:dyDescent="0.35">
      <c r="A10" s="2">
        <v>42006</v>
      </c>
      <c r="B10" s="40">
        <v>12.037039</v>
      </c>
      <c r="C10" s="40">
        <v>-4.2111754000000001</v>
      </c>
      <c r="D10" s="40">
        <v>1.180768</v>
      </c>
      <c r="E10" s="40">
        <v>-9.4949010000000005</v>
      </c>
      <c r="F10" s="40">
        <v>-4.4909420000000004</v>
      </c>
      <c r="G10" s="40">
        <v>0.13849734999999999</v>
      </c>
      <c r="H10" s="40">
        <v>-7.331353</v>
      </c>
      <c r="I10" s="40">
        <v>19.760978999999999</v>
      </c>
      <c r="J10" s="40">
        <v>14.498711</v>
      </c>
      <c r="K10" s="47">
        <v>-9.0540649999999996</v>
      </c>
      <c r="L10" s="47">
        <v>-4.6979666</v>
      </c>
      <c r="M10" s="47">
        <v>-6.5948304999999996</v>
      </c>
      <c r="N10" s="47">
        <v>-9.2173870000000004</v>
      </c>
    </row>
    <row r="11" spans="1:14" x14ac:dyDescent="0.35">
      <c r="A11" s="2">
        <v>42037</v>
      </c>
      <c r="B11" s="40">
        <v>7.9720497000000003</v>
      </c>
      <c r="C11" s="40">
        <v>1.7565489000000001</v>
      </c>
      <c r="D11" s="40">
        <v>-0.75587033999999997</v>
      </c>
      <c r="E11" s="40">
        <v>-1.9498587000000001</v>
      </c>
      <c r="F11" s="40">
        <v>3.7797928000000001</v>
      </c>
      <c r="G11" s="40">
        <v>2.3301124999999998</v>
      </c>
      <c r="H11" s="40">
        <v>-2.1996975000000001</v>
      </c>
      <c r="I11" s="40">
        <v>20.019376999999999</v>
      </c>
      <c r="J11" s="40">
        <v>15.536261</v>
      </c>
      <c r="K11" s="47">
        <v>-2.9773413999999998</v>
      </c>
      <c r="L11" s="47">
        <v>1.4088988</v>
      </c>
      <c r="M11" s="47">
        <v>-1.0278522999999999</v>
      </c>
      <c r="N11" s="47">
        <v>-8.9329719999999995</v>
      </c>
    </row>
    <row r="12" spans="1:14" x14ac:dyDescent="0.35">
      <c r="A12" s="2">
        <v>42065</v>
      </c>
      <c r="B12" s="40">
        <v>8.0461980000000004</v>
      </c>
      <c r="C12" s="40">
        <v>-0.44646859999999999</v>
      </c>
      <c r="D12" s="40">
        <v>-1.8921435</v>
      </c>
      <c r="E12" s="40">
        <v>-4.0632067000000003</v>
      </c>
      <c r="F12" s="40">
        <v>7.9938292999999998</v>
      </c>
      <c r="G12" s="40">
        <v>-0.42222142000000001</v>
      </c>
      <c r="H12" s="40">
        <v>-3.7298322000000002</v>
      </c>
      <c r="I12" s="40">
        <v>22.423802999999999</v>
      </c>
      <c r="J12" s="40">
        <v>16.017569000000002</v>
      </c>
      <c r="K12" s="47">
        <v>-6.0409784000000002</v>
      </c>
      <c r="L12" s="47">
        <v>2.7428626999999999</v>
      </c>
      <c r="M12" s="47">
        <v>-1.5211821000000001</v>
      </c>
      <c r="N12" s="47">
        <v>-8.1665989999999997</v>
      </c>
    </row>
    <row r="13" spans="1:14" x14ac:dyDescent="0.35">
      <c r="A13" s="2">
        <v>42096</v>
      </c>
      <c r="B13" s="40">
        <v>0.28384924</v>
      </c>
      <c r="C13" s="40">
        <v>-7.1191072000000002</v>
      </c>
      <c r="D13" s="40">
        <v>-5.4311695000000002</v>
      </c>
      <c r="E13" s="40">
        <v>-1.9275844</v>
      </c>
      <c r="F13" s="40">
        <v>12.14695</v>
      </c>
      <c r="G13" s="40">
        <v>0.28125048000000002</v>
      </c>
      <c r="H13" s="40">
        <v>-5.8742704000000003</v>
      </c>
      <c r="I13" s="40">
        <v>18.836200000000002</v>
      </c>
      <c r="J13" s="40">
        <v>11.4277</v>
      </c>
      <c r="K13" s="47">
        <v>-7.0757684999999997</v>
      </c>
      <c r="L13" s="47">
        <v>0.70918800000000004</v>
      </c>
      <c r="M13" s="47">
        <v>-5.0725579999999999</v>
      </c>
      <c r="N13" s="47">
        <v>-12.893075</v>
      </c>
    </row>
    <row r="14" spans="1:14" x14ac:dyDescent="0.35">
      <c r="A14" s="2">
        <v>42125</v>
      </c>
      <c r="B14" s="40">
        <v>-1.970154</v>
      </c>
      <c r="C14" s="40">
        <v>-6.2319813000000002</v>
      </c>
      <c r="D14" s="40">
        <v>-2.3891567999999999</v>
      </c>
      <c r="E14" s="40">
        <v>-3.5145341999999999</v>
      </c>
      <c r="F14" s="40">
        <v>17.524564999999999</v>
      </c>
      <c r="G14" s="40">
        <v>2.2106528000000001</v>
      </c>
      <c r="H14" s="40">
        <v>-4.7111691999999996</v>
      </c>
      <c r="I14" s="40">
        <v>25.796616</v>
      </c>
      <c r="J14" s="40">
        <v>14.075815</v>
      </c>
      <c r="K14" s="47">
        <v>-5.8624687</v>
      </c>
      <c r="L14" s="47">
        <v>4.7880289999999999</v>
      </c>
      <c r="M14" s="47">
        <v>-3.8370072999999998</v>
      </c>
      <c r="N14" s="47">
        <v>-12.173438000000001</v>
      </c>
    </row>
    <row r="15" spans="1:14" x14ac:dyDescent="0.35">
      <c r="A15" s="2">
        <v>42157</v>
      </c>
      <c r="B15" s="40">
        <v>-3.0054808</v>
      </c>
      <c r="C15" s="40">
        <v>-11.307340999999999</v>
      </c>
      <c r="D15" s="40">
        <v>-6.8248930000000003</v>
      </c>
      <c r="E15" s="40">
        <v>-6.9159746000000002</v>
      </c>
      <c r="F15" s="40">
        <v>13.029182</v>
      </c>
      <c r="G15" s="40">
        <v>2.7342080000000002</v>
      </c>
      <c r="H15" s="40">
        <v>-5.4616870000000004</v>
      </c>
      <c r="I15" s="40">
        <v>22.004010000000001</v>
      </c>
      <c r="J15" s="40">
        <v>11.711430999999999</v>
      </c>
      <c r="K15" s="47">
        <v>-6.9376825999999996</v>
      </c>
      <c r="L15" s="47">
        <v>4.5140029999999998</v>
      </c>
      <c r="M15" s="47">
        <v>-3.4297347</v>
      </c>
      <c r="N15" s="47">
        <v>-9.4752790000000005</v>
      </c>
    </row>
    <row r="16" spans="1:14" x14ac:dyDescent="0.35">
      <c r="A16" s="2">
        <v>42187</v>
      </c>
      <c r="B16" s="40">
        <v>-12.836796</v>
      </c>
      <c r="C16" s="40">
        <v>-14.640504</v>
      </c>
      <c r="D16" s="40">
        <v>-15.785461</v>
      </c>
      <c r="E16" s="40">
        <v>-9.2121960000000005</v>
      </c>
      <c r="F16" s="40">
        <v>6.7215920000000002</v>
      </c>
      <c r="G16" s="40">
        <v>-1.6312002999999999</v>
      </c>
      <c r="H16" s="40">
        <v>-9.8944010000000002</v>
      </c>
      <c r="I16" s="40">
        <v>14.729749999999999</v>
      </c>
      <c r="J16" s="40">
        <v>7.1738359999999997</v>
      </c>
      <c r="K16" s="47">
        <v>-9.4789739999999991</v>
      </c>
      <c r="L16" s="47">
        <v>1.3664007</v>
      </c>
      <c r="M16" s="47">
        <v>-7.0961832999999999</v>
      </c>
      <c r="N16" s="47">
        <v>-13.228624999999999</v>
      </c>
    </row>
    <row r="17" spans="1:14" x14ac:dyDescent="0.35">
      <c r="A17" s="2">
        <v>42216</v>
      </c>
      <c r="B17" s="40">
        <v>-9.4453700000000005</v>
      </c>
      <c r="C17" s="40">
        <v>-16.798670000000001</v>
      </c>
      <c r="D17" s="40">
        <v>-18.836344</v>
      </c>
      <c r="E17" s="40">
        <v>-1.1263966999999999</v>
      </c>
      <c r="F17" s="40">
        <v>8.9309100000000008</v>
      </c>
      <c r="G17" s="40">
        <v>6.4464689999999996</v>
      </c>
      <c r="H17" s="40">
        <v>-5.5421950000000004</v>
      </c>
      <c r="I17" s="40">
        <v>19.081151999999999</v>
      </c>
      <c r="J17" s="40">
        <v>11.156249000000001</v>
      </c>
      <c r="K17" s="47">
        <v>0.89969635000000003</v>
      </c>
      <c r="L17" s="47">
        <v>11.588025</v>
      </c>
      <c r="M17" s="47">
        <v>-2.0496547000000001</v>
      </c>
      <c r="N17" s="47">
        <v>-2.9241025</v>
      </c>
    </row>
    <row r="18" spans="1:14" x14ac:dyDescent="0.35">
      <c r="A18" s="2">
        <v>42249</v>
      </c>
      <c r="B18" s="40">
        <v>-17.67745</v>
      </c>
      <c r="C18" s="40">
        <v>-29.17446</v>
      </c>
      <c r="D18" s="40">
        <v>-26.4925</v>
      </c>
      <c r="E18" s="40">
        <v>-8.4872720000000008</v>
      </c>
      <c r="F18" s="40">
        <v>-9.1403719999999994E-2</v>
      </c>
      <c r="G18" s="40">
        <v>-5.4411230000000002</v>
      </c>
      <c r="H18" s="40">
        <v>-14.972424500000001</v>
      </c>
      <c r="I18" s="40">
        <v>4.9410939999999997</v>
      </c>
      <c r="J18" s="40">
        <v>-0.68022009999999999</v>
      </c>
      <c r="K18" s="47">
        <v>-7.8319254000000003</v>
      </c>
      <c r="L18" s="47">
        <v>-0.94311833</v>
      </c>
      <c r="M18" s="47">
        <v>-7.6125502999999997</v>
      </c>
      <c r="N18" s="47">
        <v>-6.128889</v>
      </c>
    </row>
    <row r="19" spans="1:14" x14ac:dyDescent="0.35">
      <c r="A19" s="2">
        <v>42279</v>
      </c>
      <c r="B19" s="40">
        <v>-12.216578999999999</v>
      </c>
      <c r="C19" s="40">
        <v>-19.851887000000001</v>
      </c>
      <c r="D19" s="40">
        <v>-21.478992000000002</v>
      </c>
      <c r="E19" s="40">
        <v>-6.7425069999999998</v>
      </c>
      <c r="F19" s="40">
        <v>3.6767601999999999</v>
      </c>
      <c r="G19" s="40">
        <v>-0.75019599999999997</v>
      </c>
      <c r="H19" s="40">
        <v>-7.3083159999999996</v>
      </c>
      <c r="I19" s="40">
        <v>8.1525920000000003</v>
      </c>
      <c r="J19" s="40">
        <v>2.3498535</v>
      </c>
      <c r="K19" s="47">
        <v>-2.8776407000000002</v>
      </c>
      <c r="L19" s="47">
        <v>2.3431299999999999</v>
      </c>
      <c r="M19" s="47">
        <v>-4.9015402999999997</v>
      </c>
      <c r="N19" s="47">
        <v>-0.44898389999999999</v>
      </c>
    </row>
    <row r="20" spans="1:14" x14ac:dyDescent="0.35">
      <c r="A20" s="2">
        <v>42310</v>
      </c>
      <c r="B20" s="40">
        <v>-3.5751580000000001</v>
      </c>
      <c r="C20" s="40">
        <v>-21.528403999999998</v>
      </c>
      <c r="D20" s="40">
        <v>-18.154806000000001</v>
      </c>
      <c r="E20" s="40">
        <v>2.8189419999999998</v>
      </c>
      <c r="F20" s="40">
        <v>4.0299296</v>
      </c>
      <c r="G20" s="40">
        <v>1.5976189999999999</v>
      </c>
      <c r="H20" s="40">
        <v>-3.6506712000000001</v>
      </c>
      <c r="I20" s="40">
        <v>14.25029</v>
      </c>
      <c r="J20" s="40">
        <v>6.4411519999999998</v>
      </c>
      <c r="K20" s="47">
        <v>5.0446033000000003</v>
      </c>
      <c r="L20" s="47">
        <v>8.4456919999999993</v>
      </c>
      <c r="M20" s="47">
        <v>-3.8939059</v>
      </c>
      <c r="N20" s="47">
        <v>2.8128624000000002</v>
      </c>
    </row>
    <row r="21" spans="1:14" x14ac:dyDescent="0.35">
      <c r="A21" s="2">
        <v>42340</v>
      </c>
      <c r="B21" s="40">
        <v>-4.6179475999999999</v>
      </c>
      <c r="C21" s="40">
        <v>-12.114906</v>
      </c>
      <c r="D21" s="40">
        <v>-19.948941999999999</v>
      </c>
      <c r="E21" s="40">
        <v>-4.8103749999999996</v>
      </c>
      <c r="F21" s="40">
        <v>7.0629954000000001</v>
      </c>
      <c r="G21" s="40">
        <v>-3.8967073000000001</v>
      </c>
      <c r="H21" s="40">
        <v>-7.3796869999999997</v>
      </c>
      <c r="I21" s="40">
        <v>9.938288</v>
      </c>
      <c r="J21" s="40">
        <v>2.7358532000000002</v>
      </c>
      <c r="K21" s="47">
        <v>-2.4466573999999999</v>
      </c>
      <c r="L21" s="47">
        <v>-0.18566251</v>
      </c>
      <c r="M21" s="47">
        <v>-4.7036113999999998</v>
      </c>
      <c r="N21" s="47">
        <v>-1.284945</v>
      </c>
    </row>
    <row r="22" spans="1:14" x14ac:dyDescent="0.35">
      <c r="A22" s="2">
        <v>42369</v>
      </c>
      <c r="B22" s="40">
        <v>-1.9886672000000001</v>
      </c>
      <c r="C22" s="40">
        <v>-9.9603710000000003</v>
      </c>
      <c r="D22" s="40">
        <v>-23.909348000000001</v>
      </c>
      <c r="E22" s="40">
        <v>-2.79271</v>
      </c>
      <c r="F22" s="40">
        <v>9.1621640000000006</v>
      </c>
      <c r="G22" s="40">
        <v>0.28828382000000002</v>
      </c>
      <c r="H22" s="40">
        <v>-7.0310116000000003</v>
      </c>
      <c r="I22" s="40">
        <v>9.4464539999999992</v>
      </c>
      <c r="J22" s="40">
        <v>1.2520194</v>
      </c>
      <c r="K22" s="47">
        <v>0.23943186</v>
      </c>
      <c r="L22" s="47">
        <v>1.5233635999999999</v>
      </c>
      <c r="M22" s="47">
        <v>-4.5358840000000002</v>
      </c>
      <c r="N22" s="47">
        <v>3.1199813000000001</v>
      </c>
    </row>
    <row r="23" spans="1:14" x14ac:dyDescent="0.35">
      <c r="A23" s="2">
        <v>42402</v>
      </c>
      <c r="B23" s="40">
        <v>-5.7124556999999996</v>
      </c>
      <c r="C23" s="40">
        <v>-19.472329999999999</v>
      </c>
      <c r="D23" s="40">
        <v>-23.603165000000001</v>
      </c>
      <c r="E23" s="40">
        <v>-15.900575999999999</v>
      </c>
      <c r="F23" s="40">
        <v>-1.3797223999999999</v>
      </c>
      <c r="G23" s="40">
        <v>-8.5189520000000005</v>
      </c>
      <c r="H23" s="40">
        <v>-14.861155</v>
      </c>
      <c r="I23" s="40">
        <v>1.1906266000000001</v>
      </c>
      <c r="J23" s="40">
        <v>-3.8638710000000001</v>
      </c>
      <c r="K23" s="47">
        <v>-8.9430150000000008</v>
      </c>
      <c r="L23" s="47">
        <v>-3.746426</v>
      </c>
      <c r="M23" s="47">
        <v>-16.164356000000002</v>
      </c>
      <c r="N23" s="47">
        <v>-14.794981</v>
      </c>
    </row>
    <row r="24" spans="1:14" x14ac:dyDescent="0.35">
      <c r="A24" s="2">
        <v>42431</v>
      </c>
      <c r="B24" s="40">
        <v>-5.5185675999999999</v>
      </c>
      <c r="C24" s="40">
        <v>-18.438452000000002</v>
      </c>
      <c r="D24" s="40">
        <v>-19.287693000000001</v>
      </c>
      <c r="E24" s="40">
        <v>-17.369789999999998</v>
      </c>
      <c r="F24" s="40">
        <v>-7.4318530000000003</v>
      </c>
      <c r="G24" s="40">
        <v>-10.306417</v>
      </c>
      <c r="H24" s="40">
        <v>-16.719996999999999</v>
      </c>
      <c r="I24" s="40">
        <v>-2.2565126000000002</v>
      </c>
      <c r="J24" s="40">
        <v>-4.1737614000000001</v>
      </c>
      <c r="K24" s="47">
        <v>-10.455728000000001</v>
      </c>
      <c r="L24" s="47">
        <v>-7.8913270000000004</v>
      </c>
      <c r="M24" s="47">
        <v>-17.123709999999999</v>
      </c>
      <c r="N24" s="47">
        <v>-19.465779999999999</v>
      </c>
    </row>
    <row r="25" spans="1:14" x14ac:dyDescent="0.35">
      <c r="A25" s="2">
        <v>42461</v>
      </c>
      <c r="B25" s="40">
        <v>6.6857575999999996</v>
      </c>
      <c r="C25" s="40">
        <v>-11.727207999999999</v>
      </c>
      <c r="D25" s="40">
        <v>-11.667085</v>
      </c>
      <c r="E25" s="40">
        <v>-13.744555999999999</v>
      </c>
      <c r="F25" s="40">
        <v>-10.432518</v>
      </c>
      <c r="G25" s="40">
        <v>-9.8921240000000008</v>
      </c>
      <c r="H25" s="40">
        <v>-11.038107</v>
      </c>
      <c r="I25" s="40">
        <v>6.2000275</v>
      </c>
      <c r="J25" s="40">
        <v>2.7596354000000001</v>
      </c>
      <c r="K25" s="47">
        <v>-6.8390250000000004</v>
      </c>
      <c r="L25" s="47">
        <v>-1.9242287</v>
      </c>
      <c r="M25" s="47">
        <v>-8.6829660000000004</v>
      </c>
      <c r="N25" s="47">
        <v>-18.017745999999999</v>
      </c>
    </row>
    <row r="26" spans="1:14" x14ac:dyDescent="0.35">
      <c r="A26" s="2">
        <v>42492</v>
      </c>
      <c r="B26" s="40">
        <v>9.2093349999999994</v>
      </c>
      <c r="C26" s="40">
        <v>-9.8466339999999999</v>
      </c>
      <c r="D26" s="40">
        <v>-11.496377000000001</v>
      </c>
      <c r="E26" s="40">
        <v>-10.031943999999999</v>
      </c>
      <c r="F26" s="40">
        <v>-9.5716660000000005</v>
      </c>
      <c r="G26" s="40">
        <v>-9.6212149999999994</v>
      </c>
      <c r="H26" s="40">
        <v>-11.382235</v>
      </c>
      <c r="I26" s="40">
        <v>-1.0697544000000001</v>
      </c>
      <c r="J26" s="40">
        <v>0.82061289999999998</v>
      </c>
      <c r="K26" s="47">
        <v>-7.2137060000000002</v>
      </c>
      <c r="L26" s="47">
        <v>-3.6410033999999998</v>
      </c>
      <c r="M26" s="47">
        <v>-7.8177570000000003</v>
      </c>
      <c r="N26" s="47">
        <v>-16.764157999999998</v>
      </c>
    </row>
    <row r="27" spans="1:14" x14ac:dyDescent="0.35">
      <c r="A27" s="2">
        <v>42523</v>
      </c>
      <c r="B27" s="40">
        <v>14.033723</v>
      </c>
      <c r="C27" s="40">
        <v>-9.6697749999999996</v>
      </c>
      <c r="D27" s="40">
        <v>-10.163444500000001</v>
      </c>
      <c r="E27" s="40">
        <v>-9.6611390000000004</v>
      </c>
      <c r="F27" s="40">
        <v>-9.5994834999999998</v>
      </c>
      <c r="G27" s="40">
        <v>-10.823010999999999</v>
      </c>
      <c r="H27" s="40">
        <v>-12.958002</v>
      </c>
      <c r="I27" s="40">
        <v>1.558578</v>
      </c>
      <c r="J27" s="40">
        <v>1.9362687999999999</v>
      </c>
      <c r="K27" s="47">
        <v>-7.3396499999999998</v>
      </c>
      <c r="L27" s="47">
        <v>-3.6184072</v>
      </c>
      <c r="M27" s="47">
        <v>-10.941535</v>
      </c>
      <c r="N27" s="47">
        <v>-22.106725999999998</v>
      </c>
    </row>
    <row r="28" spans="1:14" x14ac:dyDescent="0.35">
      <c r="A28" s="2">
        <v>42552</v>
      </c>
      <c r="B28" s="40">
        <v>28.644062000000002</v>
      </c>
      <c r="C28" s="40">
        <v>-4.1840973000000004</v>
      </c>
      <c r="D28" s="40">
        <v>-4.4914006999999998</v>
      </c>
      <c r="E28" s="40">
        <v>-12.140440999999999</v>
      </c>
      <c r="F28" s="40">
        <v>-9.6485909999999997</v>
      </c>
      <c r="G28" s="40">
        <v>-7.0082664000000001</v>
      </c>
      <c r="H28" s="40">
        <v>-12.171942</v>
      </c>
      <c r="I28" s="40">
        <v>1.2783289</v>
      </c>
      <c r="J28" s="40">
        <v>3.3800840000000001</v>
      </c>
      <c r="K28" s="47">
        <v>-9.0838669999999997</v>
      </c>
      <c r="L28" s="47">
        <v>-9.1708719999999992</v>
      </c>
      <c r="M28" s="47">
        <v>-11.095184</v>
      </c>
      <c r="N28" s="47">
        <v>-26.031101</v>
      </c>
    </row>
    <row r="29" spans="1:14" x14ac:dyDescent="0.35">
      <c r="A29" s="2">
        <v>42584</v>
      </c>
      <c r="B29" s="40">
        <v>37.082599999999999</v>
      </c>
      <c r="C29" s="40">
        <v>2.8547406</v>
      </c>
      <c r="D29" s="40">
        <v>-0.43601990000000002</v>
      </c>
      <c r="E29" s="40">
        <v>-8.4891430000000003</v>
      </c>
      <c r="F29" s="40">
        <v>-6.1677512999999999</v>
      </c>
      <c r="G29" s="40">
        <v>-9.6814099999999996</v>
      </c>
      <c r="H29" s="40">
        <v>-12.285173</v>
      </c>
      <c r="I29" s="40">
        <v>3.8474439999999999</v>
      </c>
      <c r="J29" s="40">
        <v>4.6390532999999996</v>
      </c>
      <c r="K29" s="47">
        <v>-9.6200229999999998</v>
      </c>
      <c r="L29" s="47">
        <v>-8.5994189999999993</v>
      </c>
      <c r="M29" s="47">
        <v>-10.205394</v>
      </c>
      <c r="N29" s="47">
        <v>-28.29449</v>
      </c>
    </row>
    <row r="30" spans="1:14" x14ac:dyDescent="0.35">
      <c r="A30" s="2">
        <v>42615</v>
      </c>
      <c r="B30" s="40">
        <v>54.736170000000001</v>
      </c>
      <c r="C30" s="40">
        <v>16.572071000000001</v>
      </c>
      <c r="D30" s="40">
        <v>12.184143000000001</v>
      </c>
      <c r="E30" s="40">
        <v>4.3566823000000001</v>
      </c>
      <c r="F30" s="40">
        <v>7.3879479999999997</v>
      </c>
      <c r="G30" s="40">
        <v>0.49598217</v>
      </c>
      <c r="H30" s="40">
        <v>1.2027383</v>
      </c>
      <c r="I30" s="40">
        <v>13.995767000000001</v>
      </c>
      <c r="J30" s="40">
        <v>14.194632</v>
      </c>
      <c r="K30" s="47">
        <v>1.7862081999999999</v>
      </c>
      <c r="L30" s="47">
        <v>7.4507833000000003</v>
      </c>
      <c r="M30" s="47">
        <v>0.40832758000000002</v>
      </c>
      <c r="N30" s="47">
        <v>-19.122028</v>
      </c>
    </row>
    <row r="31" spans="1:14" x14ac:dyDescent="0.35">
      <c r="A31" s="2">
        <v>42643</v>
      </c>
      <c r="B31" s="40">
        <v>51.206062000000003</v>
      </c>
      <c r="C31" s="40">
        <v>21.586275000000001</v>
      </c>
      <c r="D31" s="40">
        <v>14.111673</v>
      </c>
      <c r="E31" s="40">
        <v>8.7645769999999992</v>
      </c>
      <c r="F31" s="40">
        <v>11.386882999999999</v>
      </c>
      <c r="G31" s="40">
        <v>2.5278925999999999</v>
      </c>
      <c r="H31" s="40">
        <v>1.0065198</v>
      </c>
      <c r="I31" s="40">
        <v>17.987537</v>
      </c>
      <c r="J31" s="40">
        <v>15.318548</v>
      </c>
      <c r="K31" s="47">
        <v>3.3358574000000001</v>
      </c>
      <c r="L31" s="47">
        <v>9.3106159999999996</v>
      </c>
      <c r="M31" s="47">
        <v>4.1947007000000003</v>
      </c>
      <c r="N31" s="47">
        <v>-20.612938</v>
      </c>
    </row>
    <row r="32" spans="1:14" x14ac:dyDescent="0.35">
      <c r="A32" s="2">
        <v>42676</v>
      </c>
      <c r="B32" s="40">
        <v>22.366963999999999</v>
      </c>
      <c r="C32" s="40">
        <v>10.437643</v>
      </c>
      <c r="D32" s="40">
        <v>6.9792389999999997</v>
      </c>
      <c r="E32" s="40">
        <v>-5.051291</v>
      </c>
      <c r="F32" s="40">
        <v>2.2635817999999999</v>
      </c>
      <c r="G32" s="40">
        <v>-7.5657249999999996</v>
      </c>
      <c r="H32" s="40">
        <v>-11.898040999999999</v>
      </c>
      <c r="I32" s="40">
        <v>1.6351461</v>
      </c>
      <c r="J32" s="40">
        <v>1.8502951000000001</v>
      </c>
      <c r="K32" s="47">
        <v>-6.3760640000000004</v>
      </c>
      <c r="L32" s="47">
        <v>-2.6355743</v>
      </c>
      <c r="M32" s="47">
        <v>-6.4086676000000002</v>
      </c>
      <c r="N32" s="47">
        <v>-24.165355999999999</v>
      </c>
    </row>
    <row r="33" spans="1:14" x14ac:dyDescent="0.35">
      <c r="A33" s="2">
        <v>42706</v>
      </c>
      <c r="B33" s="40">
        <v>21.443928</v>
      </c>
      <c r="C33" s="40">
        <v>11.010479999999999</v>
      </c>
      <c r="D33" s="40">
        <v>15.108955</v>
      </c>
      <c r="E33" s="40">
        <v>-5.5491029999999997</v>
      </c>
      <c r="F33" s="40">
        <v>0.99806786000000003</v>
      </c>
      <c r="G33" s="40">
        <v>-6.3671170000000004</v>
      </c>
      <c r="H33" s="40">
        <v>-7.2517513999999998</v>
      </c>
      <c r="I33" s="40">
        <v>2.2367119999999998</v>
      </c>
      <c r="J33" s="40">
        <v>7.6292156999999996</v>
      </c>
      <c r="K33" s="47">
        <v>-3.5247684000000001</v>
      </c>
      <c r="L33" s="47">
        <v>-3.5498976999999998</v>
      </c>
      <c r="M33" s="47">
        <v>-5.7389080000000003</v>
      </c>
      <c r="N33" s="47">
        <v>-19.61515</v>
      </c>
    </row>
    <row r="34" spans="1:14" x14ac:dyDescent="0.35">
      <c r="A34" s="2">
        <v>42734</v>
      </c>
      <c r="B34" s="40">
        <v>10.709274000000001</v>
      </c>
      <c r="C34" s="40">
        <v>9.94482</v>
      </c>
      <c r="D34" s="40">
        <v>22.904050000000002</v>
      </c>
      <c r="E34" s="40">
        <v>1.9262790999999999</v>
      </c>
      <c r="F34" s="40">
        <v>1.7673969</v>
      </c>
      <c r="G34" s="40">
        <v>-4.4724345000000003</v>
      </c>
      <c r="H34" s="40">
        <v>-2.2000492</v>
      </c>
      <c r="I34" s="40">
        <v>5.7681560000000003</v>
      </c>
      <c r="J34" s="40">
        <v>10.880922999999999</v>
      </c>
      <c r="K34" s="47">
        <v>3.4080743999999998</v>
      </c>
      <c r="L34" s="47">
        <v>2.3715614999999999</v>
      </c>
      <c r="M34" s="47">
        <v>0.92072487000000003</v>
      </c>
      <c r="N34" s="47">
        <v>-9.9944889999999997</v>
      </c>
    </row>
    <row r="35" spans="1:14" x14ac:dyDescent="0.35">
      <c r="A35" s="2">
        <v>42768</v>
      </c>
      <c r="B35" s="40">
        <v>29.692436000000001</v>
      </c>
      <c r="C35" s="40">
        <v>31.272745</v>
      </c>
      <c r="D35" s="40">
        <v>36.253155</v>
      </c>
      <c r="E35" s="40">
        <v>19.283283000000001</v>
      </c>
      <c r="F35" s="40">
        <v>14.553583</v>
      </c>
      <c r="G35" s="40">
        <v>9.9816680000000009</v>
      </c>
      <c r="H35" s="40">
        <v>9.5613119999999991</v>
      </c>
      <c r="I35" s="40">
        <v>24.052847</v>
      </c>
      <c r="J35" s="40">
        <v>22.353947000000002</v>
      </c>
      <c r="K35" s="47">
        <v>14.385546</v>
      </c>
      <c r="L35" s="47">
        <v>12.208879</v>
      </c>
      <c r="M35" s="47">
        <v>21.799135</v>
      </c>
      <c r="N35" s="47">
        <v>7.6110125000000002</v>
      </c>
    </row>
    <row r="36" spans="1:14" x14ac:dyDescent="0.35">
      <c r="A36" s="2">
        <v>42796</v>
      </c>
      <c r="B36" s="40">
        <v>19.527649</v>
      </c>
      <c r="C36" s="40">
        <v>24.490524000000001</v>
      </c>
      <c r="D36" s="40">
        <v>22.62107</v>
      </c>
      <c r="E36" s="40">
        <v>17.441486000000001</v>
      </c>
      <c r="F36" s="40">
        <v>15.623498</v>
      </c>
      <c r="G36" s="40">
        <v>10.048676</v>
      </c>
      <c r="H36" s="40">
        <v>8.3223819999999993</v>
      </c>
      <c r="I36" s="40">
        <v>24.956059</v>
      </c>
      <c r="J36" s="40">
        <v>22.308577</v>
      </c>
      <c r="K36" s="47">
        <v>11.492692999999999</v>
      </c>
      <c r="L36" s="47">
        <v>12.641632</v>
      </c>
      <c r="M36" s="47">
        <v>13.684797</v>
      </c>
      <c r="N36" s="47">
        <v>5.7366967000000004</v>
      </c>
    </row>
    <row r="37" spans="1:14" x14ac:dyDescent="0.35">
      <c r="A37" s="2">
        <v>42825</v>
      </c>
      <c r="B37" s="40">
        <v>7.5505852999999998</v>
      </c>
      <c r="C37" s="40">
        <v>21.861886999999999</v>
      </c>
      <c r="D37" s="40">
        <v>15.411925</v>
      </c>
      <c r="E37" s="40">
        <v>14.491785</v>
      </c>
      <c r="F37" s="40">
        <v>15.068984</v>
      </c>
      <c r="G37" s="40">
        <v>10.500622</v>
      </c>
      <c r="H37" s="40">
        <v>7.828665</v>
      </c>
      <c r="I37" s="40">
        <v>22.474062</v>
      </c>
      <c r="J37" s="40">
        <v>17.08033</v>
      </c>
      <c r="K37" s="47">
        <v>12.867022</v>
      </c>
      <c r="L37" s="47">
        <v>11.984146000000001</v>
      </c>
      <c r="M37" s="47">
        <v>11.461710999999999</v>
      </c>
      <c r="N37" s="47">
        <v>9.4985850000000003</v>
      </c>
    </row>
    <row r="38" spans="1:14" x14ac:dyDescent="0.35">
      <c r="A38" s="2">
        <v>42857</v>
      </c>
      <c r="B38" s="40">
        <v>7.1585416999999998</v>
      </c>
      <c r="C38" s="40">
        <v>17.508865</v>
      </c>
      <c r="D38" s="40">
        <v>5.7119966</v>
      </c>
      <c r="E38" s="40">
        <v>15.751255</v>
      </c>
      <c r="F38" s="40">
        <v>14.470566</v>
      </c>
      <c r="G38" s="40">
        <v>11.660337</v>
      </c>
      <c r="H38" s="40">
        <v>5.6918980000000001</v>
      </c>
      <c r="I38" s="40">
        <v>30.100833999999999</v>
      </c>
      <c r="J38" s="40">
        <v>17.188189999999999</v>
      </c>
      <c r="K38" s="47">
        <v>16.859839999999998</v>
      </c>
      <c r="L38" s="47">
        <v>17.196953000000001</v>
      </c>
      <c r="M38" s="47">
        <v>14.849747000000001</v>
      </c>
      <c r="N38" s="47">
        <v>9.6696740000000005</v>
      </c>
    </row>
    <row r="39" spans="1:14" x14ac:dyDescent="0.35">
      <c r="A39" s="2">
        <v>42888</v>
      </c>
      <c r="B39" s="40">
        <v>12.160254</v>
      </c>
      <c r="C39" s="40">
        <v>17.368756999999999</v>
      </c>
      <c r="D39" s="40">
        <v>8.9574929999999995</v>
      </c>
      <c r="E39" s="40">
        <v>24.889278000000001</v>
      </c>
      <c r="F39" s="40">
        <v>19.830168</v>
      </c>
      <c r="G39" s="40">
        <v>18.078375000000001</v>
      </c>
      <c r="H39" s="40">
        <v>12.274896999999999</v>
      </c>
      <c r="I39" s="40">
        <v>31.068587999999998</v>
      </c>
      <c r="J39" s="40">
        <v>18.167995000000001</v>
      </c>
      <c r="K39" s="47">
        <v>24.418545000000002</v>
      </c>
      <c r="L39" s="47">
        <v>22.377776999999998</v>
      </c>
      <c r="M39" s="47">
        <v>21.915959999999998</v>
      </c>
      <c r="N39" s="47">
        <v>22.102844000000001</v>
      </c>
    </row>
    <row r="40" spans="1:14" x14ac:dyDescent="0.35">
      <c r="A40" s="2">
        <v>42916</v>
      </c>
      <c r="B40" s="40">
        <v>13.302744000000001</v>
      </c>
      <c r="C40" s="40">
        <v>16.962109999999999</v>
      </c>
      <c r="D40" s="40">
        <v>11.180282</v>
      </c>
      <c r="E40" s="40">
        <v>28.358066999999998</v>
      </c>
      <c r="F40" s="40">
        <v>18.758500000000002</v>
      </c>
      <c r="G40" s="40">
        <v>18.264568000000001</v>
      </c>
      <c r="H40" s="40">
        <v>12.39264</v>
      </c>
      <c r="I40" s="40">
        <v>29.312193000000001</v>
      </c>
      <c r="J40" s="40">
        <v>17.782104</v>
      </c>
      <c r="K40" s="47">
        <v>28.388237</v>
      </c>
      <c r="L40" s="47">
        <v>28.129732000000001</v>
      </c>
      <c r="M40" s="47">
        <v>26.860296000000002</v>
      </c>
      <c r="N40" s="47">
        <v>31.645918000000002</v>
      </c>
    </row>
    <row r="41" spans="1:14" x14ac:dyDescent="0.35">
      <c r="A41" s="2">
        <v>42949</v>
      </c>
      <c r="B41" s="40">
        <v>8.3002450000000003</v>
      </c>
      <c r="C41" s="40">
        <v>15.455067</v>
      </c>
      <c r="D41" s="40">
        <v>14.101088000000001</v>
      </c>
      <c r="E41" s="40">
        <v>24.909459999999999</v>
      </c>
      <c r="F41" s="40">
        <v>17.268730000000001</v>
      </c>
      <c r="G41" s="40">
        <v>18.213439999999999</v>
      </c>
      <c r="H41" s="40">
        <v>14.517713000000001</v>
      </c>
      <c r="I41" s="40">
        <v>26.511441999999999</v>
      </c>
      <c r="J41" s="40">
        <v>17.132866</v>
      </c>
      <c r="K41" s="47">
        <v>28.758108</v>
      </c>
      <c r="L41" s="47">
        <v>33.315372000000004</v>
      </c>
      <c r="M41" s="47">
        <v>27.259613000000002</v>
      </c>
      <c r="N41" s="47">
        <v>43.299959999999999</v>
      </c>
    </row>
    <row r="42" spans="1:14" x14ac:dyDescent="0.35">
      <c r="A42" s="2">
        <v>42979</v>
      </c>
      <c r="B42" s="40">
        <v>3.5515903999999998</v>
      </c>
      <c r="C42" s="40">
        <v>17.78332</v>
      </c>
      <c r="D42" s="40">
        <v>12.299013</v>
      </c>
      <c r="E42" s="40">
        <v>19.625902</v>
      </c>
      <c r="F42" s="40">
        <v>12.134684</v>
      </c>
      <c r="G42" s="40">
        <v>15.711641</v>
      </c>
      <c r="H42" s="40">
        <v>11.007082</v>
      </c>
      <c r="I42" s="40">
        <v>26.356638</v>
      </c>
      <c r="J42" s="40">
        <v>16.328764</v>
      </c>
      <c r="K42" s="47">
        <v>26.241385999999999</v>
      </c>
      <c r="L42" s="47">
        <v>25.774944000000001</v>
      </c>
      <c r="M42" s="47">
        <v>23.978650999999999</v>
      </c>
      <c r="N42" s="47">
        <v>37.509872000000001</v>
      </c>
    </row>
    <row r="43" spans="1:14" x14ac:dyDescent="0.35">
      <c r="A43" s="2">
        <v>43010</v>
      </c>
      <c r="B43" s="40">
        <v>5.5194497</v>
      </c>
      <c r="C43" s="40">
        <v>13.165272</v>
      </c>
      <c r="D43" s="40">
        <v>14.794052000000001</v>
      </c>
      <c r="E43" s="40">
        <v>25.585640000000001</v>
      </c>
      <c r="F43" s="40">
        <v>13.091111</v>
      </c>
      <c r="G43" s="40">
        <v>17.289566000000001</v>
      </c>
      <c r="H43" s="40">
        <v>13.736784</v>
      </c>
      <c r="I43" s="40">
        <v>23.853386</v>
      </c>
      <c r="J43" s="40">
        <v>19.014502</v>
      </c>
      <c r="K43" s="47">
        <v>30.28041</v>
      </c>
      <c r="L43" s="47">
        <v>28.510701999999998</v>
      </c>
      <c r="M43" s="47">
        <v>25.969446000000001</v>
      </c>
      <c r="N43" s="47">
        <v>45.840274999999998</v>
      </c>
    </row>
    <row r="44" spans="1:14" x14ac:dyDescent="0.35">
      <c r="A44" s="2">
        <v>43041</v>
      </c>
      <c r="B44" s="40">
        <v>11.863434</v>
      </c>
      <c r="C44" s="40">
        <v>20.626508999999999</v>
      </c>
      <c r="D44" s="40">
        <v>17.532969000000001</v>
      </c>
      <c r="E44" s="40">
        <v>33.924520000000001</v>
      </c>
      <c r="F44" s="40">
        <v>20.254874999999998</v>
      </c>
      <c r="G44" s="40">
        <v>22.097957999999998</v>
      </c>
      <c r="H44" s="40">
        <v>21.434902000000001</v>
      </c>
      <c r="I44" s="40">
        <v>33.123061999999997</v>
      </c>
      <c r="J44" s="40">
        <v>25.300384999999999</v>
      </c>
      <c r="K44" s="47">
        <v>35.053179999999998</v>
      </c>
      <c r="L44" s="47">
        <v>34.462560000000003</v>
      </c>
      <c r="M44" s="47">
        <v>33.436202999999999</v>
      </c>
      <c r="N44" s="47">
        <v>46.939681999999998</v>
      </c>
    </row>
    <row r="45" spans="1:14" x14ac:dyDescent="0.35">
      <c r="A45" s="2">
        <v>43070</v>
      </c>
      <c r="B45" s="40">
        <v>14.648211</v>
      </c>
      <c r="C45" s="40">
        <v>16.054344</v>
      </c>
      <c r="D45" s="40">
        <v>14.546561000000001</v>
      </c>
      <c r="E45" s="40">
        <v>36.155773000000003</v>
      </c>
      <c r="F45" s="40">
        <v>22.757625999999998</v>
      </c>
      <c r="G45" s="40">
        <v>27.407741999999999</v>
      </c>
      <c r="H45" s="40">
        <v>20.292473000000001</v>
      </c>
      <c r="I45" s="40">
        <v>35.132945999999997</v>
      </c>
      <c r="J45" s="40">
        <v>22.882950000000001</v>
      </c>
      <c r="K45" s="47">
        <v>35.647357999999997</v>
      </c>
      <c r="L45" s="47">
        <v>38.057181999999997</v>
      </c>
      <c r="M45" s="47">
        <v>27.319849000000001</v>
      </c>
      <c r="N45" s="47">
        <v>44.274856999999997</v>
      </c>
    </row>
    <row r="46" spans="1:14" x14ac:dyDescent="0.35">
      <c r="A46" s="2">
        <v>43102</v>
      </c>
      <c r="B46" s="40">
        <v>25.174595</v>
      </c>
      <c r="C46" s="40">
        <v>20.709717000000001</v>
      </c>
      <c r="D46" s="40">
        <v>16.79889</v>
      </c>
      <c r="E46" s="40">
        <v>28.373574999999999</v>
      </c>
      <c r="F46" s="40">
        <v>25.020385999999998</v>
      </c>
      <c r="G46" s="40">
        <v>23.841583</v>
      </c>
      <c r="H46" s="40">
        <v>22.708511000000001</v>
      </c>
      <c r="I46" s="40">
        <v>34.989739999999998</v>
      </c>
      <c r="J46" s="40">
        <v>22.571383999999998</v>
      </c>
      <c r="K46" s="47">
        <v>29.419267999999999</v>
      </c>
      <c r="L46" s="47">
        <v>34.425080000000001</v>
      </c>
      <c r="M46" s="47">
        <v>22.817730000000001</v>
      </c>
      <c r="N46" s="47">
        <v>29.531420000000001</v>
      </c>
    </row>
    <row r="47" spans="1:14" x14ac:dyDescent="0.35">
      <c r="A47" s="2">
        <v>43133</v>
      </c>
      <c r="B47" s="40">
        <v>17.842328999999999</v>
      </c>
      <c r="C47" s="40">
        <v>14.181746</v>
      </c>
      <c r="D47" s="40">
        <v>8.8436009999999996</v>
      </c>
      <c r="E47" s="40">
        <v>25.431501000000001</v>
      </c>
      <c r="F47" s="40">
        <v>24.245811</v>
      </c>
      <c r="G47" s="40">
        <v>21.918571</v>
      </c>
      <c r="H47" s="40">
        <v>20.064354000000002</v>
      </c>
      <c r="I47" s="40">
        <v>32.550002999999997</v>
      </c>
      <c r="J47" s="40">
        <v>23.279357999999998</v>
      </c>
      <c r="K47" s="47">
        <v>32.405650000000001</v>
      </c>
      <c r="L47" s="47">
        <v>34.76502</v>
      </c>
      <c r="M47" s="47">
        <v>18.54335</v>
      </c>
      <c r="N47" s="47">
        <v>41.687249999999999</v>
      </c>
    </row>
    <row r="48" spans="1:14" x14ac:dyDescent="0.35">
      <c r="A48" s="2">
        <v>43161</v>
      </c>
      <c r="B48" s="40">
        <v>19.512165</v>
      </c>
      <c r="C48" s="40">
        <v>8.4839339999999996</v>
      </c>
      <c r="D48" s="40">
        <v>5.1779985000000002</v>
      </c>
      <c r="E48" s="40">
        <v>17.115819999999999</v>
      </c>
      <c r="F48" s="40">
        <v>18.349706999999999</v>
      </c>
      <c r="G48" s="40">
        <v>12.266958000000001</v>
      </c>
      <c r="H48" s="40">
        <v>11.925364</v>
      </c>
      <c r="I48" s="40">
        <v>28.080952</v>
      </c>
      <c r="J48" s="40">
        <v>15.121423999999999</v>
      </c>
      <c r="K48" s="47">
        <v>27.122174999999999</v>
      </c>
      <c r="L48" s="47">
        <v>25.550604</v>
      </c>
      <c r="M48" s="47">
        <v>13.205481000000001</v>
      </c>
      <c r="N48" s="47">
        <v>34.418823000000003</v>
      </c>
    </row>
    <row r="49" spans="1:14" x14ac:dyDescent="0.35">
      <c r="A49" s="2">
        <v>43192</v>
      </c>
      <c r="B49" s="40">
        <v>18.947994000000001</v>
      </c>
      <c r="C49" s="40">
        <v>0.22273064000000001</v>
      </c>
      <c r="D49" s="40">
        <v>3.2177448000000002</v>
      </c>
      <c r="E49" s="40">
        <v>12.194228000000001</v>
      </c>
      <c r="F49" s="40">
        <v>16.978656999999998</v>
      </c>
      <c r="G49" s="40">
        <v>8.3021530000000006</v>
      </c>
      <c r="H49" s="40">
        <v>10.031784</v>
      </c>
      <c r="I49" s="40">
        <v>18.493593000000001</v>
      </c>
      <c r="J49" s="40">
        <v>11.296701000000001</v>
      </c>
      <c r="K49" s="47">
        <v>19.243359000000002</v>
      </c>
      <c r="L49" s="47">
        <v>19.83484</v>
      </c>
      <c r="M49" s="47">
        <v>7.9410433999999999</v>
      </c>
      <c r="N49" s="47">
        <v>25.968636</v>
      </c>
    </row>
    <row r="50" spans="1:14" x14ac:dyDescent="0.35">
      <c r="A50" s="2">
        <v>43222</v>
      </c>
      <c r="B50" s="40">
        <v>14.582252499999999</v>
      </c>
      <c r="C50" s="40">
        <v>3.9295673</v>
      </c>
      <c r="D50" s="40">
        <v>9.3989259999999994</v>
      </c>
      <c r="E50" s="40">
        <v>11.344265999999999</v>
      </c>
      <c r="F50" s="40">
        <v>16.859745</v>
      </c>
      <c r="G50" s="40">
        <v>2.9583572999999999</v>
      </c>
      <c r="H50" s="40">
        <v>12.010694000000001</v>
      </c>
      <c r="I50" s="40">
        <v>18.770779000000001</v>
      </c>
      <c r="J50" s="40">
        <v>12.329827999999999</v>
      </c>
      <c r="K50" s="47">
        <v>16.989840000000001</v>
      </c>
      <c r="L50" s="47">
        <v>13.790953</v>
      </c>
      <c r="M50" s="47">
        <v>9.6714499999999995E-2</v>
      </c>
      <c r="N50" s="47">
        <v>29.136800000000001</v>
      </c>
    </row>
    <row r="51" spans="1:14" x14ac:dyDescent="0.35">
      <c r="A51" s="2">
        <v>43252</v>
      </c>
      <c r="B51" s="40">
        <v>13.438582</v>
      </c>
      <c r="C51" s="40">
        <v>10.915065</v>
      </c>
      <c r="D51" s="40">
        <v>11.223172999999999</v>
      </c>
      <c r="E51" s="40">
        <v>4.3703079999999996</v>
      </c>
      <c r="F51" s="40">
        <v>13.340366</v>
      </c>
      <c r="G51" s="40">
        <v>-1.8227815999999999</v>
      </c>
      <c r="H51" s="40">
        <v>8.4196679999999997</v>
      </c>
      <c r="I51" s="40">
        <v>22.843765000000001</v>
      </c>
      <c r="J51" s="40">
        <v>14.566039999999999</v>
      </c>
      <c r="K51" s="47">
        <v>10.472465</v>
      </c>
      <c r="L51" s="47">
        <v>8.5191610000000004</v>
      </c>
      <c r="M51" s="47">
        <v>-1.2812733999999999</v>
      </c>
      <c r="N51" s="47">
        <v>10.067724999999999</v>
      </c>
    </row>
    <row r="52" spans="1:14" x14ac:dyDescent="0.35">
      <c r="A52" s="2">
        <v>43283</v>
      </c>
      <c r="B52" s="40">
        <v>7.0642233000000001</v>
      </c>
      <c r="C52" s="40">
        <v>7.5020670000000003</v>
      </c>
      <c r="D52" s="40">
        <v>8.1886050000000008</v>
      </c>
      <c r="E52" s="40">
        <v>1.1805057999999999</v>
      </c>
      <c r="F52" s="40">
        <v>7.7747820000000001</v>
      </c>
      <c r="G52" s="40">
        <v>-3.0793607000000001</v>
      </c>
      <c r="H52" s="40">
        <v>7.5679420000000004</v>
      </c>
      <c r="I52" s="40">
        <v>26.561032999999998</v>
      </c>
      <c r="J52" s="40">
        <v>14.528358000000001</v>
      </c>
      <c r="K52" s="47">
        <v>8.0248950000000008</v>
      </c>
      <c r="L52" s="47">
        <v>7.2532414999999997</v>
      </c>
      <c r="M52" s="47">
        <v>-5.5115819999999998</v>
      </c>
      <c r="N52" s="47">
        <v>6.5299152999999999</v>
      </c>
    </row>
    <row r="53" spans="1:14" x14ac:dyDescent="0.35">
      <c r="A53" s="2">
        <v>43314</v>
      </c>
      <c r="B53" s="40">
        <v>3.7019014000000001</v>
      </c>
      <c r="C53" s="40">
        <v>4.2363879999999998</v>
      </c>
      <c r="D53" s="40">
        <v>6.8415165</v>
      </c>
      <c r="E53" s="40">
        <v>1.3812660999999999</v>
      </c>
      <c r="F53" s="40">
        <v>7.9643129999999998</v>
      </c>
      <c r="G53" s="40">
        <v>2.2712946000000001</v>
      </c>
      <c r="H53" s="40">
        <v>4.0399909999999997</v>
      </c>
      <c r="I53" s="40">
        <v>25.726330000000001</v>
      </c>
      <c r="J53" s="40">
        <v>16.252827</v>
      </c>
      <c r="K53" s="47">
        <v>8.2704660000000008</v>
      </c>
      <c r="L53" s="47">
        <v>4.8016310000000004</v>
      </c>
      <c r="M53" s="47">
        <v>-1.9134104000000001</v>
      </c>
      <c r="N53" s="47">
        <v>-0.83293914999999996</v>
      </c>
    </row>
    <row r="54" spans="1:14" x14ac:dyDescent="0.35">
      <c r="A54" s="2">
        <v>43343</v>
      </c>
      <c r="B54" s="40">
        <v>9.1086749999999999</v>
      </c>
      <c r="C54" s="40">
        <v>3.7284255000000002</v>
      </c>
      <c r="D54" s="40">
        <v>5.491352</v>
      </c>
      <c r="E54" s="40">
        <v>0.90388060000000003</v>
      </c>
      <c r="F54" s="40">
        <v>7.9676629999999999</v>
      </c>
      <c r="G54" s="40">
        <v>3.8819669999999999</v>
      </c>
      <c r="H54" s="40">
        <v>3.4807682</v>
      </c>
      <c r="I54" s="40">
        <v>28.700887999999999</v>
      </c>
      <c r="J54" s="40">
        <v>19.489134</v>
      </c>
      <c r="K54" s="47">
        <v>6.9504260000000002</v>
      </c>
      <c r="L54" s="47">
        <v>3.5356879999999999</v>
      </c>
      <c r="M54" s="47">
        <v>-2.9696642999999998</v>
      </c>
      <c r="N54" s="47">
        <v>-7.5170279999999998</v>
      </c>
    </row>
    <row r="55" spans="1:14" x14ac:dyDescent="0.35">
      <c r="A55" s="2">
        <v>43375</v>
      </c>
      <c r="B55" s="40">
        <v>7.2155595000000003</v>
      </c>
      <c r="C55" s="40">
        <v>1.1757255</v>
      </c>
      <c r="D55" s="40">
        <v>1.8028617</v>
      </c>
      <c r="E55" s="40">
        <v>-5.7059230000000003</v>
      </c>
      <c r="F55" s="40">
        <v>10.181940000000001</v>
      </c>
      <c r="G55" s="40">
        <v>1.1626840000000001</v>
      </c>
      <c r="H55" s="40">
        <v>1.762259</v>
      </c>
      <c r="I55" s="40">
        <v>28.574299</v>
      </c>
      <c r="J55" s="40">
        <v>17.65672</v>
      </c>
      <c r="K55" s="47">
        <v>3.3957600000000001</v>
      </c>
      <c r="L55" s="47">
        <v>-2.2236883999999999</v>
      </c>
      <c r="M55" s="47">
        <v>-4.390943</v>
      </c>
      <c r="N55" s="47">
        <v>-9.5848674999999997</v>
      </c>
    </row>
    <row r="56" spans="1:14" x14ac:dyDescent="0.35">
      <c r="A56" s="2">
        <v>43406</v>
      </c>
      <c r="B56" s="40">
        <v>4.3384910000000003</v>
      </c>
      <c r="C56" s="40">
        <v>-5.0801572999999998</v>
      </c>
      <c r="D56" s="40">
        <v>-5.7732343999999998</v>
      </c>
      <c r="E56" s="40">
        <v>-14.858067</v>
      </c>
      <c r="F56" s="40">
        <v>-5.4658175</v>
      </c>
      <c r="G56" s="40">
        <v>-1.4680624</v>
      </c>
      <c r="H56" s="40">
        <v>-3.4116209</v>
      </c>
      <c r="I56" s="40">
        <v>12.431717000000001</v>
      </c>
      <c r="J56" s="40">
        <v>7.4743389999999996</v>
      </c>
      <c r="K56" s="47">
        <v>-6.3210306000000003</v>
      </c>
      <c r="L56" s="47">
        <v>-7.9382124000000003</v>
      </c>
      <c r="M56" s="47">
        <v>-11.0989275</v>
      </c>
      <c r="N56" s="47">
        <v>-15.278572</v>
      </c>
    </row>
    <row r="57" spans="1:14" x14ac:dyDescent="0.35">
      <c r="A57" s="2">
        <v>43434</v>
      </c>
      <c r="B57" s="40">
        <v>9.9316960000000005</v>
      </c>
      <c r="C57" s="40">
        <v>-4.5717772999999999</v>
      </c>
      <c r="D57" s="40">
        <v>-6.0283126999999999</v>
      </c>
      <c r="E57" s="40">
        <v>-17.095613</v>
      </c>
      <c r="F57" s="40">
        <v>-6.2809169999999996</v>
      </c>
      <c r="G57" s="40">
        <v>-2.6792883999999999</v>
      </c>
      <c r="H57" s="40">
        <v>-6.3803729999999996</v>
      </c>
      <c r="I57" s="40">
        <v>10.00483</v>
      </c>
      <c r="J57" s="40">
        <v>5.9098125000000001</v>
      </c>
      <c r="K57" s="47">
        <v>-8.3107950000000006</v>
      </c>
      <c r="L57" s="47">
        <v>-7.8468920000000004</v>
      </c>
      <c r="M57" s="47">
        <v>-10.080904</v>
      </c>
      <c r="N57" s="47">
        <v>-15.364474</v>
      </c>
    </row>
    <row r="58" spans="1:14" x14ac:dyDescent="0.35">
      <c r="A58" s="2">
        <v>43467</v>
      </c>
      <c r="B58" s="40">
        <v>-1.0907471</v>
      </c>
      <c r="C58" s="40">
        <v>-13.271242000000001</v>
      </c>
      <c r="D58" s="40">
        <v>-17.151266</v>
      </c>
      <c r="E58" s="40">
        <v>-22.527128000000001</v>
      </c>
      <c r="F58" s="40">
        <v>-14.017778</v>
      </c>
      <c r="G58" s="40">
        <v>-10.234081</v>
      </c>
      <c r="H58" s="40">
        <v>-15.120143000000001</v>
      </c>
      <c r="I58" s="40">
        <v>-1.4422476</v>
      </c>
      <c r="J58" s="40">
        <v>-5.1367463999999998</v>
      </c>
      <c r="K58" s="47">
        <v>-13.829874999999999</v>
      </c>
      <c r="L58" s="47">
        <v>-15.912222999999999</v>
      </c>
      <c r="M58" s="47">
        <v>-14.867186999999999</v>
      </c>
      <c r="N58" s="47">
        <v>-17.910634999999999</v>
      </c>
    </row>
    <row r="59" spans="1:14" x14ac:dyDescent="0.35">
      <c r="A59" s="2">
        <v>43497</v>
      </c>
      <c r="B59" s="40">
        <v>0.88423490000000005</v>
      </c>
      <c r="C59" s="40">
        <v>-8.8310300000000002</v>
      </c>
      <c r="D59" s="40">
        <v>-6.6378060000000003</v>
      </c>
      <c r="E59" s="40">
        <v>-20.872295000000001</v>
      </c>
      <c r="F59" s="40">
        <v>-13.192195</v>
      </c>
      <c r="G59" s="40">
        <v>-8.7140260000000005</v>
      </c>
      <c r="H59" s="40">
        <v>-11.036414000000001</v>
      </c>
      <c r="I59" s="40">
        <v>0.54873229999999995</v>
      </c>
      <c r="J59" s="40">
        <v>-2.2572220000000001</v>
      </c>
      <c r="K59" s="47">
        <v>-13.514101</v>
      </c>
      <c r="L59" s="47">
        <v>-13.873922</v>
      </c>
      <c r="M59" s="47">
        <v>-13.946253</v>
      </c>
      <c r="N59" s="47">
        <v>-20.900005</v>
      </c>
    </row>
    <row r="60" spans="1:14" x14ac:dyDescent="0.35">
      <c r="A60" s="2">
        <v>43525</v>
      </c>
      <c r="B60" s="40">
        <v>6.7422867000000002</v>
      </c>
      <c r="C60" s="40">
        <v>9.8812579999999997E-2</v>
      </c>
      <c r="D60" s="40">
        <v>2.8898953999999999</v>
      </c>
      <c r="E60" s="40">
        <v>-11.139929</v>
      </c>
      <c r="F60" s="40">
        <v>-6.6220283999999996</v>
      </c>
      <c r="G60" s="40">
        <v>4.061687</v>
      </c>
      <c r="H60" s="40">
        <v>-0.44788718</v>
      </c>
      <c r="I60" s="40">
        <v>6.9315433999999998</v>
      </c>
      <c r="J60" s="40">
        <v>6.7546606000000002</v>
      </c>
      <c r="K60" s="47">
        <v>-3.385961</v>
      </c>
      <c r="L60" s="47">
        <v>-3.3952773000000001</v>
      </c>
      <c r="M60" s="47">
        <v>-5.0964413000000004</v>
      </c>
      <c r="N60" s="47">
        <v>-9.9574379999999998</v>
      </c>
    </row>
    <row r="61" spans="1:14" x14ac:dyDescent="0.35">
      <c r="A61" s="2">
        <v>43557</v>
      </c>
      <c r="B61" s="40">
        <v>11.66563</v>
      </c>
      <c r="C61" s="40">
        <v>5.9397460000000004</v>
      </c>
      <c r="D61" s="40">
        <v>5.612266</v>
      </c>
      <c r="E61" s="40">
        <v>-10.890347</v>
      </c>
      <c r="F61" s="40">
        <v>-6.0021579999999997</v>
      </c>
      <c r="G61" s="40">
        <v>7.5559380000000003</v>
      </c>
      <c r="H61" s="40">
        <v>2.3648858000000001</v>
      </c>
      <c r="I61" s="40">
        <v>18.527484999999999</v>
      </c>
      <c r="J61" s="40">
        <v>13.236368000000001</v>
      </c>
      <c r="K61" s="47">
        <v>-1.0830164</v>
      </c>
      <c r="L61" s="47">
        <v>-2.1229029000000001</v>
      </c>
      <c r="M61" s="47">
        <v>-1.658231</v>
      </c>
      <c r="N61" s="47">
        <v>-7.9165039999999998</v>
      </c>
    </row>
    <row r="62" spans="1:14" x14ac:dyDescent="0.35">
      <c r="A62" s="2">
        <v>43587</v>
      </c>
      <c r="B62" s="40">
        <v>12.208879</v>
      </c>
      <c r="C62" s="40">
        <v>1.9828796</v>
      </c>
      <c r="D62" s="40">
        <v>2.7734876000000002</v>
      </c>
      <c r="E62" s="40">
        <v>-10.352069</v>
      </c>
      <c r="F62" s="40">
        <v>-6.8328676000000002</v>
      </c>
      <c r="G62" s="40">
        <v>9.1317649999999997</v>
      </c>
      <c r="H62" s="40">
        <v>-2.7892947000000001</v>
      </c>
      <c r="I62" s="40">
        <v>17.259264000000002</v>
      </c>
      <c r="J62" s="40">
        <v>12.789249</v>
      </c>
      <c r="K62" s="47">
        <v>-3.8376093</v>
      </c>
      <c r="L62" s="47">
        <v>0.43171643999999998</v>
      </c>
      <c r="M62" s="47">
        <v>1.7301917</v>
      </c>
      <c r="N62" s="47">
        <v>-13.932143999999999</v>
      </c>
    </row>
    <row r="63" spans="1:14" x14ac:dyDescent="0.35">
      <c r="A63" s="2">
        <v>43616</v>
      </c>
      <c r="B63" s="40">
        <v>8.3908439999999995</v>
      </c>
      <c r="C63" s="40">
        <v>2.2782206999999999</v>
      </c>
      <c r="D63" s="40">
        <v>-2.5461852999999999</v>
      </c>
      <c r="E63" s="40">
        <v>-12.863559</v>
      </c>
      <c r="F63" s="40">
        <v>-10.369987</v>
      </c>
      <c r="G63" s="40">
        <v>10.795748</v>
      </c>
      <c r="H63" s="40">
        <v>-7.9849424000000004</v>
      </c>
      <c r="I63" s="40">
        <v>3.1725525999999999</v>
      </c>
      <c r="J63" s="40">
        <v>3.5804510000000001</v>
      </c>
      <c r="K63" s="47">
        <v>-6.530583</v>
      </c>
      <c r="L63" s="47">
        <v>-3.4216403999999998</v>
      </c>
      <c r="M63" s="47">
        <v>-5.7144345999999997</v>
      </c>
      <c r="N63" s="47">
        <v>-10.836429000000001</v>
      </c>
    </row>
    <row r="64" spans="1:14" x14ac:dyDescent="0.35">
      <c r="A64" s="2">
        <v>43648</v>
      </c>
      <c r="B64" s="40">
        <v>14.992618999999999</v>
      </c>
      <c r="C64" s="40">
        <v>6.8361280000000004</v>
      </c>
      <c r="D64" s="40">
        <v>4.00908</v>
      </c>
      <c r="E64" s="40">
        <v>-3.0799924999999999</v>
      </c>
      <c r="F64" s="40">
        <v>-0.91459749999999995</v>
      </c>
      <c r="G64" s="40">
        <v>18.413983999999999</v>
      </c>
      <c r="H64" s="40">
        <v>-0.58900713999999998</v>
      </c>
      <c r="I64" s="40">
        <v>10.924721</v>
      </c>
      <c r="J64" s="40">
        <v>11.206734000000001</v>
      </c>
      <c r="K64" s="47">
        <v>4.1384935</v>
      </c>
      <c r="L64" s="47">
        <v>5.4299115999999996</v>
      </c>
      <c r="M64" s="47">
        <v>6.2602880000000001</v>
      </c>
      <c r="N64" s="47">
        <v>0.88814497000000003</v>
      </c>
    </row>
    <row r="65" spans="1:14" x14ac:dyDescent="0.35">
      <c r="A65" s="2">
        <v>43679</v>
      </c>
      <c r="B65" s="40">
        <v>17.511044999999999</v>
      </c>
      <c r="C65" s="40">
        <v>3.8296342000000001</v>
      </c>
      <c r="D65" s="40">
        <v>-1.407367</v>
      </c>
      <c r="E65" s="40">
        <v>-10.987126999999999</v>
      </c>
      <c r="F65" s="40">
        <v>-6.1558247000000001</v>
      </c>
      <c r="G65" s="40">
        <v>9.8078610000000008</v>
      </c>
      <c r="H65" s="40">
        <v>-6.1339319999999997</v>
      </c>
      <c r="I65" s="40">
        <v>5.2718759999999998</v>
      </c>
      <c r="J65" s="40">
        <v>5.6839230000000001</v>
      </c>
      <c r="K65" s="47">
        <v>-4.1752520000000004</v>
      </c>
      <c r="L65" s="47">
        <v>-0.85270999999999997</v>
      </c>
      <c r="M65" s="47">
        <v>-6.9919466999999997</v>
      </c>
      <c r="N65" s="47">
        <v>-2.3326337000000001</v>
      </c>
    </row>
    <row r="66" spans="1:14" x14ac:dyDescent="0.35">
      <c r="A66" s="2">
        <v>43707</v>
      </c>
      <c r="B66" s="40">
        <v>8.1835985000000004</v>
      </c>
      <c r="C66" s="40">
        <v>1.1743425999999999</v>
      </c>
      <c r="D66" s="40">
        <v>-0.84872245999999996</v>
      </c>
      <c r="E66" s="40">
        <v>-12.065733</v>
      </c>
      <c r="F66" s="40">
        <v>-5.6255519999999999</v>
      </c>
      <c r="G66" s="40">
        <v>9.4134445000000007</v>
      </c>
      <c r="H66" s="40">
        <v>-6.363696</v>
      </c>
      <c r="I66" s="40">
        <v>1.4514327</v>
      </c>
      <c r="J66" s="40">
        <v>2.7445555000000001</v>
      </c>
      <c r="K66" s="47">
        <v>-3.6489785000000001</v>
      </c>
      <c r="L66" s="47">
        <v>0.55551530000000005</v>
      </c>
      <c r="M66" s="47">
        <v>-8.8967620000000007</v>
      </c>
      <c r="N66" s="47">
        <v>2.5537372</v>
      </c>
    </row>
    <row r="67" spans="1:14" x14ac:dyDescent="0.35">
      <c r="A67" s="2">
        <v>43740</v>
      </c>
      <c r="B67" s="40">
        <v>10.002554</v>
      </c>
      <c r="C67" s="40">
        <v>4.1362285999999999</v>
      </c>
      <c r="D67" s="40">
        <v>-0.24387835999999999</v>
      </c>
      <c r="E67" s="40">
        <v>-9.9159959999999998</v>
      </c>
      <c r="F67" s="40">
        <v>-6.2261699999999998</v>
      </c>
      <c r="G67" s="40">
        <v>7.2757006000000004</v>
      </c>
      <c r="H67" s="40">
        <v>-6.6892505</v>
      </c>
      <c r="I67" s="40">
        <v>-2.3150443999999999E-2</v>
      </c>
      <c r="J67" s="40">
        <v>0.77582600000000002</v>
      </c>
      <c r="K67" s="47">
        <v>-4.1594686999999997</v>
      </c>
      <c r="L67" s="47">
        <v>4.2220472999999998</v>
      </c>
      <c r="M67" s="47">
        <v>-9.8440279999999998</v>
      </c>
      <c r="N67" s="47">
        <v>2.0442724000000001</v>
      </c>
    </row>
    <row r="68" spans="1:14" x14ac:dyDescent="0.35">
      <c r="A68" s="2">
        <v>43770</v>
      </c>
      <c r="B68" s="40">
        <v>16.605937999999998</v>
      </c>
      <c r="C68" s="40">
        <v>15.247439999999999</v>
      </c>
      <c r="D68" s="40">
        <v>11.176753</v>
      </c>
      <c r="E68" s="40">
        <v>7.1332573999999997</v>
      </c>
      <c r="F68" s="40">
        <v>10.147738</v>
      </c>
      <c r="G68" s="40">
        <v>18.315304000000001</v>
      </c>
      <c r="H68" s="40">
        <v>5.5838704000000003</v>
      </c>
      <c r="I68" s="40">
        <v>16.622340999999999</v>
      </c>
      <c r="J68" s="40">
        <v>14.169002000000001</v>
      </c>
      <c r="K68" s="47">
        <v>12.586821</v>
      </c>
      <c r="L68" s="47">
        <v>16.503869999999999</v>
      </c>
      <c r="M68" s="47">
        <v>10.750556</v>
      </c>
      <c r="N68" s="47">
        <v>19.902920000000002</v>
      </c>
    </row>
    <row r="69" spans="1:14" x14ac:dyDescent="0.35">
      <c r="A69" s="2">
        <v>43801</v>
      </c>
      <c r="B69" s="40">
        <v>20.384048</v>
      </c>
      <c r="C69" s="40">
        <v>15.814888</v>
      </c>
      <c r="D69" s="40">
        <v>13.381779</v>
      </c>
      <c r="E69" s="40">
        <v>9.7457650000000005</v>
      </c>
      <c r="F69" s="40">
        <v>8.9856739999999995</v>
      </c>
      <c r="G69" s="40">
        <v>19.140969999999999</v>
      </c>
      <c r="H69" s="40">
        <v>9.0434789999999996</v>
      </c>
      <c r="I69" s="40">
        <v>20.934999999999999</v>
      </c>
      <c r="J69" s="40">
        <v>15.317857999999999</v>
      </c>
      <c r="K69" s="47">
        <v>14.903128000000001</v>
      </c>
      <c r="L69" s="47">
        <v>16.96893</v>
      </c>
      <c r="M69" s="47">
        <v>11.585164000000001</v>
      </c>
      <c r="N69" s="47">
        <v>17.515528</v>
      </c>
    </row>
    <row r="70" spans="1:14" x14ac:dyDescent="0.35">
      <c r="A70" s="2">
        <v>43832</v>
      </c>
      <c r="B70" s="40">
        <v>30.245208999999999</v>
      </c>
      <c r="C70" s="40">
        <v>23.918581</v>
      </c>
      <c r="D70" s="40">
        <v>26.783382</v>
      </c>
      <c r="E70" s="40">
        <v>22.014809</v>
      </c>
      <c r="F70" s="40">
        <v>19.750858000000001</v>
      </c>
      <c r="G70" s="40">
        <v>33.637203</v>
      </c>
      <c r="H70" s="40">
        <v>21.512508</v>
      </c>
      <c r="I70" s="40">
        <v>40.71443</v>
      </c>
      <c r="J70" s="40">
        <v>32.31127</v>
      </c>
      <c r="K70" s="47">
        <v>28.674983999999998</v>
      </c>
      <c r="L70" s="47">
        <v>34.02854</v>
      </c>
      <c r="M70" s="47">
        <v>27.260636999999999</v>
      </c>
      <c r="N70" s="47">
        <v>29.009974</v>
      </c>
    </row>
    <row r="71" spans="1:14" x14ac:dyDescent="0.35">
      <c r="A71" s="2">
        <v>43861</v>
      </c>
      <c r="B71" s="40">
        <v>19.802451999999999</v>
      </c>
      <c r="C71" s="40">
        <v>12.524784</v>
      </c>
      <c r="D71" s="40">
        <v>12.159813</v>
      </c>
      <c r="E71" s="40">
        <v>9.4136830000000007</v>
      </c>
      <c r="F71" s="40">
        <v>8.6337329999999994</v>
      </c>
      <c r="G71" s="40">
        <v>24.781502</v>
      </c>
      <c r="H71" s="40">
        <v>8.1732390000000006</v>
      </c>
      <c r="I71" s="40">
        <v>31.346619</v>
      </c>
      <c r="J71" s="40">
        <v>21.445179</v>
      </c>
      <c r="K71" s="47">
        <v>14.554572</v>
      </c>
      <c r="L71" s="47">
        <v>18.715454000000001</v>
      </c>
      <c r="M71" s="47">
        <v>12.169397</v>
      </c>
      <c r="N71" s="47">
        <v>14.592541000000001</v>
      </c>
    </row>
    <row r="72" spans="1:14" x14ac:dyDescent="0.35">
      <c r="A72" s="2">
        <v>43892</v>
      </c>
      <c r="B72" s="40">
        <v>9.7211839999999992</v>
      </c>
      <c r="C72" s="40">
        <v>-0.82255005999999997</v>
      </c>
      <c r="D72" s="40">
        <v>3.9155722000000002</v>
      </c>
      <c r="E72" s="40">
        <v>-0.87010264000000004</v>
      </c>
      <c r="F72" s="40">
        <v>0.43948890000000002</v>
      </c>
      <c r="G72" s="40">
        <v>13.368368</v>
      </c>
      <c r="H72" s="40">
        <v>-5.5528820000000003</v>
      </c>
      <c r="I72" s="40">
        <v>25.122225</v>
      </c>
      <c r="J72" s="40">
        <v>12.309313</v>
      </c>
      <c r="K72" s="47">
        <v>2.8366804000000001</v>
      </c>
      <c r="L72" s="47">
        <v>7.784319</v>
      </c>
      <c r="M72" s="47">
        <v>6.6298722999999997</v>
      </c>
      <c r="N72" s="47">
        <v>3.9715289999999999</v>
      </c>
    </row>
    <row r="73" spans="1:14" x14ac:dyDescent="0.35">
      <c r="A73" s="2">
        <v>43923</v>
      </c>
      <c r="B73" s="40">
        <v>-10.331099999999999</v>
      </c>
      <c r="C73" s="40">
        <v>-25.435299000000001</v>
      </c>
      <c r="D73" s="40">
        <v>-22.687483</v>
      </c>
      <c r="E73" s="40">
        <v>-22.439361999999999</v>
      </c>
      <c r="F73" s="40">
        <v>-11.605596999999999</v>
      </c>
      <c r="G73" s="40">
        <v>0.82159040000000005</v>
      </c>
      <c r="H73" s="40">
        <v>-27.871100999999999</v>
      </c>
      <c r="I73" s="40">
        <v>2.6643990999999998</v>
      </c>
      <c r="J73" s="40">
        <v>-10.115033</v>
      </c>
      <c r="K73" s="47">
        <v>-22.495460000000001</v>
      </c>
      <c r="L73" s="47">
        <v>-14.021343</v>
      </c>
      <c r="M73" s="47">
        <v>-16.990734</v>
      </c>
      <c r="N73" s="47">
        <v>-24.221294</v>
      </c>
    </row>
    <row r="74" spans="1:14" x14ac:dyDescent="0.35">
      <c r="A74" s="2">
        <v>43952</v>
      </c>
      <c r="B74" s="40">
        <v>-3.4128487000000001</v>
      </c>
      <c r="C74" s="40">
        <v>-22.309726999999999</v>
      </c>
      <c r="D74" s="40">
        <v>-14.37223</v>
      </c>
      <c r="E74" s="40">
        <v>-17.153846999999999</v>
      </c>
      <c r="F74" s="40">
        <v>-5.9912147999999998</v>
      </c>
      <c r="G74" s="40">
        <v>2.9318213000000002</v>
      </c>
      <c r="H74" s="40">
        <v>-23.119800000000001</v>
      </c>
      <c r="I74" s="40">
        <v>13.564264</v>
      </c>
      <c r="J74" s="40">
        <v>-1.084584</v>
      </c>
      <c r="K74" s="47">
        <v>-19.655449000000001</v>
      </c>
      <c r="L74" s="47">
        <v>-9.2314609999999995</v>
      </c>
      <c r="M74" s="47">
        <v>-12.664151</v>
      </c>
      <c r="N74" s="47">
        <v>-23.056608000000001</v>
      </c>
    </row>
    <row r="75" spans="1:14" x14ac:dyDescent="0.35">
      <c r="A75" s="2">
        <v>43984</v>
      </c>
      <c r="B75" s="40">
        <v>9.1328510000000005</v>
      </c>
      <c r="C75" s="40">
        <v>-8.0919319999999999</v>
      </c>
      <c r="D75" s="40">
        <v>-2.3090660000000001</v>
      </c>
      <c r="E75" s="40">
        <v>2.3972272999999999</v>
      </c>
      <c r="F75" s="40">
        <v>9.4272729999999996</v>
      </c>
      <c r="G75" s="40">
        <v>10.569012000000001</v>
      </c>
      <c r="H75" s="40">
        <v>-11.906492</v>
      </c>
      <c r="I75" s="40">
        <v>36.615383000000001</v>
      </c>
      <c r="J75" s="40">
        <v>14.236439000000001</v>
      </c>
      <c r="K75" s="47">
        <v>-4.2785644999999999</v>
      </c>
      <c r="L75" s="47">
        <v>9.3011739999999996</v>
      </c>
      <c r="M75" s="47">
        <v>11.728942999999999</v>
      </c>
      <c r="N75" s="47">
        <v>-5.1591873000000001</v>
      </c>
    </row>
    <row r="76" spans="1:14" x14ac:dyDescent="0.35">
      <c r="A76" s="2">
        <v>44014</v>
      </c>
      <c r="B76" s="40">
        <v>10.6545925</v>
      </c>
      <c r="C76" s="40">
        <v>-8.7314310000000006</v>
      </c>
      <c r="D76" s="40">
        <v>-7.2576102999999996</v>
      </c>
      <c r="E76" s="40">
        <v>-1.0038435000000001</v>
      </c>
      <c r="F76" s="40">
        <v>1.337564</v>
      </c>
      <c r="G76" s="40">
        <v>6.6479445000000004</v>
      </c>
      <c r="H76" s="40">
        <v>-17.175370999999998</v>
      </c>
      <c r="I76" s="40">
        <v>33.792842999999998</v>
      </c>
      <c r="J76" s="40">
        <v>7.4635267000000001</v>
      </c>
      <c r="K76" s="47">
        <v>-8.4992830000000001</v>
      </c>
      <c r="L76" s="47">
        <v>7.836938</v>
      </c>
      <c r="M76" s="47">
        <v>2.7112959999999999</v>
      </c>
      <c r="N76" s="47">
        <v>-9.3180599999999991</v>
      </c>
    </row>
    <row r="77" spans="1:14" x14ac:dyDescent="0.35">
      <c r="A77" s="2">
        <v>44043</v>
      </c>
      <c r="B77" s="40">
        <v>11.098611999999999</v>
      </c>
      <c r="C77" s="40">
        <v>-8.0361069999999994</v>
      </c>
      <c r="D77" s="40">
        <v>-1.5388965999999999</v>
      </c>
      <c r="E77" s="40">
        <v>6.4303160000000004</v>
      </c>
      <c r="F77" s="40">
        <v>1.9612908</v>
      </c>
      <c r="G77" s="40">
        <v>10.812580000000001</v>
      </c>
      <c r="H77" s="40">
        <v>-15.07954</v>
      </c>
      <c r="I77" s="40">
        <v>40.203667000000003</v>
      </c>
      <c r="J77" s="40">
        <v>12.00403</v>
      </c>
      <c r="K77" s="47">
        <v>-5.3624510000000001</v>
      </c>
      <c r="L77" s="47">
        <v>11.269247</v>
      </c>
      <c r="M77" s="47">
        <v>17.741309999999999</v>
      </c>
      <c r="N77" s="47">
        <v>-6.9082379999999999</v>
      </c>
    </row>
    <row r="78" spans="1:14" x14ac:dyDescent="0.35">
      <c r="A78" s="2">
        <v>44076</v>
      </c>
      <c r="B78" s="40">
        <v>21.396805000000001</v>
      </c>
      <c r="C78" s="40">
        <v>0.83762409999999998</v>
      </c>
      <c r="D78" s="40">
        <v>5.2958610000000004</v>
      </c>
      <c r="E78" s="40">
        <v>18.249023000000001</v>
      </c>
      <c r="F78" s="40">
        <v>11.154508999999999</v>
      </c>
      <c r="G78" s="40">
        <v>15.40401</v>
      </c>
      <c r="H78" s="40">
        <v>-8.6567159999999994</v>
      </c>
      <c r="I78" s="40">
        <v>62.797665000000002</v>
      </c>
      <c r="J78" s="40">
        <v>24.788903999999999</v>
      </c>
      <c r="K78" s="47">
        <v>1.9622444999999999</v>
      </c>
      <c r="L78" s="47">
        <v>19.995235000000001</v>
      </c>
      <c r="M78" s="47">
        <v>29.224384000000001</v>
      </c>
      <c r="N78" s="47">
        <v>-1.6532898</v>
      </c>
    </row>
    <row r="79" spans="1:14" x14ac:dyDescent="0.35">
      <c r="A79" s="2">
        <v>44106</v>
      </c>
      <c r="B79" s="40">
        <v>16.166342</v>
      </c>
      <c r="C79" s="40">
        <v>-4.2097806999999996</v>
      </c>
      <c r="D79" s="40">
        <v>0.38648843999999999</v>
      </c>
      <c r="E79" s="40">
        <v>13.144731500000001</v>
      </c>
      <c r="F79" s="40">
        <v>7.4836134999999997</v>
      </c>
      <c r="G79" s="40">
        <v>15.904558</v>
      </c>
      <c r="H79" s="40">
        <v>-11.932240999999999</v>
      </c>
      <c r="I79" s="40">
        <v>50.155839999999998</v>
      </c>
      <c r="J79" s="40">
        <v>18.170642999999998</v>
      </c>
      <c r="K79" s="47">
        <v>-2.1952093000000001</v>
      </c>
      <c r="L79" s="47">
        <v>17.484247</v>
      </c>
      <c r="M79" s="47">
        <v>27.00975</v>
      </c>
      <c r="N79" s="47">
        <v>-6.5384570000000002</v>
      </c>
    </row>
    <row r="80" spans="1:14" x14ac:dyDescent="0.35">
      <c r="A80" s="2">
        <v>44137</v>
      </c>
      <c r="B80" s="40">
        <v>16.562283000000001</v>
      </c>
      <c r="C80" s="40">
        <v>-9.5867520000000006</v>
      </c>
      <c r="D80" s="40">
        <v>-5.472499</v>
      </c>
      <c r="E80" s="40">
        <v>-6.4703999999999997</v>
      </c>
      <c r="F80" s="40">
        <v>1.2931347</v>
      </c>
      <c r="G80" s="40">
        <v>3.9888262999999999</v>
      </c>
      <c r="H80" s="40">
        <v>-22.182452999999999</v>
      </c>
      <c r="I80" s="40">
        <v>36.772489999999998</v>
      </c>
      <c r="J80" s="40">
        <v>9.979355</v>
      </c>
      <c r="K80" s="47">
        <v>-12.835926000000001</v>
      </c>
      <c r="L80" s="47">
        <v>7.7627179999999996</v>
      </c>
      <c r="M80" s="47">
        <v>9.3606359999999995</v>
      </c>
      <c r="N80" s="47">
        <v>-18.795227000000001</v>
      </c>
    </row>
    <row r="81" spans="1:14" x14ac:dyDescent="0.35">
      <c r="A81" s="2">
        <v>44167</v>
      </c>
      <c r="B81" s="40">
        <v>22.675764000000001</v>
      </c>
      <c r="C81" s="40">
        <v>5.9249520000000002</v>
      </c>
      <c r="D81" s="40">
        <v>6.5964580000000002</v>
      </c>
      <c r="E81" s="40">
        <v>9.5365289999999998</v>
      </c>
      <c r="F81" s="40">
        <v>12.816095000000001</v>
      </c>
      <c r="G81" s="40">
        <v>13.211976999999999</v>
      </c>
      <c r="H81" s="40">
        <v>-7.8258695999999999</v>
      </c>
      <c r="I81" s="40">
        <v>50.799404000000003</v>
      </c>
      <c r="J81" s="40">
        <v>20.010280000000002</v>
      </c>
      <c r="K81" s="47">
        <v>7.5621723999999997</v>
      </c>
      <c r="L81" s="47">
        <v>25.094581999999999</v>
      </c>
      <c r="M81" s="47">
        <v>27.972185</v>
      </c>
      <c r="N81" s="47">
        <v>3.6081553</v>
      </c>
    </row>
    <row r="82" spans="1:14" x14ac:dyDescent="0.35">
      <c r="A82" s="2">
        <v>44196</v>
      </c>
      <c r="B82" s="40">
        <v>20.040130000000001</v>
      </c>
      <c r="C82" s="40">
        <v>8.2654949999999996</v>
      </c>
      <c r="D82" s="40">
        <v>5.5211781999999996</v>
      </c>
      <c r="E82" s="40">
        <v>10.563791</v>
      </c>
      <c r="F82" s="40">
        <v>15.40935</v>
      </c>
      <c r="G82" s="40">
        <v>11.787022</v>
      </c>
      <c r="H82" s="40">
        <v>-11.804508999999999</v>
      </c>
      <c r="I82" s="40">
        <v>48.618769999999998</v>
      </c>
      <c r="J82" s="40">
        <v>18.373214999999998</v>
      </c>
      <c r="K82" s="47">
        <v>2.8523922000000002</v>
      </c>
      <c r="L82" s="47">
        <v>23.225773</v>
      </c>
      <c r="M82" s="47">
        <v>22.261215</v>
      </c>
      <c r="N82" s="47">
        <v>1.6735792</v>
      </c>
    </row>
    <row r="83" spans="1:14" x14ac:dyDescent="0.35">
      <c r="A83" s="2">
        <v>44229</v>
      </c>
      <c r="B83" s="40">
        <v>22.640799999999999</v>
      </c>
      <c r="C83" s="40">
        <v>12.458491</v>
      </c>
      <c r="D83" s="40">
        <v>8.5441230000000008</v>
      </c>
      <c r="E83" s="40">
        <v>15.549170999999999</v>
      </c>
      <c r="F83" s="40">
        <v>19.561077000000001</v>
      </c>
      <c r="G83" s="40">
        <v>11.787165</v>
      </c>
      <c r="H83" s="40">
        <v>-6.3495039999999996</v>
      </c>
      <c r="I83" s="40">
        <v>50.644897</v>
      </c>
      <c r="J83" s="40">
        <v>20.850383999999998</v>
      </c>
      <c r="K83" s="47">
        <v>7.1111680000000002</v>
      </c>
      <c r="L83" s="47">
        <v>34.768177000000001</v>
      </c>
      <c r="M83" s="47">
        <v>31.659424000000001</v>
      </c>
      <c r="N83" s="47">
        <v>4.1817665000000002</v>
      </c>
    </row>
    <row r="84" spans="1:14" x14ac:dyDescent="0.35">
      <c r="A84" s="2">
        <v>44257</v>
      </c>
      <c r="B84" s="40">
        <v>23.555267000000001</v>
      </c>
      <c r="C84" s="40">
        <v>26.952255000000001</v>
      </c>
      <c r="D84" s="40">
        <v>20.677257999999998</v>
      </c>
      <c r="E84" s="40">
        <v>25.176548</v>
      </c>
      <c r="F84" s="40">
        <v>29.576338</v>
      </c>
      <c r="G84" s="40">
        <v>15.795398</v>
      </c>
      <c r="H84" s="40">
        <v>7.9989075999999999</v>
      </c>
      <c r="I84" s="40">
        <v>48.170960000000001</v>
      </c>
      <c r="J84" s="40">
        <v>27.437628</v>
      </c>
      <c r="K84" s="47">
        <v>17.884981</v>
      </c>
      <c r="L84" s="47">
        <v>44.184959999999997</v>
      </c>
      <c r="M84" s="47">
        <v>41.88937</v>
      </c>
      <c r="N84" s="47">
        <v>13.765620999999999</v>
      </c>
    </row>
    <row r="85" spans="1:14" x14ac:dyDescent="0.35">
      <c r="A85" s="2">
        <v>44287</v>
      </c>
      <c r="B85" s="40">
        <v>42.820213000000003</v>
      </c>
      <c r="C85" s="40">
        <v>71.345519999999993</v>
      </c>
      <c r="D85" s="40">
        <v>70.401955000000001</v>
      </c>
      <c r="E85" s="40">
        <v>70.442819999999998</v>
      </c>
      <c r="F85" s="40">
        <v>48.740229999999997</v>
      </c>
      <c r="G85" s="40">
        <v>32.477615</v>
      </c>
      <c r="H85" s="40">
        <v>43.063879999999997</v>
      </c>
      <c r="I85" s="40">
        <v>79.143035999999995</v>
      </c>
      <c r="J85" s="40">
        <v>65.376130000000003</v>
      </c>
      <c r="K85" s="47">
        <v>61.322879999999998</v>
      </c>
      <c r="L85" s="47">
        <v>92.318129999999996</v>
      </c>
      <c r="M85" s="47">
        <v>89.209710000000001</v>
      </c>
      <c r="N85" s="47">
        <v>63.152813000000002</v>
      </c>
    </row>
    <row r="86" spans="1:14" x14ac:dyDescent="0.35">
      <c r="A86" s="2">
        <v>44316</v>
      </c>
      <c r="B86" s="40">
        <v>35.153103000000002</v>
      </c>
      <c r="C86" s="40">
        <v>55.437446999999999</v>
      </c>
      <c r="D86" s="40">
        <v>49.994205000000001</v>
      </c>
      <c r="E86" s="40">
        <v>50.21949</v>
      </c>
      <c r="F86" s="40">
        <v>31.813824</v>
      </c>
      <c r="G86" s="40">
        <v>27.622772000000001</v>
      </c>
      <c r="H86" s="40">
        <v>32.282997000000002</v>
      </c>
      <c r="I86" s="40">
        <v>55.360390000000002</v>
      </c>
      <c r="J86" s="40">
        <v>45.976520000000001</v>
      </c>
      <c r="K86" s="47">
        <v>52.801704000000001</v>
      </c>
      <c r="L86" s="47">
        <v>70.473656000000005</v>
      </c>
      <c r="M86" s="47">
        <v>70.971019999999996</v>
      </c>
      <c r="N86" s="47">
        <v>52.267220000000002</v>
      </c>
    </row>
    <row r="87" spans="1:14" x14ac:dyDescent="0.35">
      <c r="A87" s="2">
        <v>44349</v>
      </c>
      <c r="B87" s="40">
        <v>18.331707000000002</v>
      </c>
      <c r="C87" s="40">
        <v>44.184959999999997</v>
      </c>
      <c r="D87" s="40">
        <v>49.704549999999998</v>
      </c>
      <c r="E87" s="40">
        <v>37.743175999999998</v>
      </c>
      <c r="F87" s="40">
        <v>23.191334000000001</v>
      </c>
      <c r="G87" s="40">
        <v>28.116776000000002</v>
      </c>
      <c r="H87" s="40">
        <v>31.275500000000001</v>
      </c>
      <c r="I87" s="40">
        <v>42.405987000000003</v>
      </c>
      <c r="J87" s="40">
        <v>38.636566000000002</v>
      </c>
      <c r="K87" s="47">
        <v>47.030926000000001</v>
      </c>
      <c r="L87" s="47">
        <v>59.756946999999997</v>
      </c>
      <c r="M87" s="47">
        <v>59.339607000000001</v>
      </c>
      <c r="N87" s="47">
        <v>45.895339999999997</v>
      </c>
    </row>
    <row r="88" spans="1:14" x14ac:dyDescent="0.35">
      <c r="A88" s="2">
        <v>44379</v>
      </c>
      <c r="B88" s="40">
        <v>9.9355810000000009</v>
      </c>
      <c r="C88" s="40">
        <v>34.843563000000003</v>
      </c>
      <c r="D88" s="40">
        <v>47.161136999999997</v>
      </c>
      <c r="E88" s="40">
        <v>29.986142999999998</v>
      </c>
      <c r="F88" s="40">
        <v>24.481677999999999</v>
      </c>
      <c r="G88" s="40">
        <v>26.301552000000001</v>
      </c>
      <c r="H88" s="40">
        <v>30.004691999999999</v>
      </c>
      <c r="I88" s="40">
        <v>43.016753999999999</v>
      </c>
      <c r="J88" s="40">
        <v>40.995480000000001</v>
      </c>
      <c r="K88" s="47">
        <v>38.957630000000002</v>
      </c>
      <c r="L88" s="47">
        <v>47.333559999999999</v>
      </c>
      <c r="M88" s="47">
        <v>53.677844999999998</v>
      </c>
      <c r="N88" s="47">
        <v>35.063395999999997</v>
      </c>
    </row>
    <row r="89" spans="1:14" x14ac:dyDescent="0.35">
      <c r="A89" s="2">
        <v>44410</v>
      </c>
      <c r="B89" s="40">
        <v>5.3197264999999998</v>
      </c>
      <c r="C89" s="40">
        <v>33.325946999999999</v>
      </c>
      <c r="D89" s="40">
        <v>38.954044000000003</v>
      </c>
      <c r="E89" s="40">
        <v>26.091754999999999</v>
      </c>
      <c r="F89" s="40">
        <v>26.127075000000001</v>
      </c>
      <c r="G89" s="40">
        <v>26.812721</v>
      </c>
      <c r="H89" s="40">
        <v>30.502223999999998</v>
      </c>
      <c r="I89" s="40">
        <v>37.953938000000001</v>
      </c>
      <c r="J89" s="40">
        <v>36.027909999999999</v>
      </c>
      <c r="K89" s="47">
        <v>40.228591999999999</v>
      </c>
      <c r="L89" s="47">
        <v>49.018752999999997</v>
      </c>
      <c r="M89" s="47">
        <v>47.821593999999997</v>
      </c>
      <c r="N89" s="47">
        <v>33.377552000000001</v>
      </c>
    </row>
    <row r="90" spans="1:14" x14ac:dyDescent="0.35">
      <c r="A90" s="2">
        <v>44441</v>
      </c>
      <c r="B90" s="40">
        <v>7.9965352999999997</v>
      </c>
      <c r="C90" s="40">
        <v>27.817774</v>
      </c>
      <c r="D90" s="40">
        <v>33.561337000000002</v>
      </c>
      <c r="E90" s="40">
        <v>17.964850999999999</v>
      </c>
      <c r="F90" s="40">
        <v>20.180738000000002</v>
      </c>
      <c r="G90" s="40">
        <v>21.989858999999999</v>
      </c>
      <c r="H90" s="40">
        <v>28.194701999999999</v>
      </c>
      <c r="I90" s="40">
        <v>26.356625000000001</v>
      </c>
      <c r="J90" s="40">
        <v>28.597270999999999</v>
      </c>
      <c r="K90" s="47">
        <v>34.512880000000003</v>
      </c>
      <c r="L90" s="47">
        <v>49.333846999999999</v>
      </c>
      <c r="M90" s="47">
        <v>40.005980000000001</v>
      </c>
      <c r="N90" s="47">
        <v>30.580532000000002</v>
      </c>
    </row>
    <row r="91" spans="1:14" x14ac:dyDescent="0.35">
      <c r="A91" s="2">
        <v>44470</v>
      </c>
      <c r="B91" s="40">
        <v>9.7036840000000009</v>
      </c>
      <c r="C91" s="40">
        <v>28.280698999999998</v>
      </c>
      <c r="D91" s="40">
        <v>35.35266</v>
      </c>
      <c r="E91" s="40">
        <v>15.694893</v>
      </c>
      <c r="F91" s="40">
        <v>19.700968</v>
      </c>
      <c r="G91" s="40">
        <v>15.659666</v>
      </c>
      <c r="H91" s="40">
        <v>30.441130000000001</v>
      </c>
      <c r="I91" s="40">
        <v>28.293060000000001</v>
      </c>
      <c r="J91" s="40">
        <v>30.667090999999999</v>
      </c>
      <c r="K91" s="47">
        <v>35.936092000000002</v>
      </c>
      <c r="L91" s="47">
        <v>40.851868000000003</v>
      </c>
      <c r="M91" s="47">
        <v>30.707598000000001</v>
      </c>
      <c r="N91" s="47">
        <v>32.934401999999999</v>
      </c>
    </row>
    <row r="92" spans="1:14" x14ac:dyDescent="0.35">
      <c r="A92" s="2">
        <v>44502</v>
      </c>
      <c r="B92" s="40">
        <v>7.9006195000000004</v>
      </c>
      <c r="C92" s="40">
        <v>34.607292000000001</v>
      </c>
      <c r="D92" s="40">
        <v>49.449264999999997</v>
      </c>
      <c r="E92" s="40">
        <v>32.745766000000003</v>
      </c>
      <c r="F92" s="40">
        <v>19.17212</v>
      </c>
      <c r="G92" s="40">
        <v>30.015395999999999</v>
      </c>
      <c r="H92" s="40">
        <v>40.49579</v>
      </c>
      <c r="I92" s="40">
        <v>44.874274999999997</v>
      </c>
      <c r="J92" s="40">
        <v>41.869390000000003</v>
      </c>
      <c r="K92" s="47">
        <v>48.797142000000001</v>
      </c>
      <c r="L92" s="47">
        <v>53.082836</v>
      </c>
      <c r="M92" s="47">
        <v>44.152523000000002</v>
      </c>
      <c r="N92" s="47">
        <v>48.137709999999998</v>
      </c>
    </row>
    <row r="93" spans="1:14" x14ac:dyDescent="0.35">
      <c r="A93" s="2">
        <v>44532</v>
      </c>
      <c r="B93" s="40">
        <v>-10.142844999999999</v>
      </c>
      <c r="C93" s="40">
        <v>8.4088209999999997</v>
      </c>
      <c r="D93" s="40">
        <v>24.668657</v>
      </c>
      <c r="E93" s="40">
        <v>6.1612724999999999</v>
      </c>
      <c r="F93" s="40">
        <v>3.2407403000000001</v>
      </c>
      <c r="G93" s="40">
        <v>16.784811000000001</v>
      </c>
      <c r="H93" s="40">
        <v>14.486753</v>
      </c>
      <c r="I93" s="40">
        <v>29.009782999999999</v>
      </c>
      <c r="J93" s="40">
        <v>26.472628</v>
      </c>
      <c r="K93" s="47">
        <v>15.574014999999999</v>
      </c>
      <c r="L93" s="47">
        <v>23.840641000000002</v>
      </c>
      <c r="M93" s="47">
        <v>17.844593</v>
      </c>
      <c r="N93" s="47">
        <v>11.771488</v>
      </c>
    </row>
    <row r="94" spans="1:14" x14ac:dyDescent="0.35">
      <c r="A94" s="2">
        <v>44561</v>
      </c>
      <c r="B94" s="40">
        <v>-11.381138</v>
      </c>
      <c r="C94" s="40">
        <v>8.9503529999999998</v>
      </c>
      <c r="D94" s="40">
        <v>27.000809</v>
      </c>
      <c r="E94" s="40">
        <v>5.8400749999999997</v>
      </c>
      <c r="F94" s="40">
        <v>1.1650205</v>
      </c>
      <c r="G94" s="40">
        <v>20.193804</v>
      </c>
      <c r="H94" s="40">
        <v>18.223583000000001</v>
      </c>
      <c r="I94" s="40">
        <v>27.420341000000001</v>
      </c>
      <c r="J94" s="40">
        <v>28.745068</v>
      </c>
      <c r="K94" s="47">
        <v>21.472895000000001</v>
      </c>
      <c r="L94" s="47">
        <v>22.740162000000002</v>
      </c>
      <c r="M94" s="47">
        <v>22.863029999999998</v>
      </c>
      <c r="N94" s="47">
        <v>14.412093</v>
      </c>
    </row>
    <row r="95" spans="1:14" x14ac:dyDescent="0.35">
      <c r="A95" s="2">
        <v>44594</v>
      </c>
      <c r="B95" s="40">
        <v>-18.31833</v>
      </c>
      <c r="C95" s="40">
        <v>1.9347667999999998E-2</v>
      </c>
      <c r="D95" s="40">
        <v>25.706291</v>
      </c>
      <c r="E95" s="40">
        <v>3.0247092000000002</v>
      </c>
      <c r="F95" s="40">
        <v>-2.6408613000000001</v>
      </c>
      <c r="G95" s="40">
        <v>13.759290999999999</v>
      </c>
      <c r="H95" s="40">
        <v>21.40671</v>
      </c>
      <c r="I95" s="40">
        <v>12.996530999999999</v>
      </c>
      <c r="J95" s="40">
        <v>21.479500000000002</v>
      </c>
      <c r="K95" s="47">
        <v>20.571852</v>
      </c>
      <c r="L95" s="47">
        <v>9.0458759999999998</v>
      </c>
      <c r="M95" s="47">
        <v>9.5451589999999999</v>
      </c>
      <c r="N95" s="47">
        <v>15.567231</v>
      </c>
    </row>
    <row r="96" spans="1:14" x14ac:dyDescent="0.35">
      <c r="A96" s="2">
        <v>44622</v>
      </c>
      <c r="B96" s="40">
        <v>-11.700994</v>
      </c>
      <c r="C96" s="40">
        <v>2.1019100000000002</v>
      </c>
      <c r="D96" s="40">
        <v>18.290997000000001</v>
      </c>
      <c r="E96" s="40">
        <v>-11.085623999999999</v>
      </c>
      <c r="F96" s="40">
        <v>-7.4117603000000001</v>
      </c>
      <c r="G96" s="40">
        <v>10.352707000000001</v>
      </c>
      <c r="H96" s="40">
        <v>13.471258000000001</v>
      </c>
      <c r="I96" s="40">
        <v>9.577394</v>
      </c>
      <c r="J96" s="40">
        <v>14.809108</v>
      </c>
      <c r="K96" s="47">
        <v>4.2755365000000003</v>
      </c>
      <c r="L96" s="47">
        <v>-4.9889802999999997</v>
      </c>
      <c r="M96" s="47">
        <v>-10.475194999999999</v>
      </c>
      <c r="N96" s="47">
        <v>-0.77947379999999999</v>
      </c>
    </row>
    <row r="97" spans="1:14" x14ac:dyDescent="0.35">
      <c r="A97" s="2">
        <v>44652</v>
      </c>
      <c r="B97" s="40">
        <v>-9.1008479999999992</v>
      </c>
      <c r="C97" s="40">
        <v>11.612690000000001</v>
      </c>
      <c r="D97" s="40">
        <v>18.33539</v>
      </c>
      <c r="E97" s="40">
        <v>-13.5556755</v>
      </c>
      <c r="F97" s="40">
        <v>-8.5726200000000006</v>
      </c>
      <c r="G97" s="40">
        <v>12.176190999999999</v>
      </c>
      <c r="H97" s="40">
        <v>11.945544999999999</v>
      </c>
      <c r="I97" s="40">
        <v>12.023603</v>
      </c>
      <c r="J97" s="40">
        <v>14.555395000000001</v>
      </c>
      <c r="K97" s="47">
        <v>4.6483635999999997</v>
      </c>
      <c r="L97" s="47">
        <v>-8.8384739999999997</v>
      </c>
      <c r="M97" s="47">
        <v>-7.3060749999999999</v>
      </c>
      <c r="N97" s="47">
        <v>-3.3081054999999999</v>
      </c>
    </row>
    <row r="98" spans="1:14" x14ac:dyDescent="0.35">
      <c r="A98" s="2">
        <v>44683</v>
      </c>
      <c r="B98" s="40">
        <v>-21.381098000000001</v>
      </c>
      <c r="C98" s="40">
        <v>-0.47399997999999999</v>
      </c>
      <c r="D98" s="40">
        <v>5.7816625000000004</v>
      </c>
      <c r="E98" s="40">
        <v>-23.080570000000002</v>
      </c>
      <c r="F98" s="40">
        <v>-14.309578999999999</v>
      </c>
      <c r="G98" s="40">
        <v>1.4484524999999999</v>
      </c>
      <c r="H98" s="40">
        <v>3.2042860000000002</v>
      </c>
      <c r="I98" s="40">
        <v>-5.3179382999999998</v>
      </c>
      <c r="J98" s="40">
        <v>0.64010619999999996</v>
      </c>
      <c r="K98" s="47">
        <v>-7.7472450000000004</v>
      </c>
      <c r="L98" s="47">
        <v>-19.435237999999998</v>
      </c>
      <c r="M98" s="47">
        <v>-19.373909999999999</v>
      </c>
      <c r="N98" s="47">
        <v>-10.914951</v>
      </c>
    </row>
    <row r="99" spans="1:14" x14ac:dyDescent="0.35">
      <c r="A99" s="2">
        <v>44714</v>
      </c>
      <c r="B99" s="40">
        <v>-19.301784999999999</v>
      </c>
      <c r="C99" s="40">
        <v>-1.8083929999999999</v>
      </c>
      <c r="D99" s="40">
        <v>2.8778790999999999</v>
      </c>
      <c r="E99" s="40">
        <v>-21.36178</v>
      </c>
      <c r="F99" s="40">
        <v>-13.599831</v>
      </c>
      <c r="G99" s="40">
        <v>-5.3960442999999998</v>
      </c>
      <c r="H99" s="40">
        <v>1.8310428000000001</v>
      </c>
      <c r="I99" s="40">
        <v>-5.2700100000000001</v>
      </c>
      <c r="J99" s="40">
        <v>0.61610940000000003</v>
      </c>
      <c r="K99" s="47">
        <v>-8.0402079999999998</v>
      </c>
      <c r="L99" s="47">
        <v>-19.612164</v>
      </c>
      <c r="M99" s="47">
        <v>-19.365304999999999</v>
      </c>
      <c r="N99" s="47">
        <v>-12.308902</v>
      </c>
    </row>
    <row r="100" spans="1:14" x14ac:dyDescent="0.35">
      <c r="A100" s="2">
        <v>44743</v>
      </c>
      <c r="B100" s="40">
        <v>-25.094341</v>
      </c>
      <c r="C100" s="40">
        <v>-12.843555</v>
      </c>
      <c r="D100" s="40">
        <v>-7.6863109999999999</v>
      </c>
      <c r="E100" s="40">
        <v>-30.947208</v>
      </c>
      <c r="F100" s="40">
        <v>-19.572883999999998</v>
      </c>
      <c r="G100" s="40">
        <v>-13.02101</v>
      </c>
      <c r="H100" s="40">
        <v>-4.9628734999999997</v>
      </c>
      <c r="I100" s="40">
        <v>-19.988828999999999</v>
      </c>
      <c r="J100" s="40">
        <v>-10.165781000000001</v>
      </c>
      <c r="K100" s="47">
        <v>-16.323460000000001</v>
      </c>
      <c r="L100" s="47">
        <v>-26.87679</v>
      </c>
      <c r="M100" s="47">
        <v>-30.431414</v>
      </c>
      <c r="N100" s="47">
        <v>-22.247553</v>
      </c>
    </row>
    <row r="101" spans="1:14" x14ac:dyDescent="0.35">
      <c r="A101" s="2">
        <v>44775</v>
      </c>
      <c r="B101" s="40">
        <v>-18.580925000000001</v>
      </c>
      <c r="C101" s="40">
        <v>-7.5146017000000001</v>
      </c>
      <c r="D101" s="40">
        <v>-4.7720909999999996</v>
      </c>
      <c r="E101" s="40">
        <v>-30.136246</v>
      </c>
      <c r="F101" s="40">
        <v>-15.755903</v>
      </c>
      <c r="G101" s="40">
        <v>-13.455927000000001</v>
      </c>
      <c r="H101" s="40">
        <v>-2.5803983000000001</v>
      </c>
      <c r="I101" s="40">
        <v>-13.309305999999999</v>
      </c>
      <c r="J101" s="40">
        <v>-5.4192963000000001</v>
      </c>
      <c r="K101" s="47">
        <v>-14.198886999999999</v>
      </c>
      <c r="L101" s="47">
        <v>-24.41001</v>
      </c>
      <c r="M101" s="47">
        <v>-28.561937</v>
      </c>
      <c r="N101" s="47">
        <v>-21.694237000000001</v>
      </c>
    </row>
    <row r="102" spans="1:14" x14ac:dyDescent="0.35">
      <c r="A102" s="2">
        <v>44806</v>
      </c>
      <c r="B102" s="40">
        <v>-25.261963000000002</v>
      </c>
      <c r="C102" s="40">
        <v>-11.771387000000001</v>
      </c>
      <c r="D102" s="40">
        <v>-9.6532049999999998</v>
      </c>
      <c r="E102" s="40">
        <v>-36.912260000000003</v>
      </c>
      <c r="F102" s="40">
        <v>-23.264378000000001</v>
      </c>
      <c r="G102" s="40">
        <v>-19.854109999999999</v>
      </c>
      <c r="H102" s="40">
        <v>-11.10031</v>
      </c>
      <c r="I102" s="40">
        <v>-21.974765999999999</v>
      </c>
      <c r="J102" s="40">
        <v>-12.215585000000001</v>
      </c>
      <c r="K102" s="47">
        <v>-22.381119999999999</v>
      </c>
      <c r="L102" s="47">
        <v>-37.342323</v>
      </c>
      <c r="M102" s="47">
        <v>-36.708280000000002</v>
      </c>
      <c r="N102" s="47">
        <v>-28.350645</v>
      </c>
    </row>
    <row r="103" spans="1:14" x14ac:dyDescent="0.35">
      <c r="A103" s="2">
        <v>44834</v>
      </c>
      <c r="B103" s="40">
        <v>-31.495863</v>
      </c>
      <c r="C103" s="40">
        <v>-15.423012</v>
      </c>
      <c r="D103" s="40">
        <v>-13.525009000000001</v>
      </c>
      <c r="E103" s="40">
        <v>-37.647525999999999</v>
      </c>
      <c r="F103" s="40">
        <v>-28.85003</v>
      </c>
      <c r="G103" s="40">
        <v>-17.960315999999999</v>
      </c>
      <c r="H103" s="40">
        <v>-14.958173</v>
      </c>
      <c r="I103" s="40">
        <v>-24.874979</v>
      </c>
      <c r="J103" s="40">
        <v>-15.506047000000001</v>
      </c>
      <c r="K103" s="47">
        <v>-23.862099000000001</v>
      </c>
      <c r="L103" s="47">
        <v>-36.88223</v>
      </c>
      <c r="M103" s="47">
        <v>-35.51764</v>
      </c>
      <c r="N103" s="47">
        <v>-28.987461</v>
      </c>
    </row>
    <row r="104" spans="1:14" x14ac:dyDescent="0.35">
      <c r="A104" s="2">
        <v>44867</v>
      </c>
      <c r="B104" s="40">
        <v>-29.72411</v>
      </c>
      <c r="C104" s="40">
        <v>-15.656727999999999</v>
      </c>
      <c r="D104" s="40">
        <v>-15.542584</v>
      </c>
      <c r="E104" s="40">
        <v>-34.926749999999998</v>
      </c>
      <c r="F104" s="40">
        <v>-26.170933000000002</v>
      </c>
      <c r="G104" s="40">
        <v>-21.905063999999999</v>
      </c>
      <c r="H104" s="40">
        <v>-13.3138895</v>
      </c>
      <c r="I104" s="40">
        <v>-31.287050000000001</v>
      </c>
      <c r="J104" s="40">
        <v>-17.610818999999999</v>
      </c>
      <c r="K104" s="47">
        <v>-22.00187</v>
      </c>
      <c r="L104" s="47">
        <v>-37.972915999999998</v>
      </c>
      <c r="M104" s="47">
        <v>-35.704388000000002</v>
      </c>
      <c r="N104" s="47">
        <v>-26.190966</v>
      </c>
    </row>
    <row r="105" spans="1:14" x14ac:dyDescent="0.35">
      <c r="A105" s="2">
        <v>44897</v>
      </c>
      <c r="B105" s="40">
        <v>-13.168865</v>
      </c>
      <c r="C105" s="40">
        <v>2.5674104999999998</v>
      </c>
      <c r="D105" s="40">
        <v>-4.2606235000000003</v>
      </c>
      <c r="E105" s="40">
        <v>-16.462332</v>
      </c>
      <c r="F105" s="40">
        <v>-14.54823</v>
      </c>
      <c r="G105" s="40">
        <v>-10.534376</v>
      </c>
      <c r="H105" s="40">
        <v>2.7708411000000002</v>
      </c>
      <c r="I105" s="40">
        <v>-24.504536000000002</v>
      </c>
      <c r="J105" s="40">
        <v>-9.6891990000000003</v>
      </c>
      <c r="K105" s="47">
        <v>-5.1412106</v>
      </c>
      <c r="L105" s="47">
        <v>-18.317812</v>
      </c>
      <c r="M105" s="47">
        <v>-19.806374000000002</v>
      </c>
      <c r="N105" s="47">
        <v>-7.9415380000000004</v>
      </c>
    </row>
    <row r="106" spans="1:14" x14ac:dyDescent="0.35">
      <c r="A106" s="2">
        <v>44925</v>
      </c>
      <c r="B106" s="40">
        <v>-16.554832000000001</v>
      </c>
      <c r="C106" s="40">
        <v>-6.4979553000000001</v>
      </c>
      <c r="D106" s="40">
        <v>-12.537366</v>
      </c>
      <c r="E106" s="40">
        <v>-22.198813999999999</v>
      </c>
      <c r="F106" s="40">
        <v>-17.658394000000001</v>
      </c>
      <c r="G106" s="40">
        <v>-18.951529000000001</v>
      </c>
      <c r="H106" s="40">
        <v>-4.3751119999999997</v>
      </c>
      <c r="I106" s="40">
        <v>-32.999577000000002</v>
      </c>
      <c r="J106" s="40">
        <v>-18.377907</v>
      </c>
      <c r="K106" s="47">
        <v>-11.827093</v>
      </c>
      <c r="L106" s="47">
        <v>-24.333632000000001</v>
      </c>
      <c r="M106" s="47">
        <v>-27.927637000000001</v>
      </c>
      <c r="N106" s="47">
        <v>-13.940644000000001</v>
      </c>
    </row>
    <row r="107" spans="1:14" x14ac:dyDescent="0.35">
      <c r="A107" s="2">
        <v>44959</v>
      </c>
      <c r="B107" s="40">
        <v>9.8955630000000003E-2</v>
      </c>
      <c r="C107" s="40">
        <v>12.651038</v>
      </c>
      <c r="D107" s="40">
        <v>-5.9710207000000004</v>
      </c>
      <c r="E107" s="40">
        <v>-7.9954504999999996</v>
      </c>
      <c r="F107" s="40">
        <v>-8.6718320000000002</v>
      </c>
      <c r="G107" s="40">
        <v>-7.6885279999999998</v>
      </c>
      <c r="H107" s="40">
        <v>-3.2739639999999999</v>
      </c>
      <c r="I107" s="40">
        <v>-14.784658</v>
      </c>
      <c r="J107" s="40">
        <v>-7.3880790000000003</v>
      </c>
      <c r="K107" s="47">
        <v>0.16081333</v>
      </c>
      <c r="L107" s="47">
        <v>-5.8515430000000004</v>
      </c>
      <c r="M107" s="47">
        <v>-12.202197</v>
      </c>
      <c r="N107" s="47">
        <v>-3.2753109999999999</v>
      </c>
    </row>
    <row r="108" spans="1:14" x14ac:dyDescent="0.35">
      <c r="A108" s="2">
        <v>44987</v>
      </c>
      <c r="B108" s="40">
        <v>-8.7933959999999995</v>
      </c>
      <c r="C108" s="40">
        <v>-1.2988925</v>
      </c>
      <c r="D108" s="40">
        <v>-8.9139999999999997</v>
      </c>
      <c r="E108" s="40">
        <v>2.2649764999999999E-2</v>
      </c>
      <c r="F108" s="40">
        <v>-8.8704219999999996</v>
      </c>
      <c r="G108" s="40">
        <v>-6.4684210000000002</v>
      </c>
      <c r="H108" s="40">
        <v>-0.40940641999999999</v>
      </c>
      <c r="I108" s="40">
        <v>-14.818579</v>
      </c>
      <c r="J108" s="40">
        <v>-7.6749919999999996</v>
      </c>
      <c r="K108" s="47">
        <v>9.8232859999999995</v>
      </c>
      <c r="L108" s="47">
        <v>0.13965368</v>
      </c>
      <c r="M108" s="47">
        <v>-1.2031137999999999</v>
      </c>
      <c r="N108" s="47">
        <v>7.5708270000000004</v>
      </c>
    </row>
    <row r="109" spans="1:14" x14ac:dyDescent="0.35">
      <c r="A109" s="2">
        <v>45016</v>
      </c>
      <c r="B109" s="40">
        <v>-7.7160653999999997</v>
      </c>
      <c r="C109" s="40">
        <v>-8.7321279999999994</v>
      </c>
      <c r="D109" s="40">
        <v>-13.114768</v>
      </c>
      <c r="E109" s="40">
        <v>3.3809423000000001</v>
      </c>
      <c r="F109" s="40">
        <v>-3.5937606999999998</v>
      </c>
      <c r="G109" s="40">
        <v>-5.8153686999999996</v>
      </c>
      <c r="H109" s="40">
        <v>-0.88037849999999995</v>
      </c>
      <c r="I109" s="40">
        <v>-10.799913999999999</v>
      </c>
      <c r="J109" s="40">
        <v>-7.8076067</v>
      </c>
      <c r="K109" s="47">
        <v>10.544371999999999</v>
      </c>
      <c r="L109" s="47">
        <v>1.6252040999999999</v>
      </c>
      <c r="M109" s="47">
        <v>-5.3338823</v>
      </c>
      <c r="N109" s="47">
        <v>7.8078269999999996</v>
      </c>
    </row>
    <row r="110" spans="1:14" x14ac:dyDescent="0.35">
      <c r="A110" s="2">
        <v>45048</v>
      </c>
      <c r="B110" s="40">
        <v>2.2794007999999999</v>
      </c>
      <c r="C110" s="40">
        <v>-1.9687414000000001</v>
      </c>
      <c r="D110" s="40">
        <v>-4.3684960000000004</v>
      </c>
      <c r="E110" s="40">
        <v>15.362061000000001</v>
      </c>
      <c r="F110" s="40">
        <v>4.2066336</v>
      </c>
      <c r="G110" s="40">
        <v>6.3113213000000004</v>
      </c>
      <c r="H110" s="40">
        <v>7.4130177000000002</v>
      </c>
      <c r="I110" s="40">
        <v>1.0500312000000001</v>
      </c>
      <c r="J110" s="40">
        <v>0.81366300000000003</v>
      </c>
      <c r="K110" s="47">
        <v>23.053598000000001</v>
      </c>
      <c r="L110" s="47">
        <v>11.326276999999999</v>
      </c>
      <c r="M110" s="47">
        <v>6.5178275000000001</v>
      </c>
      <c r="N110" s="47">
        <v>18.502414999999999</v>
      </c>
    </row>
    <row r="111" spans="1:14" x14ac:dyDescent="0.35">
      <c r="A111" s="2">
        <v>45079</v>
      </c>
      <c r="B111" s="40">
        <v>0.87914466999999996</v>
      </c>
      <c r="C111" s="40">
        <v>-5.7606754000000002</v>
      </c>
      <c r="D111" s="40">
        <v>-8.7550460000000001</v>
      </c>
      <c r="E111" s="40">
        <v>6.5530540000000004</v>
      </c>
      <c r="F111" s="40">
        <v>7.7734350000000001</v>
      </c>
      <c r="G111" s="40">
        <v>5.5982589999999997</v>
      </c>
      <c r="H111" s="40">
        <v>1.1889457999999999</v>
      </c>
      <c r="I111" s="40">
        <v>13.672637999999999</v>
      </c>
      <c r="J111" s="40">
        <v>4.2727349999999999</v>
      </c>
      <c r="K111" s="47">
        <v>12.324774</v>
      </c>
      <c r="L111" s="47">
        <v>9.6729520000000004</v>
      </c>
      <c r="M111" s="47">
        <v>-2.9057205000000002</v>
      </c>
      <c r="N111" s="47">
        <v>11.502159000000001</v>
      </c>
    </row>
    <row r="112" spans="1:14" x14ac:dyDescent="0.35">
      <c r="A112" s="2">
        <v>45107</v>
      </c>
      <c r="B112" s="40">
        <v>11.783588</v>
      </c>
      <c r="C112" s="40">
        <v>10.292578000000001</v>
      </c>
      <c r="D112" s="40">
        <v>6.4713120000000002</v>
      </c>
      <c r="E112" s="40">
        <v>27.615653999999999</v>
      </c>
      <c r="F112" s="40">
        <v>18.257701999999998</v>
      </c>
      <c r="G112" s="40">
        <v>13.766885</v>
      </c>
      <c r="H112" s="40">
        <v>11.721849000000001</v>
      </c>
      <c r="I112" s="40">
        <v>32.745910000000002</v>
      </c>
      <c r="J112" s="40">
        <v>19.439352</v>
      </c>
      <c r="K112" s="47">
        <v>31.734324000000001</v>
      </c>
      <c r="L112" s="47">
        <v>25.603724</v>
      </c>
      <c r="M112" s="47">
        <v>16.986834999999999</v>
      </c>
      <c r="N112" s="47">
        <v>37.464260000000003</v>
      </c>
    </row>
    <row r="113" spans="1:14" x14ac:dyDescent="0.35">
      <c r="A113" s="2">
        <v>45140</v>
      </c>
      <c r="B113" s="40">
        <v>2.2090434999999999</v>
      </c>
      <c r="C113" s="40">
        <v>3.3250093000000001</v>
      </c>
      <c r="D113" s="40">
        <v>2.9273509999999998</v>
      </c>
      <c r="E113" s="40">
        <v>25.247038</v>
      </c>
      <c r="F113" s="40">
        <v>11.241674</v>
      </c>
      <c r="G113" s="40">
        <v>11.876715000000001</v>
      </c>
      <c r="H113" s="40">
        <v>9.3793869999999995</v>
      </c>
      <c r="I113" s="40">
        <v>19.958580000000001</v>
      </c>
      <c r="J113" s="40">
        <v>12.12759</v>
      </c>
      <c r="K113" s="47">
        <v>24.417663999999998</v>
      </c>
      <c r="L113" s="47">
        <v>18.328499000000001</v>
      </c>
      <c r="M113" s="47">
        <v>6.4496636000000001</v>
      </c>
      <c r="N113" s="47">
        <v>39.5182</v>
      </c>
    </row>
    <row r="114" spans="1:14" x14ac:dyDescent="0.35">
      <c r="A114" s="2">
        <v>45170</v>
      </c>
      <c r="B114" s="40">
        <v>-0.37047267</v>
      </c>
      <c r="C114" s="40">
        <v>6.2711595999999998</v>
      </c>
      <c r="D114" s="40">
        <v>7.3082805000000004</v>
      </c>
      <c r="E114" s="40">
        <v>31.744062</v>
      </c>
      <c r="F114" s="40">
        <v>18.256546</v>
      </c>
      <c r="G114" s="40">
        <v>17.080784000000001</v>
      </c>
      <c r="H114" s="40">
        <v>16.719936000000001</v>
      </c>
      <c r="I114" s="40">
        <v>27.016926000000002</v>
      </c>
      <c r="J114" s="40">
        <v>15.691757000000001</v>
      </c>
      <c r="K114" s="47">
        <v>31.388390000000001</v>
      </c>
      <c r="L114" s="47">
        <v>25.123346000000002</v>
      </c>
      <c r="M114" s="47">
        <v>13.631629999999999</v>
      </c>
      <c r="N114" s="47">
        <v>44.340862000000001</v>
      </c>
    </row>
    <row r="115" spans="1:14" x14ac:dyDescent="0.35">
      <c r="A115" s="2">
        <v>45201</v>
      </c>
      <c r="B115" s="40">
        <v>7.997179</v>
      </c>
      <c r="C115" s="40">
        <v>11.457836</v>
      </c>
      <c r="D115" s="40">
        <v>8.9154005000000005</v>
      </c>
      <c r="E115" s="40">
        <v>34.020650000000003</v>
      </c>
      <c r="F115" s="40">
        <v>23.491786999999999</v>
      </c>
      <c r="G115" s="40">
        <v>17.752324999999999</v>
      </c>
      <c r="H115" s="40">
        <v>22.535049999999998</v>
      </c>
      <c r="I115" s="40">
        <v>36.092030000000001</v>
      </c>
      <c r="J115" s="40">
        <v>21.536850000000001</v>
      </c>
      <c r="K115" s="47">
        <v>33.615433000000003</v>
      </c>
      <c r="L115" s="47">
        <v>24.514378000000001</v>
      </c>
      <c r="M115" s="47">
        <v>19.541920000000001</v>
      </c>
      <c r="N115" s="47">
        <v>43.754004999999999</v>
      </c>
    </row>
    <row r="116" spans="1:14" x14ac:dyDescent="0.35">
      <c r="A116" s="2">
        <v>45232</v>
      </c>
      <c r="B116" s="40">
        <v>2.5941489999999998</v>
      </c>
      <c r="C116" s="40">
        <v>8.4159369999999996</v>
      </c>
      <c r="D116" s="40">
        <v>4.940963</v>
      </c>
      <c r="E116" s="40">
        <v>23.919975000000001</v>
      </c>
      <c r="F116" s="40">
        <v>22.935068000000001</v>
      </c>
      <c r="G116" s="40">
        <v>13.769971999999999</v>
      </c>
      <c r="H116" s="40">
        <v>15.90929</v>
      </c>
      <c r="I116" s="40">
        <v>37.727511999999997</v>
      </c>
      <c r="J116" s="40">
        <v>16.736519000000001</v>
      </c>
      <c r="K116" s="47">
        <v>24.301088</v>
      </c>
      <c r="L116" s="47">
        <v>23.380589000000001</v>
      </c>
      <c r="M116" s="47">
        <v>11.02922</v>
      </c>
      <c r="N116" s="47">
        <v>34.496426</v>
      </c>
    </row>
    <row r="117" spans="1:14" x14ac:dyDescent="0.35">
      <c r="A117" s="2">
        <v>45261</v>
      </c>
      <c r="B117" s="40">
        <v>-3.4580410000000001</v>
      </c>
      <c r="C117" s="40">
        <v>0.28856992999999997</v>
      </c>
      <c r="D117" s="40">
        <v>2.7166486000000001</v>
      </c>
      <c r="E117" s="40">
        <v>15.437115</v>
      </c>
      <c r="F117" s="40">
        <v>13.559495999999999</v>
      </c>
      <c r="G117" s="40">
        <v>7.7215195000000003</v>
      </c>
      <c r="H117" s="40">
        <v>6.9146633</v>
      </c>
      <c r="I117" s="40">
        <v>33.662964000000002</v>
      </c>
      <c r="J117" s="40">
        <v>14.487909999999999</v>
      </c>
      <c r="K117" s="47">
        <v>13.988113</v>
      </c>
      <c r="L117" s="47">
        <v>9.5671649999999993</v>
      </c>
      <c r="M117" s="47">
        <v>7.8098179999999999</v>
      </c>
      <c r="N117" s="47">
        <v>23.165834</v>
      </c>
    </row>
    <row r="118" spans="1:14" x14ac:dyDescent="0.35">
      <c r="A118" s="2">
        <v>45293</v>
      </c>
      <c r="B118" s="40">
        <v>1.4251828</v>
      </c>
      <c r="C118" s="40">
        <v>12.971007999999999</v>
      </c>
      <c r="D118" s="40">
        <v>13.557589</v>
      </c>
      <c r="E118" s="40">
        <v>21.905445</v>
      </c>
      <c r="F118" s="40">
        <v>19.233871000000001</v>
      </c>
      <c r="G118" s="40">
        <v>16.924513000000001</v>
      </c>
      <c r="H118" s="40">
        <v>11.364519</v>
      </c>
      <c r="I118" s="40">
        <v>52.232193000000002</v>
      </c>
      <c r="J118" s="40">
        <v>25.483357999999999</v>
      </c>
      <c r="K118" s="47">
        <v>19.958555</v>
      </c>
      <c r="L118" s="47">
        <v>19.064463</v>
      </c>
      <c r="M118" s="47">
        <v>22.595655000000001</v>
      </c>
      <c r="N118" s="47">
        <v>29.74062</v>
      </c>
    </row>
    <row r="119" spans="1:14" x14ac:dyDescent="0.35">
      <c r="A119" s="2">
        <v>45324</v>
      </c>
      <c r="B119" s="40">
        <v>-10.102999000000001</v>
      </c>
      <c r="C119" s="40">
        <v>-1.5977859999999999</v>
      </c>
      <c r="D119" s="40">
        <v>4.2808413999999999</v>
      </c>
      <c r="E119" s="40">
        <v>4.0325284000000003</v>
      </c>
      <c r="F119" s="40">
        <v>15.654051000000001</v>
      </c>
      <c r="G119" s="40">
        <v>6.921208</v>
      </c>
      <c r="H119" s="40">
        <v>4.5794009999999998</v>
      </c>
      <c r="I119" s="40">
        <v>38.57497</v>
      </c>
      <c r="J119" s="40">
        <v>20.427607999999999</v>
      </c>
      <c r="K119" s="47">
        <v>6.2031390000000002</v>
      </c>
      <c r="L119" s="47">
        <v>7.2924020000000001</v>
      </c>
      <c r="M119" s="47">
        <v>4.6181559999999999</v>
      </c>
      <c r="N119" s="47">
        <v>13.907539</v>
      </c>
    </row>
    <row r="120" spans="1:14" x14ac:dyDescent="0.35">
      <c r="A120" s="2">
        <v>45352</v>
      </c>
      <c r="B120" s="40">
        <v>-5.1403639999999999</v>
      </c>
      <c r="C120" s="40">
        <v>8.9434740000000001</v>
      </c>
      <c r="D120" s="40">
        <v>10.971807999999999</v>
      </c>
      <c r="E120" s="40">
        <v>15.048527999999999</v>
      </c>
      <c r="F120" s="40">
        <v>28.189934000000001</v>
      </c>
      <c r="G120" s="40">
        <v>10.989261000000001</v>
      </c>
      <c r="H120" s="40">
        <v>5.7022095000000004</v>
      </c>
      <c r="I120" s="40">
        <v>54.079757999999998</v>
      </c>
      <c r="J120" s="40">
        <v>31.909966000000001</v>
      </c>
      <c r="K120" s="47">
        <v>12.643003</v>
      </c>
      <c r="L120" s="47">
        <v>19.980967</v>
      </c>
      <c r="M120" s="47">
        <v>16.017925000000002</v>
      </c>
      <c r="N120" s="47">
        <v>23.607481</v>
      </c>
    </row>
    <row r="121" spans="1:14" x14ac:dyDescent="0.35">
      <c r="A121" s="2">
        <v>45384</v>
      </c>
      <c r="B121" s="40">
        <v>-6.1481056000000001</v>
      </c>
      <c r="C121" s="40">
        <v>11.151767</v>
      </c>
      <c r="D121" s="40">
        <v>13.952517500000001</v>
      </c>
      <c r="E121" s="40">
        <v>13.185250999999999</v>
      </c>
      <c r="F121" s="40">
        <v>21.666537999999999</v>
      </c>
      <c r="G121" s="40">
        <v>5.5388092999999996</v>
      </c>
      <c r="H121" s="40">
        <v>9.9791290000000004</v>
      </c>
      <c r="I121" s="40">
        <v>38.362299999999998</v>
      </c>
      <c r="J121" s="40">
        <v>28.581083</v>
      </c>
      <c r="K121" s="47">
        <v>11.449396</v>
      </c>
      <c r="L121" s="47">
        <v>18.904066</v>
      </c>
      <c r="M121" s="47">
        <v>14.377093</v>
      </c>
      <c r="N121" s="47">
        <v>26.895714000000002</v>
      </c>
    </row>
    <row r="122" spans="1:14" x14ac:dyDescent="0.35">
      <c r="A122" s="2">
        <v>45414</v>
      </c>
      <c r="B122">
        <v>-7.5073185000000002</v>
      </c>
      <c r="C122">
        <v>8.4038970000000006</v>
      </c>
      <c r="D122">
        <v>10.561716000000001</v>
      </c>
      <c r="E122">
        <v>8.6601619999999997</v>
      </c>
      <c r="F122">
        <v>19.981598000000002</v>
      </c>
      <c r="G122">
        <v>-2.7566313999999998</v>
      </c>
      <c r="H122">
        <v>9.4742300000000004</v>
      </c>
      <c r="I122">
        <v>34.554935</v>
      </c>
      <c r="J122">
        <v>24.716889999999999</v>
      </c>
      <c r="K122" s="47">
        <v>6.0333014</v>
      </c>
      <c r="L122" s="47">
        <v>17.728006000000001</v>
      </c>
      <c r="M122" s="47">
        <v>9.3475230000000007</v>
      </c>
      <c r="N122" s="47">
        <v>23.113154999999999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-31.495863</v>
      </c>
      <c r="C126" s="40" cm="1">
        <f t="array" ref="C126">MIN(_xlfn._xlws.FILTER(C2:C122, ISNUMBER(C2:C122)))</f>
        <v>-29.17446</v>
      </c>
      <c r="D126" s="40" cm="1">
        <f t="array" ref="D126">MIN(_xlfn._xlws.FILTER(D2:D122, ISNUMBER(D2:D122)))</f>
        <v>-26.4925</v>
      </c>
      <c r="E126" s="40" cm="1">
        <f t="array" ref="E126">MIN(_xlfn._xlws.FILTER(E2:E122, ISNUMBER(E2:E122)))</f>
        <v>-37.647525999999999</v>
      </c>
      <c r="F126" s="40" cm="1">
        <f t="array" ref="F126">MIN(_xlfn._xlws.FILTER(F2:F122, ISNUMBER(F2:F122)))</f>
        <v>-28.85003</v>
      </c>
      <c r="G126" s="40" cm="1">
        <f t="array" ref="G126">MIN(_xlfn._xlws.FILTER(G2:G122, ISNUMBER(G2:G122)))</f>
        <v>-21.905063999999999</v>
      </c>
      <c r="H126" s="40" cm="1">
        <f t="array" ref="H126">MIN(_xlfn._xlws.FILTER(H2:H122, ISNUMBER(H2:H122)))</f>
        <v>-27.871100999999999</v>
      </c>
      <c r="I126" s="40" cm="1">
        <f t="array" ref="I126">MIN(_xlfn._xlws.FILTER(I2:I122, ISNUMBER(I2:I122)))</f>
        <v>-32.999577000000002</v>
      </c>
      <c r="J126" s="40" cm="1">
        <f t="array" ref="J126">MIN(_xlfn._xlws.FILTER(J2:J122, ISNUMBER(J2:J122)))</f>
        <v>-18.377907</v>
      </c>
      <c r="K126" s="40" cm="1">
        <f t="array" ref="K126">MIN(_xlfn._xlws.FILTER(K2:K122, ISNUMBER(K2:K122)))</f>
        <v>-23.862099000000001</v>
      </c>
      <c r="L126" s="40" cm="1">
        <f t="array" ref="L126">MIN(_xlfn._xlws.FILTER(L2:L122, ISNUMBER(L2:L122)))</f>
        <v>-37.972915999999998</v>
      </c>
      <c r="M126" s="40" cm="1">
        <f t="array" ref="M126">MIN(_xlfn._xlws.FILTER(M2:M122, ISNUMBER(M2:M122)))</f>
        <v>-36.708280000000002</v>
      </c>
      <c r="N126" s="40" cm="1">
        <f t="array" ref="N126">MIN(_xlfn._xlws.FILTER(N2:N122, ISNUMBER(N2:N122)))</f>
        <v>-28.987461</v>
      </c>
    </row>
    <row r="127" spans="1:14" x14ac:dyDescent="0.35">
      <c r="A127" s="2" t="s">
        <v>393</v>
      </c>
      <c r="B127" s="42" cm="1">
        <f t="array" ref="B127">MAX(_xlfn._xlws.FILTER(B1:B122, ISNUMBER(B1:B122)))</f>
        <v>54.736170000000001</v>
      </c>
      <c r="C127" s="42" cm="1">
        <f t="array" ref="C127">MAX(_xlfn._xlws.FILTER(C1:C122, ISNUMBER(C1:C122)))</f>
        <v>71.345519999999993</v>
      </c>
      <c r="D127" s="42" cm="1">
        <f t="array" ref="D127">MAX(_xlfn._xlws.FILTER(D1:D122, ISNUMBER(D1:D122)))</f>
        <v>70.401955000000001</v>
      </c>
      <c r="E127" s="42" cm="1">
        <f t="array" ref="E127">MAX(_xlfn._xlws.FILTER(E1:E122, ISNUMBER(E1:E122)))</f>
        <v>70.442819999999998</v>
      </c>
      <c r="F127" s="42" cm="1">
        <f t="array" ref="F127">MAX(_xlfn._xlws.FILTER(F1:F122, ISNUMBER(F1:F122)))</f>
        <v>48.740229999999997</v>
      </c>
      <c r="G127" s="42" cm="1">
        <f t="array" ref="G127">MAX(_xlfn._xlws.FILTER(G1:G122, ISNUMBER(G1:G122)))</f>
        <v>33.637203</v>
      </c>
      <c r="H127" s="42" cm="1">
        <f t="array" ref="H127">MAX(_xlfn._xlws.FILTER(H1:H122, ISNUMBER(H1:H122)))</f>
        <v>43.063879999999997</v>
      </c>
      <c r="I127" s="42" cm="1">
        <f t="array" ref="I127">MAX(_xlfn._xlws.FILTER(I1:I122, ISNUMBER(I1:I122)))</f>
        <v>79.143035999999995</v>
      </c>
      <c r="J127" s="42" cm="1">
        <f t="array" ref="J127">MAX(_xlfn._xlws.FILTER(J1:J122, ISNUMBER(J1:J122)))</f>
        <v>65.376130000000003</v>
      </c>
      <c r="K127" s="42" cm="1">
        <f t="array" ref="K127">MAX(_xlfn._xlws.FILTER(K1:K122, ISNUMBER(K1:K122)))</f>
        <v>61.322879999999998</v>
      </c>
      <c r="L127" s="42" cm="1">
        <f t="array" ref="L127">MAX(_xlfn._xlws.FILTER(L1:L122, ISNUMBER(L1:L122)))</f>
        <v>92.318129999999996</v>
      </c>
      <c r="M127" s="42" cm="1">
        <f t="array" ref="M127">MAX(_xlfn._xlws.FILTER(M1:M122, ISNUMBER(M1:M122)))</f>
        <v>89.209710000000001</v>
      </c>
      <c r="N127" s="42" cm="1">
        <f t="array" ref="N127">MAX(_xlfn._xlws.FILTER(N1:N122, ISNUMBER(N1:N122)))</f>
        <v>63.152813000000002</v>
      </c>
    </row>
    <row r="128" spans="1:14" x14ac:dyDescent="0.35">
      <c r="A128" s="2" t="s">
        <v>394</v>
      </c>
      <c r="B128" s="40" cm="1">
        <f t="array" ref="B128">MEDIAN(_xlfn._xlws.FILTER(B1:B122, ISNUMBER(B1:B122)))</f>
        <v>7.997179</v>
      </c>
      <c r="C128" s="40" cm="1">
        <f t="array" ref="C128">MEDIAN(_xlfn._xlws.FILTER(C1:C122, ISNUMBER(C1:C122)))</f>
        <v>3.3250093000000001</v>
      </c>
      <c r="D128" s="40" cm="1">
        <f t="array" ref="D128">MEDIAN(_xlfn._xlws.FILTER(D1:D122, ISNUMBER(D1:D122)))</f>
        <v>5.1779985000000002</v>
      </c>
      <c r="E128" s="40" cm="1">
        <f t="array" ref="E128">MEDIAN(_xlfn._xlws.FILTER(E1:E122, ISNUMBER(E1:E122)))</f>
        <v>2.8189419999999998</v>
      </c>
      <c r="F128" s="40" cm="1">
        <f t="array" ref="F128">MEDIAN(_xlfn._xlws.FILTER(F1:F122, ISNUMBER(F1:F122)))</f>
        <v>7.7734350000000001</v>
      </c>
      <c r="G128" s="40" cm="1">
        <f t="array" ref="G128">MEDIAN(_xlfn._xlws.FILTER(G1:G122, ISNUMBER(G1:G122)))</f>
        <v>7.2757006000000004</v>
      </c>
      <c r="H128" s="40" cm="1">
        <f t="array" ref="H128">MEDIAN(_xlfn._xlws.FILTER(H1:H122, ISNUMBER(H1:H122)))</f>
        <v>1.762259</v>
      </c>
      <c r="I128" s="40" cm="1">
        <f t="array" ref="I128">MEDIAN(_xlfn._xlws.FILTER(I1:I122, ISNUMBER(I1:I122)))</f>
        <v>22.474062</v>
      </c>
      <c r="J128" s="40" cm="1">
        <f t="array" ref="J128">MEDIAN(_xlfn._xlws.FILTER(J1:J122, ISNUMBER(J1:J122)))</f>
        <v>14.528358000000001</v>
      </c>
      <c r="K128" s="40" cm="1">
        <f t="array" ref="K128">MEDIAN(_xlfn._xlws.FILTER(K1:K122, ISNUMBER(K1:K122)))</f>
        <v>4.2755365000000003</v>
      </c>
      <c r="L128" s="40" cm="1">
        <f t="array" ref="L128">MEDIAN(_xlfn._xlws.FILTER(L1:L122, ISNUMBER(L1:L122)))</f>
        <v>7.784319</v>
      </c>
      <c r="M128" s="40" cm="1">
        <f t="array" ref="M128">MEDIAN(_xlfn._xlws.FILTER(M1:M122, ISNUMBER(M1:M122)))</f>
        <v>1.7301917</v>
      </c>
      <c r="N128" s="40" cm="1">
        <f t="array" ref="N128">MEDIAN(_xlfn._xlws.FILTER(N1:N122, ISNUMBER(N1:N122)))</f>
        <v>2.5537372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18</v>
      </c>
      <c r="C130">
        <f>COUNTIF(C2:C122, "&lt;"&amp;Assumption!$F$50)</f>
        <v>17</v>
      </c>
      <c r="D130">
        <f>COUNTIF(D2:D122, "&lt;"&amp;Assumption!$F$50)</f>
        <v>19</v>
      </c>
      <c r="E130">
        <f>COUNTIF(E2:E122, "&lt;"&amp;Assumption!$F$50)</f>
        <v>28</v>
      </c>
      <c r="F130">
        <f>COUNTIF(F2:F122, "&lt;"&amp;Assumption!$F$50)</f>
        <v>14</v>
      </c>
      <c r="G130">
        <f>COUNTIF(G2:G122, "&lt;"&amp;Assumption!$F$50)</f>
        <v>10</v>
      </c>
      <c r="H130">
        <f>COUNTIF(H2:H122, "&lt;"&amp;Assumption!$F$50)</f>
        <v>22</v>
      </c>
      <c r="I130">
        <f>COUNTIF(I2:I122, "&lt;"&amp;Assumption!$F$50)</f>
        <v>10</v>
      </c>
      <c r="J130">
        <f>COUNTIF(J2:J122, "&lt;"&amp;Assumption!$F$50)</f>
        <v>6</v>
      </c>
      <c r="K130">
        <f>COUNTIF(K2:K122, "&lt;"&amp;Assumption!$F$50)</f>
        <v>12</v>
      </c>
      <c r="L130">
        <f>COUNTIF(L2:L122, "&lt;"&amp;Assumption!$F$50)</f>
        <v>12</v>
      </c>
      <c r="M130">
        <f>COUNTIF(M2:M122, "&lt;"&amp;Assumption!$F$50)</f>
        <v>22</v>
      </c>
      <c r="N130">
        <f>COUNTIF(N2:N122, "&lt;"&amp;Assumption!$F$50)</f>
        <v>31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0.1487603305785124</v>
      </c>
      <c r="C133" s="9">
        <f t="shared" si="2"/>
        <v>0.14049586776859505</v>
      </c>
      <c r="D133" s="9">
        <f t="shared" si="2"/>
        <v>0.15702479338842976</v>
      </c>
      <c r="E133" s="9">
        <f t="shared" si="2"/>
        <v>0.23140495867768596</v>
      </c>
      <c r="F133" s="9">
        <f t="shared" si="2"/>
        <v>0.11570247933884298</v>
      </c>
      <c r="G133" s="9">
        <f t="shared" si="2"/>
        <v>8.2644628099173556E-2</v>
      </c>
      <c r="H133" s="9">
        <f t="shared" si="2"/>
        <v>0.18181818181818182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9.9173553719008267E-2</v>
      </c>
      <c r="L133" s="9">
        <f t="shared" si="3"/>
        <v>9.9173553719008267E-2</v>
      </c>
      <c r="M133" s="9">
        <f t="shared" si="3"/>
        <v>0.18181818181818182</v>
      </c>
      <c r="N133" s="9">
        <f t="shared" si="3"/>
        <v>0.256198347107438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0.221</v>
      </c>
      <c r="C136" s="40" cm="1">
        <f t="array" ref="C136">_xlfn.PERCENTRANK.EXC(_xlfn._xlws.FILTER(C2:C122, ISNUMBER(C2:C122)),C120)</f>
        <v>0.63100000000000001</v>
      </c>
      <c r="D136" s="40" cm="1">
        <f t="array" ref="D136">_xlfn.PERCENTRANK.EXC(_xlfn._xlws.FILTER(D2:D122, ISNUMBER(D2:D122)),D120)</f>
        <v>0.66300000000000003</v>
      </c>
      <c r="E136" s="40" cm="1">
        <f t="array" ref="E136">_xlfn.PERCENTRANK.EXC(_xlfn._xlws.FILTER(E2:E122, ISNUMBER(E2:E122)),E120)</f>
        <v>0.68799999999999994</v>
      </c>
      <c r="F136" s="40" cm="1">
        <f t="array" ref="F136">_xlfn.PERCENTRANK.EXC(_xlfn._xlws.FILTER(F2:F122, ISNUMBER(F2:F122)),F120)</f>
        <v>0.96699999999999997</v>
      </c>
      <c r="G136" s="40" cm="1">
        <f t="array" ref="G136">_xlfn.PERCENTRANK.EXC(_xlfn._xlws.FILTER(G2:G122, ISNUMBER(G2:G122)),G120)</f>
        <v>0.61399999999999999</v>
      </c>
      <c r="H136" s="40" cm="1">
        <f t="array" ref="H136">_xlfn.PERCENTRANK.EXC(_xlfn._xlws.FILTER(H2:H122, ISNUMBER(H2:H122)),H120)</f>
        <v>0.59</v>
      </c>
      <c r="I136" s="40" cm="1">
        <f t="array" ref="I136">_xlfn.PERCENTRANK.EXC(_xlfn._xlws.FILTER(I2:I122, ISNUMBER(I2:I122)),I120)</f>
        <v>0.96699999999999997</v>
      </c>
      <c r="J136" s="40" cm="1">
        <f t="array" ref="J136">_xlfn.PERCENTRANK.EXC(_xlfn._xlws.FILTER(J2:J122, ISNUMBER(J2:J122)),J120)</f>
        <v>0.93400000000000005</v>
      </c>
      <c r="K136" s="40" cm="1">
        <f t="array" ref="K136">_xlfn.PERCENTRANK.EXC(_xlfn._xlws.FILTER(K2:K122, ISNUMBER(K2:K122)),K120)</f>
        <v>0.64700000000000002</v>
      </c>
      <c r="L136" s="40" cm="1">
        <f t="array" ref="L136">_xlfn.PERCENTRANK.EXC(_xlfn._xlws.FILTER(L2:L122, ISNUMBER(L2:L122)),L120)</f>
        <v>0.72099999999999997</v>
      </c>
      <c r="M136" s="40" cm="1">
        <f t="array" ref="M136">_xlfn.PERCENTRANK.EXC(_xlfn._xlws.FILTER(M2:M122, ISNUMBER(M2:M122)),M120)</f>
        <v>0.71299999999999997</v>
      </c>
      <c r="N136" s="40" cm="1">
        <f t="array" ref="N136">_xlfn.PERCENTRANK.EXC(_xlfn._xlws.FILTER(N2:N122, ISNUMBER(N2:N122)),N120)</f>
        <v>0.72899999999999998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0.19600000000000001</v>
      </c>
      <c r="C137" s="40" cm="1">
        <f t="array" ref="C137">_xlfn.PERCENTRANK.EXC(_xlfn._xlws.FILTER(C2:C122, ISNUMBER(C2:C122)),C121)</f>
        <v>0.68799999999999994</v>
      </c>
      <c r="D137" s="40" cm="1">
        <f t="array" ref="D137">_xlfn.PERCENTRANK.EXC(_xlfn._xlws.FILTER(D2:D122, ISNUMBER(D2:D122)),D121)</f>
        <v>0.754</v>
      </c>
      <c r="E137" s="40" cm="1">
        <f t="array" ref="E137">_xlfn.PERCENTRANK.EXC(_xlfn._xlws.FILTER(E2:E122, ISNUMBER(E2:E122)),E121)</f>
        <v>0.67200000000000004</v>
      </c>
      <c r="F137" s="40" cm="1">
        <f t="array" ref="F137">_xlfn.PERCENTRANK.EXC(_xlfn._xlws.FILTER(F2:F122, ISNUMBER(F2:F122)),F121)</f>
        <v>0.89300000000000002</v>
      </c>
      <c r="G137" s="40" cm="1">
        <f t="array" ref="G137">_xlfn.PERCENTRANK.EXC(_xlfn._xlws.FILTER(G2:G122, ISNUMBER(G2:G122)),G121)</f>
        <v>0.45</v>
      </c>
      <c r="H137" s="40" cm="1">
        <f t="array" ref="H137">_xlfn.PERCENTRANK.EXC(_xlfn._xlws.FILTER(H2:H122, ISNUMBER(H2:H122)),H121)</f>
        <v>0.69599999999999995</v>
      </c>
      <c r="I137" s="40" cm="1">
        <f t="array" ref="I137">_xlfn.PERCENTRANK.EXC(_xlfn._xlws.FILTER(I2:I122, ISNUMBER(I2:I122)),I121)</f>
        <v>0.86</v>
      </c>
      <c r="J137" s="40" cm="1">
        <f t="array" ref="J137">_xlfn.PERCENTRANK.EXC(_xlfn._xlws.FILTER(J2:J122, ISNUMBER(J2:J122)),J121)</f>
        <v>0.90100000000000002</v>
      </c>
      <c r="K137" s="40" cm="1">
        <f t="array" ref="K137">_xlfn.PERCENTRANK.EXC(_xlfn._xlws.FILTER(K2:K122, ISNUMBER(K2:K122)),K121)</f>
        <v>0.61399999999999999</v>
      </c>
      <c r="L137" s="40" cm="1">
        <f t="array" ref="L137">_xlfn.PERCENTRANK.EXC(_xlfn._xlws.FILTER(L2:L122, ISNUMBER(L2:L122)),L121)</f>
        <v>0.69599999999999995</v>
      </c>
      <c r="M137" s="40" cm="1">
        <f t="array" ref="M137">_xlfn.PERCENTRANK.EXC(_xlfn._xlws.FILTER(M2:M122, ISNUMBER(M2:M122)),M121)</f>
        <v>0.69599999999999995</v>
      </c>
      <c r="N137" s="40" cm="1">
        <f t="array" ref="N137">_xlfn.PERCENTRANK.EXC(_xlfn._xlws.FILTER(N2:N122, ISNUMBER(N2:N122)),N121)</f>
        <v>0.76200000000000001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0.188</v>
      </c>
      <c r="C138" s="40" cm="1">
        <f t="array" ref="C138">_xlfn.PERCENTRANK.EXC(_xlfn._xlws.FILTER(C2:C122, ISNUMBER(C2:C122)),C122)</f>
        <v>0.59799999999999998</v>
      </c>
      <c r="D138" s="40" cm="1">
        <f t="array" ref="D138">_xlfn.PERCENTRANK.EXC(_xlfn._xlws.FILTER(D2:D122, ISNUMBER(D2:D122)),D122)</f>
        <v>0.65500000000000003</v>
      </c>
      <c r="E138" s="40" cm="1">
        <f t="array" ref="E138">_xlfn.PERCENTRANK.EXC(_xlfn._xlws.FILTER(E2:E122, ISNUMBER(E2:E122)),E122)</f>
        <v>0.59</v>
      </c>
      <c r="F138" s="40" cm="1">
        <f t="array" ref="F138">_xlfn.PERCENTRANK.EXC(_xlfn._xlws.FILTER(F2:F122, ISNUMBER(F2:F122)),F122)</f>
        <v>0.86799999999999999</v>
      </c>
      <c r="G138" s="40" cm="1">
        <f t="array" ref="G138">_xlfn.PERCENTRANK.EXC(_xlfn._xlws.FILTER(G2:G122, ISNUMBER(G2:G122)),G122)</f>
        <v>0.221</v>
      </c>
      <c r="H138" s="40" cm="1">
        <f t="array" ref="H138">_xlfn.PERCENTRANK.EXC(_xlfn._xlws.FILTER(H2:H122, ISNUMBER(H2:H122)),H122)</f>
        <v>0.68</v>
      </c>
      <c r="I138" s="40" cm="1">
        <f t="array" ref="I138">_xlfn.PERCENTRANK.EXC(_xlfn._xlws.FILTER(I2:I122, ISNUMBER(I2:I122)),I122)</f>
        <v>0.77800000000000002</v>
      </c>
      <c r="J138" s="40" cm="1">
        <f t="array" ref="J138">_xlfn.PERCENTRANK.EXC(_xlfn._xlws.FILTER(J2:J122, ISNUMBER(J2:J122)),J122)</f>
        <v>0.83599999999999997</v>
      </c>
      <c r="K138" s="40" cm="1">
        <f t="array" ref="K138">_xlfn.PERCENTRANK.EXC(_xlfn._xlws.FILTER(K2:K122, ISNUMBER(K2:K122)),K122)</f>
        <v>0.52400000000000002</v>
      </c>
      <c r="L138" s="40" cm="1">
        <f t="array" ref="L138">_xlfn.PERCENTRANK.EXC(_xlfn._xlws.FILTER(L2:L122, ISNUMBER(L2:L122)),L122)</f>
        <v>0.67200000000000004</v>
      </c>
      <c r="M138" s="40" cm="1">
        <f t="array" ref="M138">_xlfn.PERCENTRANK.EXC(_xlfn._xlws.FILTER(M2:M122, ISNUMBER(M2:M122)),M122)</f>
        <v>0.59</v>
      </c>
      <c r="N138" s="40" cm="1">
        <f t="array" ref="N138">_xlfn.PERCENTRANK.EXC(_xlfn._xlws.FILTER(N2:N122, ISNUMBER(N2:N122)),N122)</f>
        <v>0.71299999999999997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0.20166666666666666</v>
      </c>
      <c r="C140" s="40">
        <f t="shared" si="4"/>
        <v>0.6389999999999999</v>
      </c>
      <c r="D140" s="40">
        <f t="shared" si="4"/>
        <v>0.69066666666666665</v>
      </c>
      <c r="E140" s="40">
        <f t="shared" si="4"/>
        <v>0.64999999999999991</v>
      </c>
      <c r="F140" s="40">
        <f t="shared" si="4"/>
        <v>0.90933333333333322</v>
      </c>
      <c r="G140" s="40">
        <f t="shared" si="4"/>
        <v>0.4283333333333334</v>
      </c>
      <c r="H140" s="40">
        <f t="shared" si="4"/>
        <v>0.65533333333333343</v>
      </c>
      <c r="I140" s="40">
        <f t="shared" si="4"/>
        <v>0.86833333333333329</v>
      </c>
      <c r="J140" s="40">
        <f t="shared" si="4"/>
        <v>0.89033333333333331</v>
      </c>
      <c r="K140" s="40">
        <f t="shared" ref="K140:N140" si="5">AVERAGE(K136:K138)</f>
        <v>0.59500000000000008</v>
      </c>
      <c r="L140" s="40">
        <f t="shared" si="5"/>
        <v>0.69633333333333336</v>
      </c>
      <c r="M140" s="40">
        <f t="shared" si="5"/>
        <v>0.66633333333333322</v>
      </c>
      <c r="N140" s="40">
        <f t="shared" si="5"/>
        <v>0.73466666666666669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2.5348579496144801</v>
      </c>
      <c r="I17">
        <v>9.3523184569568798</v>
      </c>
      <c r="J17">
        <v>17.729435430702701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3.67789542177964</v>
      </c>
      <c r="G18">
        <v>2.3686407868237098</v>
      </c>
      <c r="H18">
        <v>2.0346384136804501</v>
      </c>
      <c r="I18">
        <v>10.4260783076313</v>
      </c>
      <c r="J18">
        <v>16.661770333783501</v>
      </c>
      <c r="K18">
        <v>1.8510975088086301</v>
      </c>
      <c r="L18">
        <v>2.00892945351409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2.7142722466617202</v>
      </c>
      <c r="I19">
        <v>13.6402697494705</v>
      </c>
      <c r="J19">
        <v>22.276707388058099</v>
      </c>
      <c r="K19">
        <v>2.4608174691400801</v>
      </c>
      <c r="L19">
        <v>2.4360180766850199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3.1276012084365901</v>
      </c>
      <c r="I20">
        <v>12.7503134568906</v>
      </c>
      <c r="J20">
        <v>22.968710470643401</v>
      </c>
      <c r="K20">
        <v>2.8026651893863601</v>
      </c>
      <c r="L20">
        <v>2.4294142549840898</v>
      </c>
      <c r="M20">
        <v>2.5641957436601599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2.6563610554849899</v>
      </c>
      <c r="F21">
        <v>4.5654755904659901</v>
      </c>
      <c r="G21">
        <v>2.8642965748709601</v>
      </c>
      <c r="H21">
        <v>3.0028044251328798</v>
      </c>
      <c r="I21">
        <v>16.3242218931405</v>
      </c>
      <c r="J21">
        <v>24.344986801425499</v>
      </c>
      <c r="K21">
        <v>2.9207046812756801</v>
      </c>
      <c r="L21">
        <v>2.9556075018616501</v>
      </c>
      <c r="M21">
        <v>2.5100925867761599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2.8283081657125564E-2</v>
      </c>
      <c r="F25" s="48" cm="1">
        <f t="array" ref="F25">(F21/INDEX(F2:F21,MATCH(TRUE,INDEX(ISNUMBER(F2:F21),0),0)))^(1/F23)-1</f>
        <v>2.4097093341992615E-2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3.712710682326259E-3</v>
      </c>
      <c r="I25" s="48" cm="1">
        <f t="array" ref="I25">(I21/INDEX(I2:I21,MATCH(TRUE,INDEX(ISNUMBER(I2:I21),0),0)))^(1/I23)-1</f>
        <v>0.12988932861597813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1.8533351282826072E-2</v>
      </c>
      <c r="L25" s="48" cm="1">
        <f t="array" ref="L25">(L21/INDEX(L2:L21,MATCH(TRUE,INDEX(ISNUMBER(L2:L21),0),0)))^(1/L23)-1</f>
        <v>3.4801405239490046E-2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1.6867673000000001</v>
      </c>
      <c r="E3" cm="1">
        <f t="array" ref="E3">_xll.FDSB(B3,"FG_PRICE_CHANGE(0,-1AY)")</f>
        <v>4.5711399999999998</v>
      </c>
      <c r="F3" cm="1">
        <f t="array" ref="F3">_xll.FDSB(B3,"FG_PRICE_CHANGE(0,-1AM)")</f>
        <v>0.57350400000000001</v>
      </c>
      <c r="G3" cm="1">
        <f t="array" ref="G3">_xll.FDSB(B3,"FG_PRICE_CHANGE(0,-3AM)")</f>
        <v>2.462685</v>
      </c>
      <c r="H3" cm="1">
        <f t="array" ref="H3">_xll.FDSB(B3,"FG_PRICE_CHANGE(0,-6AM)")</f>
        <v>-0.73373913999999996</v>
      </c>
      <c r="I3" cm="1">
        <f t="array" ref="I3">_xll.FDS(B3,"STD(FG_PRICE_CHANGE(0,-1AY,AM))")</f>
        <v>2.0518433834636101</v>
      </c>
      <c r="J3" cm="1">
        <f t="array" ref="J3">_xll.FDS(B3,"STD(FG_PRICE_CHANGE(0,-3AY,M))")*SQRT(12)</f>
        <v>11.98615098528186</v>
      </c>
      <c r="L3">
        <f>(1-(_xlfn.PERCENTRANK.EXC($F$3:$F$15,F3)))*100</f>
        <v>64.3</v>
      </c>
      <c r="M3">
        <f>(1-(_xlfn.PERCENTRANK.EXC($G$3:$G$15,G3)))*100</f>
        <v>35.799999999999997</v>
      </c>
      <c r="N3">
        <f>(1-(_xlfn.PERCENTRANK.EXC($H$3:$H$15,H3)))*100</f>
        <v>71.500000000000014</v>
      </c>
      <c r="O3">
        <f>SUMPRODUCT($L$1:$N$1,L3:N3)</f>
        <v>55.780000000000008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31.47</v>
      </c>
      <c r="U3" cm="1">
        <f t="array" ref="U3">_xlfn.PERCENTRANK.EXC(_xlfn._xlws.FILTER(S$3:S$15, ISNUMBER(S$3:S$15)),S3)*100</f>
        <v>21.4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1.5298707</v>
      </c>
      <c r="E4" cm="1">
        <f t="array" ref="E4">_xll.FDSB(B4,"FG_PRICE_CHANGE(0,-1AY)")</f>
        <v>1.9123435</v>
      </c>
      <c r="F4" cm="1">
        <f t="array" ref="F4">_xll.FDSB(B4,"FG_PRICE_CHANGE(0,-1AM)")</f>
        <v>-0.33657550000000003</v>
      </c>
      <c r="G4" cm="1">
        <f t="array" ref="G4">_xll.FDSB(B4,"FG_PRICE_CHANGE(0,-3AM)")</f>
        <v>-0.26772617999999998</v>
      </c>
      <c r="H4" cm="1">
        <f t="array" ref="H4">_xll.FDSB(B4,"FG_PRICE_CHANGE(0,-6AM)")</f>
        <v>-1.7593443</v>
      </c>
      <c r="I4" cm="1">
        <f t="array" ref="I4">_xll.FDS(B4,"STD(FG_PRICE_CHANGE(0,-1AY,AM))")</f>
        <v>1.7583186242072699</v>
      </c>
      <c r="J4" cm="1">
        <f t="array" ref="J4">_xll.FDS(B4,"STD(FG_PRICE_CHANGE(0,-3AY,M))")*SQRT(12)</f>
        <v>10.585560571795845</v>
      </c>
      <c r="L4">
        <f t="shared" ref="L4:L15" si="1">(1-(_xlfn.PERCENTRANK.EXC($F$3:$F$15,F4)))*100</f>
        <v>92.9</v>
      </c>
      <c r="M4">
        <f t="shared" ref="M4:M15" si="2">(1-(_xlfn.PERCENTRANK.EXC($G$3:$G$15,G4)))*100</f>
        <v>92.9</v>
      </c>
      <c r="N4">
        <f t="shared" ref="N4:N15" si="3">(1-(_xlfn.PERCENTRANK.EXC($H$3:$H$15,H4)))*100</f>
        <v>78.600000000000009</v>
      </c>
      <c r="O4">
        <f t="shared" ref="O4:O11" si="4">SUMPRODUCT($L$1:$N$1,L4:N4)</f>
        <v>87.18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57.88</v>
      </c>
      <c r="U4" cm="1">
        <f t="array" ref="U4">_xlfn.PERCENTRANK.EXC(_xlfn._xlws.FILTER(S$3:S$15, ISNUMBER(S$3:S$15)),S4)*100</f>
        <v>57.099999999999994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1.3708499999999999</v>
      </c>
      <c r="E5" cm="1">
        <f t="array" ref="E5">_xll.FDSB(B5,"FG_PRICE_CHANGE(0,-1AY)")</f>
        <v>0.60914754999999998</v>
      </c>
      <c r="F5" cm="1">
        <f t="array" ref="F5">_xll.FDSB(B5,"FG_PRICE_CHANGE(0,-1AM)")</f>
        <v>0.96482040000000002</v>
      </c>
      <c r="G5" cm="1">
        <f t="array" ref="G5">_xll.FDSB(B5,"FG_PRICE_CHANGE(0,-3AM)")</f>
        <v>1.9029856000000001</v>
      </c>
      <c r="H5" cm="1">
        <f t="array" ref="H5">_xll.FDSB(B5,"FG_PRICE_CHANGE(0,-6AM)")</f>
        <v>-0.58740380000000003</v>
      </c>
      <c r="I5" cm="1">
        <f t="array" ref="I5">_xll.FDS(B5,"STD(FG_PRICE_CHANGE(0,-1AY,AM))")</f>
        <v>1.23718688222485</v>
      </c>
      <c r="J5" cm="1">
        <f t="array" ref="J5">_xll.FDS(B5,"STD(FG_PRICE_CHANGE(0,-3AY,M))")*SQRT(12)</f>
        <v>6.397403714440232</v>
      </c>
      <c r="L5">
        <f t="shared" si="1"/>
        <v>21.499999999999996</v>
      </c>
      <c r="M5">
        <f t="shared" si="2"/>
        <v>42.900000000000006</v>
      </c>
      <c r="N5">
        <f t="shared" si="3"/>
        <v>50</v>
      </c>
      <c r="O5">
        <f t="shared" si="4"/>
        <v>41.460000000000008</v>
      </c>
      <c r="P5">
        <f t="shared" si="5"/>
        <v>71.5</v>
      </c>
      <c r="Q5">
        <f>VLOOKUP(A5,CAD!$A$3:$J$15, 10, FALSE)</f>
        <v>42.8</v>
      </c>
      <c r="S5">
        <f t="shared" si="0"/>
        <v>50.740000000000009</v>
      </c>
      <c r="U5" cm="1">
        <f t="array" ref="U5">_xlfn.PERCENTRANK.EXC(_xlfn._xlws.FILTER(S$3:S$15, ISNUMBER(S$3:S$15)),S5)*100</f>
        <v>42.8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0.93558496000000002</v>
      </c>
      <c r="E6" cm="1">
        <f t="array" ref="E6">_xll.FDSB(B6,"FG_PRICE_CHANGE(0,-1AY)")</f>
        <v>2.7178764000000002</v>
      </c>
      <c r="F6" cm="1">
        <f t="array" ref="F6">_xll.FDSB(B6,"FG_PRICE_CHANGE(0,-1AM)")</f>
        <v>0.72507860000000002</v>
      </c>
      <c r="G6" cm="1">
        <f t="array" ref="G6">_xll.FDSB(B6,"FG_PRICE_CHANGE(0,-3AM)")</f>
        <v>1.0618924999999999</v>
      </c>
      <c r="H6" cm="1">
        <f t="array" ref="H6">_xll.FDSB(B6,"FG_PRICE_CHANGE(0,-6AM)")</f>
        <v>-0.65491200000000005</v>
      </c>
      <c r="I6" cm="1">
        <f t="array" ref="I6">_xll.FDS(B6,"STD(FG_PRICE_CHANGE(0,-1AY,AM))")</f>
        <v>1.5366572270329599</v>
      </c>
      <c r="J6" cm="1">
        <f t="array" ref="J6">_xll.FDS(B6,"STD(FG_PRICE_CHANGE(0,-3AY,M))")*SQRT(12)</f>
        <v>7.5501095316907598</v>
      </c>
      <c r="L6">
        <f t="shared" si="1"/>
        <v>50</v>
      </c>
      <c r="M6">
        <f t="shared" si="2"/>
        <v>57.2</v>
      </c>
      <c r="N6">
        <f t="shared" si="3"/>
        <v>64.3</v>
      </c>
      <c r="O6">
        <f t="shared" si="4"/>
        <v>58.6</v>
      </c>
      <c r="P6">
        <f t="shared" si="5"/>
        <v>57.2</v>
      </c>
      <c r="Q6">
        <f>VLOOKUP(A6,CAD!$A$3:$J$15, 10, FALSE)</f>
        <v>78.5</v>
      </c>
      <c r="S6">
        <f t="shared" si="0"/>
        <v>62.160000000000004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154.06</v>
      </c>
      <c r="E7" cm="1">
        <f t="array" ref="E7">_xll.FDSB(B7,"FG_PRICE_CHANGE(0,-1AY)")</f>
        <v>12.885141000000001</v>
      </c>
      <c r="F7" cm="1">
        <f t="array" ref="F7">_xll.FDSB(B7,"FG_PRICE_CHANGE(0,-1AM)")</f>
        <v>1.6394496000000001</v>
      </c>
      <c r="G7" cm="1">
        <f t="array" ref="G7">_xll.FDSB(B7,"FG_PRICE_CHANGE(0,-3AM)")</f>
        <v>3.9050340000000001</v>
      </c>
      <c r="H7" cm="1">
        <f t="array" ref="H7">_xll.FDSB(B7,"FG_PRICE_CHANGE(0,-6AM)")</f>
        <v>2.3824453000000001</v>
      </c>
      <c r="I7" cm="1">
        <f t="array" ref="I7">_xll.FDS(B7,"STD(FG_PRICE_CHANGE(0,-1AY,AM))")</f>
        <v>2.26269722774326</v>
      </c>
      <c r="J7" cm="1">
        <f t="array" ref="J7">_xll.FDS(B7,"STD(FG_PRICE_CHANGE(0,-3AY,M))")*SQRT(12)</f>
        <v>10.535136724189327</v>
      </c>
      <c r="L7">
        <f t="shared" si="1"/>
        <v>14.3</v>
      </c>
      <c r="M7">
        <f t="shared" si="2"/>
        <v>28.6</v>
      </c>
      <c r="N7">
        <f t="shared" si="3"/>
        <v>7.1999999999999957</v>
      </c>
      <c r="O7">
        <f t="shared" si="4"/>
        <v>17.18</v>
      </c>
      <c r="P7">
        <f t="shared" si="5"/>
        <v>21.5</v>
      </c>
      <c r="Q7">
        <f>VLOOKUP(A7,CAD!$A$3:$J$15, 10, FALSE)</f>
        <v>64.2</v>
      </c>
      <c r="S7">
        <f t="shared" si="0"/>
        <v>27.880000000000003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0.91349999999999998</v>
      </c>
      <c r="E8" cm="1">
        <f t="array" ref="E8">_xll.FDSB(B8,"FG_PRICE_CHANGE(0,-1AY)")</f>
        <v>2.1298050000000002</v>
      </c>
      <c r="F8" cm="1">
        <f t="array" ref="F8">_xll.FDSB(B8,"FG_PRICE_CHANGE(0,-1AM)")</f>
        <v>0.80000159999999998</v>
      </c>
      <c r="G8" cm="1">
        <f t="array" ref="G8">_xll.FDSB(B8,"FG_PRICE_CHANGE(0,-3AM)")</f>
        <v>5.5337310000000004</v>
      </c>
      <c r="H8" cm="1">
        <f t="array" ref="H8">_xll.FDSB(B8,"FG_PRICE_CHANGE(0,-6AM)")</f>
        <v>0.80000159999999998</v>
      </c>
      <c r="I8" cm="1">
        <f t="array" ref="I8">_xll.FDS(B8,"STD(FG_PRICE_CHANGE(0,-1AY,AM))")</f>
        <v>2.3625094614302</v>
      </c>
      <c r="J8" cm="1">
        <f t="array" ref="J8">_xll.FDS(B8,"STD(FG_PRICE_CHANGE(0,-3AY,M))")*SQRT(12)</f>
        <v>8.5062012550428463</v>
      </c>
      <c r="L8">
        <f t="shared" si="1"/>
        <v>35.799999999999997</v>
      </c>
      <c r="M8">
        <f t="shared" si="2"/>
        <v>14.3</v>
      </c>
      <c r="N8">
        <f t="shared" si="3"/>
        <v>21.499999999999996</v>
      </c>
      <c r="O8">
        <f t="shared" si="4"/>
        <v>21.48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42.17</v>
      </c>
      <c r="U8" cm="1">
        <f t="array" ref="U8">_xlfn.PERCENTRANK.EXC(_xlfn._xlws.FILTER(S$3:S$15, ISNUMBER(S$3:S$15)),S8)*100</f>
        <v>28.499999999999996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0.80092907000000002</v>
      </c>
      <c r="E9" cm="1">
        <f t="array" ref="E9">_xll.FDSB(B9,"FG_PRICE_CHANGE(0,-1AY)")</f>
        <v>-0.20023584</v>
      </c>
      <c r="F9" cm="1">
        <f t="array" ref="F9">_xll.FDSB(B9,"FG_PRICE_CHANGE(0,-1AM)")</f>
        <v>0.65675974000000004</v>
      </c>
      <c r="G9" cm="1">
        <f t="array" ref="G9">_xll.FDSB(B9,"FG_PRICE_CHANGE(0,-3AM)")</f>
        <v>1.3775945000000001</v>
      </c>
      <c r="H9" cm="1">
        <f t="array" ref="H9">_xll.FDSB(B9,"FG_PRICE_CHANGE(0,-6AM)")</f>
        <v>-2.498901</v>
      </c>
      <c r="I9" cm="1">
        <f t="array" ref="I9">_xll.FDS(B9,"STD(FG_PRICE_CHANGE(0,-1AY,AM))")</f>
        <v>1.72010582787177</v>
      </c>
      <c r="J9" cm="1">
        <f t="array" ref="J9">_xll.FDS(B9,"STD(FG_PRICE_CHANGE(0,-3AY,M))")*SQRT(12)</f>
        <v>8.3339900064387091</v>
      </c>
      <c r="L9">
        <f t="shared" si="1"/>
        <v>57.2</v>
      </c>
      <c r="M9">
        <f t="shared" si="2"/>
        <v>50</v>
      </c>
      <c r="N9">
        <f t="shared" si="3"/>
        <v>92.9</v>
      </c>
      <c r="O9">
        <f>SUMPRODUCT($L$1:$N$1,L9:N9)</f>
        <v>68.600000000000009</v>
      </c>
      <c r="P9">
        <f t="shared" si="5"/>
        <v>50</v>
      </c>
      <c r="Q9">
        <f>VLOOKUP(A9,CAD!$A$3:$J$15, 10, FALSE)</f>
        <v>28.499999999999996</v>
      </c>
      <c r="S9">
        <f t="shared" si="0"/>
        <v>55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85.8</v>
      </c>
      <c r="M10">
        <f t="shared" si="2"/>
        <v>85.8</v>
      </c>
      <c r="N10">
        <f t="shared" si="3"/>
        <v>42.900000000000006</v>
      </c>
      <c r="O10">
        <f t="shared" si="4"/>
        <v>68.640000000000015</v>
      </c>
      <c r="P10">
        <f t="shared" si="5"/>
        <v>92.9</v>
      </c>
      <c r="Q10">
        <f>VLOOKUP(A10,CAD!$A$3:$J$15, 10, FALSE)</f>
        <v>14.2</v>
      </c>
      <c r="S10">
        <f t="shared" si="0"/>
        <v>65.030000000000015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85.8</v>
      </c>
      <c r="M11">
        <f t="shared" si="2"/>
        <v>85.8</v>
      </c>
      <c r="N11">
        <f t="shared" si="3"/>
        <v>42.900000000000006</v>
      </c>
      <c r="O11">
        <f t="shared" si="4"/>
        <v>68.640000000000015</v>
      </c>
      <c r="P11">
        <f t="shared" si="5"/>
        <v>92.9</v>
      </c>
      <c r="Q11">
        <f>VLOOKUP(A11,CAD!$A$3:$J$15, 10, FALSE)</f>
        <v>14.2</v>
      </c>
      <c r="S11">
        <f t="shared" si="0"/>
        <v>65.030000000000015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0.91349999999999998</v>
      </c>
      <c r="E12" cm="1">
        <f t="array" ref="E12">_xll.FDSB(B12,"FG_PRICE_CHANGE(0,-1AY)")</f>
        <v>2.1298050000000002</v>
      </c>
      <c r="F12" cm="1">
        <f t="array" ref="F12">_xll.FDSB(B12,"FG_PRICE_CHANGE(0,-1AM)")</f>
        <v>0.80000159999999998</v>
      </c>
      <c r="G12" cm="1">
        <f t="array" ref="G12">_xll.FDSB(B12,"FG_PRICE_CHANGE(0,-3AM)")</f>
        <v>5.5337310000000004</v>
      </c>
      <c r="H12" cm="1">
        <f t="array" ref="H12">_xll.FDSB(B12,"FG_PRICE_CHANGE(0,-6AM)")</f>
        <v>0.80000159999999998</v>
      </c>
      <c r="I12" cm="1">
        <f t="array" ref="I12">_xll.FDS(B12,"STD(FG_PRICE_CHANGE(0,-1AY,AM))")</f>
        <v>2.3625094614302</v>
      </c>
      <c r="J12" cm="1">
        <f t="array" ref="J12">_xll.FDS(B12,"STD(FG_PRICE_CHANGE(0,-3AY,M))")*SQRT(12)</f>
        <v>8.5062012550428463</v>
      </c>
      <c r="L12">
        <f t="shared" si="1"/>
        <v>35.799999999999997</v>
      </c>
      <c r="M12">
        <f t="shared" si="2"/>
        <v>14.3</v>
      </c>
      <c r="N12">
        <f t="shared" si="3"/>
        <v>21.499999999999996</v>
      </c>
      <c r="O12">
        <f t="shared" ref="O12:O15" si="6">SUMPRODUCT($L$1:$N$1,L12:N12)</f>
        <v>21.48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30.75</v>
      </c>
      <c r="U12" cm="1">
        <f t="array" ref="U12">_xlfn.PERCENTRANK.EXC(_xlfn._xlws.FILTER(S$3:S$15, ISNUMBER(S$3:S$15)),S12)*100</f>
        <v>14.2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85.8</v>
      </c>
      <c r="M13" s="183">
        <f t="shared" si="2"/>
        <v>85.8</v>
      </c>
      <c r="N13" s="183">
        <f t="shared" si="3"/>
        <v>42.900000000000006</v>
      </c>
      <c r="O13" s="183">
        <f t="shared" si="6"/>
        <v>68.640000000000015</v>
      </c>
      <c r="P13" s="183">
        <f t="shared" si="5"/>
        <v>78.599999999999994</v>
      </c>
      <c r="Q13" s="183">
        <f>VLOOKUP(A13,CAD!$A$3:$J$15, 10, FALSE)</f>
        <v>85.7</v>
      </c>
      <c r="S13" s="183">
        <f t="shared" si="7"/>
        <v>75.040000000000006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10.913600000000001</v>
      </c>
      <c r="E14" cm="1">
        <f t="array" ref="E14">_xll.FDSB(B14,"FG_PRICE_CHANGE(0,-1AY)")</f>
        <v>5.6986809999999997</v>
      </c>
      <c r="F14" cm="1">
        <f t="array" ref="F14">_xll.FDSB(B14,"FG_PRICE_CHANGE(0,-1AM)")</f>
        <v>1.8491983000000001</v>
      </c>
      <c r="G14" cm="1">
        <f t="array" ref="G14">_xll.FDSB(B14,"FG_PRICE_CHANGE(0,-3AM)")</f>
        <v>4.0822864000000001</v>
      </c>
      <c r="H14" cm="1">
        <f t="array" ref="H14">_xll.FDSB(B14,"FG_PRICE_CHANGE(0,-6AM)")</f>
        <v>-1.9575119000000001</v>
      </c>
      <c r="I14" cm="1">
        <f t="array" ref="I14">_xll.FDS(B14,"STD(FG_PRICE_CHANGE(0,-1AY,AM))")</f>
        <v>2.8495451148458901</v>
      </c>
      <c r="J14" cm="1">
        <f t="array" ref="J14">_xll.FDS(B14,"STD(FG_PRICE_CHANGE(0,-3AY,M))")*SQRT(12)</f>
        <v>10.098055290056976</v>
      </c>
      <c r="L14">
        <f t="shared" si="1"/>
        <v>7.1999999999999957</v>
      </c>
      <c r="M14">
        <f t="shared" si="2"/>
        <v>21.499999999999996</v>
      </c>
      <c r="N14">
        <f t="shared" si="3"/>
        <v>85.8</v>
      </c>
      <c r="O14">
        <f t="shared" si="6"/>
        <v>44.36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45.04</v>
      </c>
      <c r="U14" cm="1">
        <f t="array" ref="U14">_xlfn.PERCENTRANK.EXC(_xlfn._xlws.FILTER(S$3:S$15, ISNUMBER(S$3:S$15)),S14)*100</f>
        <v>35.699999999999996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1811.5450000000001</v>
      </c>
      <c r="E15" cm="1">
        <f t="array" ref="E15">_xll.FDSB(B15,"FG_PRICE_CHANGE(0,-1AY)")</f>
        <v>2.7178645000000001</v>
      </c>
      <c r="F15" cm="1">
        <f t="array" ref="F15">_xll.FDSB(B15,"FG_PRICE_CHANGE(0,-1AM)")</f>
        <v>0.72507860000000002</v>
      </c>
      <c r="G15" cm="1">
        <f t="array" ref="G15">_xll.FDSB(B15,"FG_PRICE_CHANGE(0,-3AM)")</f>
        <v>1.0618806000000001</v>
      </c>
      <c r="H15" cm="1">
        <f t="array" ref="H15">_xll.FDSB(B15,"FG_PRICE_CHANGE(0,-6AM)")</f>
        <v>-0.65491200000000005</v>
      </c>
      <c r="I15" cm="1">
        <f t="array" ref="I15">_xll.FDS(B15,"STD(FG_PRICE_CHANGE(0,-1AY,AM))")</f>
        <v>1.5366559461856899</v>
      </c>
      <c r="J15" cm="1">
        <f t="array" ref="J15">_xll.FDS(B15,"STD(FG_PRICE_CHANGE(0,-3AY,M))")*SQRT(12)</f>
        <v>7.5501075443677417</v>
      </c>
      <c r="L15">
        <f t="shared" si="1"/>
        <v>50</v>
      </c>
      <c r="M15">
        <f t="shared" si="2"/>
        <v>64.3</v>
      </c>
      <c r="N15">
        <f t="shared" si="3"/>
        <v>64.3</v>
      </c>
      <c r="O15">
        <f t="shared" si="6"/>
        <v>61.44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61.430000000000007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-6.05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6.1165088543724098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3.6756471625245899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-2.9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-0.76819413252658597</v>
      </c>
      <c r="H12" cm="1">
        <f t="array" ref="H12">IFERROR(_xll.FDS($F12,"EE_ACTUAL_ANNUAL(MED,+1)"),0)</f>
        <v>-1.1499999999999999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7.6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0.50820583631101501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12.871054501249599</v>
      </c>
      <c r="I17">
        <v>25.011729152832</v>
      </c>
      <c r="J17">
        <v>18.292929264234399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7.4385992870476203</v>
      </c>
      <c r="G18">
        <v>14.667779515581</v>
      </c>
      <c r="H18">
        <v>11.205060980823401</v>
      </c>
      <c r="I18">
        <v>24.534442850508999</v>
      </c>
      <c r="J18">
        <v>17.2298191446197</v>
      </c>
      <c r="K18">
        <v>8.9422344896343606</v>
      </c>
      <c r="L18">
        <v>9.7785656554204401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16.3837417700753</v>
      </c>
      <c r="H19">
        <v>13.922769947021701</v>
      </c>
      <c r="I19">
        <v>26.637202164256799</v>
      </c>
      <c r="J19">
        <v>20.686290276184</v>
      </c>
      <c r="K19">
        <v>12.2539555438325</v>
      </c>
      <c r="L19">
        <v>10.899145950205799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9.2254455739887096</v>
      </c>
      <c r="G20">
        <v>16.690651733527702</v>
      </c>
      <c r="H20">
        <v>15.858744412332101</v>
      </c>
      <c r="I20">
        <v>24.048321572288899</v>
      </c>
      <c r="J20">
        <v>20.5983105929019</v>
      </c>
      <c r="K20">
        <v>13.147634164467201</v>
      </c>
      <c r="L20">
        <v>12.015889172957699</v>
      </c>
      <c r="M20">
        <v>14.691294548400601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11.9388620015971</v>
      </c>
      <c r="F21">
        <v>9.2990104649465799</v>
      </c>
      <c r="G21">
        <v>19.299686812780902</v>
      </c>
      <c r="H21">
        <v>14.720728907309301</v>
      </c>
      <c r="I21">
        <v>25.3197942228377</v>
      </c>
      <c r="J21">
        <v>20.348689231368802</v>
      </c>
      <c r="K21">
        <v>13.220962405767001</v>
      </c>
      <c r="L21">
        <v>12.745985668805799</v>
      </c>
      <c r="M21">
        <v>15.368050598586001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8.9422344896343606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11.983663471687251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14.442823056578451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11.9388620015971</v>
      </c>
      <c r="F25" s="8">
        <f t="shared" si="2"/>
        <v>9.2990104649465799</v>
      </c>
      <c r="G25" s="8">
        <f t="shared" si="2"/>
        <v>19.299686812780902</v>
      </c>
      <c r="H25" s="8">
        <f t="shared" si="2"/>
        <v>14.720728907309301</v>
      </c>
      <c r="I25" s="8">
        <f t="shared" si="2"/>
        <v>25.3197942228377</v>
      </c>
      <c r="J25" s="8">
        <f t="shared" si="2"/>
        <v>20.348689231368802</v>
      </c>
      <c r="K25" s="8">
        <f t="shared" si="2"/>
        <v>13.220962405767001</v>
      </c>
      <c r="L25" s="8">
        <f t="shared" si="2"/>
        <v>12.745985668805799</v>
      </c>
      <c r="M25" s="8">
        <f t="shared" si="2"/>
        <v>15.368050598586001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45385</v>
      </c>
      <c r="M1" s="116"/>
    </row>
    <row r="2" spans="1:20" ht="15" thickBot="1" x14ac:dyDescent="0.4">
      <c r="K2" s="12" t="s">
        <v>772</v>
      </c>
      <c r="L2" s="187">
        <f ca="1">EDATE(TODAY(), -4)</f>
        <v>45294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51.990540000000003</v>
      </c>
      <c r="N4" cm="1">
        <f t="array" aca="1" ref="N4" ca="1">_xll.FDSRC("-","DUMMY","ECON_EXPR_DATA('FDS_ECON["&amp;H4&amp;"]',"&amp;$N$3&amp;",,Q)")</f>
        <v>47.884563</v>
      </c>
      <c r="O4" cm="1">
        <f t="array" aca="1" ref="O4" ca="1">_xll.FDSRC("-","DUMMY","ECON_EXPR_DATA('FDS_ECON["&amp;H4&amp;"]',"&amp;$O$3&amp;",,Q)")</f>
        <v>44.378197</v>
      </c>
      <c r="P4">
        <f t="shared" ref="P4:P12" ca="1" si="0">IFERROR(N4-O4,$M$20)</f>
        <v>3.5063659999999999</v>
      </c>
      <c r="Q4" cm="1">
        <f t="array" ref="Q4">_xlfn.PERCENTRANK.EXC(_xlfn._xlws.FILTER(M$4:M$16, ISNUMBER(M$4:M$16)),M4)*100</f>
        <v>85.7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82.820000000000007</v>
      </c>
      <c r="T4" cm="1">
        <f t="array" aca="1" ref="T4" ca="1">_xlfn.PERCENTRANK.EXC(_xlfn._xlws.FILTER(S$4:S$16, ISNUMBER(S$4:S$16)),S4)*100</f>
        <v>85.7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49.583427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57.099999999999994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39.94</v>
      </c>
      <c r="T5" cm="1">
        <f t="array" aca="1" ref="T5" ca="1">_xlfn.PERCENTRANK.EXC(_xlfn._xlws.FILTER(S$4:S$16, ISNUMBER(S$4:S$16)),S5)*100</f>
        <v>28.499999999999996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49.43967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42.8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39.959999999999994</v>
      </c>
      <c r="T6" cm="1">
        <f t="array" aca="1" ref="T6" ca="1">_xlfn.PERCENTRANK.EXC(_xlfn._xlws.FILTER(S$4:S$16, ISNUMBER(S$4:S$16)),S6)*100</f>
        <v>35.699999999999996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42.459229999999998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19.919999999999998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49.568592000000002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50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32.840000000000003</v>
      </c>
      <c r="T8" cm="1">
        <f t="array" aca="1" ref="T8" ca="1">_xlfn.PERCENTRANK.EXC(_xlfn._xlws.FILTER(S$4:S$16, ISNUMBER(S$4:S$16)),S8)*100</f>
        <v>21.4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41.378143000000001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7.1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21.380000000000003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49.074534999999997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35.699999999999996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41.42</v>
      </c>
      <c r="T10" cm="1">
        <f t="array" aca="1" ref="T10" ca="1">_xlfn.PERCENTRANK.EXC(_xlfn._xlws.FILTER(S$4:S$16, ISNUMBER(S$4:S$16)),S10)*100</f>
        <v>50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49.950299999999999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64.2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61.36</v>
      </c>
      <c r="T11" cm="1">
        <f t="array" aca="1" ref="T11" ca="1">_xlfn.PERCENTRANK.EXC(_xlfn._xlws.FILTER(S$4:S$16, ISNUMBER(S$4:S$16)),S11)*100</f>
        <v>71.399999999999991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49.950299999999999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64.2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61.36</v>
      </c>
      <c r="T12" cm="1">
        <f t="array" aca="1" ref="T12" ca="1">_xlfn.PERCENTRANK.EXC(_xlfn._xlws.FILTER(S$4:S$16, ISNUMBER(S$4:S$16)),S12)*100</f>
        <v>71.399999999999991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45.287039999999998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42.8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51.314709999999998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78.5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84.22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51.990540000000003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85.7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59.980000000000004</v>
      </c>
      <c r="T15" cm="1">
        <f t="array" aca="1" ref="T15" ca="1">_xlfn.PERCENTRANK.EXC(_xlfn._xlws.FILTER(S$4:S$16, ISNUMBER(S$4:S$16)),S15)*100</f>
        <v>64.2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47.301079999999999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51.379999999999995</v>
      </c>
      <c r="T16" cm="1">
        <f t="array" aca="1" ref="T16" ca="1">_xlfn.PERCENTRANK.EXC(_xlfn._xlws.FILTER(S$4:S$16, ISNUMBER(S$4:S$16)),S16)*100</f>
        <v>57.099999999999994</v>
      </c>
    </row>
    <row r="18" spans="8:13" x14ac:dyDescent="0.35">
      <c r="K18" t="str" cm="1">
        <f t="array" aca="1" ref="K18" ca="1">_xll.FDSRC("-","DUMMY","ECON_DATE("&amp;$L$1&amp;",,, 'MM/YYYY')")</f>
        <v>04/2024</v>
      </c>
      <c r="L18" t="str" cm="1">
        <f t="array" aca="1" ref="L18" ca="1">_xll.FDSRC("-","DUMMY","ECON_DATE("&amp;$L$2&amp;",,, 'MM/YYYY')")</f>
        <v>01/2024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48.596449999999997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51.990540000000003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87.203999999999994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89344.91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1705.5119999999999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1628427.5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2695.9479999999999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2685264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930.51300000000003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2229547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16751.1855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6496513.5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1079.42625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2015849.9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2733.9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3173776.3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250163.4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52937652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503228.10346299998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52937652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628.524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3280292.3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275.709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1081992.1000000001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274.59750000000003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994950.4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417.55275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863437.6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302679.15999999997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715518"><![CDATA[{"FC0000GB^FMA_MCAP(0,,,USD,\"PORTAGG\")":3173776.3,"EWL^FREF_MARKET_VALUE_COMPANY(0,,,USD,,0,,\"LEGACY\")":1079.42625,"FC0000CH^FMA_MCAP(0,,,USD,\"PORTAGG\")":2015849.9,"EWJ^FREF_MARKET_VALUE_COMPANY(0,,,USD,,0,,\"LEGACY\")":16751.1855,"FC0000JP^FMA_MCAP(0,,,USD,\"PORTAGG\")":6496513.5,"EWG^FREF_MARKET_VALUE_COMPANY(0,,,USD,,0,,\"LEGACY\")":930.513,"EWC^FREF_MARKET_VALUE_COMPANY(0,,,USD,,0,,\"LEGACY\")":2695.948,"FC0000CA^FMA_MCAP(0,,,USD,\"PORTAGG\")":2685264.0,"EWA^FREF_MARKET_VALUE_COMPANY(0,,,USD,,0,,\"LEGACY\")":1705.512,"ENZL^FREF_MARKET_VALUE_COMPANY(0,,,USD,,0,,\"LEGACY\")":87.204,"FC0000NZ^FMA_MCAP(0,,,USD,\"PORTAGG\")":89344.91,"NQG00809^FG_COMPANY_NAME":"Nasdaq South Africa","CC_ZA^FG_COMPANY_NAME":"South Africa","FC0000ZA^FG_MCAP_IDX(0,,,USD)":302679.16,"FC0000IT^FMA_MCAP(0,,,USD,\"PORTAGG\")":863437.6,"EWN^FREF_MARKET_VALUE_COMPANY(0,,,USD,,0,,\"LEGACY\")":275.709,"SPY^FREF_MARKET_VALUE_COMPANY(0,,,USD,,0,,\"LEGACY\")":503228.103463,"QQQ^FREF_MARKET_VALUE_COMPANY(0,,,USD,,0,,\"LEGACY\")":250163.4,"FC0000DE^FMA_MCAP(0,,,USD,\"PORTAGG\")":2229547.0,"FC0000AU^FMA_MCAP(0,,,USD,\"PORTAGG\")":1628427.5,"NQG00809^FMA_MCAP(0,,,USD,\"PORTAGG\")":null,"EWI^FREF_MARKET_VALUE_COMPANY(0,,,USD,,0,,\"LEGACY\")":417.55275,"EWD^FREF_MARKET_VALUE_COMPANY(0,,,USD,,0,,\"LEGACY\")":274.5975,"FC0000SE^FMA_MCAP(0,,,USD,\"PORTAGG\")":994950.4,"FC0000NL^FMA_MCAP(0,,,USD,\"PORTAGG\")":1081992.1,"EWQ^FREF_MARKET_VALUE_COMPANY(0,,,USD,,0,,\"LEGACY\")":628.524,"FC0000FR^FMA_MCAP(0,,,USD,\"PORTAGG\")":3280292.3,"FC0000US^FMA_MCAP(0,,,USD,\"PORTAGG\")":52937652.0,"EWU^FREF_MARKET_VALUE_COMPANY(0,,,USD,,0,,\"LEGACY\")":2733.9,"DUMMY^ECON_EXPR_DATA('FDS_ECON[]',,,M)":null,"DUMMY^ECON_EXPR_DATA('FDS_ECON[NTCPMIMFGMESA@US]',,,M)":49.9503,"DUMMY^ECON_EXPR_DATA('FDS_ECON[NTCPMIMFGSA@CH]',,,M)":41.378143,"DUMMY^ECON_EXPR_DATA('FDS_ECON[NTCPMIMFGSA@IT]',,,M)":47.30108,"DUMMY^ECON_EXPR_DATA('FDS_ECON[NTCPMIMFGSA@AU]',,,M)":49.583427,"DUMMY^ECON_EXPR_DATA('FDS_ECON[NTCPMIMFGSA@NL]',,,M)":51.31471,"DUMMY^ECON_EXPR_DATA('FDS_ECON[NTCPMIMFGSA@FR]',,,M)":45.28704,"DUMMY^ECON_EXPR_DATA('FDS_ECON[NTCPMIMFGSA@JP]',,,M)":49.568592,"DUMMY^ECON_EXPR_DATA('FDS_ECON[NTCPMIMFGSA@GB]',,,M)":49.074535,"DUMMY^ECON_EXPR_DATA('FDS_ECON[NTCPMIMFGSA@DE]',,,M)":42.45923,"DUMMY^ECON_EXPR_DATA('FDS_ECON[NTCPMIMFGSA@CA]',,,M)":49.43967,"DUMMY^ECON_EXPR_DATA('FDS_ECON[NTCPMIMFGSA@NZ]',,,M)":null,"CAGDPY@FR^EE_ACTUAL_ANNUAL(MED,+1)":-1.15,"CAGDPY@AU^EE_ACTUAL_ANNUAL(MED,+1)":0.5,"USDITL^FG_PRICE_CHANGE(0,-3AM)":1.0618806,"USDANG^FG_PRICE_CHANGE(0,-3AM)":0.0,"USDUSD^FG_PRICE_CHANGE(0,-3AM)":0.0,"USDGBP^FG_PRICE_CHANGE(0,-3AM)":1.3775945,"USDJPY^FG_PRICE_CHANGE(0,-3AM)":3.905034,"USDCAD^FG_PRICE_CHANGE(0,-3AM)":1.9029856,"USDNZD^FG_PRICE_CHANGE(0,-3AM)":2.462685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7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4],"EWD^FMA_DIV_YLD(NTMA,-10AY,0,AM,\"PORTAGG\",\"MEANR\")":[4.11187226650118,4.06783307489709,4.11044903891675,4.2837949674725,4.22185266324951,4.35506874329584,4.17581124548666,4.11052320864189,4.09745096649795,3.84960292514872,3.61236616550145,3.65937690689615,3.79829888810221,3.80736310155112,4.02620848817658,3.95540930877743,4.38435053523756,4.57136566651824,4.19771289116922,4.08437223940937,4.31327587806828,4.57650135937614,4.33551953996758,4.40734178071996,4.39297458636083,4.40517962320184,4.45984828805178,4.39260389734111,4.18540209469836,4.18832765952657,4.21539936222522,4.03949567137985,3.90395724923268,3.68607684132298,3.63903313756046,3.63049849076176,3.51582319633272,3.36604315801769,3.60866009285285,3.70574696291225,3.74100517530846,3.54921922776136,3.52237159928107,3.71480855788289,3.76275273825417,3.81273090284385,3.98582247509225,4.03953553198433,4.00090849177786,4.08219953725919,4.18423853993375,4.1269842073326,4.01946392634289,4.03744415946764,4.30719388408219,4.46122081358196,4.75202820217651,4.31460243160613,4.14542734539885,4.1335309826643,4.04246499956741,4.44006870750872,4.10480913024221,4.15208590476921,4.2181008754663,4.0418464411552,3.72972121239586,3.76673014198766,3.54946290170808,3.62946149610626,3.80895419457738,4.11927360102062,3.29647434688344,3.00322554241955,3.00450381832383,3.07720203974979,2.99947002204589,3.03266951949525,3.26621635109229,3.01581601123529,3.10845190329987,2.97590696074982,2.88911738917099,2.75477930334971,2.84061829536464,2.67596362868686,2.69562977519897,2.72140409851094,2.70648847309482,2.90201179156019,3.022808482938,2.98525821784178,2.83243607318585,2.82233854215206,3.20712166271275,3.09763474613636,3.36173579289405,3.22128740403515,3.63852903608446,3.51143053820608,3.71263331049508,3.79156443937652,3.74782566222839,3.55931357257278,3.76722680376033,3.42405655391804,3.56215801257169,3.63055473023723,3.69171125231409,3.7123831911207,3.71306750072914,3.84846881305999,3.95449652567087,4.03907900755427,3.90534383452269,3.14355201516501,2.92812831516171,3.31375572652334,3.28045791199652,3.23831383312897,3.25377938945661],"EWQ^FMA_PE(NTMA,-10AY,0,AM,\"PORTAGG\",\"MEANR\")":[14.0176256018427,14.2506145747189,14.0049382976346,13.2550003021884,13.64607290379,13.1426031359153,13.2064043588754,13.9428440771877,13.7289565546907,15.3626031173056,16.2687840453218,16.6037523299544,16.3096469232353,16.0890044387812,15.3237084896228,15.7846630693225,14.0590972927565,13.8827690699177,15.233282300745,15.2721773433601,14.5525026687196,13.8696200548675,14.4252392714425,14.184321111574,14.5256936547757,14.4378592739486,13.6982287872212,13.8025869527525,14.265122056874,13.8718181444197,13.6503625274544,13.7541373927975,14.5703388121852,14.2573670506018,14.4526011090754,14.9122561126064,15.2958478602057,15.2634708736995,14.5439537287869,14.5383531007093,14.5510852693452,15.175629652283,15.427793685745,14.8890691457655,14.7331841139768,14.883011983911,14.1847968466843,14.1979104992582,14.8208463333581,14.4415011211086,13.8257766445246,14.0496036708931,13.7846595155505,13.7653224958543,12.8366828005511,12.5043562104057,11.7676627110851,12.9237369222963,13.5461494041884,13.7832708478986,14.0158077932246,13.1707166827115,13.970119699318,13.6054903864722,13.7897919750858,13.5875574764354,14.5228116935166,14.460455349434,15.028782545625,14.5204036396201,13.5323086539361,12.4758077620672,16.5440312413213,18.3812273106742,19.2809752557241,19.2534714877659,19.5109676452772,18.0821504863859,16.7988523343669,19.0355384466961,17.9677190648947,17.720572579556,17.9797873686553,18.3013203461271,17.9453344323506,17.9579598939433,17.4624739891094,16.7805159372422,16.4917327576111,15.5264043247728,15.8624488723249,15.2112435231271,15.7996277609271,15.1406799365569,13.5321705864259,13.5781266601607,12.6011871916947,12.4640664849921,11.185492073579,11.6411994474442,11.1240945240677,10.2198600360135,11.1790466661371,12.184638475765,11.8173445902711,13.3049673081987,13.24658611051,13.2882328943944,13.505637987398,13.1338546065246,13.287966655341,13.037249736312,12.9499649647399,12.3285668882408,12.4163151512903,13.0055804197398,13.3670536712254,13.6540399475669,14.3279269378256,14.5670781737032,14.4832263069592],"QQQ^FMA_PE(LTMA,-10AY,0,AM,\"PORTAGG\",\"MEANR\")":[18.7783283384728,18.8905780739877,19.1639114833091,18.9045897607361,19.505878239428,19.1026514479689,19.7109218244523,20.4083983876598,20.0691968928018,19.6198911932744,20.798737876331,20.457636356412,20.3971550159239,20.2457118617328,19.9452813801037,20.4269856102997,19.3870895563117,19.2635539720155,20.5063482645501,20.4920848875253,20.3489696602954,18.4052910325931,18.261339795831,18.444790260331,18.3701669253235,18.655485699417,18.6440457276687,19.3323132290073,19.6058006620666,19.971558870215,19.5264868388176,19.6266462216378,20.2941205773802,21.2135605098375,21.7189090157928,21.6628465067159,21.773082919122,22.1022740381737,21.6377295866646,22.1338561555336,22.3062549192523,22.3165953143751,22.8055754795089,23.0806527278178,23.9026396351078,24.1449957666679,24.0788483340659,23.4441689383,23.1613921121887,23.2953884689179,23.0388544748631,23.0894271532714,23.4622072819795,23.2557032608781,21.1234186000788,20.7527256929268,18.8028603174485,20.3044071419649,20.9219133925075,21.1209177895617,21.3947736110985,20.7919206066475,21.8062191560642,21.7403634515916,21.8368739225458,21.6806409084064,23.1364508929865,23.9388960286313,25.8603433051364,25.5797300133346,23.9683015493566,23.4250574237773,24.9386389077382,26.6714083451734,27.9753211761512,28.717693811546,32.1840834803959,30.5399241983619,29.8523280857231,33.6672036037933,35.2372737395196,35.4321029356333,32.9384531889039,32.6716433388025,32.1483462619996,31.4137979161257,32.0171609181533,31.3742768493771,31.7616332673707,30.3830951349556,31.6139520193879,31.3546243036782,31.9012291369718,29.0799650753278,26.6985583829933,26.8365690549783,25.9324078450064,25.5151793421504,24.1734814448847,25.5849604733363,24.488897986318,22.6957009953717,22.4232012180297,24.0273413937452,22.7307339981462,26.5681301525742,25.2351121986662,25.682759558325,25.5763242598939,26.5754463926667,27.2777332015275,26.7566694649039,26.7888553986912,26.1182348640259,26.0844609771467,27.727625121785,28.6722958491448,30.0126951396668,30.3738224174653,29.9704831389635,29.2941896764531],"DDR3512M-FDS^FG_PRICE(0)":0.96773726,"PASP-FDS^FG_PRICE(0)":946.0,"PLATI-FDS^FG_PRICE(0)":952.0,"W-FDS^FG_PRICE(0)":5.865,"COPP-FDS^FG_PRICE(0)":4.494,"FC0000US^FG_PRICE(0)":381.23178,"FC0000GR^FG_PRICE(0)":9.687612,"EWI^FG_PRICE(0)":36.87,"SPY^FG_PRICE(0)":505.03,"EWJ^FG_PRICE(0)":68.47,"ENZL^FG_PRICE(0)":44.72,"EWA^FG_COMPANY_NAME":"iShares MSCI Australia ETF","FXI^P_PRICE(0)/P_PRICE_LOW_PR(0,,,,,,\"PRICE\",\"INTRA\",\"52W\")-1":0.30153394,"SPY^FMA_PCT_ABOVE_MAVG(200,0,,,,\"PORTAGG\")":68.6626746506986,"URTH^PERCENT_CHANGE(FMA_EPS(+1,0,,,,\"PORTAGG\",\"MEAN\"),FMA_EPS(+1,-3AM,,,,\"PORTAGG\",\"MEAN\"))":-0.142756330153098,"VGK^FG_TOTAL_RETURNC(0,-3AM)":4.48606,"EWD^P_PRICE(0)/P_PRICE_HIGH_PR(0,,,,,,\"PRICE\",\"INTRA\",\"52W\")":0.93719923,"SPY^PERCENT_CHANGE(FMA_EPS(+1,0,,,,\"PORTAGG\",\"MEAN\"),FMA_EPS(+1,-1AM,,,,\"PORTAGG\",\"MEAN\"))":0.180109728283243,"EWJ^FG_TOTAL_RETURNC(0,-6AM)":13.92138,"EWC^P_PRICE(0)/P_PRICE_LOW_PR(0,,,,,,\"PRICE\",\"INTRA\",\"52W\")-1":0.18879342,"EWD^FMA_COS_DOWN(\"EPS\",\"1M\",+1,0,,,\"PORTAGG\",\"MEANR\")":11.0,"EWU^FMA_COS_UP(\"EPS\",\"1M\",+1,0,,,\"PORTAGG\",\"MEANR\")":34.0,"EWQ^FG_ROE(0)":12.7686463891215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5,"TRYNL10Y-FDS^PCTCHG(FG_YIELD(0,,,,\"YTM\"),FG_YIELD(-1AM,,,,\"YTM\"))":5.2865114,"TRYNZ10Y-FDS^FG_YIELD_NAME":"New Zealand Benchmark Bond - 10 Year","EWU^FG_COMPANY_NAME":"iShares MSCI United Kingdom ETF","EWI^FG_PRICE_MAVG(0,,,,30)":36.991,"EWJ^FG_PRICE_MAVG(0,,,,30)":69.05334,"FXI^FG_TOTAL_RETURNC(0,-12AM)":1.2145638,"EWU^FG_TOTAL_RETURNC(0,-3AM)":7.9790473,"EWA^PERCENT_CHANGE(FMA_EPS(+1,0,,,,\"PORTAGG\",\"MEAN\"),FMA_EPS(+1,-1AM,,,,\"PORTAGG\",\"MEAN\"))":-0.206084451000025,"EWD^SIZE(FG_CONSTITUENTS)":45,"ENZL^FG_COMPANY_NAME":"iShares MSCI New Zealand ETF","TRYNZ10Y-FDS^FG_YIELD(0,,,,\"YTM\")":4.87,"DUMMY^ECON_EXPR_DATA('FDS_ECON[NTCPMIMFGSA@EME]',,,M)":51.99054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4006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U^FMA_PE(LTMA,-10AY,0,AM,\"PORTAGG\",\"MEANR\")":[14.3893722187413,14.4064142218758,14.410630249834,14.2264618859393,14.2933320289831,13.6041001815952,13.7939795690512,14.0540617479267,13.6760489520509,14.2547883530568,15.1836659141172,15.2601983607484,15.568486125708,15.7058175924941,15.5181994991463,15.7515100816941,14.8802816481184,15.1081636704652,15.8246467399563,16.0783714988136,15.6728845885555,14.9729009831049,15.5517879352289,15.7247270423721,15.9614274494962,15.9582725160023,16.3512579053777,16.6044356516786,17.1492827394209,17.073490822109,16.5034677517509,16.3684698356865,17.2050718769924,17.0748753999934,17.3773686494956,17.1205694382888,16.8581633143651,16.8020541321819,16.4216199612828,16.4249194411553,16.103619870065,15.8741491571533,15.617573432135,15.0729034916162,15.4773962322802,15.0783485898368,13.8558218942637,13.8830350448547,14.038072769168,13.9999159097642,13.7469804591362,13.785502524423,13.5125453110635,13.5518608771427,12.861120610642,12.5509714836934,11.8987722850793,12.6629991530125,12.9360870157105,12.9967648121398,12.9741545807464,12.8111368147801,13.1405769413123,12.9743126121464,12.7895617670457,12.7912799177677,13.3082324119919,13.4318197849716,14.2005523203801,13.7741619897626,12.3493385402897,12.3800208535898,13.5297762003452,14.7758239609863,15.3088729985573,15.417495818249,16.6324377770994,16.8155783266292,15.911455608405,18.9702064917466,19.7309547376603,19.302171554775,18.7974605704886,18.2153961897661,17.6665425410864,17.1413623378059,16.3401414893504,15.4381954227522,14.7806556206308,13.861542407415,13.5076131142981,12.5166071008348,12.3879421136839,12.8416260313911,12.5400017623828,12.3043941304961,12.0366402172096,11.713358226175,11.1000349956988,10.9420632876098,10.2759097984494,9.48625582956309,9.50687233103856,9.9880876774813,9.56383303501593,10.0852224306808,10.2614785407048,10.2535167773826,10.351030448701,10.3040064909821,10.3685714075866,10.5339030916522,10.5162325430029,10.4782595546309,10.4819161986388,10.9301778630403,11.2668501457831,11.2653162133566,11.4497839387889,11.5293530046623,11.6275982426485],"WL-FDS^MAX(FG_PRICE(0,-5AY))":763.4,"CPALM-FDS^MAX(FG_PRICE(0,-5AY))":8163.0,"BRENT-FDS^MAX(FG_PRICE(0,-5AY))":140.85,"EWL^SIZE(FG_CONSTITUENTS)":46,"ENZL^FMA_COS_DOWN(\"EPS\",\"1M\",+1,0,,,\"PORTAGG\",\"MEANR\")":2.0,"EWD^FMA_RBICS_REV_CURRENT(30, LOC, \"PORTAGG\")":27.1998242779551,"SPY^FG_ROE(0)":18.1352453927857,"TRYCH10Y-FDS^FG_YIELD_NAME":"Treasury - Switzerland Benchmark Bond 10Y","EWC^FG_COMPANY_NAME":"iShares MSCI Canada ETF","REFFFUND-FDS^FG_YIELD(NOW,,,0)":5.5,"TRYFR10Y-FDS^PCTCHG(FG_YIELD(0,,,,\"YTM\"),FG_YIELD(-3AM,,,,\"YTM\"))":10.859238,"USDUSD^FG_PRICE_CHANGE(0,-6AM)":0.0,"EWU^FG_PRICE_MAVG(0,,,,30)":34.102333,"EWI^P_PRICE(0)/P_PRICE_HIGH_PR(0,,,,,,\"PRICE\",\"INTRA\",\"52W\")":0.9712856,"EWC^FG_ROE(0)":11.3504663117191,"TRYJP10Y-FDS^FG_YIELD(0,,,,\"YTM\")":0.8947,"CPALM-FDS^FG_PRICE(0)":3895.0,"REFGBBANK-FDS^PROPER_NAME(0,,,\"SECURITY\",\"NAME\")":"UK Bank Rate","TRYJP10Y-FDS^PCTCHG(FG_YIELD(0,,,,\"YTM\"),FG_YIELD(-1AM,,,,\"YTM\"))":22.06003,"EWI^FMA_COS_DOWN(\"EPS\",\"1M\",+1,0,,,\"PORTAGG\",\"MEANR\")":11.0,"TRYCA10Y-FDS^PCTCHG(FG_YIELD(0,,,,\"YTM\"),FG_YIELD(-3AM,,,,\"YTM\"))":10.172858,"CAGDPY@FR^EE_ACTUAL_ANNUAL(MED,0)":-0.768194132526586,"CAGDPY@AU^EE_ACTUAL_ANNUAL(MED,0)":1.21871580460395,"USDITL^FG_PRICE_CHANGE(0,-1AM)":0.7250786,"USDANG^FG_PRICE_CHANGE(0,-1AM)":0.0,"USDUSD^FG_PRICE_CHANGE(0,-1AM)":0.0,"USDGBP^FG_PRICE_CHANGE(0,-1AM)":0.65675974,"USDJPY^FG_PRICE_CHANGE(0,-1AM)":1.6394496,"USDCAD^FG_PRICE_CHANGE(0,-1AM)":0.9648204,"USDNZD^FG_PRICE_CHANGE(0,-1AM)":0.573504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1.4689207,-0.83518624,0.7175207,-8.196724,-1.6625583,-5.4477158,-1.3245106,-1.0738254,-6.887877,1.6874552,7.720065,1.1386514,2.6490092,1.870966,-3.4584343,3.3377886,-5.4909525,0.2734065,1.9086599,-5.0167203,-2.9470503,-15.793305,1.8150449,2.2071362,4.9833894,-4.667723,-7.64913,-0.55452585,6.5985084,-3.923279,-0.27223825,0.6824374,10.408461,-0.90871453,0.04168749,7.249999,3.768456,6.1400294,-0.15527606,7.9496384,1.399529,2.7933002,0.4795432,-1.8135548,-0.19770265,8.390474,-5.0903616,0.50777197,6.378269,-9.8842325,-2.9880702,0.48866272,-5.870098,0.9594083,-5.8479548,-1.4363408,-3.6683738,7.494819,5.238831,2.5256276,-0.5712211,-6.85817,10.0222,-2.7193606,0.2981782,-1.0033488,9.684682,-2.566737,5.7540298,-3.7458181,-5.2814484,-25.275124,1.7182112,13.94788,5.1975965,0.6102562,5.1759005,-5.9208035,-4.69963,24.31389,2.3910403,-0.033968687,3.4318686,4.5335054,-0.6599605,6.95982,-2.6127636,-0.64555407,2.9702902,-4.1466293,6.1128497,-6.2038364,4.8100233,0.9753108,-11.198312,1.8694758,-8.475137,5.286181,-13.597256,0.0,-5.7827353,-5.7430925,11.162794,16.987442,-2.1992266,13.6971,-1.2406111,0.5950451,2.1031857,-0.933373,5.9487343,2.0421028,-1.9704401,-6.658292,4.0040374,7.246852,2.9111028,-0.17808676,6.779659,3.648007,-0.94035864],"EWN^FMA_DIV_YLD(NTMA,-10AY,0,AM,\"PORTAGG\",\"MEANR\")":[2.81697348034319,2.80426435070114,2.78201556614755,2.99646276175281,2.97829173727771,3.1057935356658,3.10167786383842,2.98759353310734,3.08146154647867,2.90284264136639,2.68209655189242,2.65446860563694,2.7461343999879,2.87038337062649,2.95031048369196,2.8900662201743,3.45626645220174,3.59274484905921,3.21556178983322,3.12701130727677,3.15784476268672,3.28590613932575,3.28264362026392,3.33589768325509,3.36134094128042,3.1316419742736,3.32961459433652,3.26169266058691,3.06719574638024,3.11899711258538,3.20561612993087,3.17431436302957,2.9618206119659,2.97070507164524,2.83278663542964,2.75918279903228,2.71411248930631,2.69270382525859,2.81837747248312,2.77047899168652,2.86919605885253,2.76850585678083,2.74240044428128,2.87240875502282,2.85746810525467,2.85162940046749,3.01713124475304,2.99317466764042,2.92059974201824,2.88192081467549,2.97669287340211,2.84630606211112,2.9031838112027,3.0233673184502,3.19994166073887,3.22587547233236,3.4698379016458,3.26422453828259,3.10551316904025,3.01884702501136,2.96206566335429,3.17470129993349,2.97117176308605,2.96913777924068,2.96896494958579,2.84715227871475,2.72748033026303,2.69492009651669,2.56330281268982,2.68424222188082,2.85935188362819,3.25566152377399,2.70522585620607,2.44990730092589,2.34370971906715,2.42043406141239,2.2525341362411,2.32667070572977,2.37726516181482,2.0733092668267,1.96818147211171,1.95413444935217,2.05776618669841,1.91768256488738,1.96312559170637,1.99873310689226,2.00869467931465,1.94272605427083,1.82642988263283,1.97422166995538,1.9010268273197,1.98377980765943,1.93656613406035,2.15747088531068,2.33325512352736,2.23773474542285,2.42543665516126,2.53503046449297,3.48420352945727,3.08147574264398,3.79304012738643,3.0790863216312,2.96983115698492,2.63424289569049,2.81744295330622,2.48980812685167,2.65357271217079,2.63452478820832,2.70969500763449,2.6879028226558,2.695808550689,2.70236444689797,2.88342968572098,3.06146093954977,3.01766695292891,2.80176726518001,2.71322955117439,2.55304737566583,2.58252995639034,2.54054526765088,2.59127326975751],"SPY^FMA_PE(NTMA,-10AY,0,AM,\"PORTAGG\",\"MEANR\")":[14.9807407222394,15.1895550927497,15.457746012371,14.8567439167192,15.3293096670329,14.8199441473498,15.4981269408046,15.8667160088321,15.96244162404,16.2395778352994,16.996306032602,16.4721081381795,16.7045817863234,16.5452229955928,16.2167847939528,16.4284707165386,15.1700180373308,15.211116793077,16.4874752557983,16.2445385157038,15.991430392029,15.5099438140132,15.5167363536305,16.5004635460184,16.5226770167304,16.6467353898289,16.5274762929012,16.8203507195242,16.8353987793995,16.6490222435307,16.0427103848048,16.6187304749981,16.8042774932923,17.0686789619723,17.7879748431195,17.5096202630589,17.4675661539529,17.6699845483287,17.4139594236772,17.6655674888622,17.5139583604644,17.7874584308826,17.9485475318512,18.1962903724008,18.244153544756,17.4567931643708,16.7186294157627,15.9458644670963,15.9608316491843,16.3485048016767,16.1548380773678,16.505117404364,16.8103827441345,16.8258206203433,15.5692950591314,15.7392730597703,14.4292822610686,15.782974885227,16.3320836374113,16.5937438758075,16.7471637992443,15.6848930281418,16.9080989481257,16.6709137074064,16.5612797272388,16.3007813245705,17.3374648120075,17.5501278705955,18.3024691198324,18.0535864909754,17.3306340425546,15.4896829535845,19.8915743612978,21.8551188595494,21.8530127408262,21.9340536091396,23.3665491108292,21.3957099989345,20.4185396660881,22.0252764049375,22.4393922440473,21.866592065693,21.6712288571216,22.0538828759518,21.6513602535872,21.2331417218116,21.5927825252749,20.9022740929728,21.2788596898014,20.3383473646076,21.2177067399739,20.721801600966,21.3209246647739,20.2036672737396,19.1315138614546,19.4955293758547,17.6265338581322,17.5283728360415,15.984134507212,17.247503252646,16.5141806530363,15.1562944983157,16.2218865928053,17.5966783677789,16.650131237619,18.4172590441387,17.5285817859088,18.0597010934251,17.9263571104399,18.4630562025458,19.13965126229,19.2194049974163,18.8906620700932,17.8245531073435,17.8672119874389,18.8291600556985,19.3949460973053,20.1635389863311,20.6322999549958,20.7252147139031,19.7376425214866],"NI-FDS^MAX(FG_PRICE(0,-5AY))":48241.0,"TIOS-FDS^MAX(FG_PRICE(0,-5AY))":219.77,"FC0000GB^FG_PRICE(0)":124.433754,"FC0000CA^FG_PRICE(0)":286.13522,"EWD^FG_PRICE_MAVG(0,,,,200)":36.29655,"QQQ^FG_PRICE_MAVG(0,,,,200)":398.452,"EWG^FG_PRICE_MAVG(0,,,,200)":28.64065,"EWI^FG_COMPANY_NAME":"iShares MSCI Italy ETF","FXI^P_PRICE(0)/P_PRICE_HIGH_PR(0,,,,,,\"PRICE\",\"INTRA\",\"52W\")":0.888998,"EWJ^FG_TOTAL_RETURNC(0,-12AM)":19.981598,"URTH^PERCENT_CHANGE(FMA_EPS(+1,0,,,,\"PORTAGG\",\"MEAN\"),FMA_EPS(+1,-1AM,,,,\"PORTAGG\",\"MEAN\"))":-0.102060871534227,"VGK^FG_TOTAL_RETURNC(0,-1AM)":-0.675267,"EWD^FG_TOTAL_RETURNC(0,-6AM)":24.065422,"EWQ^P_PRICE(0)/P_PRICE_LOW_PR(0,,,,,,\"PRICE\",\"INTRA\",\"52W\")-1":0.19696975,"EWU^PERCENT_CHANGE(FMA_EPS(+1,0,,,,\"PORTAGG\",\"MEAN\"),FMA_EPS(+1,-3AM,,,,\"PORTAGG\",\"MEAN\"))":0.2680754142194,"EWJ^FG_TOTAL_RETURNC(0,-3AM)":2.9469252,"EWC^P_PRICE(0)/P_PRICE_HIGH_PR(0,,,,,,\"PRICE\",\"INTRA\",\"52W\")":0.9668566,"ENZL^FG_TOTAL_RETURNC(0,-12AM)":-7.5073185,"EWJ^FMA_COS_DOWN(\"EPS\",\"1M\",+1,0,,,\"PORTAGG\",\"MEANR\")":86.0,"EWD^FMA_COS_UP(\"EPS\",\"1M\",+1,0,,,\"PORTAGG\",\"MEANR\")":23.0,"REFEUREFI-FDS^PROPER_NAME(0,,,\"SECURITY\",\"NAME\")":"Eurozone Main Refinancing Operations Minimum Bid Rate","TRYAU10Y-FDS^PCTCHG(FG_YIELD(0,,,,\"YTM\"),FG_YIELD(-3AM,,,,\"YTM\"))":11.652435,"TRYUS10Y-FDS^FG_YIELD(0,,,,\"YTM\")":4.5759,"EWU^FG_TOTAL_RETURNC(-10AY,0,AM)":[4.297447,0.6481409,2.2158027,-4.5325813,1.0385752,-7.391095,0.47569275,0.84166527,-4.9947143,1.9037008,5.1098824,-4.7569275,5.488479,-0.052028894,-2.5768936,0.87052584,-9.76268,0.95636845,4.4404984,-3.061217,-3.7293553,-7.5588584,2.8150082,1.2385845,5.6020617,-1.8292665,-2.1784425,1.2361765,4.113114,-2.222228,-6.1237392,2.051115,2.5205374,2.541542,1.6523719,1.7505407,2.5192022,4.285288,-2.075845,3.1503081,-1.1343777,2.265358,0.23015738,0.25832653,5.448234,0.3319502,-5.238491,0.029098988,4.3630004,1.0869503,-2.9845119,-0.23275614,-2.0997405,1.012814,-4.865825,-2.5728405,-4.641491,7.73952,3.259492,3.095305,-0.8917928,-4.9490094,5.5115223,-5.7975473,-1.2048185,-0.4943967,8.247768,0.06120205,6.262684,-4.421675,-9.528184,-21.266508,5.7634473,8.784056,-0.7991195,-0.8033633,3.4708858,-4.062617,-4.3511987,18.521523,1.5270472,1.638782,4.333222,1.9639373,2.7155042,5.133724,-1.7594397,-0.42372942,1.6413331,-3.1399488,3.8283467,-3.419572,4.8408628,4.3753743,-2.4862707,0.592947,-5.30504,3.734827,-8.674568,2.4757385,-7.2477937,-7.743752,6.2953115,14.501071,-2.4490237,5.577302,0.40160418,-0.7384658,3.502798,-2.2761285,1.0677695,0.09274483,-0.9882629,-3.181535,0.5476713,5.350852,1.8665671,-0.8552313,1.4171243,3.3414364,3.0276299],"EWQ^FMA_PCT_ABOVE_MAVG(200,0,,,,\"PORTAGG\")":73.015873015873,"EWL^FG_TOTAL_RETURNC(0,-3AM)":-3.4650385,"EWA^FG_TOTAL_RETURNC(0,-12AM)":8.403897,"VWO^FMA_COS_UP(\"EPS\",\"1M\",+1,0,,,\"PORTAGG\",\"MEANR\")":841.0,"SPY^SIZE(FG_CONSTITUENTS)":504,"EWD^FG_COMPANY_NAME":"iShares MSCI Sweden ETF","REFNZOCR-FDS^(SUBARRAY(NOT_NA(NO_REPEAT_F(FG_YIELD(NOW,-10AY,D))),0,1)-SUBARRAY(NOT_NA(NO_REPEAT_F(FG_YIELD(NOW,-10AY,D))),1,1))*100":25.0,"TRYIT10Y-FDS^FG_YIELD_NAME":"Italy Benchmark Bond - 10 Year","DUMMY^ECON_EXPR_DATA('FDS_ECON[PMIDMMANHE]',,,M)":48.5964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8805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Q^P_PRICE(0)/P_PRICE_HIGH_PR(0,,,,,,\"PRICE\",\"INTRA\",\"52W\")":0.96214926,"EWU^PERCENT_CHANGE(FMA_EPS(+1,0,,,,\"PORTAGG\",\"MEAN\"),FMA_EPS(+1,-1AM,,,,\"PORTAGG\",\"MEAN\"))":0.746483022667197,"EWN^SIZE(FG_CONSTITUENTS)":54,"EWN^FMA_RBICS_REV_CURRENT(30, LOC, \"PORTAGG\")":25.1822237253434,"QQQ^FG_ROE(0)":22.084553882319,"TRYJP10Y-FDS^FG_YIELD_NAME":"Japan Benchmark Bond - 10 Year","REFFFUND-FDS^PROPER_NAME(0,,,\"SECURITY\",\"NAME\")":"US Federal Funds Target Rate","REFCATARG-FDS^(SUBARRAY(NOT_NA(NO_REPEAT_F(FG_YIELD(NOW,-10AY,D))),0,1)-SUBARRAY(NOT_NA(NO_REPEAT_F(FG_YIELD(NOW,-10AY,D))),1,1))*100":25.0,"TRYFR10Y-FDS^PCTCHG(FG_YIELD(0,,,,\"YTM\"),FG_YIELD(-1AM,,,,\"YTM\"))":3.871194,"TRYAU10Y-FDS^PCTCHG(FG_YIELD(0,,,,\"YTM\"),FG_YIELD(-1AM,,,,\"YTM\"))":9.453479,"EWD^FG_PRICE_MAVG(0,,,,30)":39.485832,"EWG^FG_PRICE_MAVG(0,,,,30)":30.948334,"EWN^FG_COMPANY_NAME":"iShares MSCI Netherlands ETF","FXI^FG_TOTAL_RETURNC(0,-3AM)":26.809906,"VGK^PERCENT_CHANGE(FMA_EPS(+1,0,,,,\"PORTAGG\",\"MEAN\"),FMA_EPS(+1,-1AM,,,,\"PORTAGG\",\"MEAN\"))":0.0,"QQQ^P_PRICE(0)/P_PRICE_LOW_PR(0,,,,,,\"PRICE\",\"INTRA\",\"52W\")-1":0.35474348,"EWU^FMA_PCT_ABOVE_MAVG(200,0,,,,\"PORTAGG\")":65.4761904761905,"USDCHF^FG_PRICE_CHANGE(0,-6AM)":0.8000016,"SPY^P_PRICE_RETURNS_PR('52W',2,-10AY,0,AM)":[20.094883,20.397722,24.74873,15.014923,24.994766,17.127502,16.945076,16.937983,14.498711,15.536261,16.017569,11.4277,14.075815,11.711431,7.173836,11.156249,-0.6802201,2.3498535,6.441152,2.7358532,1.2520194,-3.863871,-4.1737614,2.7596354,0.8206129,1.9362688,3.380084,4.6390533,14.194632,15.318548,1.8502951,7.6292157,10.880923,22.353947,22.308577,17.08033,17.18819,18.167995,17.782104,17.132866,16.328764,19.014502,25.300385,22.88295,22.571384,23.279358,15.121424,11.296701,12.329828,14.56604,14.528358,16.252827,19.489134,17.65672,7.474339,5.9098125,-5.1367464,-2.257222,6.7546606,13.236368,12.789249,3.580451,11.206734,5.683923,2.7445555,0.775826,14.169002,15.317858,32.31127,21.445179,12.309313,-10.115033,-1.084584,14.236439,7.4635267,12.00403,24.788904,18.170643,9.979355,20.01028,18.373215,20.850384,27.437628,65.37613,45.97652,38.636566,40.99548,36.02791,28.597271,30.667091,41.86939,26.472628,28.745068,21.4795,14.809108,14.555395,0.6401062,0.6161094,-10.165781,-5.4192963,-12.215585,-15.506047,-17.610819,-9.689199,-18.377907,-7.388079,-7.674992,-7.8076067,0.813663,4.272735,19.439352,12.12759,15.691757,21.53685,16.736519,14.48791,25.483358,20.427608,31.909966,28.581083,24.71689],"NI-FDS^FG_PRICE_MAVG(0,,,,30)":17869.5,"TIOS-FDS^FG_PRICE_MAVG(0,,,,30)":107.600334,"EWN^FG_PRICE_MAVG(0,,,,30)":48.725334,"CAGDPY@US^EE_ACTUAL_ANNUAL(MED,+1)":-3.0,"CAGDPY@NZ^EE_ACTUAL_ANNUAL(MED,+1)":-6.05,"USDITL^FG_PRICE_CHANGE(0,-1AY)":2.7178645,"USDANG^FG_PRICE_CHANGE(0,-1AY)":0.0,"USDUSD^FG_PRICE_CHANGE(0,-1AY)":0.0,"USDGBP^FG_PRICE_CHANGE(0,-1AY)":-0.20023584,"USDJPY^FG_PRICE_CHANGE(0,-1AY)":12.885141,"USDCAD^FG_PRICE_CHANGE(0,-1AY)":0.60914755,"USDNZD^FG_PRICE_CHANGE(0,-1AY)":4.57114,"EWA^JULIAN(FMA_EPS(NTMA,-20AY,0,CY,,\"PORTAGG\",\"MEANR\").DATES)":[38352,38716,39080,39447,39813,40178,40543,40907,41274,41639,42004,42369,42734,43098,43465,43830,44196,44561,44925,45289],"EWD^FG_TOTAL_RETURNC(-10AY,0,AM)":[-0.19000769,0.3535509,-0.84430575,-4.5825186,-0.2651751,-4.6971917,2.0458817,0.68348646,-4.386735,3.5918713,6.413007,-2.6816607,1.2740731,0.61439276,-4.608923,1.1044502,-6.3982544,-1.9006312,3.127122,-0.16479492,-3.579086,-9.629881,5.195296,6.3085794,3.119707,-2.795136,-3.3912182,0.6552577,4.66547,0.44920444,-6.1231494,0.5496502,4.719019,7.5182676,-1.8128812,4.088366,6.398475,3.1854749,0.08765459,1.4151096,1.1918545,2.8439999,-0.5586624,-4.129207,1.0897636,3.7763476,-6.234127,-0.7521033,-1.3337433,0.7373333,-3.224063,5.2770495,-0.156641,1.6002536,-7.535517,-2.6052117,-4.7099113,7.562113,1.6069651,2.0757794,2.0658493,-7.7166376,10.345734,-7.8525662,-1.4956534,-0.17654896,13.017332,-1.3771534,8.676434,-5.3518653,-3.2489836,-20.536,8.370579,16.98538,1.4397383,7.3217154,6.408739,-1.8873155,-2.6874006,15.406979,1.0021806,4.773879,4.2685866,4.0708423,2.5856256,5.9672594,-2.1646857,3.2319784,0.78270435,-7.4187636,6.1810136,-5.6548834,5.303383,-6.583214,-14.787424,7.754886,-10.770011,5.9785724,-16.381073,7.0072055,-10.709911,-6.6141186,6.9357753,17.673302,-5.1769257,13.578712,-4.112208,0.93723536,2.7011752,-3.397262,0.45377016,-2.343303,-4.1630507,-2.2926152,-0.6792247,14.361215,7.7335477,-3.0765235,6.6684484,-0.80021024,-1.8149674],"EWQ^FMA_DIV_YLD(NTMA,-10AY,0,AM,\"PORTAGG\",\"MEANR\")":[3.4638687105566,3.38791858915823,3.42561083796715,3.63523168362998,3.53993720017148,3.69367624221728,3.69761747281395,3.55632631527246,3.64916230848045,3.35469864374584,3.16395792012958,3.16908348705545,3.25032792451333,3.29281436701136,3.42910900812975,3.291572031812,3.68766374451199,3.75713712725147,3.41885827529157,3.41932454244994,3.60193863288813,3.88014225328309,3.76550685367257,3.81704597364603,3.71002936943924,3.71569826118118,3.87498928857858,3.81552508819399,3.65727704865518,3.72463199024037,3.802112436506,3.69359323027504,3.46627926955841,3.50530860558722,3.45404022867683,3.34878974588245,3.24244894980787,3.22577455836148,3.38892587160361,3.40282927433905,3.40480123197067,3.28625487377768,3.23340031409188,3.3108365060302,3.33468555523747,3.28798644955116,3.4729556178549,3.46873308019501,3.2985062038521,3.36118442045111,3.49476368588676,3.4053169720345,3.45504612316079,3.45325422579843,3.70183322733909,3.79446278583538,4.04413488670479,3.77589250735133,3.62006056995402,3.55694357602635,3.4966583549995,3.72724093589846,3.50889255889199,3.65992110966625,3.60141430704515,3.64645334125575,3.43179236232617,3.44507430139648,3.31934963429303,3.43300161790139,3.70929108124537,4.42950884807809,3.51706365847088,3.20320048093894,3.08260103593159,3.23491884614065,3.10182954378298,3.27590212138679,3.37087643294719,2.87665522493707,2.93955435270377,2.953248274664,2.82961370542975,2.74011411200578,2.70594869243793,2.65998269192396,2.69318037315259,2.70481290790914,2.72275329383159,2.86615409809599,2.75598067554446,2.86304702696292,2.7387953498537,2.82173917364461,3.16831363857506,3.08141318039513,3.20419544279078,3.19922622762357,3.53733002959211,3.30436446231383,3.49761963753558,3.77229923365667,3.50738416084949,3.26086573430072,3.38079486625485,3.08084438015475,3.15928432281497,3.17295241079551,3.17457664126005,3.26039322918616,3.22608407133038,3.31135038455267,3.32489102721045,3.45800027023433,3.45852434675478,3.32217925687503,3.24344226818251,3.20797374830791,3.12859752807417,3.08282040036951,3.12179769454038],"QQQ^FMA_PE(NTMA,-10AY,0,AM,\"PORTAGG\",\"MEANR\")":[16.6762648670382,17.155028454877,17.6790313058892,17.1603828219968,17.9129101048114,17.1500686433516,17.6885889608936,18.1468935746914,17.4085719896589,17.0770248813762,18.2514651611771,17.5930702998624,18.0048963080168,17.9974799013944,17.6216170239777,18.6258597243979,17.1992202872027,17.1770994663732,18.7854067418725,18.7327910537066,18.4588215357575,16.9320191908337,17.3941317982739,18.0861929547362,17.6104190305304,18.0448349426,17.7093238287946,18.5723661532146,18.5893421645408,18.6686139794025,17.9190441908042,17.7586649712242,18.0470918716454,19.2131264969138,20.1057257321876,20.1485369307087,20.5623258059895,21.2027524572007,20.0519431453177,20.7294347772889,20.6993067237689,20.3619974684997,20.7714638896362,20.8107825461829,21.13481833237,20.8845307369388,20.6426104833192,19.173702443229,19.3910055607116,20.3931962500705,20.2390075279914,20.5046912810062,21.1439522256258,20.8682097263403,18.8850673113004,18.8114498633601,17.2815839107385,18.9850887961166,19.8238920117317,20.650996745109,21.1212885862698,19.3503560143766,21.1322295217748,20.6348273258007,20.4554378513343,19.8972634958169,21.3230855569571,21.7378045458632,23.0796807155473,22.777200936904,22.4023960672293,20.325173021535,24.7721688398222,27.5965659136591,28.8230082344702,28.9096785265755,32.3094296530733,28.7721260874328,27.3766988794542,30.0360846409351,30.0918514845951,29.9940526397084,28.1164844655067,28.4157878524009,27.7969176363141,26.8685591804797,28.6177148872982,27.9623551700096,28.7001373154841,27.0611441666442,29.1038650462597,28.7463370622953,29.1673117399636,26.5034771533174,24.8066038521567,25.6253252793107,22.8237789013341,22.2572434140489,20.0874049897724,22.9112140662245,21.4813741815194,19.5241373574786,20.1948605681974,22.2772241849681,20.8845994764384,24.6502838010049,23.0954646446244,25.0734269257497,24.284199922068,26.1279353429818,26.7921812331499,25.1938539535045,24.6496716527869,23.3320249711533,23.0978309510475,24.3018291327118,24.6477786270585,25.9850718414901,26.5734800213193,25.9396548026955,24.5721900247893],"EWL^FMA_PE(LTMA,-10AY,0,AM,\"PORTAGG\",\"MEANR\")":[17.1250613126208,17.2327668107083,17.1865185124846,17.1250287795835,17.4510036248853,17.0564756730785,17.3080166035208,17.5915206731995,17.1892387956023,16.7285525064111,17.9875288277521,18.028330397076,18.0823487485388,18.0715614895414,17.8155523923486,18.2155542852859,17.1647272013361,17.0105680671862,17.7828653298356,17.6852977757736,17.3781775117904,16.558900935831,16.6338684551117,16.5964163990059,16.846144409823,17.1206062820641,17.2037167975357,17.5144640276328,17.9974801924623,18.0270248722881,17.4760300374506,17.3308447360363,18.2312249975706,18.4724657014612,19.6773418235285,19.4836656134011,19.4535660497855,19.6261880786779,19.3423476611755,19.4135123180221,19.1444664384264,19.5412932553852,20.3323022393626,20.3191407844838,20.7308218415206,21.507578164467,21.1100631842414,20.6649054630945,20.2732901707173,19.6961564251071,19.1619215447865,19.2400955366727,18.7977019411547,18.512045247353,17.9929825099386,17.7037866596995,16.1687918524556,17.6000232415279,18.3575359207335,18.2832659109284,18.2741568085417,18.0480416723578,18.4311679820495,18.2494739557424,18.2372817421703,18.0134694756453,18.7578110169301,18.8578453528893,19.6059013866816,19.6783186172664,18.0383905041082,17.8106743819159,18.6034651660968,19.1997663738217,19.7118619811028,19.9094463440796,20.7785154845542,20.8093810688801,19.9442921098399,21.0505223526107,22.0192335076548,21.4588881634309,20.5133190448978,20.4554903396325,20.1108644172687,20.6647159601951,20.859253667377,21.0219448853449,21.2163985749696,20.0012053258354,20.8816101856159,20.4356240141757,21.6670376324775,20.4272811443691,18.4728688959459,18.5890147428654,18.4255717264177,18.1695438285816,17.572476820139,18.2631791226703,17.9012740863063,16.9641631423621,18.3536321364051,19.9699112989813,20.0573075428435,20.686347237394,20.6830107848981,20.4309085273748,20.2513557244502,19.6827548274603,19.2961850249866,19.0920234056266,18.8886452923249,18.2533730165056,17.7673158284555,18.0225885780505,18.3374127783455,18.5953505901525,19.1959389699973,19.0798736780117,18.8028737149916],"WL-FDS^FG_PRICE(0)/MAX(FG_PRICE(0,-1AY))":0.74731464500917,"NI-FDS^FG_PRICE(0)/MAX(FG_PRICE(0,-1AY))":0.733266932270916,"CPALM-FDS^FG_PRICE(0)/MAX(FG_PRICE(0,-1AY))":0.850622406639004,"BRENT-FDS^FG_PRICE(0)/MAX(FG_PRICE(0,-1AY))":0.870614479821537,"TIOS-FDS^FG_PRICE(0)/MAX(FG_PRICE(0,-1AY))":0.819089900110988,"EWD^FG_PRICE_MAVG(0,,,,60)":39.455082,"QQQ^FG_PRICE_MAVG(0,,,,60)":435.64984,"EWG^FG_PRICE_MAVG(0,,,,60)":30.651167,"FXI^FG_TOTAL_RETURNC(0,-6AM)":8.232474,"EWJ^P_PRICE(0)/P_PRICE_LOW_PR(0,,,,,,\"PRICE\",\"INTRA\",\"52W\")-1":0.19702792,"URTH^FMA_PCT_ABOVE_MAVG(200,0,,,,\"PORTAGG\")":70.7934336525308,"VGK^PERCENT_CHANGE(FMA_EPS(+1,0,,,,\"PORTAGG\",\"MEAN\"),FMA_EPS(+1,-3AM,,,,\"PORTAGG\",\"MEAN\"))":-1.55999743264334,"EWD^FG_TOTAL_RETURNC(0,-3AM)":3.8943648,"QQQ^FG_TOTAL_RETURNC(0,-12AM)":34.554935,"EWJ^FG_TOTAL_RETURNC(0,-1AM)":-2.0737946,"EWC^FG_TOTAL_RETURNC(0,-6AM)":13.557649,"ENZL^P_PRICE(0)/P_PRICE_LOW_PR(0,,,,,,\"PRICE\",\"INTRA\",\"52W\")-1":0.08993149,"EWJ^FMA_COS_UP(\"EPS\",\"1M\",+1,0,,,\"PORTAGG\",\"MEANR\")":100.0,"EWL^FMA_COS_DOWN(\"EPS\",\"1M\",+1,0,,,\"PORTAGG\",\"MEANR\")":19.0,"ENZL^FMA_COS_UP(\"EPS\",\"1M\",+1,0,,,\"PORTAGG\",\"MEANR\")":5.0,"TRYUS10Y-FDS^FG_YIELD_NAME":"US Benchmark Bond - 10 Year","QQQ^FG_PRICE_MAVG(0,,,,30)":434.52167,"EWC^FMA_PCT_ABOVE_MAVG(200,0,,,,\"PORTAGG\")":63.6363636363636,"EWG^SIZE(FG_CONSTITUENTS)":58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23448963436,12.2539555438325,13.1476341644672,13.220962405767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WL-FDS^FG_PRICE_CHANGE(0,-1AY)":-17.7479815455594,"NI-FDS^FG_PRICE_CHANGE(0,-1AY)":-24.0561171858882,"CPALM-FDS^FG_PRICE_CHANGE(0,-1AY)":-3.01294820717132,"BRENT-FDS^FG_PRICE_CHANGE(0,-1AY)":8.95939086294417,"TIOS-FDS^FG_PRICE_CHANGE(0,-1AY)":11.3857183284596,"EWQ^FG_TOTAL_RETURNC(0,-6AM)":14.167822,"EWC^FG_TOTAL_RETURNC(0,-3AM)":2.610612,"EWL^FMA_COS_UP(\"EPS\",\"1M\",+1,0,,,\"PORTAGG\",\"MEANR\")":21.0,"EWQ^FMA_RBICS_REV_CURRENT(30, LOC, \"PORTAGG\")":10.7535343809749,"TRYDE10Y-FDS^FG_YIELD_NAME":"Germany Benchmark Bond - 10 Year","REFCATARG-FDS^FG_YIELD(NOW,,,0)":5.0,"TRYCA10Y-FDS^FG_YIELD_NAME":"Canada Benchmark Bond - 10 Year","REFEUREFI-FDS^(SUBARRAY(NOT_NA(NO_REPEAT_F(FG_YIELD(NOW,-10AY,D))),0,1)-SUBARRAY(NOT_NA(NO_REPEAT_F(FG_YIELD(NOW,-10AY,D))),1,1))*100":25.0,"REFCATARG-FDS^PROPER_NAME(0,,,\"SECURITY\",\"NAME\")":"Canada Target Rate","TRYUS10Y-FDS^PCTCHG(FG_YIELD(0,,,,\"YTM\"),FG_YIELD(-1AM,,,,\"YTM\"))":5.0940456,"TRYNZ10Y-FDS^PCTCHG(FG_YIELD(0,,,,\"YTM\"),FG_YIELD(-1AM,,,,\"YTM\"))":4.8597183,"EWU^FG_PRICE(0)":35.05,"QQQ^PERCENT_CHANGE(FMA_EPS(+1,0,,,,\"PORTAGG\",\"MEAN\"),FMA_EPS(+1,-3AM,,,,\"PORTAGG\",\"MEAN\"))":-0.0421874989898303,"SPY^FG_COMPANY_NAME":"SPDR S&P 500 ETF Trust","CAGDPY@US^EE_ACTUAL_ANNUAL(MED,0)":-2.99561673751749,"CAGDPY@NZ^EE_ACTUAL_ANNUAL(MED,0)":-6.9,"USDITL^FG_PRICE(0)":1811.545,"USDANG^FG_PRICE(0)":1.79,"USDUSD^FG_PRICE(0)":1.0,"USDGBP^FG_PRICE(0)":0.80092907,"USDJPY^FG_PRICE(0)":154.06,"USDCAD^FG_PRICE(0)":1.37085,"USDNZD^FG_PRICE(0)":1.6867673,"EWI^P_PRICE_RETURNS_PR('52W',2,-10AY,0,AM)":[41.68253,37.438,53.39103,24.618626,24.990189,4.8354626,-2.9256642,0.15579462,-9.217387,-8.932972,-8.166599,-12.893075,-12.173438,-9.475279,-13.228625,-2.9241025,-6.128889,-0.4489839,2.8128624,-1.284945,3.1199813,-14.794981,-19.46578,-18.017746,-16.764158,-22.106726,-26.031101,-28.29449,-19.122028,-20.612938,-24.165356,-19.61515,-9.994489,7.6110125,5.7366967,9.498585,9.669674,22.102844,31.645918,43.29996,37.509872,45.840275,46.939682,44.274857,29.53142,41.68725,34.418823,25.968636,29.1368,10.067725,6.5299153,-0.83293915,-7.517028,-9.5848675,-15.278572,-15.364474,-17.910635,-20.900005,-9.957438,-7.916504,-13.932144,-10.836429,0.88814497,-2.3326337,2.5537372,2.0442724,19.90292,17.515528,29.009974,14.592541,3.971529,-24.221294,-23.056608,-5.1591873,-9.31806,-6.908238,-1.6532898,-6.538457,-18.795227,3.6081553,1.6735792,4.1817665,13.765621,63.152813,52.26722,45.89534,35.063396,33.377552,30.580532,32.934402,48.13771,11.771488,14.412093,15.567231,-0.7794738,-3.3081055,-10.914951,-12.308902,-22.247553,-21.694237,-28.350645,-28.987461,-26.190966,-7.941538,-13.940644,-3.275311,7.570827,7.807827,18.502415,11.502159,37.46426,39.5182,44.340862,43.754005,34.496426,23.165834,29.74062,13.907539,23.607481,26.895714,23.113155],"EWN^FG_TOTAL_RETURNC(-10AY,0,AM)":[-2.776724,1.3302088,1.287365,-6.793481,2.8321505,-4.617262,0.8921504,4.9658895,-4.2445364,1.4075637,7.064426,0.2708912,1.813972,0.41698217,-1.7630577,3.0326605,-9.094339,-1.452887,6.9081664,-3.3884883,-2.1753073,-4.2785225,2.4539828,4.747653,1.9599795,0.440526,-6.522548,2.682817,6.8689466,-1.1829674,-3.391862,-4.2957425,5.5726647,3.1884074,2.849114,4.603982,6.229019,4.880619,-1.9595683,6.6539884,-0.567168,2.3793936,1.0824561,-1.2283444,2.2655487,3.4493685,-4.1830897,-0.1581788,0.8713603,-0.58112144,-2.5157928,4.216075,-1.8963277,-3.1894386,-4.825288,-0.5944073,-7.187957,8.301603,4.781997,1.5100718,3.5041332,-5.301821,7.4371457,-1.9942105,0.42665005,-0.58823824,6.278765,-0.09279847,6.348431,-4.443145,-4.496789,-19.026262,9.968352,13.30936,5.9978724,2.3199797,7.0376873,-2.668494,-2.5155425,15.975642,3.6878943,5.587816,2.176392,6.210768,1.4777303,3.7237406,-2.2449732,3.490293,7.264018,-8.093023,5.829954,-6.178272,2.76649,-6.1927557,-10.974318,1.9074917,-10.318202,3.4959435,-11.281073,7.225096,-11.087251,-7.699275,4.317963,23.551893,-4.8969564,16.836727,-5.309117,2.4271846,-0.8056879,1.9589067,2.5419235,0.09242296,-5.1015673,-9.000248,3.3680797,9.800887,3.2697678,5.2849293,5.477965,1.9035816,-1.7868042],"SPY^FMA_DIV_YLD(NTMA,-10AY,0,AM,\"PORTAGG\",\"MEANR\")":[2.15691568432852,2.1236559762255,2.08374716701832,2.15628005760197,2.08651622870346,2.16212072385925,2.10653241131414,2.07705730175296,2.10229323424265,2.16316261010878,2.08612525473474,2.18037388974949,2.14931031730696,2.15877352447257,2.19149921343609,2.18739124047345,2.3780083738274,2.38199274009803,2.22290872665258,2.27744614659979,2.31468341119618,2.45182025901469,2.47519773454617,2.29179874134034,2.29270141173246,2.26420748659915,2.27675912156177,2.22855699646518,2.21341278146833,2.22038243921728,2.3058900724682,2.22327630646496,2.18859151652776,2.16901664805026,2.0897750216117,2.11464581814407,2.10406091207061,2.07494532252397,2.10344270989808,2.08049144712285,2.09267262525336,2.05365407540277,2.03107371428945,1.97452527147198,1.9480618735873,1.92807790157411,2.00588531378872,2.10612555462326,2.08709058979388,2.02241372702905,2.04734444155518,1.99703231239788,1.95551789133049,1.95165354632473,2.10136678168294,2.08669050371727,2.31834526605308,2.16110422856803,2.09436131892643,2.06782666891949,2.04450538703311,2.17784237831635,2.02719550101786,2.06527222269989,2.08063231134793,2.1161832531484,2.01070300194118,1.99378105807676,1.91781868548395,1.9520299270353,2.05270602642877,2.48472839135939,2.15226425198335,1.96028221808008,1.91411502456657,1.81788451651092,1.66582669099961,1.78152899984697,1.8111615223438,1.63609022849901,1.57770774766304,1.5601885847137,1.55650222530393,1.50646577006554,1.46012557345929,1.45980887403535,1.42593221313335,1.4320917984326,1.39638173576838,1.45917065713492,1.38860760279639,1.40777099176519,1.35459202448055,1.42647742241173,1.50649013718787,1.45043251205188,1.59094138383693,1.59115894386298,1.75495806548524,1.64837911697772,1.74076258516122,1.91157674240475,1.83904471204629,1.69919760704677,1.80889407839403,1.67403975281354,1.76430404655059,1.71388883272638,1.71360645476949,1.65609087967257,1.59650435282419,1.58282325788915,1.59253501745826,1.68942455652859,1.684253121143,1.58686801083778,1.55300068459346,1.50261284795621,1.4615474319811,1.44185002877924,1.51719218767529],"EWU^FMA_PE(NTMA,-10AY,0,AM,\"PORTAGG\",\"MEANR\")":[13.6001519615146,13.7055821817354,13.7330086630971,13.4185458223909,13.5460767180067,12.6986320867039,13.1604728966266,13.734826114618,13.7274018826704,15.0367030378154,15.7035693996053,15.4774161276279,16.0124486951167,15.8676271732119,15.1399987260779,15.4029204684913,13.9958032710912,14.4814131553931,15.3038113109867,15.4917227649773,15.2053139260079,15.2204511577831,15.8060576407697,16.0054167293524,16.1933817366484,15.7055648837027,16.1076551566143,15.9896006682044,16.2733929134538,15.7154072811657,14.6584456357289,14.1545278968975,14.4510565442094,14.2331061483905,14.5113071990582,14.4190694742358,14.3840968918027,14.8416697673004,14.3989278646626,14.7861131314944,14.6286836464253,14.6027332244273,14.5385449273302,14.1193684645936,14.7072229616047,14.145621020314,12.8099255289285,13.2141510705567,13.7582103334624,13.6334728503001,13.0949434402468,13.0263077546348,12.6358290761544,12.6830800705505,11.8665666456458,11.7049560237895,11.3536683141459,12.2478018688638,12.4162939089334,12.7255634844932,12.5617494170028,12.1186264747505,12.7454845374391,12.3144106681021,11.9965417006693,11.9700915137889,12.721959000882,12.8839123847736,13.5290698433994,13.0766565693587,11.989542104642,11.8906721263028,14.5914088601471,16.219223171338,16.0111734699685,15.1112646372904,15.2453818169686,14.3894354453942,13.1150769536722,14.9654964569204,14.3956782704291,13.784064566245,14.0381148851281,13.431647037593,13.2401887204138,13.3078970756539,12.6943475320275,12.327453649362,12.2774332996002,11.7835488221079,12.2024185585538,11.7493477361356,12.209534264943,12.3713032783041,11.9154614094992,11.2507721813573,10.7913225440828,10.4449392281701,9.53875295596883,9.82515520010353,9.22014653941107,8.55513446148832,9.04813920407908,9.93161236465625,9.80305771985703,10.4886085825074,10.5358392393139,10.3398505776306,10.5561550682346,10.3040301855153,10.37598399064,10.5225062615363,10.3725426645774,10.2513238577556,10.1867825419858,10.5920235357426,10.9713802011028,11.0587191766114,11.2369579228722,11.4819071995555,11.6463997791601],"EWJ^FMA_PE(LTMA,-10AY,0,AM,\"PORTAGG\",\"MEANR\")":[15.2812199500938,15.2592071013563,15.3998304129211,15.2311492823174,15.1368848158286,15.06690625202,15.3501722772435,16.0343550326829,15.885694894027,15.4327125866144,16.9197408010976,16.846137982127,16.8850210625588,17.1622601229127,16.8303581367694,16.8590830233591,15.4129519374117,15.0560339317944,15.6098449264295,16.3177436832115,15.7241220272528,14.8422952433768,13.8920939709518,13.711784284269,13.6483585984328,13.994019370104,13.7030448296098,13.9347523635371,14.381164911327,14.1918651950187,14.5904436329419,15.8579848447712,16.336549755413,16.1236828244139,15.9854962068182,15.7187584660595,15.637682856755,15.7743482115011,15.5614075878747,15.4741362387861,14.9719992262634,15.0176899315799,15.6501340153415,16.1118501248426,16.3473463194346,16.4463583995679,14.4091154825721,14.2422035250036,14.2715805406288,14.0897163036692,13.8396336462333,13.8649640711722,13.6506504736833,14.0166290879885,12.9119129900646,12.8279675403355,11.476921960416,12.1613713410437,12.7022799934721,12.7267712356719,12.7899329167057,12.6047285191562,13.0157825340615,12.858455870972,12.7294124117303,13.4625017134177,14.0736389709863,14.9531640830735,15.3103004572472,15.041330177922,13.9835567809939,13.5919136103995,14.2436383364059,15.8520431801397,16.8997735115306,17.3845613454213,19.0287780761715,19.8984989770619,20.5158204501514,22.4045364475503,23.6107677762699,23.3267331612984,21.6628267263447,21.3136890627908,20.7215401133062,20.2720679178967,19.7943401727249,19.1456109240637,18.5019323029695,17.8577532785077,17.631099275267,16.317115225533,16.1019754878596,15.3854503604481,14.671127507821,14.6117555010958,14.3412351597568,14.2545037259604,13.7562360343812,13.8481329891897,13.6686075076923,12.9355938544323,13.3096290941177,13.3674582625414,12.7449453205506,13.353265828304,13.6631205017005,13.6528380728028,13.8110043236964,14.1522157796925,14.5900759292971,14.6625478884746,14.8615476455978,14.7548680437073,14.844407697114,15.2550273351572,15.2493388114812,16.3782126846227,17.0887814026035,16.9404761080044,16.7366488977103],"EWJ^P_PRICE(0)/P_PRICE_HIGH_PR(0,,,,,,\"PRICE\",\"INTRA\",\"52W\")":0.9501145,"VWO^FG_TOTAL_RETURNC(0,-12AM)":12.947369,"EWD^FG_TOTAL_RETURNC(0,-1AM)":-1.8149674,"EWJ^PERCENT_CHANGE(FMA_EPS(+1,0,,,,\"PORTAGG\",\"MEAN\"),FMA_EPS(+1,-3AM,,,,\"PORTAGG\",\"MEAN\"))":-1.64354113951465,"ENZL^P_PRICE(0)/P_PRICE_HIGH_PR(0,,,,,,\"PRICE\",\"INTRA\",\"52W\")":0.8717349,"URTH^SIZE(FG_CONSTITUENTS)":1469,"EWN^FMA_COS_DOWN(\"EPS\",\"1M\",+1,0,,,\"PORTAGG\",\"MEANR\")":18.0,"EWU^FG_ROE(0)":17.0453215924902,"TRYUS10Y-FDS^PCTCHG(FG_YIELD(0,,,,\"YTM\"),FG_YIELD(-3AM,,,,\"YTM\"))":13.616385,"TRYNZ10Y-FDS^PCTCHG(FG_YIELD(0,,,,\"YTM\"),FG_YIELD(-3AM,,,,\"YTM\"))":6.7350492,"TRYGB10Y-FDS^FG_YIELD(0,,,,\"YTM\")":4.306,"EWL^FG_ROE(0)":24.1376843790016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186165],"QQQ^FG_COMPANY_NAME":"Invesco QQQ Trust Series I","TRYGB10Y-FDS^PCTCHG(FG_YIELD(0,,,,\"YTM\"),FG_YIELD(-3AM,,,,\"YTM\"))":10.466911,"WL-FDS^FG_PRICE(0)":570.5,"EWI^FG_ROE(0)":14.2642897443217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4,20.5983105929019,20.3486892313688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EWG^FMA_PE(LTMA,-10AY,0,AM,\"PORTAGG\",\"MEANR\")":[14.6330415699914,14.7103616554671,14.6262255952975,14.0638805875565,14.1731297862566,13.7465896466067,13.7675510419231,14.5190284298233,14.2318596028789,15.6308827754166,16.4805579558278,16.5142576521012,16.2020950800914,15.8548107780096,15.471700557444,15.4623519316004,14.2259130469486,13.6947369017506,14.6330114932519,14.7833833027717,14.0285507216998,12.6567806411144,12.7048330048438,12.7367373784601,12.8878589967513,12.9173826154522,12.705984699086,12.9920805818039,13.4928239289522,13.577312567197,13.4731178222521,13.5491630343979,14.7976712735815,14.850859106217,15.0032823118263,14.9705781965843,14.9031672928671,14.8415014924809,14.4898674106417,14.322316107843,14.1350471384664,14.6769211131309,15.4351958862639,15.1727174553831,15.2088569797839,14.7787830038189,14.1641193569388,14.0868363847018,14.2157166214675,14.0895430336534,13.8508321862918,14.0499871003615,14.0214033605298,13.9436012027067,13.1625388688089,12.8828774173161,12.0344250862795,12.840174060001,13.2358567209154,13.2165489905488,13.4039555474559,13.0896201183251,13.5025796602411,13.4258317322727,13.5188905032313,13.7092612344767,14.8613488169956,14.9924873358527,15.6167881591758,15.0341086969967,14.0178515535555,13.7912256086356,15.0676505396542,16.6313237680331,17.9694938279274,18.4977538774007,20.3499263832159,20.3324112533178,18.7298028896231,20.763491791179,22.1267684635384,21.2550843155342,20.279052596746,20.0776866219531,19.3918044331191,18.8347128292178,18.3271729228187,17.5059080457633,16.8837220119496,15.830232476553,15.7223304549568,14.1769127378392,14.1378654604296,13.6845270983269,12.4550625525802,12.4501370702888,12.1762348565286,12.1579998615973,11.3778245348287,11.4812121913303,10.7948924858246,10.1258062443327,10.4982982751628,11.0713833727759,10.4151947731043,11.7850189821641,11.3411959962247,11.3853145706614,11.3813157474414,11.2752590979744,11.3062516655622,11.2458969378368,11.2535872120991,10.9838037952391,10.8800832153798,11.6841115407002,11.9536607132784,12.0550782803247,12.5160536940372,12.5758704070548,12.523178254598],"BRENT-FDS^FG_PRICE_CHANGE(0,-6AM)":-5.20039748261013,"TIOS-FDS^FG_PRICE_CHANGE(0,-6AM)":-5.96480050967587,"EWD^FG_PRICE(0)":38.95,"QQQ^FG_PRICE(0)":426.9,"VGK^FMA_PCT_ABOVE_MAVG(200,0,,,,\"PORTAGG\")":69.2368839427663,"EWL^FG_TOTAL_RETURNC(0,-12AM)":-2.7566314,"USDSEK^FG_PRICE_CHANGE(0,-6AM)":-1.9575119,"VWO^FG_TOTAL_RETURNC(0,-3AM)":9.235501,"EWQ^PERCENT_CHANGE(FMA_EPS(+1,0,,,,\"PORTAGG\",\"MEAN\"),FMA_EPS(+1,-1AM,,,,\"PORTAGG\",\"MEAN\"))":-0.956558041274437,"EWG^P_PRICE(0)/P_PRICE_HIGH_PR(0,,,,,,\"PRICE\",\"INTRA\",\"52W\")":0.96058804,"EWG^FG_TOTAL_RETURNC(0,-1AM)":-2.041471,"TRYSE10Y-FDS^FG_YIELD_NAME":"Sweden Benchmark Bond - 10 Year"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6.818226,17.267025,22.84273,6.2291026,9.694529,-3.2691479,-0.30854344,0.13850927,-6.5948305,-1.0278523,-1.5211821,-5.072558,-3.8370073,-3.4297347,-7.0961833,-2.0496547,-7.6125503,-4.9015403,-3.8939059,-4.7036114,-4.535884,-16.164356,-17.12371,-8.682966,-7.817757,-10.941535,-11.095184,-10.205394,0.40832758,4.1947007,-6.4086676,-5.738908,0.92072487,21.799135,13.684797,11.461711,14.849747,21.91596,26.860296,27.259613,23.978651,25.969446,33.436203,27.319849,22.81773,18.54335,13.205481,7.9410434,0.0967145,-1.2812734,-5.511582,-1.9134104,-2.9696643,-4.390943,-11.0989275,-10.080904,-14.867187,-13.946253,-5.0964413,-1.658231,1.7301917,-5.7144346,6.260288,-6.9919467,-8.896762,-9.844028,10.750556,11.585164,27.260637,12.169397,6.6298723,-16.990734,-12.664151,11.728943,2.711296,17.74131,29.224384,27.00975,9.360636,27.972185,22.261215,31.659424,41.88937,89.20971,70.97102,59.339607,53.677845,47.821594,40.00598,30.707598,44.152523,17.844593,22.86303,9.545159,-10.475195,-7.306075,-19.37391,-19.365305,-30.431414,-28.561937,-36.70828,-35.51764,-35.704388,-19.806374,-27.927637,-12.202197,-1.2031138,-5.3338823,6.5178275,-2.9057205,16.986835,6.4496636,13.63163,19.54192,11.02922,7.809818,22.595655,4.618156,16.017925,14.377093,9.347523],"EWQ^FG_TOTAL_RETURNC(-10AY,0,AM)":[1.7323375,0.7011652,-1.0546565,-7.287031,1.6605139,-6.097996,-1.2369573,2.7397275,-5.7607174,3.262639,4.660344,0.2264142,3.5768151,-0.9451091,-3.7566066,3.838694,-7.580286,-1.050508,6.819105,-4.5871615,-2.6524842,-6.691444,2.9216409,3.0967712,4.338765,-1.0795712,-5.092263,2.7086139,4.0833592,-1.266855,-1.531452,-1.6813874,5.851507,1.7430067,0.31872988,5.281973,7.0916653,5.318773,-2.149713,3.0945778,0.5059004,3.456378,2.0758986,-0.9532869,0.6901264,4.090762,-3.6843657,-1.2432277,5.0677896,-1.4132082,-3.4783185,3.3289433,-1.05263,0.35459995,-7.516861,-2.4661361999999998,-5.944067,7.4553013,4.707968,1.0141969,2.1419048,-4.980344,8.451653,-4.9201727,1.0623693,-1.729399,8.454108,-0.28635263,5.32912,-4.675162,-5.668783,-23.869015,6.474507,12.5780945,3.6696076,0.3951192,6.6547394,-5.736327,-3.3451974,23.048592,0.01386404,-0.030058622,3.819549,2.520275,4.4927955,6.2466264,-2.022767,1.3133645,2.3074865,-4.7389746,5.7994127,-4.425454,5.1185727,-0.7716,-10.212553,2.8868318,-7.884395,5.9092283,-10.84804,3.885758,-7.448846,-7.4266014,9.40299,16.234661,-2.4663806,12.922716,-1.5508056,2.6615977,3.4391522,-3.3248067,4.210031,-1.557225,-1.3182163,-6.75928,1.7765045,6.278157,2.9442787,-0.025904179,4.2487144,1.7395496,-1.587683],"QQQ^FMA_DIV_YLD(NTMA,-10AY,0,AM,\"PORTAGG\",\"MEANR\")":[1.35765022006343,1.31432221486782,1.24984220793107,1.26889000357946,1.20754532652973,1.25911953174716,1.22378485612699,1.19894600567655,1.20789072103969,1.23053825011448,1.20162353375402,1.28225423001148,1.2376520692411,1.23899610292688,1.26122092774196,1.26115963601434,1.36761008859341,1.36720016176551,1.25048353878265,1.2674640246928,1.25997804336583,1.38800455379553,1.37135563410976,1.31866278442854,1.37742367310575,1.34008823041727,1.35862473258535,1.29376543887995,1.28338731892531,1.26004379696741,1.31222485360725,1.31592340023061,1.30197782946316,1.24180465630411,1.21808205769529,1.20673171258263,1.17639820163567,1.14103212413917,1.19969361998082,1.16913720356583,1.16027732463639,1.16278015834191,1.12166423697967,1.10938838728236,1.08290585307372,1.0631498940693,1.07210358135772,1.15621719535238,1.12960682180853,1.06473200386643,1.06801737201209,1.0824845120508,1.05046082475478,1.06129962256813,1.18219257849352,1.19016442416278,1.31508214498989,1.22445201957326,1.1693555171644,1.1208013362769,1.09726764184444,1.20013896593598,1.09650418562131,1.11621918955703,1.11766359841406,1.14611070850616,1.07384042212001,1.08443604406701,1.0316536582619,1.02349312664834,1.04316366158779,1.21445931104217,1.04478206154923,0.940854120883255,0.879624694337777,0.835276832095417,0.734467390358148,0.812639713215828,0.836318684747208,0.745563211328603,0.763066803932728,0.736764037545465,0.766390776756047,0.754172587513757,0.730901961367236,0.742720068323417,0.696209342838354,0.70422197414715,0.679186948823449,0.723255601223674,0.673823465173517,0.677978641377979,0.667983627601131,0.729284457815438,0.787235668076078,0.757604901089378,0.864330094362867,0.884158160929154,0.992342144236491,0.897230285777443,0.962519191385244,1.07002595175519,1.08628788537636,0.987037692848049,1.0384400172415,0.898530185451607,0.962032956719198,0.884085342159011,0.872865716789166,0.791640315756685,0.762629514025155,0.876830054880225,0.874202950493079,0.938423503483436,0.938882741507334,0.884761737957578,0.935521289765869,0.894795987323513,0.870117819304388,0.890530661257213,0.951079499914929],"EWL^FMA_PE(NTMA,-10AY,0,AM,\"PORTAGG\",\"MEANR\")":[16.1890176135056,16.3901499829991,16.1565756955102,15.8727206864061,16.2242644458077,15.6569411422182,15.9486062855683,16.094764856479,15.6550501907529,16.4042838772585,17.6001915297802,17.7000054458579,17.7436319002889,17.618650276782,17.041634530551,17.7286593613652,16.2179479798422,16.0054315414928,17.017197268755,17.0708126392164,16.8788893702635,16.0979339138778,16.5972344712133,16.2188975213253,16.7682115847221,17.0939318089009,16.895370900135,17.045264577677,17.4419500342325,17.1320757681278,16.2903864619667,16.1562192824815,16.782175135433,17.0807701957801,17.6248804093142,17.4040404249103,17.7292437101209,18.2644958815692,17.73516256302,17.9213417468286,17.4885502054535,17.8459157401921,17.9222903448682,17.6115320037995,17.68816257897,17.3427588214935,16.0124396473691,16.0774229962709,16.1540708297154,15.689540932587,15.4454320982768,16.2688416507258,16.0320587816632,16.0254333105499,15.7177625033584,15.646935610208,14.47719094876,15.5825025071396,16.387212962816,16.6687253105854,16.8946081872127,16.4630232621215,17.2822068809937,16.9283003434567,16.8990330378957,16.5997819489642,17.3733815047836,17.3169367978683,17.8094104954972,17.8411205610265,16.7046344705549,16.0841014613318,18.3838141610209,19.1845437566133,19.5197212042751,19.2253827885576,19.6407998370535,19.0512570791866,17.8217612057148,18.4968304097634,18.8631388298919,18.7252862594576,18.5533310804629,18.8140765229449,18.2269849452322,19.4638443522642,19.751334170712,19.8535755985828,19.8794672568991,18.211083298949,19.2220804549045,18.6968787867626,19.8058466704819,18.4445807415435,17.923880844783,18.3393219219863,17.6181495601599,16.9046845276423,15.7364674857983,16.7967643861851,16.1352721394159,14.9673832905973,15.8413516146793,16.9119655431448,16.2295004732045,17.3289318644929,17.0657695359088,17.1606533380692,17.4802146325044,16.7714574837315,16.5053467701609,16.7143630498517,16.6075138478088,15.9889275845809,15.7266524191018,16.3585969928166,16.766659119537,17.0956571834068,17.4783929401733,17.4113078046602,16.780877258649],"WL-FDS^FG_PRICE_CHANGE(0,-6AM)":-23.4228187919463,"NI-FDS^FG_PRICE_CHANGE(0,-6AM)":3.486083778465,"CPALM-FDS^FG_PRICE_CHANGE(0,-6AM)":6.47895024603609,"EWG^FG_PRICE(0)":30.71,"EWQ^FG_COMPANY_NAME":"iShares MSCI France ETF","FXI^FG_TOTAL_RETURNC(0,-1AM)":10.365856,"VWO^P_PRICE(0)/P_PRICE_LOW_PR(0,,,,,,\"PRICE\",\"INTRA\",\"52W\")-1":0.154719,"EWD^PERCENT_CHANGE(FMA_EPS(+1,0,,,,\"PORTAGG\",\"MEAN\"),FMA_EPS(+1,-3AM,,,,\"PORTAGG\",\"MEAN\"))":0.121139958774507,"EWQ^FG_TOTAL_RETURNC(0,-3AM)":4.3782473,"QQQ^P_PRICE(0)/P_PRICE_HIGH_PR(0,,,,,,\"PRICE\",\"INTRA\",\"52W\")":0.95006007,"EWJ^PERCENT_CHANGE(FMA_EPS(+1,0,,,,\"PORTAGG\",\"MEAN\"),FMA_EPS(+1,-1AM,,,,\"PORTAGG\",\"MEAN\"))":-1.24589288512919,"EWC^FG_TOTAL_RETURNC(0,-1AM)":-1.8401682,"ENZL^FG_TOTAL_RETURNC(0,-6AM)":4.4636726,"URTH^FMA_COS_DOWN(\"EPS\",\"1M\",+1,0,,,\"PORTAGG\",\"MEANR\")":566.0,"EWN^FMA_COS_UP(\"EPS\",\"1M\",+1,0,,,\"PORTAGG\",\"MEANR\")":20.0,"EWJ^SIZE(FG_CONSTITUENTS)":218,"SPY^FMA_RBICS_REV_CURRENT(30, LOC, \"PORTAGG\")":12.6373564575532,"USDAUD^FG_PRICE_CHANGE(0,-6AM)":-1.7593443,"ENZL^FMA_PE(LTMA,-10AY,0,AM,\"PORTAGG\",\"MEANR\")":[18.1081302909899,17.9753581808465,17.9868008003103,17.9250695119331,17.9031663506774,17.8960962991705,18.3922776203662,18.6888001774865,19.2341389813833,19.9098158577524,20.5325507955841,20.2701126972107,20.1000815154015,20.0634534268453,19.8755888358466,19.8477085315348,19.0898536285193,18.6100967787143,19.4578960823484,19.680910549912,19.8617758299773,19.1726750103567,19.2864901240881,19.333984789594,19.4031640926577,19.7988057482114,19.7077987621199,20.5147903802116,20.963367602413,20.9571967123212,19.8359766658478,20.0199524674571,19.9705823649528,20.3833301456198,19.6967109112179,19.7808677360449,19.975890924785,20.0034945545716,20.1012546266455,20.4977938531242,20.6091379600415,20.6080781680225,21.270148377793,21.5609239490599,22.3863928904936,22.4628391333142,22.5797765761439,22.3697684703432,22.3505480168006,22.4265512501182,22.8309545766324,22.7659827179622,23.757388864391,23.6966067595846,22.824232228699,22.721928670499,22.9625342448194,23.2798198585488,24.1854317851912,24.2125973675053,24.2848762521183,24.2756481212711,24.7558676249564,25.4183300791344,27.6180524236735,28.7019335651262,28.8281061316689,31.2605902820656,32.3024398392811,32.637837937192,30.9635729650203,30.5251263498211,31.4631260359205,32.0712129395086,32.8069384123573,33.6752292840071,33.9845099170832,33.9186217581934,34.9252148090087,36.2999837871742,37.9280375106667,36.703173140064,34.4568985625885,34.4420911347834,34.5850753527358,35.1261539261779,36.2748853413342,36.6478209249019,38.5362457449689,38.9620878831889,39.0883688253377,37.7195015031911,39.3549452476964,37.1934545303208,35.29146727549,35.014480592642,34.5321139844423,33.6683481877483,32.7706817688362,33.2830082046343,34.2725599613364,31.7065092068335,31.3466592350427,29.9399648504985,29.0383466191266,30.2398565566725,29.542158079234,28.9469486321736,28.5104210211592,26.8703611716475,26.0947908042071,25.2827827037995,24.8184061430677,23.7120110120463,22.7403134295753,23.4941724835379,24.0395379241886,23.416418503694,23.7051852255553,24.1164784818521,24.3783777685571],"BRENT-FDS^FG_PRICE_MAVG(0,,,,30)":85.86,"FC0000CH^FG_PRICE(0)":307.55954,"FC0000AU^FG_PRICE(0)":346.82925,"EWC^FG_PRICE_MAVG(0,,,,30)":37.635,"FXI^FMA_PCT_ABOVE_MAVG(200,0,,,,\"PORTAGG\")":70.5882352941177,"EWN^FG_TOTAL_RETURNC(0,-12AM)":17.728006,"EWL^FMA_RBICS_REV_CURRENT(30, LOC, \"PORTAGG\")":18.5381872854438,"EWA^FMA_PE(NTMA,-10AY,0,AM,\"PORTAGG\",\"MEANR\")":[14.2721515065256,14.349410985274,14.4067952592009,14.8204287429637,14.9285628153438,13.8930270607942,14.6171477501576,13.8493215008528,14.6262194220997,15.3634926813525,16.3889578089277,16.2523775221701,16.2534079600681,15.5328034849651,15.4841375406311,15.6963684051369,14.2032335059901,14.2968851204463,14.8307803318691,15.2884076259548,15.7577891400844,15.2422372076616,15.5850789755047,15.4658529260418,16.1826446539878,16.1426177171933,15.999973819414,16.7209230315686,16.2099438092433,16.2714200349259,15.5349502029581,15.6786481105494,15.7804147186182,15.7108740791112,15.8607191462845,15.8592587383625,16.0456589520495,15.39965433794,15.4265713988627,15.7438408824969,15.6384385009527,15.5690951813751,15.9003462526956,15.8621452188413,16.0026190829667,15.9032455761203,15.3294363410676,14.7139414885106,15.3107020943835,15.0356792812731,15.392999127242,15.521467401303,15.6920441685479,15.0558347028478,14.3912145806402,14.057780519792,13.730810069772,14.6180898442541,15.4389791308334,15.3901164731762,15.3894016166468,15.5061517606689,16.2062376669101,16.3162212856101,15.9437412283025,16.528865451496,16.908821260171,17.4573767115835,17.1645375655544,17.8997930548609,16.3683519960413,14.324885101106,16.6199755158604,18.9682185320622,19.2256058688285,19.0209536693887,19.4866354147462,17.8949313774311,17.8841312030878,19.6994176676615,18.9693708470683,18.8540536550026,18.2849813538128,17.6611665393569,17.9952989060456,18.2017438882818,17.3066818034817,17.0636615357182,17.2802007210674,16.7414712694679,17.3921175842315,16.8540670860111,17.4970792673071,15.8135174813192,15.6112657224537,16.1527514548227,14.8278357102739,14.1250423795983,12.4724347323239,13.9246939614575,13.5788553456945,12.5463699651518,13.6829399454492,14.5963023095546,14.1727504256807,15.0740736787557,14.4559795305814,14.3117517505269,14.5481304769143,14.3998475346568,14.9313123571497,15.4206329620279,15.5104648620548,14.8107541113476,14.6004147406847,15.3253993852093,16.5006164207472,16.5898470502772,16.6808928773108,16.8099302394364,16.3573736535644],"EWI^FG_TOTAL_RETURNC(0,-6AM)":20.786655,"ENZL^PERCENT_CHANGE(FMA_EPS(+1,0,,,,\"PORTAGG\",\"MEAN\"),FMA_EPS(+1,-1AM,,,,\"PORTAGG\",\"MEAN\"))":-0.922990168410925,"EWG^FMA_COS_DOWN(\"EPS\",\"1M\",+1,0,,,\"PORTAGG\",\"MEANR\")":24.0,"EWA^FG_ROE(0)":12.8425298344662,"URTH^P_PRICE(0)/P_PRICE_LOW_PR(0,,,,,,\"PRICE\",\"INTRA\",\"52W\")-1":0.22127295,"FXI^FMA_COS_DOWN(\"EPS\",\"1M\",+1,0,,,\"PORTAGG\",\"MEANR\")":22.0,"TRYIT10Y-FDS^PCTCHG(FG_YIELD(0,,,,\"YTM\"),FG_YIELD(-3AM,,,,\"YTM\"))":1.2124408,"TRYFR10Y-FDS^FG_YIELD_NAME":"France Benchmark Bond - 10 Year","TRYSE10Y-FDS^PCTCHG(FG_YIELD(0,,,,\"YTM\"),FG_YIELD(-3AM,,,,\"YTM\"))":13.696147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7942228377],"TRYMY10Y-FDS^FG_YIELD(-10AY,0,Y,,\"YTM\")":[4.131911,4.345605,4.195897,3.902544,4.235642,3.300551,2.804181,3.573893,4.131847,3.727505],"TRYAU10Y-FDS^FG_YIELD(-10AY,0,Y,,\"YTM\")":[2.81,2.88,2.76,2.63,2.315,1.375,0.972,1.671,4.051,3.955],"VWO^P_PRICE(0)/P_PRICE_HIGH_PR(0,,,,,,\"PRICE\",\"INTRA\",\"52W\")":0.99769324,"EWQ^FG_TOTAL_RETURNC(0,-1AM)":-1.587683,"EWL^P_PRICE(0)/P_PRICE_LOW_PR(0,,,,,,\"PRICE\",\"INTRA\",\"52W\")-1":0.09963894,"EWJ^FMA_PCT_ABOVE_MAVG(200,0,,,,\"PORTAGG\")":70.1834862385321,"EWC^PERCENT_CHANGE(FMA_EPS(+1,0,,,,\"PORTAGG\",\"MEAN\"),FMA_EPS(+1,-3AM,,,,\"PORTAGG\",\"MEAN\"))":-2.81244302292515,"URTH^FMA_COS_UP(\"EPS\",\"1M\",+1,0,,,\"PORTAGG\",\"MEANR\")":634.0,"TRYCH10Y-FDS^FG_YIELD(0,,,,\"YTM\")":0.741,"WL-FDS^FG_PRICE_MAVG(0,,,,30)":609.39,"EWG^P_PRICE(0)/P_PRICE_LOW_PR(0,,,,,,\"PRICE\",\"INTRA\",\"52W\")-1":0.24306822,"VWO^FMA_COS_DOWN(\"EPS\",\"1M\",+1,0,,,\"PORTAGG\",\"MEANR\")":1332.0,"REFGBBANK-FDS^FG_YIELD(NOW,,,0)":5.25,"TRYIT10Y-FDS^FG_YIELD(0,,,,\"YTM\")":3.84,"USDSEK^STD(FG_PRICE_CHANGE(0,-3AY,M))":2.91505747000306,"USDCHF^STD(FG_PRICE_CHANGE(0,-3AY,M))":2.45552879219006,"USDUSD^STD(FG_PRICE_CHANGE(0,-3AY,M))":0.0,"USDEUR^STD(FG_PRICE_CHANGE(0,-3AY,M))":2.17952888526641,"USDAUD^STD(FG_PRICE_CHANGE(0,-3AY,M))":3.05578812282471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N^P_PRICE_RETURNS_PR('52W',2,-10AY,0,AM)":[22.22736,20.678986,25.818897,5.7920814,12.024856,-0.35959482,-2.9666722,1.6086459,-4.6979666,1.4088988,2.7428627,0.709188,4.788029,4.514003,1.3664007,11.588025,-0.94311833,2.34313,8.445692,-0.18566251,1.5233636,-3.746426,-7.891327,-1.9242287,-3.6410034,-3.6184072,-9.170872,-8.599419,7.4507833,9.310616,-2.6355743,-3.5498977,2.3715615,12.208879,12.641632,11.984146,17.196953,22.377777,28.129732,33.315372,25.774944,28.510702,34.46256,38.057182,34.42508,34.76502,25.550604,19.83484,13.790953,8.519161,7.2532415,4.801631,3.535688,-2.2236884,-7.9382124,-7.846892,-15.912223,-13.873922,-3.3952773,-2.1229029,0.43171644,-3.4216404,5.4299116,-0.85271,0.5555153,4.2220473,16.50387,16.96893,34.02854,18.715454,7.784319,-14.021343,-9.231461,9.301174,7.836938,11.269247,19.995235,17.484247,7.762718,25.094582,23.225773,34.768177,44.18496,92.31813,70.473656,59.756947,47.33356,49.018753,49.333847,40.851868,53.082836,23.840641,22.740162,9.045876,-4.9889803,-8.838474,-19.435238,-19.612164,-26.87679,-24.41001,-37.342323,-36.88223,-37.972916,-18.317812,-24.333632,-5.851543,0.13965368,1.6252041,11.326277,9.672952,25.603724,18.328499,25.123346,24.514378,23.380589,9.567165,19.064463,7.292402,19.980967,18.904066,17.728006],"SPY^FG_TOTAL_RETURNC(-10AY,0,AM)":[-0.43414235,2.5709867,2.7361274,-2.3982108,4.2129874,-2.6521027,3.745246,2.6901722,-0.25404096,-1.7086089,4.9871325,-2.1896243,2.0757198,0.30372143,-1.4369011,1.5387654,-7.168645,0.3178239,7.8923106,-0.88454485,-1.6420543,-6.72487,4.6487093,4.5138955,0.5074382,1.4136672,0.050735474,2.6811957,1.3086557,-0.44560432,-3.0328214,4.739189,2.3534417,1.8968344,4.6099186,-0.63058734,1.2853146,2.261591,-0.48776865,2.3325086,0.1616478,2.3120046,2.0886183,2.6670218,2.145052,2.4854064,-2.3125887,-3.9319575,2.2255063,3.9513707,-0.18938184,3.8733244,2.804625,0.8854866,-6.746459,1.3828993,-8.698731,7.9462767,3.8361907,2.4261832,1.8218637,-5.463976,8.211374,-1.2852967,-0.058090687,-1.0442138,6.2764764,1.7965674,4.7555566,-0.966537,-3.9287627,-18.024837,12.294006,8.943022,1.7956853,4.5767426,9.549189,-6.292385,-1.0903358,11.08116,2.369237,2.0514607,1.3078332,3.9799929,4.16615,0.72609186,3.5277605,0.89228153,3.5649776,-3.8714528,6.3697457,-0.9742379,4.2086005,-3.7076771,-4.254943,3.750217,-8.487153,0.7020831,-8.267296,7.0349455,-3.8768828,-8.561361,4.952681,8.546961,-5.579245,8.9820385,-4.5515594,3.3084035,0.35418272,4.1573405,3.9756536,1.5452981,0.23548603,-4.954493,0.8073807,6.5790653,3.369534,4.591143,3.7422776,1.4844894,-2.661711],"EWU^FMA_DIV_YLD(NTMA,-10AY,0,AM,\"PORTAGG\",\"MEANR\")":[3.819658860763,3.82946055773396,3.82404470850864,3.94472150285523,3.88491799439676,4.16876698717698,4.09206953370175,4.01963040032825,4.17006326625388,4.06410260423572,3.90141474963993,4.0204209325582,3.90727354923853,3.95003573497703,4.14420467296905,4.096417008216,4.52836656700234,4.42968318466133,4.24703879940721,4.17394409929893,4.30856301942377,4.53739668258748,4.43219495256446,4.3902824733655,4.27160628849445,4.34670998174423,4.18327853364226,4.16626856742688,4.0356491162387,4.1564709474935,4.39978182235259,4.43792867253151,4.27151734515527,4.31661790399731,4.27381057385585,4.32479324020005,4.36023702006412,4.22036612470311,4.35243963248784,4.25772201767707,4.31442701168876,4.27668547439277,4.28963296184312,4.4051747101624,4.20699867009321,4.2797272394745,4.72587456316156,4.56352419759494,4.34986588226125,4.32964674886198,4.46959721839581,4.47446295210614,4.5766306421935,4.54715784565825,4.85250651158737,4.97924386808332,5.36275722580912,5.04855046991584,4.97145053687759,4.83721495663854,4.8880458208161,4.95938389253906,4.7206825547161,4.95575843656519,5.08439202306934,5.08521899430217,4.81227115245526,4.78744512993244,4.54659654517987,4.74670605021999,5.28054478967328,6.29205108006056,4.83971178368564,4.02683503876857,4.08392480355766,4.16555742901953,4.07028791507216,4.23416743952932,4.5507521408723,3.91012541572875,3.94773962429216,4.07995663755702,3.99033058348036,4.04903206083814,3.96701520146157,3.85686390133488,3.99409262531663,4.14716176824681,4.15402138085534,4.20909519123334,4.03517403579508,4.11770589679329,3.90526118428229,3.77690272047781,3.93088825335762,4.00242890578579,4.05823240903248,4.06608746252418,4.32321531067159,4.18564228383756,4.43846751558151,4.77033445333701,4.51826665490748,4.21216748233736,4.28414620337631,4.09611926787827,4.1305234749641,4.22499582438271,4.22387563992652,4.35294126696343,4.36045381056001,4.39585194017119,4.47451367108921,4.53397928192442,4.5740591824703,4.41093981019979,4.28936649713355,4.30207612966457,4.1556279722505,4.03724552095805,3.92112574686134],"EWJ^FMA_PE(NTMA,-10AY,0,AM,\"PORTAGG\",\"MEANR\")":[13.0292388408046,13.4233263399243,13.9674897732419,13.8186266306269,13.7700276310028,13.5987909715018,13.9869905302651,14.6175854294484,14.2217382053288,13.9421496389751,15.1097656184477,15.3071373737643,15.6616916730624,16.2915825246592,15.5409536493671,15.5549826524311,13.5236173603329,13.2918978074689,14.0802344337816,14.7085174491649,14.0592028995939,13.2311853480482,12.8048523670451,12.3706974096579,12.4624631986894,13.3194792254596,12.6818555773172,13.1558416661815,13.636063568928,13.3536745368456,13.5934930415781,14.6070228151189,14.666066308777,14.2483454464425,14.3938741019167,13.7674669359031,14.0213586097894,14.6177589268447,14.3027048416095,14.2995574843511,13.7297054110204,13.9707907150591,14.8140174654812,14.7504364366261,14.6992512136724,14.824058295345,12.8016957965391,12.707530558025,13.1895254054524,12.9500813214387,12.6616870991746,12.8948111470092,12.6994134229768,13.3874349816557,12.1167172200331,12.2456849881368,11.1004679303178,11.9182586991163,12.572848675728,12.6228289442525,12.7447909237938,12.1876913137614,13.0169882705956,12.6129594382199,12.3809220234027,13.2456937720325,13.8323194363781,14.4015116919892,14.5196080573663,14.2143773145466,13.0612053019986,11.7108097470109,13.801509708016,16.8140313401358,17.4757354556981,17.0912510092985,18.1947889446207,17.9011669842303,17.3887389169777,18.5972535374752,18.3692009294026,18.3513728814649,17.8128923330922,17.5855019868189,16.6871022605131,16.5708227335739,16.3206789705268,15.8318263139224,15.4891726990373,15.1591458529496,15.3797872351373,14.3047488004452,14.5056304133844,13.8837673278372,12.8809934652374,13.2659040017144,12.823694547106,12.9220733554743,12.1577787398348,12.6263430938617,12.6231581552764,11.8310229073371,12.5647286533704,12.7461016471234,12.203889572336,12.8301250351276,13.1365703098585,13.1594599881793,13.6243465753044,14.3054667241631,14.888731572317,14.6400864565964,14.663533228383,14.30314824499,14.153335620017,14.3069326139798,13.98216030845,14.9405672610223,15.8214733816999,15.5739241175417,15.1918084168481],"EWC^FMA_PE(LTMA,-10AY,0,AM,\"PORTAGG\",\"MEANR\")":[16.374325786381,16.1545198890747,16.3296899007584,16.2794343638855,16.4838988188231,15.8042400044588,15.6968746345144,15.6531409713052,15.7070156564,16.0656210859238,17.0431996059785,17.095456503967,17.3505916412903,17.2690339425565,17.0842855539427,17.0229383832672,16.3891778052202,16.3797557994676,16.7204964227452,16.711677585629,15.7794491987031,15.0918182881088,15.7619376949901,16.001157655848,16.3938459020248,16.7022115944101,16.7934665316453,17.144798417829,17.6838143347528,17.8787659375175,18.0269674563852,18.7977509765365,19.369708934889,19.5642612866624,19.4052250166207,19.1093046046532,18.7773509587985,18.42952715946,18.0575223370907,18.0545747584181,17.5274265070569,17.693683728384,17.5911880630208,17.315556170384,17.1083318806659,16.3939027219064,15.8114070627831,15.6337795994359,15.5853894779153,15.5170458711105,15.4871849881621,15.4753547728446,15.2389778780504,15.0059873608733,14.2201797377882,14.054323813253,13.1547443447967,14.5170878783775,14.7339208885223,14.7400815223202,14.5791874097022,14.3717500238412,14.4974834768697,14.3726991654181,14.4218130030175,14.430572776475,14.8354397786325,15.0601094635783,15.2966823165893,15.3686742646582,14.4252976888294,14.2117903085774,15.5747218081999,16.9986711324953,17.4247691451461,17.9754654025799,18.461951081953,18.4059117213452,18.1208857842288,19.9225853930427,20.3674881248119,20.7368494371718,19.9953504064655,19.6112449968824,19.2245259404903,18.79155152574,18.4301547295925,17.727067906442,17.234448928166,16.4144424494376,16.6152669489201,15.5810499710477,15.4052054193869,15.4873176303937,15.2478468782994,15.0357474837891,14.5571378858367,14.336086299442,13.4335584086702,13.2553353280936,12.7701419947638,12.1689396395286,12.413533578123,12.8844391541457,12.0433714481908,12.9027190753375,12.6011905879376,12.6409469061466,12.7734437365091,12.8953621101637,13.0392886217726,13.426785909169,13.659225175889,13.1229051632082,13.4085574651321,14.008204465871,14.5437091055149,14.6714893488687,14.8886833317143,14.950468737772,14.8313005754632],"WL-FDS^FG_PRICE_CHANGE(0,-3AM)":-13.6521870743151,"NI-FDS^FG_PRICE_CHANGE(0,-3AM)":14.1395348837209,"CPALM-FDS^FG_PRICE_CHANGE(0,-3AM)":2.82470960929251,"BRENT-FDS^FG_PRICE_CHANGE(0,-3AM)":0.0,"TIOS-FDS^FG_PRICE_CHANGE(0,-3AM)":-8.20181917126642,"EWN^FG_PRICE_MAVG(0,,,,200)":43.574177,"EWU^FG_PRICE_MAVG(0,,,,200)":32.5389,"EWC^FG_PRICE_MAVG(0,,,,200)":35.4649,"FXI^PERCENT_CHANGE(FMA_EPS(+1,0,,,,\"PORTAGG\",\"MEAN\"),FMA_EPS(+1,-3AM,,,,\"PORTAGG\",\"MEAN\"))":0.549754316868501,"EWI^FG_TOTAL_RETURNC(0,-12AM)":23.113155,"EWD^PERCENT_CHANGE(FMA_EPS(+1,0,,,,\"PORTAGG\",\"MEAN\"),FMA_EPS(+1,-1AM,,,,\"PORTAGG\",\"MEAN\"))":0.239070706838559,"QQQ^FG_TOTAL_RETURNC(0,-6AM)":17.91023,"ENZL^FG_TOTAL_RETURNC(0,-3AM)":-3.3916593,"EWQ^SIZE(FG_CONSTITUENTS)":63,"QQQ^FMA_RBICS_REV_CURRENT(30, LOC, \"PORTAGG\")":0.907617891806812,"EWJ^FG_ROE(0)":9.83604323393113,"TRYAU10Y-FDS^FG_YIELD_NAME":"Australia Benchmark Bond - 10 Year","REFAUCASH-FDS^(SUBARRAY(NOT_NA(NO_REPEAT_F(FG_YIELD(NOW,-10AY,D))),0,1)-SUBARRAY(NOT_NA(NO_REPEAT_F(FG_YIELD(NOW,-10AY,D))),1,1))*100":25.0,"EWJ^FMA_DIV_YLD(NTMA,-10AY,0,AM,\"PORTAGG\",\"MEANR\")":[2.15781029827312,2.12796942161578,2.04481892885603,2.05814286020646,2.05337575942913,2.09727353444588,2.02193698969938,1.92708717645138,1.98232280512474,2.01562308560486,1.87939509629175,1.87306489716522,1.86203725739815,1.84196235105864,1.90159297065694,1.89755667769649,2.17572692305559,2.21331368535566,2.0979477795004,2.01337553285541,2.09547306420622,2.24754665319185,2.38122949629864,2.48429726034848,2.46842121912504,2.37644655298657,2.5223679725129,2.42283358153506,2.34100500255819,2.40739452323872,2.34816637903659,2.16760263994861,2.12454937200345,2.16941696394025,2.12362674158273,2.21969245043735,2.18843240467022,2.13768306048346,2.17029687936999,2.15487801359475,2.20887719488853,2.16893499799053,2.03535185187293,2.07112668125357,2.06064672154973,2.03511276396523,2.26918251959667,2.28272459326219,2.21527888607235,2.27187897061566,2.3505234441767,2.28235722507073,2.31702072981049,2.21096969809582,2.44503711950436,2.46597273404865,2.75303950615534,2.63492681885579,2.55430607502661,2.5701488907806,2.56745513302219,2.75374577992844,2.62149778825393,2.71605049565848,2.78888077726514,2.61401988127131,2.51621353650941,2.44262072777504,2.44466673483832,2.49707996525406,2.74161382073216,3.13718754297407,2.86541513994335,2.50704438874344,2.53322657952313,2.60440375056209,2.37040177282371,2.41898956481945,2.42154752900404,2.16385646880042,2.13994842979883,2.11524090945442,2.09374857913604,2.06397660072606,2.15617241842331,2.16033750835118,2.18215093748285,2.23060334704175,2.22800716574881,2.2507595718939,2.22251394035459,2.3658347677661,2.31313541960131,2.42160780175459,2.59590811101507,2.51459228397587,2.59202006020883,2.58102262339329,2.74049663994833,2.63636918467006,2.64148448660364,2.81776404802272,2.66760979534948,2.64007891827113,2.76264106600492,2.63746242536367,2.61289632854101,2.62159860842406,2.54015881304376,2.42131985502196,2.32847317529996,2.35605863505993,2.33554917726005,2.39943237530032,2.40981811825042,2.38466347948774,2.43360515919398,2.2780023338949,2.14988039373157,2.19128674303728,2.2497412507125],"QQQ^FG_TOTAL_RETURNC(0,-1AM)":-3.2214165,"EWQ^FMA_COS_UP(\"EPS\",\"1M\",+1,0,,,\"PORTAGG\",\"MEANR\")":27.0,"REFAUCASH-FDS^PROPER_NAME(0,,,\"SECURITY\",\"NAME\")":"Australia Target Cash Rate","ENZL^JULIAN(FMA_DIV_YLD(LTMA,-10AY,0,AM,\"PORTAGG\",\"MEANR\"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6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1],"SPY^FG_TOTAL_RETURNC(0,-12AM)":24.71689,"EWU^FG_TOTAL_RETURNC(0,-12AM)":9.47423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7289073093],"TRYMX10Y-FDS^FG_YIELD(-10AY,0,Y,,\"YTM\")":[5.8237,6.2537,7.5651,7.6401,8.7069,6.8373,5.552,7.558,9.0223,8.95],"TRYPE10Y-FDS^FG_YIELD(-10AY,0,Y,,\"YTM\")":[5.681629,7.426917,6.415413,5.167133,5.645114,4.243226,3.535983,5.889906,7.923381,6.6087],"EWG^FG_ROE(0)":12.4539898793825,"CC_CH^FG_COMPANY_NAME":"Switzerland","USDEUR^FG_PRICE_CHANGE(0,-6AM)":-0.654912,"EWC^FMA_PE(NTMA,-10AY,0,AM,\"PORTAGG\",\"MEANR\")":[15.0417313150279,14.6814380898771,15.116140424034,14.9744452914376,15.2184041606117,14.2697098268802,14.3528473978999,14.6805266751838,15.6006677092602,16.7549046132679,17.4932582853572,17.0975978273143,17.3653448047375,16.6452698225959,15.9393195822104,15.6583481174536,14.5717354189962,14.4606031738619,14.8477901651726,14.6439686151731,14.1218582708115,14.0436005095031,15.0680929454423,15.8880851041344,16.5667372692037,16.6434288888791,16.292351603394,16.2667611332622,16.4424361334629,16.1062542230975,15.5923191469439,15.8701628570013,15.7399936479628,15.9468781765618,16.0098934201473,15.8540727266835,15.7074413552833,15.5123585292512,15.231540248212,15.7381849336334,15.3768543989389,15.8486252727532,15.9007674031129,15.9235049953578,15.8462372173361,14.9050084693492,14.2838736765197,14.0004027607605,14.1107317693331,14.1750368162333,14.2362035326613,14.1355095010533,13.8050323583318,13.5208818502454,12.6295019222956,12.6754421217113,12.1586267630018,13.6454069515695,14.1889227458099,14.2180997649979,13.7503231651869,13.3428339807209,13.693003450729,13.5458192811406,13.644417231601,13.6267661089568,14.0478473496486,14.3236016319232,14.448344889993,14.4576735763296,14.168412592955,13.0841742496762,16.3983591720723,18.1032725480346,17.7111157880514,17.5936137516977,17.3163263816906,16.2219449389062,15.2033216650615,16.1728150711023,15.7520462514364,15.8296194199833,15.4862518360792,15.5223416392423,15.4366133742316,15.5614020577073,15.5841026701326,15.0867881418235,15.0053087272412,14.4003158877321,14.8901362604006,14.1867872077304,14.4230586367119,14.2521972623579,13.9806005946708,13.5781892894371,12.5570184651976,12.5823535589231,11.2255879530961,11.4744923721132,11.2982604285122,10.7655574557414,11.4357900386485,12.4490725801399,11.9052655645163,13.0596073674215,12.8216258748383,12.7462780621249,12.9046997789397,12.9373386500213,13.0104265560103,13.2766289883333,13.3546044338065,12.3596137100295,12.53064201875,13.1174459148558,13.5906420825567,13.860745127714999,14.3280074597405,14.5483874965173,14.0820933937078],"CPALM-FDS^FG_PRICE_MAVG(0,,,,30)":4254.2334,"EWC^FG_PRICE(0)":37.34,"TRYGB10Y-FDS^PCTCHG(FG_YIELD(0,,,,\"YTM\"),FG_YIELD(-1AM,,,,\"YTM\"))":5.7725406,"SPY^P_PRICE(0)/P_PRICE_HIGH_PR(0,,,,,,\"PRICE\",\"INTRA\",\"52W\")":0.96267706,"EWL^PERCENT_CHANGE(FMA_EPS(+1,0,,,,\"PORTAGG\",\"MEAN\"),FMA_EPS(+1,-1AM,,,,\"PORTAGG\",\"MEAN\"))":1.30044050019333,"EWC^FMA_COS_DOWN(\"EPS\",\"1M\",+1,0,,,\"PORTAGG\",\"MEANR\")":32.0,"TRYCA10Y-FDS^FG_YIELD(0,,,,\"YTM\")":3.7223,"TRYNL10Y-FDS^FG_YIELD_NAME":"Netherlands Benchmark Bond - 10 Year","QQQ^FMA_COS_UP(\"EPS\",\"1M\",+1,0,,,\"PORTAGG\",\"MEANR\")":41.0,"EWL^FG_COMPANY_NAME":"iShares MSCI Switzerland ETF","SPY^FG_PRICE_MAVG(0,,,,30)":511.477,"URTH^FG_TOTAL_RETURNC(0,-1AM)":-2.3832738,"CAGDPY@GB^EE_ACTUAL_ANNUAL(MED,+1)":-2.9,"CC_GB^FG_COMPANY_NAME":"United Kingdom","USDSEK^STD(FG_PRICE_CHANGE(0,-1AY,AM))":2.84954511484589,"USDCHF^STD(FG_PRICE_CHANGE(0,-1AY,AM))":2.3625094614302,"USDUSD^STD(FG_PRICE_CHANGE(0,-1AY,AM))":0.0,"USDEUR^STD(FG_PRICE_CHANGE(0,-1AY,AM))":1.53665722703296,"USDAUD^STD(FG_PRICE_CHANGE(0,-1AY,AM))":1.75831862420727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66016,2.51009258677616],"EWQ^P_PRICE_RETURNS_PR('52W',2,-10AY,0,AM)":[25.71131,24.111546,28.814459,7.883656,13.326502,-2.3215234,-6.071639,-2.8890252,-9.054065,-2.9773414,-6.0409784,-7.0757685,-5.8624687,-6.9376826,-9.478974,0.89969635,-7.8319254,-2.8776407,5.0446033,-2.4466574,0.23943186,-8.943015,-10.455728,-6.839025,-7.213706,-7.33965,-9.083867,-9.620023,1.7862082,3.3358574,-6.376064,-3.5247684,3.4080744,14.385546,11.492693,12.867022,16.85984,24.418545,28.388237,28.758108,26.241386,30.28041,35.05318,35.647358,29.419268,32.40565,27.122175,19.243359,16.98984,10.472465,8.024895,8.270466,6.950426,3.39576,-6.3210306,-8.310795,-13.829875,-13.514101,-3.385961,-1.0830164,-3.8376093,-6.530583,4.1384935,-4.175252,-3.6489785,-4.1594687,12.586821,14.903128,28.674984,14.554572,2.8366804,-22.49546,-19.655449,-4.2785645,-8.499283,-5.362451,1.9622445,-2.1952093,-12.835926,7.5621724,2.8523922,7.111168,17.884981,61.32288,52.801704,47.030926,38.95763,40.228592,34.51288,35.936092,48.797142,15.574015,21.472895,20.571852,4.2755365,4.6483636,-7.747245,-8.040208,-16.32346,-14.198887,-22.38112,-23.862099,-22.00187,-5.1412106,-11.827093,0.16081333,9.823286,10.544372,23.053598,12.324774,31.734324,24.417664,31.38839,33.615433,24.301088,13.988113,19.958555,6.203139,12.643003,11.449396,6.0333014],"QQQ^FG_TOTAL_RETURNC(-10AY,0,AM)":[-2.1802366,4.2633533,4.533386,-0.45215487,5.7040215,-2.6269495,4.310262,3.7771225,-1.8134594,-0.93258023,7.256317,-3.6750138,3.7385821,0.93535185,-1.6992211,3.705418,-7.1907043,0.35295486,10.191321,-0.139606,-1.9583642,-8.680492,3.6025405,4.5891047,-3.2982945,3.616941,-1.9977152,6.365657,1.8789172,1.62009,-2.9818058,0.45146942,2.7066708,5.773127,4.356849,1.4341593,3.8147688,4.3877006,-3.79408,4.5844197,1.4241099,-0.06886721,4.2794347,1.7653704,2.8021812,3.8614392,0.83835125,-6.1585846,4.057622,6.748235,0.24918318,3.8946748,3.9659142,-0.3037274,-8.812916,-0.0059068203,-8.287197,8.115959,4.1445255,4.972744,2.944243,-7.5275126,9.473801,-1.3999224,0.06405115,-1.6263068,8.052158,2.076733,6.71283,1.3462305,-1.2096643,-13.868505,14.370203,10.759616,7.212007,5.392766,13.909483,-9.265393,-1.5785038,12.545371,3.442514,4.4431686,-2.8320313,2.064085,4.1346908,-1.3373137,7.671821,1.6618371,4.333508,-5.2082896,8.01543,0.22104979,2.1680832,-7.379669,-5.7722034,4.342568,-11.98563,-1.287365,-10.089898,11.413169,-6.095499,-9.294248,-0.59118867,10.113668,-8.758503,17.06475,-5.8097067,9.473574,-0.48297048,11.0432625,4.307747,1.3453484,0.8547187,-4.1865587,0.6034374,7.291436,3.5033345,6.562507,3.8693666,-0.88009834,-3.2214165],"EWL^FMA_DIV_YLD(NTMA,-10AY,0,AM,\"PORTAGG\",\"MEANR\")":[3.19941486500802,3.2074504459517,3.30465888197419,3.39158893225524,3.30031594168138,3.39702889950293,3.32346860354946,3.24230436262945,3.31217177074199,3.36464219955803,3.15745642663098,3.13109479757595,3.09952287960115,3.13021165322845,3.23806260266242,3.1022687086928,3.3962059804098,3.43939997398871,3.2536739575064,3.23732416130063,3.27040945041367,3.47404742487489,3.48194963602096,3.59224856747807,3.49366136081949,3.4623789826214,3.5203014955333,3.53295126621585,3.42822070948567,3.4921843468164,3.67362313289664,3.71630699819162,3.5533111966061,3.47426723636873,3.35155680939305,3.41799191065289,3.36127837038208,3.26916377488315,3.28848308107885,3.25511575425813,3.31966903233124,3.25089560677269,3.23860571003828,3.2504472447529,3.2171321342855,3.23399277619482,3.52843856823392,3.49643103267325,3.47158603274253,3.55352667181163,3.59663077810922,3.38052865566285,3.41830060980553,3.42134638831528,3.50453699075546,3.52407662738803,3.70946874936824,3.46170458346392,3.33694159663307,3.30629940127224,3.26082600009502,3.3445579813945,3.19398024820183,3.25367930914858,3.24884662076499,3.30802387428313,3.14559545770692,3.13343210975277,3.04567133319155,3.02734981477521,3.25405372666615,3.51948831860295,3.26156325188524,3.12622630009245,3.04301857241544,3.02019645615973,2.90449548634251,2.95441049163062,3.09457367334416,2.91000782169327,2.82077523850231,2.83463187702503,2.86385762851473,2.79350069710843,2.77483059944566,2.69254210422027,2.63100633268272,2.57877459523373,2.55858736377618,2.77919579426776,2.61422569406766,2.66682282962263,2.52766057359219,2.70572358176783,2.83089026871517,2.78158936299687,2.88677620695641,2.96460072127151,3.1965228346668,3.07326736864524,3.19651036025271,3.4263138214808,3.29087966748456,3.08467540106566,3.22514247311463,3.04580173789768,3.14509906564423,3.15678083781982,3.080227187388,3.12627979885354,3.16485288239112,3.17976661128649,3.245367403327,3.39177770540251,3.4708137106914,3.3647868004724,3.29033927055632,3.31210706716262,3.29531669009163,3.30474926586447,3.38086815704189],"EWG^FMA_PE(NTMA,-10AY,0,AM,\"PORTAGG\",\"MEANR\")":[13.0187563084919,13.3517696020626,13.1896637881069,12.3347824705966,12.6041489848115,12.1433761062096,12.2997736717441,13.0930456275818,12.7825272234926,14.1354279086665,14.8489553960263,15.401928977175,14.5569971956958,13.9851197797815,13.5190984789168,13.7553346204986,12.2147332895522,11.7567898125376,13.495827429863,13.9405092363789,13.3509645902165,12.1114296527924,12.4975957926083,12.5186064134994,12.7835193648696,12.6261681515776,12.0769572673331,12.5243317023189,13.0598123735016,12.875623321803,12.5570757971599,12.6282640722403,13.6385817263297,13.6462745393601,13.9458762728349,14.0644180489508,13.9850514592169,13.929161446858,13.2857038333978,13.1130350898072,13.0136614052677,13.7255432536385,14.2606535275374,13.7322685017056,13.6940107552476,13.4818469676368,12.601035925087,12.7571192386101,13.3777548183061,13.1606055802944,12.6551530958979,12.9749138485058,12.8487783933063,12.7006760792686,11.8116826163144,11.5262510132241,10.9421979170739,11.7351785206771,12.2225715604446,12.3752259131307,12.9695704631962,12.1109148274646,12.8783929201644,12.5713738736076,12.5139450991495,12.5660568294411,13.651618672883,13.8126040247162,14.2517850875046,13.8458279539415,12.627498511474,11.8165897695777,15.1729980028329,17.3865933357802,18.1529602694738,17.4132627231127,18.0558107631266,16.7639181988117,14.7444642317716,16.0059424233273,16.0451618403573,15.8078080272776,15.5461249577384,16.234769821099,15.1918256612677,14.9351744121971,14.7443989851861,14.2645369990992,14.2204934389541,13.4514953620421,13.8889294529424,12.9365319455496,13.3826184607391,13.0187739653608,11.4225868609381,11.6374919242097,10.9146167465568,11.0741220253183,9.70409026672145,10.2788968268168,9.7251703741884,8.99432918296975,9.87121225588795,10.8693707765504,10.4616660277966,11.8008252431429,11.4860657511973,11.4300989069475,11.2089646010283,10.86248001111,10.8634249696858,10.7175776995248,10.6473014788077,10.2265531832877,10.1148386907107,11.0356667528311,11.1627221176634,11.5341281181751,12.0543019426157,12.2533790218342,11.9972389296807],"EWA^FMA_PE(LTMA,-10AY,0,AM,\"PORTAGG\",\"MEANR\")":[15.2316930508121,15.2042507441147,15.1974125289981,15.4155976462339,15.5130631923622,14.692858282172,15.3641044826555,14.413129781421,14.8442549418679,15.3192814996625,16.2323291151295,16.2644675273386,16.3273988245437,16.0775032477246,16.0606296735918,16.1917626947425,15.2459392026459,15.12316260996,15.4412406768356,15.7423354493408,16.060762601513,15.1862790034575,15.0190860365137,15.0999390080493,15.4582140352921,15.6486478166389,15.7835404267062,16.4465914947539,16.3823856602455,16.7199617585058,16.5773199820037,17.0762607591871,17.7086539390355,17.5986562461587,17.531828215507,17.3884455417508,17.3173977907035,16.9218107992119,16.7910295964712,16.8379311708759,16.621429923767,16.4645883282646,16.7211601851634,16.6432391416311,16.8027528424055,16.9208824259969,16.5093584074697,16.2594691712083,16.3255871941649,16.1312538310613,16.2270507520333,16.2888924502358,16.3597947840177,15.8821470517217,15.3092180816754,14.8672537208656,14.3641222807022,15.2545673380389,15.9237833795216,15.8881666854362,15.8643858845174,15.9137931434095,16.2780421292263,16.4440725633018,16.2495305438143,16.7642118473147,17.2934364679023,17.8388642060535,17.7553097842501,18.44603794122,16.924438410767,16.3746024873832,17.0824387493561,18.2282920349428,18.6698985511773,18.9843454772302,19.8330556100697,19.0311669054241,19.6634830199244,22.4524443556263,22.9540612302639,22.8469284619961,21.8110925602063,21.3012038672565,21.0392869257868,20.7165494920171,19.8750088460077,19.3372442014207,19.0691417348471,18.2803166402758,18.4174082949659,17.5404462407139,17.8166424238212,15.9844572655712,15.691815489133,15.796153789094,15.3638432933574,14.9708453202546,13.9861244999995,14.5588573780147,14.130471376196,13.2218391737573,13.7523218410108,14.4123445577826,14.0289358848587,15.034607848316,14.2596371810881,14.2408176993964,14.3311431163889,14.3006014082232,14.6024219137249,14.980180932234,15.1076587386803,14.7524561858506,14.6348433808882,15.2643649937028,16.6188619852636,16.6427168933941,16.6292710635032,16.6801043537464,16.5780157214774],"WL-FDS^FG_PRICE_CHANGE(0,-1AM)":-11.3992856033546,"NI-FDS^FG_PRICE_CHANGE(0,-1AM)":8.26470588235295,"CPALM-FDS^FG_PRICE_CHANGE(0,-1AM)":-12.7464157706093,"BRENT-FDS^FG_PRICE_CHANGE(0,-1AM)":0.0,"TIOS-FDS^FG_PRICE_CHANGE(0,-1AM)":14.7410358565737,"EWN^FG_PRICE_MAVG(0,,,,60)":48.28225,"EWU^FG_PRICE_MAVG(0,,,,60)":33.502167,"EWC^FG_PRICE_MAVG(0,,,,60)":37.3215,"FXI^PERCENT_CHANGE(FMA_EPS(+1,0,,,,\"PORTAGG\",\"MEAN\"),FMA_EPS(+1,-1AM,,,,\"PORTAGG\",\"MEAN\"))":-0.390233936323812,"VWO^FG_TOTAL_RETURNC(0,-6AM)":13.972712,"EWI^P_PRICE(0)/P_PRICE_LOW_PR(0,,,,,,\"PRICE\",\"INTRA\",\"52W\")-1":0.27072203,"EWD^FMA_PCT_ABOVE_MAVG(200,0,,,,\"PORTAGG\")":90.6976744186046,"EWQ^PERCENT_CHANGE(FMA_EPS(+1,0,,,,\"PORTAGG\",\"MEAN\"),FMA_EPS(+1,-3AM,,,,\"PORTAGG\",\"MEAN\"))":-3.10157174469755,"QQQ^FG_TOTAL_RETURNC(0,-3AM)":-0.36140084,"EWL^P_PRICE(0)/P_PRICE_HIGH_PR(0,,,,,,\"PRICE\",\"INTRA\",\"52W\")":0.9336875,"EWG^FG_TOTAL_RETURNC(0,-12AM)":8.660162,"EWC^PERCENT_CHANGE(FMA_EPS(+1,0,,,,\"PORTAGG\",\"MEAN\"),FMA_EPS(+1,-1AM,,,,\"PORTAGG\",\"MEAN\"))":-0.539750563793129,"ENZL^FG_TOTAL_RETURNC(0,-1AM)":-1.6061604,"VWO^SIZE(FG_CONSTITUENTS)":1,"EWQ^FMA_COS_DOWN(\"EPS\",\"1M\",+1,0,,,\"PORTAGG\",\"MEANR\")":31.0,"EWU^FMA_RBICS_REV_CURRENT(30, LOC, \"PORTAGG\")":17.7139371648032,"REFGBBANK-FDS^(SUBARRAY(NOT_NA(NO_REPEAT_F(FG_YIELD(NOW,-10AY,D))),0,1)-SUBARRAY(NOT_NA(NO_REPEAT_F(FG_YIELD(NOW,-10AY,D))),1,1))*100":25.0,"REFAUCASH-FDS^FG_YIELD(NOW,,,0)":4.35,"NI-FDS^FG_PRICE(0)":18405.0,"VWO^FG_TOTAL_RETURNC(0,-1AM)":2.7804136,"EWD^FG_ROE(0)":16.2887686791836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IN10Y-FDS^FG_YIELD(-10AY,0,Y,,\"YTM\")":[7.86,7.89,6.63,7.35,7.35,6.55,5.9,6.45,7.33,7.19],"TRYGR10Y-FDS^FG_YIELD(-10AY,0,Y,,\"YTM\")":[9.61,8.24,7.15,4.14,4.37,1.45,0.618,1.315,4.585,3.099],"EWL^FG_TOTAL_RETURNC(0,-6AM)":6.1570525,"ENZL^PERCENT_CHANGE(FMA_EPS(+1,0,,,,\"PORTAGG\",\"MEAN\"),FMA_EPS(+1,-3AM,,,,\"PORTAGG\",\"MEAN\"))":-15.8005606207015,"REFSEREPO-FDS^(SUBARRAY(NOT_NA(NO_REPEAT_F(FG_YIELD(NOW,-10AY,D))),0,1)-SUBARRAY(NOT_NA(NO_REPEAT_F(FG_YIELD(NOW,-10AY,D))),1,1))*100":25.0,"BRENT-FDS^FG_PRICE(0)":85.86,"EWN^FG_PRICE(0)":48.37,"EWN^P_PRICE(0)/P_PRICE_LOW_PR(0,,,,,,\"PRICE\",\"INTRA\",\"52W\")-1":0.33287406,"EWJ^FMA_RBICS_REV_CURRENT(30, LOC, \"PORTAGG\")":17.709190961878,"QQQ^SIZE(FG_CONSTITUENTS)":102,"CAGDPY@GB^EE_ACTUAL_ANNUAL(MED,0)":-3.3,"EWA^FG_TOTAL_RETURNC(0,-6AM)":12.811017,"EWA^FMA_RBICS_REV_CURRENT(30, LOC, \"PORTAGG\")":40.7151096463948,"TRYNL10Y-FDS^FG_YIELD(0,,,,\"YTM\")":2.848,"EWN^FMA_PCT_ABOVE_MAVG(200,0,,,,\"PORTAGG\")":66.6666666666667,"EWC^FG_TOTAL_RETURNC(0,-12AM)":10.561716,"EWU^FMA_COS_DOWN(\"EPS\",\"1M\",+1,0,,,\"PORTAGG\",\"MEANR\")":39.0,"EWN^FG_ROE(0)":11.6656316836757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2,9.22076567652677,9.22544557398871,9.29901046494658],"TRYQA10Y-FDS^FG_YIELD(-10AY,0,Y,,\"YTM\")":[null,null,null,null,null,null,null,null,null,null],"TRYCH10Y-FDS^FG_YIELD(-10AY,0,Y,,\"YTM\")":[0.314,null,-0.12,-0.09,-0.176,-0.434,-0.49,-0.111,1.617,0.703],"EWG^FMA_DIV_YLD(NTMA,-10AY,0,AM,\"PORTAGG\",\"MEANR\")":[3.00546613367846,2.96067173017027,3.01062462681759,3.25704295751316,3.16808059042703,3.2913963440536,3.26650999320345,3.14196906844901,3.20673972066176,2.9139701237769,2.77986485779826,2.68976864034982,2.85825084742977,2.96093226007882,3.05685616476568,3.01221055817859,3.39763153034843,3.51099814566017,2.96319989122318,2.9099528111378,3.02919339249765,3.41965452614506,3.37086607500098,3.34682933835506,3.28869464106256,3.29297113775347,3.45090564501753,3.32259034391982,3.15759180837066,3.17642683206914,3.23966344735242,3.22706974405052,2.9747084897089,2.97364965230203,2.90353181611246,2.9105466510859,2.89129064255667,2.89345814013456,3.0356339338288,3.07601590159783,3.12476873166622,2.97268550344533,2.86041145902085,2.95149356278972,2.96733264536617,3.03486414155075,3.26415442174342,3.24558233134786,3.11590305732944,3.15662323993141,3.29717055754804,3.21816999851835,3.25711693495655,3.30666492367802,3.58808191674732,3.68426508031226,3.96281223973961,3.71929133890379,3.58126323581273,3.54859513898176,3.39617379525042,3.65168275655261,3.45245348636259,3.53950872042247,3.55231236928533,3.5250196192079,3.25420404312015,3.15773577046805,3.06640720920396,3.16165671485228,3.45313953110378,4.0324730435029,3.34626637373,2.95694587077627,2.86559149083768,2.93759567526176,2.76523103200132,2.87796489297878,3.13979302397433,2.78630572180765,2.72025953204543,2.74054087808739,2.80293657039503,2.68998307807009,2.78465609579738,2.79474812018954,2.80251261657159,2.83590674917567,2.83521372791969,3.0078935552656,2.91607763056545,3.1360169481042,3.04424056811043,3.14584285601047,3.58961897884011,3.53484356274227,3.77728070168677,3.7128305827224,4.21178417068705,4.02319462522363,4.13837661745278,4.48461000593773,4.12716321410185,3.70961527771599,3.84751434283582,3.41971019512436,3.5356182753555,3.52030675913846,3.56324001000205,3.61814953391389,3.62045230888256,3.68369262635518,3.71753673276881,3.89311308253523,3.94726980459641,3.61815876891383,3.55979873798028,3.53326059972162,3.45238990658126,3.28247567725027,3.35223110800484],"TIOS-FDS^FG_PRICE(0)":118.08,"REFSEREPO-FDS^FG_YIELD(NOW,,,0)":4.0,"EWI^PERCENT_CHANGE(FMA_EPS(+1,0,,,,\"PORTAGG\",\"MEAN\"),FMA_EPS(+1,-3AM,,,,\"PORTAGG\",\"MEAN\"))":2.1084649729375,"EWJ^FG_COMPANY_NAME":"iShares MSCI Japan ETF","REFCHMPR-FDS^PROPER_NAME(0,,,\"SECURITY\",\"NAME\")":"Swiss Policy Rate - Sight Deposit Rate","EWU^P_PRICE(0)/P_PRICE_HIGH_PR(0,,,,,,\"PRICE\",\"INTRA\",\"52W\")":0.9980068,"TRYDE10Y-FDS^PCTCHG(FG_YIELD(0,,,,\"YTM\"),FG_YIELD(-1AM,,,,\"YTM\"))":6.486492,"CAGDPY@CH^EE_ACTUAL_ANNUAL(MED,+1)":8.0,"CC_JP^FG_COMPANY_NAME":"Japan","USDSEK^FG_PRICE_CHANGE(0,-3AM)":4.0822864,"USDCHF^FG_PRICE_CHANGE(0,-3AM)":5.533731,"USDEUR^FG_PRICE_CHANGE(0,-3AM)":1.0618925,"USDAUD^FG_PRICE_CHANGE(0,-3AM)":-0.26772618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09750880863,2.46081746914008,2.80266518938636,2.92070468127568],"QQQ^P_PRICE_RETURNS_PR('52W',2,-10AY,0,AM)":[24.689663,26.509226,34.60052,25.588966,34.634747,23.84528,24.283768,24.919247,19.760979,20.019377,22.423803,18.8362,25.796616,22.00401,14.72975,19.081152,4.941094,8.152592,14.25029,9.938288,9.446454,1.1906266,-2.2565126,6.2000275,-1.0697544,1.558578,1.2783289,3.847444,13.995767,17.987537,1.6351461,2.236712,5.768156,24.052847,24.956059,22.474062,30.100834,31.068588,29.312193,26.511442,26.356638,23.853386,33.123062,35.132946,34.98974,32.550003,28.080952,18.493593,18.770779,22.843765,26.561033,25.72633,28.700888,28.574299,12.431717,10.00483,-1.4422476,0.5487323,6.9315434,18.527485,17.259264,3.1725526,10.924721,5.271876,1.4514327,-0.023150444,16.622341,20.935,40.71443,31.346619,25.122225,2.6643991,13.564264,36.615383,33.792843,40.203667,62.797665,50.15584,36.77249,50.799404,48.61877,50.644897,48.17096,79.143036,55.36039,42.405987,43.016754,37.953938,26.356625,28.29306,44.874275,29.009783,27.420341,12.996531,9.577394,12.023603,-5.3179383,-5.27001,-19.988829,-13.309306,-21.974766,-24.874979,-31.28705,-24.504536,-32.999577,-14.784658,-14.818579,-10.799914,1.0500312,13.672638,32.74591,19.95858,27.016926,36.09203,37.727512,33.662964,52.232193,38.57497,54.079758,38.3623,34.554935],"EWL^FG_TOTAL_RETURNC(-10AY,0,AM)":[1.4207006,0.600338,0.33590794,-5.4613886,3.8001776,-5.609685,1.251173,2.1625042,-4.656786,1.5223503,4.061246,1.5010476,3.6379695,0.8561611,-3.9275825,2.8347373,-8.269787,-0.9271145,3.646338,-3.3623874,0.0,-7.8608274,2.0279765,1.3365269,4.5992613,-0.48496723,-0.5731702,0.6373763,2.0666718,-0.22861362,-5.335516,-2.1092713,4.127097,3.9375544,2.0901322,2.3032665,5.128205,5.2349806,-0.9508848,1.1366963,-1.2680173,2.3350954,-1.4546573,1.678729,1.6794801,2.3236275,-5.991787,-1.309663,-0.058978796,-0.531131,-1.3542771,6.720102,0.43327808,-0.48893094,-4.017341,0.0,-5.8115005,6.1061263,4.9111247,2.1826625,1.4052868,-0.33259988,6.8228483,-1.0361314,0.5906105,-2.9356897,6.4338803,0.15500784,5.6486964,-0.5371034,-5.0564585,-9.126163,3.5277367,7.0623755,3.0346155,2.607596,4.9839616,-2.5146902,-4.508191,9.038115,3.5039306,0.24619102,-1.6521573,2.04314,2.9810905,6.0488224,1.5747786,3.0228734,0.9912729,-7.7738523,7.5776935,-2.0577788,6.5252542,-5.120426,-4.5972404,3.7293077,-6.8672953,-1.1060536,-6.9553733,2.8859973,-6.47499,-6.3983917,3.2843828,12.202692,-3.3870995,7.9418063,-3.3362746,3.5885692,6.0017705,-1.7693639,0.12161732,1.2984276,-1.8799424,-6.096232,-0.2086699,6.482339,4.6257854,-1.2930095,-0.50708055,-0.6583154,-2.3300588],"TRYFR10Y-FDS^FG_YIELD(0,,,,\"YTM\")":3.032,"TRYSE10Y-FDS^PCTCHG(FG_YIELD(0,,,,\"YTM\"),FG_YIELD(-1AM,,,,\"YTM\"))":1.4979733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620015971],"TRYUS10Y-FDS^FG_YIELD(-10AY,0,Y,,\"YTM\")":[2.1881,2.2961,2.4752,2.4325,2.6836,1.9185,0.9174,1.5119,3.8776,3.8791],"TRYEU10Y-FDS^FG_YIELD(-10AY,0,Y,,\"YTM\")":[0.5475,0.636,0.2082,0.4294,0.239,-0.189,-0.575,-0.181,2.533,2.004],"USDCHF^FG_PRICE_CHANGE(0,-1AM)":0.8000016,"DDR3512M-FDS^MAX(FG_PRICE(0,-5AY))":3.3053632,"COPP-FDS^MAX(FG_PRICE(0,-5AY))":4.929,"VWO^PERCENT_CHANGE(FMA_EPS(+1,0,,,,\"PORTAGG\",\"MEAN\"),FMA_EPS(+1,-3AM,,,,\"PORTAGG\",\"MEAN\"))":-1.94498105551797,"EWI^FG_TOTAL_RETURNC(0,-3AM)":9.634245,"EWN^P_PRICE(0)/P_PRICE_HIGH_PR(0,,,,,,\"PRICE\",\"INTRA\",\"52W\")":0.9616302,"QQQ^PERCENT_CHANGE(FMA_EPS(+1,0,,,,\"PORTAGG\",\"MEAN\"),FMA_EPS(+1,-1AM,,,,\"PORTAGG\",\"MEAN\"))":-0.501911354616245,"EWL^FG_TOTAL_RETURNC(0,-1AM)":-2.3300588,"EWG^FG_TOTAL_RETURNC(0,-6AM)":18.531872,"EWA^P_PRICE(0)/P_PRICE_LOW_PR(0,,,,,,\"PRICE\",\"INTRA\",\"52W\")-1":0.16422296,"ENZL^FMA_PCT_ABOVE_MAVG(200,0,,,,\"PORTAGG\")":35.7142857142857,"VGK^SIZE(FG_CONSTITUENTS)":1280,"EWG^FMA_RBICS_REV_CURRENT(30, LOC, \"PORTAGG\")":22.6656567309621,"REFCHMPR-FDS^(SUBARRAY(NOT_NA(NO_REPEAT_F(FG_YIELD(NOW,-10AY,D))),0,1)-SUBARRAY(NOT_NA(NO_REPEAT_F(FG_YIELD(NOW,-10AY,D))),1,1))*100":-25.0,"COPP-FDS^FG_PRICE_CHANGE(0,-1AY)":16.7879417879418,"EWL^FG_PRICE_MAVG(0,,,,30)":46.329334,"TRYJP10Y-FDS^PCTCHG(FG_YIELD(0,,,,\"YTM\"),FG_YIELD(-3AM,,,,\"YTM\"))":32.45004,"EWA^SIZE(FG_CONSTITUENTS)":59,"EWD^P_PRICE(0)/P_PRICE_LOW_PR(0,,,,,,\"PRICE\",\"INTRA\",\"52W\")-1":0.26934993,"SPY^FMA_COS_UP(\"EPS\",\"1M\",+1,0,,,\"PORTAGG\",\"MEANR\")":223.0,"TRYZA10Y-FDS^JULIAN(FG_YIELD(-10AY,0,CY,,\"YTM\").DATES)":[42004,42369,42734,43098,43465,43830,44196,44561,44925,45289],"CAGDPY@CH^EE_ACTUAL_ANNUAL(MED,0)":7.64151941312264,"CC_DE^FG_COMPANY_NAME":"Germany","USDSEK^FG_PRICE_CHANGE(0,-1AM)":1.8491983,"USDEUR^FG_PRICE_CHANGE(0,-1AM)":0.7250786,"USDAUD^FG_PRICE_CHANGE(0,-1AM)":-0.3365755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U^P_PRICE_RETURNS_PR('52W',2,-10AY,0,AM)":[17.843163,18.922901,26.528145,13.33127,16.288876,2.109301,-0.83319545,0.19840002,-7.331353,-2.1996975,-3.7298322,-5.8742704,-4.7111692,-5.461687,-9.894401,-5.542195,-14.9724245,-7.308316,-3.6506712,-7.379687,-7.0310116,-14.861155,-16.719997,-11.038107,-11.382235,-12.958002,-12.171942,-12.285173,1.2027383,1.0065198,-11.898041,-7.2517514,-2.2000492,9.561312,8.322382,7.828665,5.691898,12.274897,12.39264,14.517713,11.007082,13.736784,21.434902,20.292473,22.708511,20.064354,11.925364,10.031784,12.010694,8.419668,7.567942,4.039991,3.4807682,1.762259,-3.4116209,-6.380373,-15.120143,-11.036414,-0.44788718,2.3648858,-2.7892947,-7.9849424,-0.58900714,-6.133932,-6.363696,-6.6892505,5.5838704,9.043479,21.512508,8.173239,-5.552882,-27.871101,-23.1198,-11.906492,-17.175371,-15.07954,-8.656716,-11.932241,-22.182453,-7.8258696,-11.804509,-6.349504,7.9989076,43.06388,32.282997,31.2755,30.004692,30.502224,28.194702,30.44113,40.49579,14.486753,18.223583,21.40671,13.471258,11.945545,3.204286,1.8310428,-4.9628735,-2.5803983,-11.10031,-14.958173,-13.3138895,2.7708411,-4.375112,-3.273964,-0.40940642,-0.8803785,7.4130177,1.1889458,11.721849,9.379387,16.719936,22.53505,15.90929,6.9146633,11.364519,4.579401,5.7022095,9.979129,9.47423],"EWJ^FG_TOTAL_RETURNC(-10AY,0,AM)":[-2.2687614,4.642856,4.979837,-1.8821657,-0.5838156,-4.6979904,6.161976,-2.363193,-3.8109303,3.1083465,6.6322207,2.5040388,2.6004791,0.46082735,-0.87857246,0.2325654,-8.894051,-1.1035681,6.523609,0.48348904,-2.0991802,-6.6831646,0.08840561,-1.678443,4.4923663,0.4299283,-0.93241334,4.094076,4.267788,0.6420493,-0.31898022,-0.76000094,-0.37673116,4.011464,1.023221,0.31164885,1.3980627,5.1321387,-1.6473353,2.6095033,-1.0172546,2.2389412,5.995333,0.99915266,1.7672181,3.3670545,-3.770858,-0.85042715,1.2949944,-0.13282299,-4.5115113,2.7899623,-0.6145477,3.9161801,-9.05785,0.5816102,-7.0548296,5.9169292,0.850904,0.9354353,0.39978027,-4.5791807,6.2863827,-2.6472151,-0.25897622,3.4681082,6.2197447,0.084376335,2.1259189,-3.5248935,-7.134199,-11.169124,6.738031,11.111116,-1.5711367,-1.5225589,8.153868,0.05105734,0.10205507,11.469841,3.3913732,0.991714,0.6448746,0.68444014,-2.4877071,2.017212,-0.5401671,-0.2208829,3.054905,0.14320612,-0.8294046,-3.4318626,1.3126254,-2.807641,-4.287034,-0.5779445,-8.606493,2.8621912,-7.988673,5.164945,-6.130135,-6.721407,2.43603,11.770582,-2.4477184,7.8802347,-4.495144,4.6354055,-0.6985843,6.382978,0.5435467,-0.6623566,0.89445114,-3.6589324,1.974237,3.7079573,1.9710183,4.6412826,5.7434916,-0.5829692,-2.0737946],"EWC^FMA_DIV_YLD(NTMA,-10AY,0,AM,\"PORTAGG\",\"MEANR\")":[2.84969097558561,2.88478154461406,2.79585126648681,2.80101167644883,2.75143910510107,2.92040184126549,2.96281853899497,2.95372085082577,2.90627132915346,2.91054655528061,2.84309607200912,2.88985059263069,2.82023525804275,2.88372091982036,3.0015151753047,3.06299969268628,3.23492646176026,3.30547131549187,3.24429936640123,3.28326743858127,3.3535405693637,3.47083007580482,3.30079009364775,3.16722468171465,3.0724359040935,3.02914062491423,3.0768974137006,3.00146346642825,2.93570045645377,2.93724662923556,2.96872455879563,2.88509080898664,2.84844159413114,2.83830669132128,2.88973114153037,2.91893378364749,2.93076271220366,2.97949800928306,3.04960316508655,3.01976467845428,3.0708359150307,2.9692017387422,2.91756169639179,2.91855330962318,2.90348506612935,3.03444594585367,3.16644044857663,3.22364819204791,3.15250510670303,3.09338401957996,3.06790652248922,3.07186587825701,3.12182649824625,3.18519727030284,3.38607122550708,3.39016347737641,3.58766826398781,3.34214490413316,3.26225225955191,3.24307349729429,3.22363112660497,3.38181444492034,3.30630109666145,3.38638358154247,3.39213479429931,3.41097195136919,3.33781596411931,3.25948031531914,3.25503683539332,3.28104813208702,3.46625774041073,4.39243585729646,3.9094621829445,3.57036127669383,3.52630010189897,3.42456448502804,3.31249130221622,3.4366620525085,3.54017065671096,3.16291877120696,3.13893857768554,3.0482062390617,2.90749496295012,2.80258135035122,2.76250451755712,2.60765425493801,2.70419184812494,2.7140736131751,2.71535956306352,2.82619889777818,2.72821861784772,2.84293091226789,2.78733273169164,2.78976243651954,2.85401595147704,2.8310748335118,3.07526024983556,3.06515971773465,3.42241268976922,3.35240848627012,3.47749931269678,3.63468459642186,3.47106714757236,3.28170113423955,3.4707922433344,3.2582071849942,3.30669735738589,3.34635251017124,3.26811214152363,3.31108210263712,3.2521051096131,3.19994267465117,3.44666746952653,3.70262330092435,3.64832886421616,3.43959637829699,3.37097239367231,3.32573525324996,3.22405680013889,3.11123453239427,3.14188973242987],"ENZL^FMA_PE(NTMA,-10AY,0,AM,\"PORTAGG\",\"MEANR\")":[17.7327766438296,17.2318324254707,17.2629819052731,17.0318048653562,17.2683823358289,17.1030976426569,17.6075494605871,17.8298016138622,18.3613013678912,19.0301964707759,19.3327779272723,18.4899205739579,18.319896868662,18.4427739911964,18.2289772582524,18.3374247523085,17.3698472958226,16.9700635398646,18.0225050684037,18.2413498091375,18.2879518587097,17.4588365002923,17.7172957154342,18.4156126192307,18.6496840455409,19.4661065923048,19.059687665176,20.1758045538972,20.6958794495932,20.2681896418316,18.6356985797006,18.7150183102484,18.4825680079845,18.950504977051,18.3471831750548,19.0001722152101,19.5751964291431,19.4809545927608,19.5189489585176,19.8345537839035,19.9205763536595,19.7701624227718,20.3137661841577,20.2190870835144,20.9136233466115,20.9643662464545,20.254594308011,19.9390523176394,20.1937804807335,20.4909780057569,21.1095518812073,20.8547442618736,22.0706051942858,21.6086287726553,20.3149253120883,19.9671800715046,20.0279971038676,20.4586874128021,21.6303992254278,22.5353401369456,22.9531056356772,22.9748409037613,23.8773395308794,24.7241187918701,25.2753786879671,25.5146371836455,24.8057520303655,25.9187920712761,25.6708109996685,26.1755926613488,25.2709246185429,25.2227218050165,28.8627775748999,30.0767687154568,31.1429880652595,31.9189685382122,32.6812272103391,31.9539882573779,32.4499820379399,33.0099543213906,34.2882844266682,33.1045216937494,32.2361648737912,32.1646560824619,32.4086247751355,32.8829320749395,34.2994539736844,33.8717702337698,35.0927217879808,34.5365152662787,33.4978311028024,31.5417853037102,32.3350031307077,30.2686006900306,29.159376613503,29.4533379080064,28.6022013733864,26.8645630444818,25.335570939777,26.3154642707003,27.0887216417372,24.0408495534085,23.6397489457317,23.4701979612872,23.0087732743656,24.3882408183024,23.8027661420065,23.3553361619522,23.7424149656182,21.1567770376368,20.9845942104727,21.00612948063,20.8795334368409,20.1054258780416,19.9523822157301,21.6678504109475,22.9528219771152,22.4469699971523,24.6802411030537,25.3580546153602,25.2619078556493],"PASP-FDS^MAX(FG_PRICE(0,-5AY))":3158.12,"PLATI-FDS^MAX(FG_PRICE(0,-5AY))":1272.59,"W-FDS^MAX(FG_PRICE(0,-5AY))":14.2525,"FC0000JP^FG_PRICE(0)":174.45685,"FC0000NZ^FG_PRICE(0)":377.7309,"EWQ^FG_PRICE_MAVG(0,,,,200)":38.176075,"EWL^FG_PRICE_MAVG(0,,,,200)":45.93245,"EWA^FG_PRICE_MAVG(0,,,,200)":22.89575,"SPY^P_PRICE(0)/P_PRICE_LOW_PR(0,,,,,,\"PRICE\",\"INTRA\",\"52W\")-1":0.2508793,"SPY^FMA_COS_DOWN(\"EPS\",\"1M\",+1,0,,,\"PORTAGG\",\"MEANR\")":201.0,"EWG^FMA_COS_UP(\"EPS\",\"1M\",+1,0,,,\"PORTAGG\",\"MEANR\")":28.0,"ENZL^FG_ROE(0)":5.61512618281636,"REFSEREPO-FDS^PROPER_NAME(0,,,\"SECURITY\",\"NAME\")":"Sweden Repo Rate","REFNZOCR-FDS^FG_YIELD(NOW,,,0)":5.5,"TRYCH10Y-FDS^PCTCHG(FG_YIELD(0,,,,\"YTM\"),FG_YIELD(-3AM,,,,\"YTM\"))":-13.434581,"TRYSE10Y-FDS^FG_YIELD(0,,,,\"YTM\")":2.507,"TRYDE10Y-FDS^FG_YIELD(0,,,,\"YTM\")":2.561,"REFNZOCR-FDS^PROPER_NAME(0,,,\"SECURITY\",\"NAME\")":"New Zealand Official Cash Rate","TRYCH10Y-FDS^PCTCHG(FG_YIELD(0,,,,\"YTM\"),FG_YIELD(-1AM,,,,\"YTM\"))":1.6460938,"W-FDS^FG_PRICE_CHANGE(0,-1AY)":-1.51133501259446,"SPY^FG_TOTAL_RETURNC(0,-6AM)":18.08604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TIPSCL10Y-FDS^FG_YIELD(-10AY,0,Y,,\"YTM\")":[null,null,null,null,null,null,null,null,null,null],"REFCHMPR-FDS^FG_YIELD(NOW,,,0)":1.5,"CAGDPY@IT^EE_ACTUAL_ANNUAL(MED,+1)":0.95,"CAGDPY@JP^EE_ACTUAL_ANNUAL(MED,+1)":3.5,"CC_CA^FG_COMPANY_NAME":"Canada","USDSEK^FG_PRICE_CHANGE(0,-1AY)":5.698681,"USDCHF^FG_PRICE_CHANGE(0,-1AY)":2.129805,"USDEUR^FG_PRICE_CHANGE(0,-1AY)":2.7178764,"USDAUD^FG_PRICE_CHANGE(0,-1AY)":1.9123435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18931405],"EWL^P_PRICE_RETURNS_PR('52W',2,-10AY,0,AM)":[17.651249,20.865643,23.153841,11.044205,18.05241,4.5213103,2.822256,5.356574,0.13849735,2.3301125,-0.42222142,0.28125048,2.2106528,2.734208,-1.6312003,6.446469,-5.441123,-0.750196,1.597619,-3.8967073,0.28828382,-8.518952,-10.306417,-9.892124,-9.621215,-10.823011,-7.0082664,-9.68141,0.49598217,2.5278926,-7.565725,-6.367117,-4.4724345,9.981668,10.048676,10.500622,11.660337,18.078375,18.264568,18.21344,15.711641,17.289566,22.097958,27.407742,23.841583,21.918571,12.266958,8.302153,2.9583573,-1.8227816,-3.0793607,2.2712946,3.881967,1.162684,-1.4680624,-2.6792884,-10.234081,-8.714026,4.061687,7.555938,9.131765,10.795748,18.413984,9.807861,9.4134445,7.2757006,18.315304,19.14097,33.637203,24.781502,13.368368,0.8215904,2.9318213,10.569012,6.6479445,10.81258,15.40401,15.904558,3.9888263,13.211977,11.787022,11.787165,15.795398,32.477615,27.622772,28.116776,26.301552,26.812721,21.989859,15.659666,30.015396,16.784811,20.193804,13.759291,10.352707,12.176191,1.4484525,-5.3960443,-13.02101,-13.455927,-19.85411,-17.960316,-21.905064,-10.534376,-18.951529,-7.688528,-6.468421,-5.8153687,6.3113213,5.598259,13.766885,11.876715,17.080784,17.752325,13.769972,7.7215195,16.924513,6.921208,10.989261,5.5388093,-2.7566314],"EWG^FG_TOTAL_RETURNC(-10AY,0,AM)":[-0.28526187,2.0025492,-0.14449358,-8.723336,1.0115027,-6.353587,0.4055977,5.306649,-4.8648596,5.095303,4.011166,1.7102599,-1.0880291,-2.399999,-2.6077569,1.0702848,-8.04801,-4.5681357,10.699916,-2.5072694,-2.3853898,-9.507447,2.1940827,5.36747,3.957677,-1.9977391,-4.9765053,4.9336553,4.8597455,-1.0173321,-2.8930366,-3.018427,7.0699334,4.1918397,0.616169,3.566277,4.243481,5.739081,-2.6206672,2.4116278,-0.4838705,4.862225,3.5548687,-1.6417861,1.1955857,1.8039703,-6.054342,-0.78591704,3.4537435,-2.572745,-3.9602935,2.61482,-1.2414277,-1.7201483,-6.496125,-3.3837318,-6.2593164,6.558025,2.946663,-0.5072534,4.0786624,-5.808258,7.396877,-5.7569265,-1.018101,-0.7619083,10.479856,-0.38221478,4.220438,-4.518068,-6.6596627,-22.155464,11.287987,16.298222,3.8297296,2.4664521,8.743358,-5.045569,-8.673298,16.666676,3.507924,1.4164329,1.1173248,4.205036,1.973486,4.332757,-2.0174563,-0.6034434,1.7346025,-6.393862,4.250157,-6.6977262,3.1947613,-1.2812614,-12.731772,1.3102055,-9.262503,6.664109,-14.257508,0.9118557,-8.132529,-7.540989,8.86525,19.776642,-3.8915694,16.74081,-5.1264343,3.906536,2.0379543,-1.4807165,2.6022315,-0.87504387,-2.5070608,-6.7729115,0.6604552,10.883832,2.1285653,-0.37491918,5.302775,1.8518567,-2.041471],"EWA^FMA_DIV_YLD(NTMA,-10AY,0,AM,\"PORTAGG\",\"MEANR\")":[4.78607173275801,4.75592950029302,4.81109286328628,4.71044497431136,4.6671230861649,5.06020117761409,4.82442256969284,5.06619038195458,4.95610550061048,4.81592129429739,4.53011693290039,4.61054270870761,4.65774731007215,4.81446837875472,4.85649458853878,4.80219644739101,5.43136449232939,5.45496103020028,5.31485225111782,5.17027182233629,5.09625601977213,5.17956832145028,4.88837963263002,4.92816711059488,4.68869872841796,4.65021755859497,4.67110150724477,4.44458509870179,4.58236082419872,4.54194004314948,4.7258727980457,4.59212589379812,4.5298092555234,4.55453806919956,4.52669613200515,4.50467500361871,4.44574673330957,4.61124187305626,4.6242746098921,4.57442448935465,4.57391715057525,4.58089859248312,4.48411319077228,4.49724618115489,4.45257812788818,4.47306088124523,4.66559465320391,4.84902846993286,4.67543651874244,4.7643423411268,4.62531135125136,4.62032241813123,4.61443164962547,4.81531214710918,5.07323443284335,5.32008527872189,5.45596684936931,5.12153635098732,4.93178777880528,4.91050119917208,4.88521793767339,4.84599235793604,4.6401897080609,4.56425079486326,4.67175098058672,4.47592848296078,4.40768446618338,4.25673679253991,4.31003796445163,4.17110828458869,4.52053737841289,5.12138299163459,4.07821543113563,3.45548211757745,3.38867077170893,3.42710956751036,3.41333715355654,3.72496845568349,3.77372243639313,3.45392217959086,3.58444483548155,3.61169391963808,3.85679833414238,3.97163701521748,3.93143691502429,3.85036759194042,4.05887340357472,4.05508738772716,4.03952312126006,4.15358137887748,3.98528527496247,4.07392915474144,3.87524385841504,4.35354911559231,4.33434453352567,4.24076049710472,4.51635158970303,4.70835848461473,5.31604037070342,4.79156354662496,4.87310864328757,5.2635282249166,4.85362296816974,4.43365855536458,4.54721408181031,4.24137503702736,4.47885722746835,4.54282694819021,4.43671538079257,4.47915140953114,4.2992331256683,4.15483800882763,4.15464262820757,4.32148858035086,4.43720329311373,4.29064807029694,3.96513279907874,3.9590217454451,3.95046016704912,3.90307869215625,4.01792604397345],"ENZL^JULIAN(FMA_DIV_YLD(NTMA,-10AY,0,AM,\"PORTAGG\",\"MEANR\"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6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1],"DDR3512M-FDS^FG_PRICE(0)/MAX(FG_PRICE(0,-1AY))":0.904222670345086,"PASP-FDS^FG_PRICE(0)/MAX(FG_PRICE(0,-1AY))":0.579301898346601,"PLATI-FDS^FG_PRICE(0)/MAX(FG_PRICE(0,-1AY))":0.842477876106195,"W-FDS^FG_PRICE(0)/MAX(FG_PRICE(0,-1AY))":0.771456757645511,"COPP-FDS^FG_PRICE(0)/MAX(FG_PRICE(0,-1AY))":0.964584674822923,"EWQ^FG_PRICE_MAVG(0,,,,60)":40.379,"EWL^FG_PRICE_MAVG(0,,,,60)":46.81283,"EWA^FG_PRICE_MAVG(0,,,,60)":24.009167,"URTH^FG_TOTAL_RETURNC(0,-12AM)":20.489275,"VWO^PERCENT_CHANGE(FMA_EPS(+1,0,,,,\"PORTAGG\",\"MEAN\"),FMA_EPS(+1,-1AM,,,,\"PORTAGG\",\"MEAN\"))":0.0,"EWI^FG_TOTAL_RETURNC(0,-1AM)":-0.94035864,"EWN^FG_TOTAL_RETURNC(0,-6AM)":26.027763,"QQQ^FMA_PCT_ABOVE_MAVG(200,0,,,,\"PORTAGG\")":59.8039215686275,"EWL^PERCENT_CHANGE(FMA_EPS(+1,0,,,,\"PORTAGG\",\"MEAN\"),FMA_EPS(+1,-3AM,,,,\"PORTAGG\",\"MEAN\"))":-3.57451082017021,"EWG^FG_TOTAL_RETURNC(0,-3AM)":5.0632954,"EWA^P_PRICE(0)/P_PRICE_HIGH_PR(0,,,,,,\"PRICE\",\"INTRA\",\"52W\")":0.9512779,"FXI^SIZE(FG_CONSTITUENTS)":53,"VGK^FMA_COS_DOWN(\"EPS\",\"1M\",+1,0,,,\"PORTAGG\",\"MEANR\")":548.0,"EWC^SIZE(FG_CONSTITUENTS)":88,"EWC^FMA_RBICS_REV_CURRENT(30, LOC, \"PORTAGG\")":40.0308181746704,"EWA^FG_PRICE_MAVG(0,,,,30)":24.051,"EWA^FG_TOTAL_RETURNC(0,-1AM)":-2.854818,"TRYDE10Y-FDS^PCTCHG(FG_YIELD(0,,,,\"YTM\"),FG_YIELD(-3AM,,,,\"YTM\"))":14.946149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FR10Y-FDS^FG_YIELD(-10AY,0,Y,,\"YTM\")":[0.837,0.9989,0.682,0.785,0.71,0.118,-0.344,0.201,3.07,2.534],"CAGDPY@JP^EE_ACTUAL_ANNUAL(MED,0)":3.67564716252459,"USDEUR^FG_PRICE(0)":0.93558496,"USDAUD^FG_PRICE(0)":1.5298707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80442513288],"EWJ^P_PRICE_RETURNS_PR('52W',2,-10AY,0,AM)":[-2.4479508,9.379494,8.344137,5.4751277,11.226153,-2.4362326,2.7491212,-0.72143674,-4.490942,3.7797928,7.9938293,12.14695,17.524565,13.029182,6.721592,8.93091,-0.09140372,3.6767602,4.0299296,7.0629954,9.162164,-1.3797224,-7.431853,-10.432518,-9.571666,-9.5994835,-9.648591,-6.1677513,7.387948,11.386883,2.2635818,0.99806786,1.7673969,14.553583,15.623498,15.068984,14.470566,19.830168,18.7585,17.26873,12.134684,13.091111,20.254875,22.757626,25.020386,24.245811,18.349707,16.978657,16.859745,13.340366,7.774782,7.964313,7.967663,10.18194,-5.4658175,-6.280917,-14.017778,-13.192195,-6.6220284,-6.002158,-6.8328676,-10.369987,-0.9145975,-6.1558247,-5.625552,-6.22617,10.147738,8.985674,19.750858,8.633733,0.4394889,-11.605597,-5.9912148,9.427273,1.337564,1.9612908,11.154509,7.4836135,1.2931347,12.816095,15.40935,19.561077,29.576338,48.74023,31.813824,23.191334,24.481678,26.127075,20.180738,19.700968,19.17212,3.2407403,1.1650205,-2.6408613,-7.4117603,-8.57262,-14.309579,-13.599831,-19.572884,-15.755903,-23.264378,-28.85003,-26.170933,-14.54823,-17.658394,-8.671832,-8.870422,-3.5937607,4.2066336,7.773435,18.257702,11.241674,18.256546,23.491787,22.935068,13.559496,19.233871,15.654051,28.189934,21.666538,19.981598],"EWC^FG_TOTAL_RETURNC(-10AY,0,AM)":[2.6474476,0.13059378,6.3914895,-1.6671777,2.7629495,-7.1799574,-1.5141487,-0.7018745,-2.099675,-5.402583,3.2792926,-1.4270484,5.4650784,-3.9807796,-3.840083,-4.3071213,-7.8277884,-0.84925294,2.6552439,-2.8785944,-6.391752,-5.581397,9.1133,6.5914273,6.946206,-2.5346518,1.6951561,0.28191805,3.855431,-0.6573856,-2.2966146,4.5019865,0.6911397,3.9005756,-1.8034577,0.7496238,-2.4553537,0.45766829999999997,2.4324417,4.260087,0.75268745,3.023827,0.03453493,1.3807416,3.1428933,-3.1762004,-5.1104965,-1.1280894,3.3860922,2.171588,-0.40011406,2.9619217,-1.3698697,0.2777815,-7.409972,-0.37397146,-7.7144804,12.200165,2.1747112,1.010108,0.60714483,-2.9818952,6.151569,-2.399999,0.46329498,-0.39021373,3.3831954,1.412332,3.193581,-1.0340214,-5.0556126,-24.849129,12.139821,9.983158,0.77444315,4.8368573,6.188214,-5.0344825,-2.650696,14.360321,1.8459558,2.107656,5.5573225,4.2117834,2.8002381,7.3294044,-0.93767047,-1.0098338,2.067113,-3.65597,7.3710084,-4.6020865,3.7511706,1.0668755,-0.66940784,4.250908,-8.105427,4.383123,-11.110049,2.1151543,-3.1645536,-8.615565,5.819237,8.141327,-5.662155,9.165907,-3.7783325,-0.5817354,1.1702776,-0.4048705,2.6263714,-0.22864342,0.057291985,-6.412828,1.957798,6.480646,3.6759496,0.24793148,1.9785643,2.5060654,-1.8401682],"ENZL^FMA_DIV_YLD(NTMA,-10AY,0,AM,\"PORTAGG\",\"MEANR\")":[4.02334072565347,4.21652535089343,4.43884777312299,4.50732319290417,4.55040808246503,4.59232159578594,4.50483954106414,4.57758351424337,4.43586796347832,4.31359414479585,4.25449670336067,4.4138014957123,4.45989456357006,4.40549949994819,4.61186719416915,4.55337120119166,5.1675239644058,5.29837676602734,4.92400438482643,4.75539613817842,4.72515980905889,4.83835130478712,4.81460569798833,4.57794648713835,4.59546039825855,4.33468707529586,4.39813902459698,4.1555008395942,4.19990245517957,4.32040439452407,4.64897558530992,4.57716127993359,4.6345425267273,4.5228878674751,4.64778072982536,4.57882710059766,4.45068870232262,4.41186765273181,4.39307428705327,4.35943734422663,4.38776912924581,4.42199180644384,4.3760359419841,4.31485409915926,4.20508988280844,4.19229139119894,4.28903646170116,4.32083085671261,4.24851336414313,4.16799857437243,4.06136096123869,4.14160364978268,3.89557331235409,3.98940503922552,4.2119740238095,4.25832976064396,4.18110431728983,4.0989739418008,3.92348559420387,3.71793475597435,3.67996311086673,3.70790683248854,3.55080282879832,3.4045182177879,3.43300478864385,3.32148199287451,3.37994590382817,3.228099395364,3.18158487015295,3.10302790525696,3.22536391361514,3.26361324018935,2.71491786574694,2.57759086901416,2.46940634729309,2.39843697141942,2.36485177861648,2.45015190458803,2.43731182098679,2.37863753220467,2.40539263641599,2.49135678888809,2.57696973478638,2.59513839586018,2.58809487322422,2.69154357224649,2.62515177601402,2.63853030411504,2.56596813110993,2.61871249573644,2.68408617896531,2.7873913521222,2.76511566800919,2.95426598433936,3.00988789678015,3.06349188681102,3.08218148107593,3.2176421068525,3.40633923200343,3.24581234231116,3.19455867029734,3.42620608411407,3.38987433464708,3.38567091972028,3.48175951513012,3.26417718532104,3.36978952100331,3.3968483428021,3.3854035922504,3.41498057686381,3.41941461587257,3.41082347953451,3.30573007834377,3.43375512263682,3.48940299847291,3.10567909452213,2.97117772883368,2.98016780582514,2.76223651203116,2.73648411829369,2.75033600678367],"EWI^FMA_PE(LTMA,-10AY,0,AM,\"PORTAGG\",\"MEANR\")":[17.1929215138145,17.139794166848,17.5592076226811,17.014809151495,17.6013722125609,17.0003573237253,17.2201366552846,18.8764897816107,18.3466638170294,23.7028701352368,45.0675813410951,42.2802481730877,39.584429081175,36.6154361071937,33.483948253963,31.3328382271907,27.5092212034034,24.8459512457413,23.1884376672775,21.1969702675863,17.9614432089949,14.641912605873,15.4156096953203,15.206613016826,15.2194388114672,15.0544460899201,14.4259968433632,14.4105887636741,15.1038076396175,14.6807457855707,14.3865363647128,14.4867861339462,27.6594648643477,19.8595363780715,85.569365789149,78.8542286422471,71.3145907690207,64.0285620945993,57.3506552325927,49.9880683941776,42.9328744031754,36.1232998201625,29.0674072890416,22.2411344838242,15.0071226062268,15.4206696166956,14.1696212278114,14.0587293457525,14.2203411644906,13.5979394796518,13.2081324378876,13.0906841400674,12.4458594415345,12.2205977720998,11.5501657389104,11.2217000747596,10.3882536252733,11.0367709734709,11.2968756302449,11.3412781659857,11.3282508370533,10.836667034931,11.1493964323218,11.0615612962911,11.1152851854124,11.0188515657925,11.7720322730905,11.6599722863528,12.2610093228592,11.9865593742223,11.3083638426219,11.1124847902777,12.6078208976612,15.0662585657087,17.0037692368536,17.0026583394091,17.9170072197883,18.115127925755,18.4290993675852,22.4806884673098,23.3237130000973,20.5485047683835,20.2682487878898,19.7895671723476,19.1070181825205,18.5771681045715,17.9766484038761,17.0765361175438,15.6634613519193,14.6199042510871,14.1076786940882,12.3603015696677,12.0674553868396,12.0741594935383,10.6162195837854,10.582352330359,10.316189274652,10.0136719423804,9.32052182494765,8.95476990246281,8.51641207644438,8.02900297750191,8.13041433985022,7.88335706991698,7.3748312726829,8.25616363827509,8.29634666434956,8.29933443405495,8.31994807874522,8.41175433140411,8.59929106788544,8.39762286442425,8.38806422040202,8.15490815424265,8.16060367864137,8.63230951448981,8.91633057128831,9.08446825995505,9.35945744645653,9.4569744424315,9.43560939764699],"DDR3512M-FDS^FG_PRICE_CHANGE(0,-1AY)":-9.57773296549136,"PASP-FDS^FG_PRICE_CHANGE(0,-1AY)":-35.4266211604096,"PLATI-FDS^FG_PRICE_CHANGE(0,-1AY)":-9.76303317535545,"VWO^FMA_PCT_ABOVE_MAVG(200,0,,,,\"PORTAGG\")":41.5520206362855,"REFJPTON-FDS^PROPER_NAME(0,,,\"SECURITY\",\"NAME\")":"Japan Policy Rate","TRYNL10Y-FDS^PCTCHG(FG_YIELD(0,,,,\"YTM\"),FG_YIELD(-3AM,,,,\"YTM\"))":13.375796,"CAGDPY@IT^EE_ACTUAL_ANNUAL(MED,0)":0.508205836311015,"CC_AU^FG_COMPANY_NAME":"Australia","USDSEK^FG_PRICE(0)":10.9136,"USDCHF^FG_PRICE(0)":0.9135,"EWQ^FG_PRICE_MAVG(0,,,,30)":40.575,"EWN^FG_TOTAL_RETURNC(0,-3AM)":5.56525,"VGK^FMA_COS_UP(\"EPS\",\"1M\",+1,0,,,\"PORTAGG\",\"MEANR\")":424.0,"REFJPTON-FDS^FG_YIELD(NOW,,,0)":0.1,"ENZL^FG_PRICE_MAVG(0,,,,30)":44.89376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TRYCN10Y-FDS^FG_YIELD(-10AY,0,Y,,\"YTM\")":[3.653331,2.901145,3.070911,3.93859,3.259862,3.197311,3.1948,2.7893,2.855,2.574],"EWN^FG_TOTAL_RETURNC(0,-1AM)":-1.7868042,"EWU^P_PRICE(0)/P_PRICE_LOW_PR(0,,,,,,\"PRICE\",\"INTRA\",\"52W\")-1":0.16290641,"EWL^FMA_PCT_ABOVE_MAVG(200,0,,,,\"PORTAGG\")":57.7777777777778,"EWG^PERCENT_CHANGE(FMA_EPS(+1,0,,,,\"PORTAGG\",\"MEAN\"),FMA_EPS(+1,-3AM,,,,\"PORTAGG\",\"MEAN\"))":-0.782324593252817,"EWA^FG_TOTAL_RETURNC(0,-3AM)":0.9322047,"FXI^FMA_COS_UP(\"EPS\",\"1M\",+1,0,,,\"PORTAGG\",\"MEANR\")":20.0,"EWI^SIZE(FG_CONSTITUENTS)":26,"QQQ^FMA_COS_DOWN(\"EPS\",\"1M\",+1,0,,,\"PORTAGG\",\"MEANR\")":39.0,"EWC^FMA_COS_UP(\"EPS\",\"1M\",+1,0,,,\"PORTAGG\",\"MEANR\")":40.0,"ENZL^FMA_RBICS_REV_CURRENT(30, LOC, \"PORTAGG\")":13.7517044499309,"TRYIT10Y-FDS^PCTCHG(FG_YIELD(0,,,,\"YTM\"),FG_YIELD(-1AM,,,,\"YTM\"))":1.6141802,"EWG^PERCENT_CHANGE(FMA_EPS(+1,0,,,,\"PORTAGG\",\"MEAN\"),FMA_EPS(+1,-1AM,,,,\"PORTAGG\",\"MEAN\"))":0.175233652588625,"CAGDPY@SE^EE_ACTUAL_ANNUAL(MED,+1)":5.4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WG^P_PRICE_RETURNS_PR('52W',2,-10AY,0,AM)":[26.32345,24.861872,31.004227,9.54442,15.137207,-1.5406072,-5.319333,-3.897971,-9.494901,-1.9498587,-4.0632067,-1.9275844,-3.5145342,-6.9159746,-9.212196,-1.1263967,-8.487272,-6.742507,2.818942,-4.810375,-2.79271,-15.900576,-17.36979,-13.744556,-10.031944,-9.661139,-12.140441,-8.489143,4.3566823,8.764577,-5.051291,-5.549103,1.9262791,19.283283,17.441486,14.491785,15.751255,24.889278,28.358067,24.90946,19.625902,25.58564,33.92452,36.155773,28.373575,25.431501,17.11582,12.194228,11.344266,4.370308,1.1805058,1.3812661,0.9038806,-5.705923,-14.858067,-17.095613,-22.527128,-20.872295,-11.139929,-10.890347,-10.352069,-12.863559,-3.0799925,-10.987127,-12.065733,-9.915996,7.1332574,9.745765,22.014809,9.413683,-0.87010264,-22.439362,-17.153847,2.3972273,-1.0038435,6.430316,18.249023,13.1447315,-6.4704,9.536529,10.563791,15.549171,25.176548,70.44282,50.21949,37.743176,29.986143,26.091755,17.964851,15.694893,32.745766,6.1612725,5.840075,3.0247092,-11.085624,-13.5556755,-23.08057,-21.36178,-30.947208,-30.136246,-36.91226,-37.647526,-34.92675,-16.462332,-22.198814,-7.9954505,0.022649765,3.3809423,15.362061,6.553054,27.615654,25.247038,31.744062,34.02065,23.919975,15.437115,21.905445,4.0325284,15.048528,13.185251,8.660162],"EWA^FG_TOTAL_RETURNC(-10AY,0,AM)":[1.3112187,1.0277867,1.3528705,-0.3018856,2.8009057,-11.340207,5.6063175,-8.06135,-2.4032176,1.2217164,5.945468,-3.0379772,2.0452619,-4.221755,-2.456075,-2.1972835,-13.049709,0.3298521,3.397262,2.9676676,0.30611753,-9.757376,7.30567,4.575169,4.583323,-4.0338635,2.83885,5.629468,-1.4534831,2.7531981,-4.354066,3.5017489999999998,0.39114952,6.6238284,1.7617106,3.0068278,0.22113323,-4.1482806,2.0105243,4.7509193,0.4843712,-1.2269914,1.952076,-0.5657077,4.5698285,0.8576393,-3.316331,-4.8372927,3.9279103,1.0226727,0.116062164,1.5688062,-0.7502198,-2.9346347,-4.3518124,-0.38313866,-4.6291113,7.643974,4.2315245,1.0265946,0.0461936,0.64635277,5.272627,-1.2894571,-2.3423433,-1.0608852,6.107223,-0.13181567,2.0441055,-2.110815,-8.265948,-24.04505,4.3842673,18.900549,4.5401216,0.40342808,6.077349,-6.0132623,0.15112162,17.002022,3.8402557,2.1294236,3.5568357,-0.7895827,2.984476,4.791355,-2.2327662,-0.7265806,1.6949177,-5.5302978,4.9318314,-5.769968,4.358971,-6.242448,5.7130575,8.451843,-8.167857,3.3863783,-14.083057,6.4011455,-2.9857397,-9.875977,5.147803,14.590406,-4.2133865,12.190735,-7.377708,-0.69264174,-0.3923297,-0.6127,1.1723161,-0.931257,-0.4028678,-5.303371,2.2781134,6.4037204,7.490492,-2.277428,2.4999976,1.3641953,-2.854818],"EWD^FMA_PE(LTMA,-10AY,0,AM,\"PORTAGG\",\"MEANR\")":[15.4457277166589,15.7004483448681,15.8202288697401,15.8265445072361,15.837432735271,15.6583682915239,16.3360450818904,17.276734481544,17.5611304283267,18.6957667778568,20.2676436690787,19.9577239367745,19.2562506036483,19.2351606466027,18.5594823200711,18.4990183364309,17.2628706460922,16.4681325303132,17.1878150684434,16.9850084282074,16.0162580656525,14.4039914412014,15.601495082396,15.5496259742074,15.6363720432732,15.5413188431315,15.4538294040505,15.6454935671329,16.2003736307799,16.4554693449696,17.0437142550816,17.3004395096195,18.1859107293486,18.4027659804201,17.4532626241643,17.6049334019684,17.6763912601133,18.1528829143027,17.4990003834848,17.1355687300556,16.9755886646677,17.7321950467678,18.5314882946621,17.8216889028726,17.9093361988877,18.7371641814784,16.8815747774007,16.8231027164668,16.8231405768389,16.6276635043872,16.3834164936069,16.5196103953069,16.8131756196541,16.8650697893525,15.4743853477997,14.8233032959828,13.7750259824138,16.2348727994808,18.1610367121294,17.8742479435979,17.827335966058,16.9717151312444,17.2117714392315,16.602151412974,15.7954335685399,16.0815529167927,16.8330184694823,15.6867913285685,16.5374195138212,13.8178467867798,12.9183329692365,13.0133642732712,14.6082507336295,16.1648903402559,17.5640069723943,16.8692196325316,17.3667046659214,18.0136853420958,15.287679474203,16.9979228231887,17.9105294586652,18.2452449030203,17.6844553333924,18.1673704623605,17.8401180626314,17.8603813833199,18.0061697759588,17.5621950059019,17.6648984563937,16.9584364347388,16.510405614529,16.3018392672552,16.8898189173051,12.4573617813152,11.6244451677279,12.1005327502383,12.1815908050144,13.8787952344636,13.3069347106171,14.5849857580114,14.4771349967777,14.3106335372338,13.4713106697508,14.5317646569025,15.4425697148485,28.3538568535524,25.5828715822603,24.4401119167084,23.2606290647167,22.0082611340725,20.9179852300841,19.3435083382931,17.9375657964208,16.5641488501895,15.8416971314378,17.5544726039315,17.8204230955399,15.2414895535651,15.9463011205657,16.0402770983994,16.0481199184105],"DDR3512M-FDS^FG_PRICE_CHANGE(0,-6AM)":-5.57779297052416,"PASP-FDS^FG_PRICE_CHANGE(0,-6AM)":-16.2090345438441,"PLATI-FDS^FG_PRICE_CHANGE(0,-6AM)":2.69687162891046,"W-FDS^FG_PRICE_CHANGE(0,-6AM)":3.71352785145889,"COPP-FDS^FG_PRICE_CHANGE(0,-6AM)":22.5524952277066,"EWQ^FG_PRICE(0)":40.29,"EWL^FG_PRICE(0)":45.69,"EWA^FG_PRICE(0)":23.82,"SPY^FG_TOTAL_RETURNC(0,-3AM)":2.4800062,"URTH^P_PRICE(0)/P_PRICE_HIGH_PR(0,,,,,,\"PRICE\",\"INTRA\",\"52W\")":0.9648047,"VGK^FG_TOTAL_RETURNC(0,-12AM)":9.243954,"EWI^PERCENT_CHANGE(FMA_EPS(+1,0,,,,\"PORTAGG\",\"MEAN\"),FMA_EPS(+1,-1AM,,,,\"PORTAGG\",\"MEAN\"))":-0.142981277240605,"REFJPTON-FDS^(SUBARRAY(NOT_NA(NO_REPEAT_F(FG_YIELD(NOW,-10AY,D))),0,1)-SUBARRAY(NOT_NA(NO_REPEAT_F(FG_YIELD(NOW,-10AY,D))),1,1))*100":10.0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DDR3512M-FDS^FG_PRICE_CHANGE(0,-3AM)":-0.551384704678681,"COPP-FDS^FG_PRICE_CHANGE(0,-3AM)":17.5978019102447,"EWI^FMA_PCT_ABOVE_MAVG(200,0,,,,\"PORTAGG\")":72.0,"VGK^FG_TOTAL_RETURNC(0,-6AM)":16.064644,"SPY^PERCENT_CHANGE(FMA_EPS(+1,0,,,,\"PORTAGG\",\"MEAN\"),FMA_EPS(+1,-3AM,,,,\"PORTAGG\",\"MEAN\"))":0.286489776429247,"EWA^FMA_COS_UP(\"EPS\",\"1M\",+1,0,,,\"PORTAGG\",\"MEANR\")":20.0,"CAGDPY@SE^EE_ACTUAL_ANNUAL(MED,0)":6.76905401199225,"CAGDPY@DE^EE_ACTUAL_ANNUAL(MED,0)":6.11650885437241,"USDITL^STD(FG_PRICE_CHANGE(0,-3AY,M))":2.17952831157567,"USDANG^STD(FG_PRICE_CHANGE(0,-3AY,M))":0.0594600681310969,"USDGBP^STD(FG_PRICE_CHANGE(0,-3AY,M))":2.40581568682052,"USDJPY^STD(FG_PRICE_CHANGE(0,-3AY,M))":3.04123201183011,"USDCAD^STD(FG_PRICE_CHANGE(0,-3AY,M))":1.84677137832339,"USDNZD^STD(FG_PRICE_CHANGE(0,-3AY,M))":3.46010374894999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4,4.61613856769821,4.46089543101883,4.56547559046599],"EWC^P_PRICE_RETURNS_PR('52W',2,-10AY,0,AM)":[12.745869,13.422358,26.346802,17.422855,22.032917,9.319687,4.0884495,4.69532,1.180768,-0.75587034,-1.8921435,-5.4311695,-2.3891568,-6.824893,-15.785461,-18.836344,-26.4925,-21.478992,-18.154806,-19.948942,-23.909348,-23.603165,-19.287693,-11.667085,-11.496377,-10.1634445,-4.4914007,-0.4360199,12.184143,14.111673,6.979239,15.108955,22.90405,36.253155,22.62107,15.411925,5.7119966,8.957493,11.180282,14.101088,12.299013,14.794052,17.532969,14.546561,16.79889,8.843601,5.1779985,3.2177448,9.398926,11.223173,8.188605,6.8415165,5.491352,1.8028617,-5.7732344,-6.0283127,-17.151266,-6.637806,2.8898954,5.612266,2.7734876,-2.5461853,4.00908,-1.407367,-0.84872246,-0.24387836,11.176753,13.381779,26.783382,12.159813,3.9155722,-22.687483,-14.37223,-2.309066,-7.2576103,-1.5388966,5.295861,0.38648844,-5.472499,6.596458,5.5211782,8.544123,20.677258,70.401955,49.994205,49.70455,47.161137,38.954044,33.561337,35.35266,49.449265,24.668657,27.000809,25.706291,18.290997,18.33539,5.7816625,2.8778791,-7.686311,-4.772091,-9.653205,-13.525009,-15.542584,-4.2606235,-12.537366,-5.9710207,-8.914,-13.114768,-4.368496,-8.755046,6.471312,2.927351,7.3082805,8.9154005,4.940963,2.7166486,13.557589,4.2808414,10.971808,13.9525175,10.561716],"ENZL^FG_TOTAL_RETURNC(-10AY,0,AM)":[3.672111,-4.136193,3.034699,-4.644245,0.8935213,-4.6248493,2.6048422,0.7041335,1.7017603,-2.3971736,6.049633,-1.877135,0.32298565,-4.1852474,-7.408839,-0.17181635,-8.978772,1.7018676,12.70529,-0.38493276,5.428195,-6.9274306,6.2677026,10.439706,3.028822,0.047421455,4.1550875,6.6820264,2.742982,-1.5114546,-7.96355,-1.1363566,-3.5830855,8.683622,-2.0611405,-0.1655221,2.1790624,4.717195,4.314184,2.8534412,-2.7532578,1.3831854,-2.4301827,0.6117463,6.0154557,2.3173213,-0.67332983,-0.636816,-1.5712202,2.3524404,-0.27816296,-0.3766477,3.0245662,-1.0601461,-5.048418,4.7851563,-3.503722,5.680573,3.1631231,4.569137,-1.0923743,-0.9881854,5.6438565,1.8051863,-4.7469497,0.1745224,2.0712376,6.6755176,4.4007063,-2.3304343,-5.9650955,-14.541567,5.981314,12.460793,7.1169376,2.638483,3.6516786,-4.141575,2.4191499,12.270451,2.601862,-0.6463945,-5.2639303,-2.6845634,3.560543,-3.205824,-0.4834473,-1.6709924,6.2860847,-2.7320683,0.84536076,-6.503749,1.1879325,-8.423919,2.410984,0.18109083,-10.4302225,-0.64581037,-8.855635,8.3201885,-2.4354756,-12.139958,4.978144,15.521622,-2.3119628,9.351182,-6.686759,0.7872462,-0.1602292,-2.0060182,1.2698054,-1.2249887,-5.952877,-3.692311,-0.27384758,8.032036,3.2702565,-3.0778825,-1.555413,-0.26332736,-1.6061604],"EWI^FMA_PE(NTMA,-10AY,0,AM,\"PORTAGG\",\"MEANR\")":[14.0708482211635,14.1787715491187,14.6440192324189,13.6500259638654,13.7654354728954,13.015833105756,12.859005925144,13.0475231517668,12.3465411669524,13.9398739777679,15.4686494592019,15.9388310177707,15.78845062378,15.6846195934283,14.8304003267738,15.4666177640748,14.1812911102444,13.9538705482463,14.8078367870539,14.9516794743883,14.0570435212574,12.6448694813719,13.1318587823222,12.8388132228063,13.2585854472278,13.0012940514263,11.8557083830139,11.9270074380262,12.5206266110849,11.7803348217568,11.5622685063906,12.014925970761,13.5567131574021,12.8118639170438,13.2374212070535,13.682327478082,13.4532173712084,13.3007485007019,12.9922537854392,13.4698141552726,13.3394042700422,13.7935170514119,13.7380907313988,13.2668277987846,12.9098230633379,13.0654642426309,12.3046923683967,12.4245778462623,13.1617917573454,11.7420446539254,11.2610184652365,11.3062303026601,10.5885717201615,10.5105541138501,9.94002956158159,9.6810525954439,9.15309727874026,9.89504201309672,10.4911479274243,10.8729236673167,10.8503349599861,9.74880618893185,10.5465957016108,10.3747233306414,10.5133520374046,10.4034490994205,11.1590078572378,11.0096460775393,11.510054322043,11.240492013789,10.288239754883,9.68835623811342,13.3841180198839,17.0179843835219,17.9760991754632,16.4093384617975,15.8478122473414,14.5590336185972,13.3813099654107,15.2059416171855,14.7412461357557,13.596308362295,13.6534183704427,14.0471705125076,13.4412207407004,13.6650670497407,13.4337090345574,12.8511878989897,12.0023757893806,11.5581456791629,11.7514456897696,10.7438913511664,11.069489560574,10.923731325192,9.69050998433968,9.81421282883604,9.22144969575623,8.84486089700579,7.70345533018875,7.69785247861026,7.64077774858364,7.21126707199346,7.9061581623202,7.88857804052585,7.59438441254583,8.50789637146045,8.64197743477776,8.4771354117954,8.41044346920074,8.54537760711135,8.79260716527944,8.52358151439278,8.48261079696335,8.14011670570309,8.12743538789502,8.64684142677665,8.96982113038129,9.00388375619441,9.33721289905997,9.68380951885355,9.48820717355478],"EWN^FMA_PE(LTMA,-10AY,0,AM,\"PORTAGG\",\"MEANR\")":[16.8838582527278,16.8363518063489,16.8121554460714,16.3065554889084,16.6631913996123,16.4112081034208,16.9559362554403,17.9953422513959,17.5290952437531,18.6672314298095,20.1216495271339,19.935824790479,19.6264132950042,19.3405401970592,18.9265659133696,19.0096127556024,17.2815494756593,16.6411710548961,17.5381283282994,18.0497439270832,16.8706386495531,16.1100824424955,16.4196167662267,16.3502918095853,16.2399772605848,16.3142780026217,15.8183783091024,15.9295296018543,16.4169863010332,16.156385409687,15.5426729398966,15.2558604741705,16.2999348215531,16.0789968509557,16.4344944810755,16.5201736815972,16.7152850193805,16.7707809086025,16.4737540777456,16.6910072811845,16.6016722981034,17.1140217298837,17.3471096425331,16.9747585624299,17.2046806832801,17.2807800920778,16.5897048139151,16.5455400126194,16.5752744646016,16.6365813063737,16.4515314392364,16.7623906011179,16.6007329052535,16.2688089210677,15.666116999648,15.412775614075,14.22483265197,15.2677384156241,16.1603659396246,16.1978162729385,16.340435405765,16.0237908636588,16.4446350310776,16.3989457147716,16.5260796189774,16.6650590908637,17.4597494307274,17.8200144659564,18.892177719228,18.421976303677,17.3459888995716,16.850811532628,17.8263059835798,18.7372446178283,19.7521423634253,20.1049729277738,21.6405057753544,22.1076455289848,21.9285396761599,25.7656020435399,27.3483404065677,28.0122267189257,28.8735834418528,28.6410002005665,27.8915237561897,27.0791605446551,26.5711067603107,26.3180046825947,26.0121858234175,24.1534486772699,24.679727500743,22.6731407832657,22.689109706604,20.5042075416703,18.3293552595811,18.5764891831276,18.1741293565603,18.6111937823619,18.0143758074229,19.6049252927894,18.4443194389549,17.0934099382482,18.1507602333817,18.4499237314036,17.6566343846657,19.8959959636716,20.6362907505789,20.3592854426143,19.7548291543059,19.4460044066019,19.2358257724436,18.9088031707244,17.8169818108069,16.5672142721115,16.0430350800142,16.3995440503203,16.4124883144659,17.4294383647354,18.4996766559607,18.3990315772252,18.1265010127981],"PASP-FDS^FG_PRICE_CHANGE(0,-3AM)":-2.27272727272727,"PLATI-FDS^FG_PRICE_CHANGE(0,-3AM)":4.61538461538462,"W-FDS^FG_PRICE_CHANGE(0,-3AM)":-2.20925385577323,"EWI^FG_PRICE_MAVG(0,,,,200)":33.36155,"SPY^FG_PRICE_MAVG(0,,,,200)":468.86395,"EWJ^FG_PRICE_MAVG(0,,,,200)":64.17685,"ENZL^FG_PRICE_MAVG(0,,,,200)":45.62354,"SPY^FG_TOTAL_RETURNC(0,-1AM)":-2.661711,"URTH^FG_TOTAL_RETURNC(0,-6AM)":17.004776,"VGK^P_PRICE(0)/P_PRICE_LOW_PR(0,,,,,,\"PRICE\",\"INTRA\",\"52W\")-1":0.20214307,"EWN^PERCENT_CHANGE(FMA_EPS(+1,0,,,,\"PORTAGG\",\"MEAN\"),FMA_EPS(+1,-3AM,,,,\"PORTAGG\",\"MEAN\"))":0.888141554942336,"TRYAU10Y-FDS^FG_YIELD(0,,,,\"YTM\")":4.446,"DDR3512M-FDS^FG_PRICE_CHANGE(0,-1AM)":0.907102931709258,"PASP-FDS^FG_PRICE_CHANGE(0,-1AM)":-7.79727095516569,"PLATI-FDS^FG_PRICE_CHANGE(0,-1AM)":2.36559139784946,"W-FDS^FG_PRICE_CHANGE(0,-1AM)":7.56533700137552,"COPP-FDS^FG_PRICE_CHANGE(0,-1AM)":10.4176904176904,"EWI^FG_PRICE_MAVG(0,,,,60)":36.347668,"SPY^FG_PRICE_MAVG(0,,,,60)":509.3355,"EWJ^FG_PRICE_MAVG(0,,,,60)":69.030334,"ENZL^FG_PRICE_MAVG(0,,,,60)":45.19763,"URTH^FG_TOTAL_RETURNC(0,-3AM)":2.6603222,"VGK^P_PRICE(0)/P_PRICE_HIGH_PR(0,,,,,,\"PRICE\",\"INTRA\",\"52W\")":0.9765418,"CAGDPY@NL^EE_ACTUAL_ANNUAL(MED,+1)":7.6,"CAGDPY@CA^EE_ACTUAL_ANNUAL(MED,+1)":-0.6,"USDITL^STD(FG_PRICE_CHANGE(0,-1AY,AM))":1.53665594618569,"USDANG^STD(FG_PRICE_CHANGE(0,-1AY,AM))":0.0,"USDGBP^STD(FG_PRICE_CHANGE(0,-1AY,AM))":1.72010582787177,"USDJPY^STD(FG_PRICE_CHANGE(0,-1AY,AM))":2.26269722774326,"USDCAD^STD(FG_PRICE_CHANGE(0,-1AY,AM))":1.23718688222485,"USDNZD^STD(FG_PRICE_CHANGE(0,-1AY,AM))":2.05184338346361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6105548499],"EWA^P_PRICE_RETURNS_PR('52W',2,-10AY,0,AM)":[-0.17859936,14.15044,22.308731,18.218935,20.443213,-1.5585065,-0.71719885,-2.8951705,-4.2111754,1.7565489,-0.4464686,-7.1191072,-6.2319813,-11.307341,-14.640504,-16.79867,-29.17446,-19.851887,-21.528404,-12.114906,-9.960371,-19.47233,-18.438452,-11.727208,-9.846634,-9.669775,-4.1840973,2.8547406,16.572071,21.586275,10.437643,11.01048,9.94482,31.272745,24.490524,21.861887,17.508865,17.368757,16.96211,15.455067,17.78332,13.165272,20.626509,16.054344,20.709717,14.181746,8.483934,0.22273064,3.9295673,10.915065,7.502067,4.236388,3.7284255,1.1757255,-5.0801573,-4.5717773,-13.271242,-8.83103,0.09881258,5.939746,1.9828796,2.2782207,6.836128,3.8296342,1.1743426,4.1362286,15.24744,15.814888,23.918581,12.524784,-0.82255006,-25.435299,-22.309727,-8.091932,-8.731431,-8.036107,0.8376241,-4.2097807,-9.586752,5.924952,8.265495,12.458491,26.952255,71.34552,55.437447,44.18496,34.843563,33.325947,27.817774,28.280699,34.607292,8.408821,8.950353,0.019347668,2.10191,11.61269,-0.47399998,-1.808393,-12.843555,-7.5146017,-11.771387,-15.423012,-15.656728,2.5674105,-6.4979553,12.651038,-1.2988925,-8.732128,-1.9687414,-5.7606754,10.292578,3.3250093,6.2711596,11.457836,8.415937,0.28856993,12.971008,-1.597786,8.943474,11.151767,8.403897],"ENZL^JULIAN(FG_TOTAL_RETURNC(-10AY,0,AM).DATES)":[41761,41792,41822,41852,41884,41914,41943,41975,42006,42037,42065,42096,42125,42157,42187,42216,42249,42279,42310,42340,42369,42402,42431,42461,42492,42523,42552,42584,42615,42643,42676,42706,42734,42768,42796,42825,42857,42888,42916,42949,42979,43010,43041,43070,43102,43133,43161,43192,43222,43252,43283,43314,43343,43375,43406,43434,43467,43497,43525,43557,43587,43616,43648,43679,43707,43740,43770,43801,43832,43861,43892,43923,43952,43984,44014,44043,44076,44106,44137,44167,44196,44229,44257,44287,44316,44349,44379,44410,44441,44470,44502,44532,44561,44594,44622,44652,44683,44714,44743,44775,44806,44834,44867,44897,44925,44959,44987,45016,45048,45079,45107,45140,45170,45201,45232,45261,45293,45324,45352,45384,45414],"EWD^FMA_PE(NTMA,-10AY,0,AM,\"PORTAGG\",\"MEANR\")":[15.6444081505704,15.795132021905,15.6091426227437,15.1825336425474,14.70130714263,14.1609398125215,14.6907340445612,15.6010117186958,15.580527381065,16.1874705395003,17.3272944996524,17.0216798453716,15.84340237342,16.3979136966945,15.5856786497829,15.9682175913571,14.6261777878221,14.1462302046591,15.4742613183456,15.7283948526117,14.9750159777383,14.2028329502654,15.2940450005614,14.9967251926417,15.1822982812898,14.9124674530178,14.6967790020612,14.9210766395263,15.6461650170137,15.7653590079957,15.6854356723475,15.958798335709,16.4046723033614,16.467043017763,16.4861280734146,17.1510964012342,17.1913367105951,18.0717772891166,16.4637755011596,16.1057157420662,15.965060274012,16.8215283710074,17.3185991861077,16.3458888812158,16.1127727741724,16.4732815841935,15.7541759072653,15.8088925977044,15.981173209402,15.5701425212651,15.183393516715,15.4466694800236,15.8653631698662,15.8235302616642,14.6065068232269,14.1492544826452,13.3207519495955,14.216734947416,14.8597644903292,14.9743617129767,15.5759416922138,14.0663540717261,15.1869857192665,14.5782762926816,13.7512240892693,14.5281935068229,15.7451263341126,15.4198607977394,16.4456655902445,16.0995250764185,15.1344092548038,14.2626427067042,17.2063611570907,19.159539810945,19.6962540659764,18.1484750364984,18.2421698538878,18.1470522982212,15.895362074732,17.3596271235681,17.9780130695963,18.8380158894437,19.3146646292158,20.27506424948,18.6859229164902,18.6627934555203,18.696771407499,18.5490114470734,18.7701761891819,17.8090492959754,18.3034537632029,18.6094275712072,18.6078033361491,16.9183596645616,14.7708243529016,15.2752027078558,14.2190704712375,16.2919049986504,14.1175287451658,15.108149032147,13.940791514151,13.0652029604564,12.5426861227985,13.2020134147436,12.6096815389115,14.5898994812389,14.0069630255182,13.8033450845806,13.7880449142621,13.6792109589463,13.6055048185011,13.1606961467037,12.9963127782912,12.8029661132141,12.7290148240915,14.6781321560517,15.6622507223218,15.6426811473785,16.3621203567738,16.3685659503279,16.0961396775348],"EWQ^FMA_PE(LTMA,-10AY,0,AM,\"PORTAGG\",\"MEANR\")":[15.817404028698,15.8472157864156,15.6895243831332,15.1796147206156,15.4084923034105,15.0008586070776,14.9429776821522,15.4835753463286,15.0097912131255,16.2415851859545,17.5342662630451,17.5702056949852,17.4613249037491,17.3905134409748,16.9947151139488,17.1919416855132,15.912535445349,15.5019152118394,16.4666872068833,16.3480607675867,15.4220750370538,14.3168970531099,15.1778584439352,15.0982386968912,15.1939138342562,15.2065634425826,14.851521350003,14.8843662408689,15.1507258838969,14.8789840518654,14.7118875571187,14.8672597288948,15.7881796008571,15.539747531659,15.6200861752374,15.6742006521623,15.8020359495088,15.827294319433,15.5101231229392,15.5049701570947,15.528032370634,15.9819869086276,16.3470182775504,15.97207081065,15.9191216638423,16.0985045047139,15.5409620442201,15.457147325593,15.6086138873161,15.4486688332309,15.08851417222,15.2191353597114,15.0320387753647,15.0306538233816,14.1901749458689,13.7530718875671,12.8019291844121,13.8352055231773,14.5822107705839,14.585015040554,14.6532707356954,14.3250107055749,14.7240382173658,14.588479542227,14.7725511007279,14.7052435689616,15.6943298828082,15.8484901880189,16.6582354349972,16.0515710526366,14.6494664161015,14.358128536284,15.9257249143082,17.3879026588207,18.965655791646,20.7681842366167,22.8714747507404,23.2948090991294,23.4494140054269,28.2675657150071,28.8602295434066,27.9249097423791,27.0035726584674,26.3018598215951,25.4484766270221,24.5999592820051,23.6069044409013,22.2273698160229,21.1315476855563,19.5068568242377,18.8719134126484,17.4091144508692,17.2038333997496,16.5633505415583,15.4093063775623,15.2576768532546,14.762193387091,14.4031629596836,13.5290358512684,13.2786674651951,12.5414968839501,11.4728680650455,11.7537820789461,12.2242042488252,11.5286030923617,13.0110283643347,12.9116911972026,12.9903789765406,13.1746982086738,13.1286576140995,13.3012820963737,13.2806740016191,13.2788951824109,12.8619780495733,12.8726596238141,13.5488907039725,14.054890903998,14.3985921965339,15.4933292683368,15.4890504918787,15.4392061346424],"EWD^FG_TOTAL_RETURNC(0,-12AM)":9.347523,"EWN^PERCENT_CHANGE(FMA_EPS(+1,0,,,,\"PORTAGG\",\"MEAN\"),FMA_EPS(+1,-1AM,,,,\"PORTAGG\",\"MEAN\"))":-0.934680041218679,"EWU^FG_TOTAL_RETURNC(0,-6AM)":14.889156,"EWG^FMA_PCT_ABOVE_MAVG(200,0,,,,\"PORTAGG\")":73.6842105263158,"EWA^PERCENT_CHANGE(FMA_EPS(+1,0,,,,\"PORTAGG\",\"MEAN\"),FMA_EPS(+1,-3AM,,,,\"PORTAGG\",\"MEAN\"))":2.07598582964195,"EWI^FMA_COS_UP(\"EPS\",\"1M\",+1,0,,,\"PORTAGG\",\"MEANR\")":9.0,"EWU^SIZE(FG_CONSTITUENTS)":85,"EWA^FMA_COS_DOWN(\"EPS\",\"1M\",+1,0,,,\"PORTAGG\",\"MEANR\")":22.0,"TRYBR10Y-FDS^FG_YIELD(-10AY,0,Y,,\"YTM\")":[12.319731,15.989595,11.062725,9.887577,8.936093,6.883678,6.961219,10.970291,12.900059,10.455909],"CAGDPY@NL^EE_ACTUAL_ANNUAL(MED,0)":10.0892019550425,"CAGDPY@CA^EE_ACTUAL_ANNUAL(MED,0)":-0.614727995236974,"USDITL^FG_PRICE_CHANGE(0,-6AM)":-0.654912,"USDANG^FG_PRICE_CHANGE(0,-6AM)":0.0,"USDGBP^FG_PRICE_CHANGE(0,-6AM)":-2.498901,"USDJPY^FG_PRICE_CHANGE(0,-6AM)":2.3824453,"USDCAD^FG_PRICE_CHANGE(0,-6AM)":-0.5874038,"USDNZD^FG_PRICE_CHANGE(0,-6AM)":-0.73373914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16.83098,24.005295,31.329357,20.21947,25.378586,3.8958788,5.0650716,9.891378,12.037039,7.9720497,8.046198,0.28384924,-1.970154,-3.0054808,-12.836796,-9.44537,-17.67745,-12.216579,-3.575158,-4.6179476,-1.9886672,-5.7124557,-5.5185676,6.6857576,9.209335,14.033723,28.644062,37.0826,54.73617,51.206062,22.366964,21.443928,10.709274,29.692436,19.527649,7.5505853,7.1585417,12.160254,13.302744,8.300245,3.5515904,5.5194497,11.863434,14.648211,25.174595,17.842329,19.512165,18.947994,14.5822525,13.438582,7.0642233,3.7019014,9.108675,7.2155595,4.338491,9.931696,-1.0907471,0.8842349,6.7422867,11.66563,12.208879,8.390844,14.992619,17.511045,8.1835985,10.002554,16.605938,20.384048,30.245209,19.802452,9.721184,-10.3311,-3.4128487,9.132851,10.6545925,11.098612,21.396805,16.166342,16.562283,22.675764,20.04013,22.6408,23.555267,42.820213,35.153103,18.331707,9.935581,5.3197265,7.9965353,9.703684,7.9006195,-10.142845,-11.381138,-18.31833,-11.700994,-9.100848,-21.381098,-19.301785,-25.094341,-18.580925,-25.261963,-31.495863,-29.72411,-13.168865,-16.554832,0.09895563,-8.793396,-7.7160654,2.2794008,0.87914467,11.783588,2.2090435,-0.37047267,7.997179,2.594149,-3.458041,1.4251828,-10.102999,-5.140364,-6.1481056,-7.5073185],"EWI^FMA_DIV_YLD(NTMA,-10AY,0,AM,\"PORTAGG\",\"MEANR\")":[3.39928141524999,3.45427485295553,3.29742856893236,3.56350267083456,3.60049871814496,3.82769762242359,3.86008604824798,3.86612471351267,4.06134587663002,3.78630651831679,3.42908258034218,3.13160358072627,3.19624753464953,3.20015646923869,3.32377782990653,3.11657282318832,3.42568871881479,3.69527891923271,3.54949727110985,3.56967821197291,3.83180955229543,4.57051573771942,4.3485700242587,4.50181223588659,4.35904737213688,4.61228836964666,4.95911206174502,4.96319857981413,4.71141530882967,4.97306013607689,4.96640531492135,4.82374329909708,4.29570625532543,4.43827145167068,4.10168297267693,3.89749007770883,3.90413592470809,3.79358750966842,3.88575946739826,3.74574424487496,3.76365208942429,3.745600780931,3.73355154693094,3.93219223576159,3.99747622773136,3.82342077337038,4.14334489179592,4.11528649367002,3.85250240816748,4.29618304948368,4.54315327564679,4.47351762087804,4.76770665054115,4.74264022727396,5.02846733666882,5.11951466148289,5.45802416649923,5.1230138199694,4.77612647624272,4.64279968255029,4.64528701723247,5.1591103569569,4.81054053837987,4.91040692672873,4.86869677955522,4.91479840199061,4.59891067856975,4.6811460326773,4.44170107099184,4.60113708658053,5.04343285008023,6.18510238677428,5.25468343349546,4.37261521775415,4.26315896223712,4.06515783932726,4.01445950360751,4.21280879446129,4.46313242870148,3.951010148004,3.94464053531275,4.10569875522593,4.18285589017921,3.99637371635555,4.19083019348666,4.08494400272498,4.1376130952578,4.28027308768504,4.38974076553793,4.55865571078303,4.34486242976944,4.72798099952015,4.59985564784229,4.67474428967487,5.1569802280167,5.00794335850543,5.20376994395181,5.21175596946332,5.92881946620004,5.83818205422682,5.64469696857694,6.19455067125162,5.68136364086153,5.67755563875915,5.92155859103816,5.36605848649568,5.2936601007041,5.4376222814754,5.50087786558832,5.43936078668085,5.29282056247708,5.36936196145186,5.38738414368684,5.60476168956265,5.56779451198159,5.45355488219512,5.44992651772459,5.37821301913924,5.27255628953939,5.14740530483097,5.30778048746947],"EWN^FMA_PE(NTMA,-10AY,0,AM,\"PORTAGG\",\"MEANR\")":[14.0451316802475,14.3714892477404,14.5712641308179,13.8612519222586,14.5400833925805,14.2088424580038,14.6029947441027,15.1548320005601,14.7415881880381,15.6774422149401,17.0699296166482,17.2941740768059,16.8883612821547,16.7292362618553,16.3203363371118,16.8091333988136,14.6799995288895,14.3419530965628,15.9581451235177,16.3718246820535,15.3744123294909,14.7894411118013,15.1705624410211,15.1497446213715,14.9520163082621,15.1741962855371,14.211112750831,14.4745079306054,15.3407069268504,14.9630416582273,14.4144670468087,14.2262921960439,15.0459531872303,15.0407800083888,15.6847650944973,16.086544809033,16.4952631852566,16.396469374385,15.6412271612394,15.9477544720355,15.6909424418986,16.1250576722668,16.2966969887044,15.7640513277946,15.8747719347115,16.011029812542,15.1871700478783,15.355985564399,15.6499408172187,15.8200460711922,15.3772159445577,15.8890904400057,15.4862825689879,14.9325696312241,14.2175372558626,14.122416896252,13.0392585900945,14.1490824801262,14.979078434099,15.3558980944162,15.7371012855561,14.8405746074226,15.6066383974013,15.3613052878032,15.4111235582886,15.7374206915592,16.3425801953689,16.4450891459198,17.2446187747041,16.8189456642411,15.7689965561302,14.1284377919066,17.2144599747442,18.7630241950078,19.8346728837101,19.4070701452322,20.0637164548624,19.4526676632613,18.857327742403,20.3452814045941,20.5781242978376,21.5093537961074,21.2710018440585,22.7386617085589,21.8694193385941,21.3309759446475,21.3058755207648,21.587338453977,22.0699364579123,20.2604898548932,21.2690140107605,20.0231950088467,20.615610565723,18.9606062050297,17.4676290226132,18.3784351842533,16.8175357856827,17.3939098671825,15.8399376892068,17.8371765332047,15.9523177472139,14.355753751334,15.1121046882277,16.4611003122291,15.329639244781,17.4199945669449,16.5101706978408,16.5539691382588,15.6524927292671,15.7493170433063,15.8423339669015,15.8245967149998,14.7321958642112,13.4855118926842,13.6849853516194,14.6385634596466,14.9130382960662,15.787547936349,15.9945726023292,16.2084347180099,15.6428214434172],"SPY^FMA_PE(LTMA,-10AY,0,AM,\"PORTAGG\",\"MEANR\")":[16.2372062655387,16.2923049516558,16.4532609869419,16.1409224392695,16.5094161621161,16.2240634955196,16.7341229559942,17.1422641938787,17.2880609023596,16.9532206249713,17.6064488003892,17.4862016147174,17.5540375738837,17.5197629327171,17.3881398304416,17.5282892922124,16.6836643957329,16.6496234324281,17.5980909270234,17.4027062392336,17.1423143271944,16.2966838906097,16.18819342752,16.4452153070474,16.565182572191,16.7936817964353,16.9159239183927,17.3232905936507,17.6159089870747,17.7472227651928,17.3895188094591,18.2194455870168,18.7888782880815,18.9159352275575,19.5088751426146,19.3434696885449,19.2255016555574,19.238310359636,19.0829110788387,19.1887776017787,19.0917620071552,19.3834697131612,19.602513091968,19.9910531942729,20.3933895876581,20.4222110096896,19.753213097976,19.3072008207893,19.0206072983453,18.9236411247262,18.6072452204247,18.6282873437993,18.7016893540282,18.6215769662697,17.3250553415588,17.2533705877263,15.5079608544779,16.6963695379994,17.1278184580145,17.1791912744866,17.2643938089746,16.8699525537769,17.5117311097592,17.4926407257115,17.5214082773281,17.4783123256354,18.4911433030285,18.9561830324868,20.0356936876877,19.6689283170853,18.0266099847365,17.5763109617614,19.1940771781204,20.6177693917119,21.3671576557384,22.0892593032468,24.1383977075024,23.5187739830432,23.1105862664626,25.6629103643278,27.4234729383004,27.0730451854622,26.2896821894738,26.0393846125538,25.579834145149,25.0545039635347,24.9298725113058,24.0971966568518,24.0324316937368,23.0654726376321,23.3636457741867,22.663028378109,23.2347863056791,22.0869169519478,20.7158321838993,20.7160794358392,20.0343894546493,19.8071571589323,18.821682458849,19.2311030267229,18.5435435016652,17.2655556699441,17.6026651001817,18.618234210038,17.4105939472441,18.9704971928013,18.0617505639041,18.2162863724075,18.2585249834838,18.606112061491,19.1373266231515,19.5082386864385,19.5870354719391,19.0623161592469,19.3476088791304,20.5743720594247,21.6151554030372,22.391893901646,22.7963984340696,22.6938629334181,22.2864870561567],"DDR3512M-FDS^FG_PRICE_MAVG(0,,,,30)":0.96595323,"PASP-FDS^FG_PRICE_MAVG(0,,,,30)":1020.6,"PLATI-FDS^FG_PRICE_MAVG(0,,,,30)":938.9,"W-FDS^FG_PRICE_MAVG(0,,,,30)":5.6344166,"COPP-FDS^FG_PRICE_MAVG(0,,,,30)":4.3009334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TRYVN10Y-FDS^FG_YIELD(-10AY,0,Y,,\"YTM\")":[7.3,6.277413,7.1117578,5.6717234,4.738006,3.5404546,2.4877946,2.059403,4.687226,2.9473283],"TRYTW10Y-FDS^FG_YIELD(-10AY,0,Y,,\"YTM\")":[1.6015,1.015,1.2037,0.9478,0.8648,0.672,0.315,0.7413,1.2812,1.211],"EWQ^FG_TOTAL_RETURNC(0,-12AM)":6.0333014,"EWU^FG_TOTAL_RETURNC(0,-1AM)":3.0276299,"EWA^FMA_PCT_ABOVE_MAVG(200,0,,,,\"PORTAGG\")":71.1864406779661,"ENZL^SIZE(FG_CONSTITUENTS)":14,"EWI^FMA_RBICS_REV_CURRENT(30, LOC, \"PORTAGG\")":36.6089143757674,"TRYCA10Y-FDS^PCTCHG(FG_YIELD(0,,,,\"YTM\"),FG_YIELD(-1AM,,,,\"YTM\"))":2.8316472,"CC_IT^IMF_IFS_RCPI_Q(0)":0.92385906,"CC_SE^IMF_IFS_RCPI_Q(0)":4.6701536,"CC_NL^IMF_IFS_RCPI_Q(0)":null,"CC_FR^IMF_IFS_RCPI_Q(0)":2.79402,"CC_US^IMF_IFS_RCPI_Q(0)":null,"CC_GB^IMF_IFS_RCPI_Q(0)":3.9194994,"CC_CH^IMF_IFS_RCPI_Q(0)":1.4071462,"CC_JP^IMF_IFS_RCPI_Q(0)":null,"CC_DE^IMF_IFS_RCPI_Q(0)":2.5173564,"CC_CA^IMF_IFS_RCPI_Q(0)":2.8466706,"CC_AU^IMF_IFS_RCPI_Q(0)":null,"CC_NZ^IMF_IFS_RCPI_Q(0)":null,"EWI^FMA_EVAL_EBITDA(NTMA,0,,,\"PORTAGG\",\"MEANR\")":6.9412008198144,"EWN^FMA_DIV_YLD(NTMA,NOW,NOW,M,\"PORTAGG\",\"MEANR\")":2.59127326975751,"SPY^FMA_PE(LTM,0,,,\"PORTAGG\",\"MEANR\")":24.685385130293,"EWL^FMA_EVAL_EBIT(LTMA,NOW,NOW,M,\"PORTAGG\",\"MEANR\")":16.4491954363761,"EWG^FG_FCF_YIELD_NTM(0)":6.01716531258335,"EWA^FMA_PE(NTMA,0,,,\"PORTAGG\",\"MEANR\")":16.3573736535644,"ENZL^FMA_EVAL_EBIT(LTMA,NOW,NOW,M,\"PORTAGG\",\"MEANR\")":20.581527538172,"EWI^JULIAN(FMA_DIV_YLD(NTMA,NOW,NOW,M,\"PORTAGG\",\"MEANR\").DATES)":45412,"EWL^FMA_PE(LTM,0,,,\"PORTAGG\",\"MEANR\")":15.1581594382721,"ENZL^FG_FCF_YIELD_NTM(0)":0.288445311116342,"EWD^FG_FCF_YIELD_NTM(0)":5.14561942316229,"EWD^FMA_DIV_YLD(NTMA,NOW,NOW,M,\"PORTAGG\",\"MEANR\")":3.25377938945661,"SPY^FMA_EVAL_EBIT(LTMA,NOW,NOW,M,\"PORTAGG\",\"MEANR\")":20.3521482704551,"SPY^FMA_EVAL_EBITDA(NTMA,0,,,\"PORTAGG\",\"MEANR\")":13.5615396114652,"EWJ^FMA_PE(LTM,0,,,\"PORTAGG\",\"MEANR\")":15.6646027775195,"VGK^FG_PE(0)":13.1740569951454,"EWJ^JULIAN(FMA_DIV_YLD(NTMA,NOW,NOW,M,\"PORTAGG\",\"MEANR\").DATES)":45411,"EWU^FMA_PE(LTM,0,,,\"PORTAGG\",\"MEANR\")":10.9756501634066,"EWL^FMA_PE(NTMA,0,,,\"PORTAGG\",\"MEANR\")":16.780877258649,"VWO^FMA_EVAL_EBIT(LTMA,NOW,NOW,M,\"PORTAGG\",\"MEANR\")":14.3727866883411,"EWI^FG_FCF_YIELD_NTM(0)":6.40253113202286,"EWN^FMA_PE(NTMA,0,,,\"PORTAGG\",\"MEANR\")":15.6428214434172,"SPY^JULIAN(FMA_DIV_YLD(NTMA,NOW,NOW,M,\"PORTAGG\",\"MEANR\").DATES)":45412,"EWL^FMA_EVAL_EBITDA(NTMA,0,,,\"PORTAGG\",\"MEANR\")":12.4857478970962,"EWG^FMA_DIV_YLD(NTMA,NOW,NOW,M,\"PORTAGG\",\"MEANR\")":3.35223110800484,"EWA^FMA_PE(LTM,0,,,\"PORTAGG\",\"MEANR\")":18.1389177316172,"EWL^FG_FCF_YIELD_NTM(0)":5.13556172721754,"EWG^FMA_PE(NTMA,0,,,\"PORTAGG\",\"MEANR\")":11.9972389296807,"EWI^FMA_PE(NTMA,0,,,\"PORTAGG\",\"MEANR\")":9.48820717355478,"EWN^JULIAN(FMA_DIV_YLD(NTMA,NOW,NOW,M,\"PORTAGG\",\"MEANR\").DATES)":45412,"QQQ^FMA_EVAL_EBITDA(NTMA,0,,,\"PORTAGG\",\"MEANR\")":15.3955982617708,"EWL^FMA_DIV_YLD(NTMA,NOW,NOW,M,\"PORTAGG\",\"MEANR\")":3.38086815704189,"EWI^FMA_PE(LTM,0,,,\"PORTAGG\",\"MEANR\")":9.84242261256715,"QQQ^FG_FCF_YIELD_NTM(0)":3.86066622007716,"VWO^FG_PE_NTM(0,,,90,0)":12.4875097221465,"EWC^FMA_EVAL_EBIT(LTMA,NOW,NOW,M,\"PORTAGG\",\"MEANR\")":16.2520119680143,"VWO^JULIAN(FMA_DIV_YLD(NTMA,NOW,NOW,M,\"PORTAGG\",\"MEANR\").DATES)":45379,"EWQ^FMA_DIV_YLD(NTMA,NOW,NOW,M,\"PORTAGG\",\"MEANR\")":3.12179769454038,"EWC^FG_FCF_YIELD_NTM(0)":5.23202970415028,"VGK^FMA_EVAL_EBIT(LTMA,NOW,NOW,M,\"PORTAGG\",\"MEANR\")":13.2610959531893,"ENZL^FMA_PE(LTM,0,,,\"PORTAGG\",\"MEANR\")":29.5698887376878,"EWJ^FMA_PE(NTMA,0,,,\"PORTAGG\",\"MEANR\")":15.1918084168481,"EWA^FG_FCF_YIELD_NTM(0)":4.97090209106147,"SPY^FMA_PE(NTMA,0,,,\"PORTAGG\",\"MEANR\")":19.7376425214866,"EWG^JULIAN(FMA_DIV_YLD(NTMA,NOW,NOW,M,\"PORTAGG\",\"MEANR\").DATES)":45411,"ENZL^JULIAN(FMA_DIV_YLD(NTMA,NOW,NOW,M,\"PORTAGG\",\"MEANR\").DATES)":45411,"EWU^FMA_DIV_YLD(NTMA,NOW,NOW,M,\"PORTAGG\",\"MEANR\")":3.92112574686134,"VWO^FMA_EVAL_EBITDA(NTMA,0,,,\"PORTAGG\",\"MEANR\")":8.81503758363444,"EWI^FMA_DIV_YLD(NTMA,NOW,NOW,M,\"PORTAGG\",\"MEANR\")":5.30778048746947,"EWN^FMA_PE(LTM,0,,,\"PORTAGG\",\"MEANR\")":18.9082704093242,"QQQ^FMA_EVAL_EBIT(LTMA,NOW,NOW,M,\"PORTAGG\",\"MEANR\")":24.2403615007746,"EWA^JULIAN(FMA_DIV_YLD(NTMA,NOW,NOW,M,\"PORTAGG\",\"MEANR\").DATES)":45411,"EWG^FMA_PE(LTM,0,,,\"PORTAGG\",\"MEANR\")":12.5308973275751,"VWO^FMA_DIV_YLD(NTMA,NOW,NOW,M,\"PORTAGG\",\"MEANR\")":3.0711014463721,"EWQ^FMA_EVAL_EBIT(LTMA,NOW,NOW,M,\"PORTAGG\",\"MEANR\")":13.2589433538967,"ENZL^FMA_EVAL_EBITDA(NTMA,0,,,\"PORTAGG\",\"MEANR\")":12.3307500203334,"EWQ^FMA_EVAL_EBITDA(NTMA,0,,,\"PORTAGG\",\"MEANR\")":9.31848241647488,"EWD^FMA_EVAL_EBITDA(NTMA,0,,,\"PORTAGG\",\"MEANR\")":11.1930070245502,"EWJ^FMA_EVAL_EBIT(LTMA,NOW,NOW,M,\"PORTAGG\",\"MEANR\")":17.8812360173702,"ENZL^FMA_PE(NTMA,0,,,\"PORTAGG\",\"MEANR\")":25.2619078556493,"EWJ^FMA_EVAL_EBITDA(NTMA,0,,,\"PORTAGG\",\"MEANR\")":10.5278264017456,"VGK^FMA_EVAL_EBITDA(NTMA,0,,,\"PORTAGG\",\"MEANR\")":9.01924748816235,"EWJ^FG_FCF_YIELD_NTM(0)":4.15752379182473,"EWC^FMA_PE(NTMA,0,,,\"PORTAGG\",\"MEANR\")":14.0820933937078,"EWA^FMA_EVAL_EBITDA(NTMA,0,,,\"PORTAGG\",\"MEANR\")":8.49387500794046,"SPY^FMA_DIV_YLD(NTMA,NOW,NOW,M,\"PORTAGG\",\"MEANR\")":1.51171902866979,"QQQ^JULIAN(FMA_DIV_YLD(NTMA,NOW,NOW,M,\"PORTAGG\",\"MEANR\").DATES)":45412,"VWO^FG_FCF_YIELD_NTM(0)":5.43164798113929,"QQQ^FMA_DIV_YLD(NTMA,NOW,NOW,M,\"PORTAGG\",\"MEANR\")":0.944207720265892,"EWD^JULIAN(FMA_DIV_YLD(NTMA,NOW,NOW,M,\"PORTAGG\",\"MEANR\").DATES)":45411,"EWU^FMA_PE(NTMA,0,,,\"PORTAGG\",\"MEANR\")":11.6463997791601,"EWN^FMA_EVAL_EBITDA(NTMA,0,,,\"PORTAGG\",\"MEANR\")":12.3158415634141,"EWN^FG_FCF_YIELD_NTM(0)":3.84146566396847,"EWU^FMA_EVAL_EBIT(LTMA,NOW,NOW,M,\"PORTAGG\",\"MEANR\")":10.5434097608757,"VGK^FG_PE_NTM(0,,,90,0)":13.6673698212147,"EWQ^FMA_PE(NTMA,0,,,\"PORTAGG\",\"MEANR\")":14.4832263069592,"EWU^FG_FCF_YIELD_NTM(0)":6.16405191183943,"EWU^JULIAN(FMA_DIV_YLD(NTMA,NOW,NOW,M,\"PORTAGG\",\"MEANR\").DATES)":45411,"VWO^FG_PE(0)":14.0367214934365,"EWD^FMA_EVAL_EBIT(LTMA,NOW,NOW,M,\"PORTAGG\",\"MEANR\")":15.9345801292684,"EWQ^FG_FCF_YIELD_NTM(0)":5.62589967116046,"QQQ^FMA_PE(NTMA,0,,,\"PORTAGG\",\"MEANR\")":24.5721900247893,"EWL^JULIAN(FMA_DIV_YLD(NTMA,NOW,NOW,M,\"PORTAGG\",\"MEANR\").DATES)":45411,"EWC^FMA_EVAL_EBITDA(NTMA,0,,,\"PORTAGG\",\"MEANR\")":9.72154621490384,"ENZL^FMA_DIV_YLD(NTMA,NOW,NOW,M,\"PORTAGG\",\"MEANR\")":2.75033600678367,"QQQ^FMA_PE(LTM,0,,,\"PORTAGG\",\"MEANR\")":32.1711508116348,"EWC^FMA_DIV_YLD(NTMA,NOW,NOW,M,\"PORTAGG\",\"MEANR\")":3.14188973242987,"EWQ^FMA_PE(LTM,0,,,\"PORTAGG\",\"MEANR\")":16.4125280413868,"EWC^JULIAN(FMA_DIV_YLD(NTMA,NOW,NOW,M,\"PORTAGG\",\"MEANR\").DATES)":45412,"EWN^FMA_EVAL_EBIT(LTMA,NOW,NOW,M,\"PORTAGG\",\"MEANR\")":21.9357396575082,"SPY^FG_FCF_YIELD_NTM(0)":4.31001959730121,"VGK^JULIAN(FMA_DIV_YLD(NTMA,NOW,NOW,M,\"PORTAGG\",\"MEANR\").DATES)":45379,"EWI^FMA_EVAL_EBIT(LTMA,NOW,NOW,M,\"PORTAGG\",\"MEANR\")":10.8087175497661,"EWA^FMA_EVAL_EBIT(LTMA,NOW,NOW,M,\"PORTAGG\",\"MEANR\")":12.371377956199,"EWG^FMA_EVAL_EBIT(LTMA,NOW,NOW,M,\"PORTAGG\",\"MEANR\")":13.299776952522,"EWG^FMA_EVAL_EBITDA(NTMA,0,,,\"PORTAGG\",\"MEANR\")":8.37973449233525,"VGK^FG_FCF_YIELD_NTM(0)":5.1990777221095,"EWD^FMA_PE(NTMA,0,,,\"PORTAGG\",\"MEANR\")":16.0961396775348,"EWQ^JULIAN(FMA_DIV_YLD(NTMA,NOW,NOW,M,\"PORTAGG\",\"MEANR\").DATES)":45411,"EWU^FMA_EVAL_EBITDA(NTMA,0,,,\"PORTAGG\",\"MEANR\")":7.56583233922611,"EWJ^FMA_DIV_YLD(NTMA,NOW,NOW,M,\"PORTAGG\",\"MEANR\")":2.2497412507125,"EWC^FMA_PE(LTM,0,,,\"PORTAGG\",\"MEANR\")":16.4865789069075,"VGK^FMA_DIV_YLD(NTMA,NOW,NOW,M,\"PORTAGG\",\"MEANR\")":3.44776379212814,"EWD^FMA_PE(LTM,0,,,\"PORTAGG\",\"MEANR\")":14.1680494796695,"EWA^FMA_DIV_YLD(NTMA,NOW,NOW,M,\"PORTAGG\",\"MEANR\")":4.01792604397345,"TLT^P_PRICE(0)/P_PRICE_HIGH_PR(0,,,USD,,,\"PRICE\",\"INTRA\",\"52W\")":0.834334,"TLT^FG_TOTAL_RETURNC(0,-6AM)":4.1787624,"SPY^P_PRICE(0)/P_PRICE_HIGH_PR(0,,,USD,,,\"PRICE\",\"INTRA\",\"52W\")":0.96267706,"UUP^P_PRICE(0)/P_PRICE_HIGH_PR(0,,,USD,,,\"PRICE\",\"INTRA\",\"52W\")":0.9524283,"UUP^FG_TOTAL_RETURNC(0,-6AM)":2.255857,"GLD^FG_TOTAL_RETURNC(0,-1AM)":1.0621667,"DBA^P_PRICE(0)/P_PRICE_HIGH_PR(0,,,USD,,,\"PRICE\",\"INTRA\",\"52W\")":0.88141334,"VGK^P_PRICE(0)/P_PRICE_HIGH_PR(0,,,USD,,,\"PRICE\",\"INTRA\",\"52W\")":0.9765418,"TLT^FG_TOTAL_RETURNC(0,-3AM)":-6.495041,"UUP^FG_TOTAL_RETURNC(0,-3AM)":2.8274894,"TLT^FG_TOTAL_RETURNC(0,-1AM)":-3.0323029,"UUP^FG_TOTAL_RETURNC(0,-1AM)":1.0196924,"USO^FG_TOTAL_RETURNC(0,-1AM)":-6.015599,"VWO^P_PRICE(0)/P_PRICE_HIGH_PR(0,,,USD,,,\"PRICE\",\"INTRA\",\"52W\")":0.99769324,"USO^P_PRICE(0)/P_PRICE_HIGH_PR(0,,,USD,,,\"PRICE\",\"INTRA\",\"52W\")":0.9103225,"GLD^P_PRICE(0)/P_PRICE_HIGH_PR(0,,,USD,,,\"PRICE\",\"INTRA\",\"52W\")":0.94686574,"USO^FG_TOTAL_RETURNC(0,-6AM)":-0.32817125,"GLD^FG_TOTAL_RETURNC(0,-6AM)":15.756035,"USO^FG_TOTAL_RETURNC(0,-3AM)":12.472224,"GLD^FG_TOTAL_RETURNC(0,-3AM)":13.000369,"EWJ^P_PRICE(0)/P_PRICE_HIGH_PR(0,,,USD,,,\"PRICE\",\"INTRA\",\"52W\")":0.9501145,"QQQ^P_PRICE(0)/P_PRICE_HIGH_PR(0,,,USD,,,\"PRICE\",\"INTRA\",\"52W\")":0.95006007,"DBA^FG_TOTAL_RETURNC(0,-6AM)":10.258472,"DBA^FG_TOTAL_RETURNC(0,-3AM)":8.06452,"DBA^FG_TOTAL_RETURNC(0,-1AM)":-5.2907887,"DUMMY^ECON_DATE(45294,,, 'MM/YYYY')":"01/2024","DUMMY^ECON_DATE(45385,,, 'MM/YYYY')":"04/2024","CC_NL^IMF_IFS_RCPI_Q(-1AM)":null,"CC_US^IMF_IFS_RCPI_Q(-1AM)":null,"CC_JP^IMF_IFS_RCPI_Q(-1AM)":null,"CC_NZ^IMF_IFS_RCPI_Q(-1AM)":null,"CC_AU^IMF_IFS_RCPI_Q(-1AM)":null,"DUMMY^ECON_EXPR_DATA('FDS_ECON[NTCPMIMFGSA@NZ]',04/2024,,Q)":47.884563,"DUMMY^ECON_EXPR_DATA('FDS_ECON[NTCPMIMFGSA@NZ]',01/2024,,Q)":44.378197,"DUMMY^ECON_EXPR_DATA('FDS_ECON[NTCPMIMFGSA@AU]',04/2024,,Q)":48.39547,"DUMMY^ECON_EXPR_DATA('FDS_ECON[NTCPMIMFGSA@AU]',01/2024,,Q)":47.862293,"DUMMY^ECON_EXPR_DATA('FDS_ECON[NTCPMIMFGSA@CA]',04/2024,,Q)":49.30091,"DUMMY^ECON_EXPR_DATA('FDS_ECON[NTCPMIMFGSA@CA]',01/2024,,Q)":47.255585,"DUMMY^ECON_EXPR_DATA('FDS_ECON[NTCPMIMFGSA@DE]',04/2024,,Q)":43.319096,"DUMMY^ECON_EXPR_DATA('FDS_ECON[NTCPMIMFGSA@DE]',01/2024,,Q)":42.238945,"DUMMY^ECON_EXPR_DATA('FDS_ECON[NTCPMIMFGSA@JP]',04/2024,,Q)":47.808857,"DUMMY^ECON_EXPR_DATA('FDS_ECON[NTCPMIMFGSA@JP]',01/2024,,Q)":48.31877,"DUMMY^ECON_EXPR_DATA('FDS_ECON[NTCPMIMFGSA@CH]',04/2024,,Q)":44.08605,"DUMMY^ECON_EXPR_DATA('FDS_ECON[NTCPMIMFGSA@CH]',01/2024,,Q)":41.921543,"DUMMY^ECON_EXPR_DATA('FDS_ECON[NTCPMIMFGSA@GB]',04/2024,,Q)":48.24796,"DUMMY^ECON_EXPR_DATA('FDS_ECON[NTCPMIMFGSA@GB]',01/2024,,Q)":46.0587,"DUMMY^ECON_EXPR_DATA('FDS_ECON[NTCPMIMFGMESA@US]',04/2024,,Q)":51.582687,"DUMMY^ECON_EXPR_DATA('FDS_ECON[NTCPMIMFGMESA@US]',01/2024,,Q)":49.098827,"DUMMY^ECON_EXPR_DATA('FDS_ECON[NTCPMIMFGSA@FR]',04/2024,,Q)":45.498753,"DUMMY^ECON_EXPR_DATA('FDS_ECON[NTCPMIMFGSA@FR]',01/2024,,Q)":42.573967,"DUMMY^ECON_EXPR_DATA('FDS_ECON[NTCPMIMFGSA@NL]',04/2024,,Q)":49.325874,"DUMMY^ECON_EXPR_DATA('FDS_ECON[NTCPMIMFGSA@NL]',01/2024,,Q)":44.495136,"DUMMY^ECON_EXPR_DATA('FDS_ECON[]',04/2024,,Q)":null,"DUMMY^ECON_EXPR_DATA('FDS_ECON[]',01/2024,,Q)":null,"DUMMY^ECON_EXPR_DATA('FDS_ECON[NTCPMIMFGSA@IT]',04/2024,,Q)":49.208153,"DUMMY^ECON_EXPR_DATA('FDS_ECON[NTCPMIMFGSA@IT]',01/2024,,Q)":44.859455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,"CC_US^IMF_IFS_RCPI_Q(-2AM)":3.2433991,"CC_NZ^IMF_IFS_RCPI_Q(-2AM)":4.655029,"CC_AU^IMF_IFS_RCPI_Q(-2AM)":4.051988,"CC_JP^IMF_IFS_RCPI_Q(-2AM)":2.9194753,"CC_NL^IMF_IFS_RCPI_Q(-2AM)":0.80520856}]]></FdsFormulaCache>
</file>

<file path=customXml/itemProps1.xml><?xml version="1.0" encoding="utf-8"?>
<ds:datastoreItem xmlns:ds="http://schemas.openxmlformats.org/officeDocument/2006/customXml" ds:itemID="{B7FD6B8C-0C91-40BB-9C90-E15BC0F8784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2024-05-03T05:51:58Z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